
<file path=[Content_Types].xml><?xml version="1.0" encoding="utf-8"?>
<Types xmlns="http://schemas.openxmlformats.org/package/2006/content-type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
    </mc:Choice>
  </mc:AlternateContent>
  <bookViews>
    <workbookView xWindow="0" yWindow="0" windowWidth="16380" windowHeight="8190" tabRatio="500" activeTab="6"/>
  </bookViews>
  <sheets>
    <sheet name="VstupHlavička" sheetId="1" r:id="rId1"/>
    <sheet name="Hlavicka" sheetId="2" r:id="rId2"/>
    <sheet name="hk2018" sheetId="3" r:id="rId3"/>
    <sheet name="hk2017" sheetId="4" r:id="rId4"/>
    <sheet name="Osnova" sheetId="5" state="hidden" r:id="rId5"/>
    <sheet name="ANALYTIKAVUJ" sheetId="6" r:id="rId6"/>
    <sheet name="poznamky 2018" sheetId="7" r:id="rId7"/>
    <sheet name="SUVAHAVUJ" sheetId="8" r:id="rId8"/>
    <sheet name="CASH FLOW DU n" sheetId="9" r:id="rId9"/>
    <sheet name="Analýzy" sheetId="10" r:id="rId10"/>
    <sheet name="HL KNIHA VYPOC" sheetId="11" state="hidden" r:id="rId11"/>
    <sheet name="SKNACE" sheetId="12" state="hidden" r:id="rId12"/>
    <sheet name="PrekladHlav" sheetId="13" state="hidden" r:id="rId13"/>
    <sheet name="List1 (2)" sheetId="14" state="hidden" r:id="rId14"/>
    <sheet name="suvaha_p" sheetId="15" state="hidden" r:id="rId15"/>
    <sheet name="vykaz_p" sheetId="16" state="hidden" r:id="rId16"/>
    <sheet name="S 002" sheetId="17" r:id="rId17"/>
    <sheet name="S 003" sheetId="18" r:id="rId18"/>
    <sheet name="S 004" sheetId="19" r:id="rId19"/>
    <sheet name="S 005" sheetId="20" r:id="rId20"/>
    <sheet name="S 006" sheetId="21" r:id="rId21"/>
    <sheet name="S 007" sheetId="22" r:id="rId22"/>
    <sheet name="S 008" sheetId="23" r:id="rId23"/>
    <sheet name="S 009" sheetId="24" r:id="rId24"/>
    <sheet name="VZS 010" sheetId="25" r:id="rId25"/>
    <sheet name="VZP 011" sheetId="26" r:id="rId26"/>
    <sheet name="VZP 012" sheetId="27" r:id="rId27"/>
  </sheets>
  <externalReferences>
    <externalReference r:id="rId28"/>
  </externalReferences>
  <definedNames>
    <definedName name="_DAT2">[1]hárok1!#REF!</definedName>
    <definedName name="_Order1">0</definedName>
    <definedName name="_Order2">0</definedName>
    <definedName name="a..">0</definedName>
    <definedName name="a._PR._PS">0</definedName>
    <definedName name="actual_year" localSheetId="9">#REF!</definedName>
    <definedName name="actual_year">#REF!</definedName>
    <definedName name="AREAS" localSheetId="9">#REF!</definedName>
    <definedName name="AREAS">#REF!</definedName>
    <definedName name="AS2DocOpenMode">"AS2DocumentEdit"</definedName>
    <definedName name="BBB">#REF!</definedName>
    <definedName name="COUNTIFTabulka" localSheetId="9">#REF!</definedName>
    <definedName name="COUNTIFTabulka" localSheetId="8">#REF!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2">#REF!</definedName>
    <definedName name="COUNTIFTabulka" localSheetId="23">#REF!</definedName>
    <definedName name="COUNTIFTabulka" localSheetId="11">#REF!</definedName>
    <definedName name="COUNTIFTabulka" localSheetId="0">#REF!</definedName>
    <definedName name="COUNTIFTabulka" localSheetId="25">#REF!</definedName>
    <definedName name="COUNTIFTabulka" localSheetId="26">#REF!</definedName>
    <definedName name="COUNTIFTabulka" localSheetId="24">#REF!</definedName>
    <definedName name="COUNTIFTabulka">#REF!</definedName>
    <definedName name="DANOVE" localSheetId="9">#REF!</definedName>
    <definedName name="DANOVE">#REF!</definedName>
    <definedName name="Choices_Wrapper" localSheetId="9">[0]!Choices_Wrapper</definedName>
    <definedName name="Choices_Wrapper">[0]!Choices_Wrapper</definedName>
    <definedName name="KomentarFunkcieLEN" localSheetId="9">#REF!</definedName>
    <definedName name="KomentarFunkcieLEN" localSheetId="8">#REF!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2">#REF!</definedName>
    <definedName name="KomentarFunkcieLEN" localSheetId="23">#REF!</definedName>
    <definedName name="KomentarFunkcieLEN" localSheetId="11">#REF!</definedName>
    <definedName name="KomentarFunkcieLEN" localSheetId="0">#REF!</definedName>
    <definedName name="KomentarFunkcieLEN" localSheetId="25">#REF!</definedName>
    <definedName name="KomentarFunkcieLEN" localSheetId="26">#REF!</definedName>
    <definedName name="KomentarFunkcieLEN" localSheetId="24">#REF!</definedName>
    <definedName name="KomentarFunkcieLEN">#REF!</definedName>
    <definedName name="KomentarFunkcieSEARCH" localSheetId="9">#REF!</definedName>
    <definedName name="KomentarFunkcieSEARCH" localSheetId="8">#REF!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2">#REF!</definedName>
    <definedName name="KomentarFunkcieSEARCH" localSheetId="23">#REF!</definedName>
    <definedName name="KomentarFunkcieSEARCH" localSheetId="11">#REF!</definedName>
    <definedName name="KomentarFunkcieSEARCH" localSheetId="0">#REF!</definedName>
    <definedName name="KomentarFunkcieSEARCH" localSheetId="25">#REF!</definedName>
    <definedName name="KomentarFunkcieSEARCH" localSheetId="26">#REF!</definedName>
    <definedName name="KomentarFunkcieSEARCH" localSheetId="24">#REF!</definedName>
    <definedName name="KomentarFunkcieSEARCH">#REF!</definedName>
    <definedName name="last_year" localSheetId="9">#REF!</definedName>
    <definedName name="last_year">#REF!</definedName>
    <definedName name="legal_form" localSheetId="9">#REF!</definedName>
    <definedName name="legal_form">#REF!</definedName>
    <definedName name="name" localSheetId="9">#REF!</definedName>
    <definedName name="name">#REF!</definedName>
    <definedName name="_xlnm.Print_Area" localSheetId="8">'CASH FLOW DU n'!$A$1:$AW$119</definedName>
    <definedName name="_xlnm.Print_Area" localSheetId="3">'hk2017'!$A$1:$I$65</definedName>
    <definedName name="_xlnm.Print_Area" localSheetId="2">'hk2018'!$A$1:$I$81</definedName>
    <definedName name="_xlnm.Print_Area" localSheetId="1">Hlavicka!$H$1:$AQ$58</definedName>
    <definedName name="_xlnm.Print_Area" localSheetId="6">'poznamky 2018'!$A$1:$BC$1860</definedName>
    <definedName name="_xlnm.Print_Area" localSheetId="16">'S 002'!$A$1:$GW$36</definedName>
    <definedName name="_xlnm.Print_Area" localSheetId="17">'S 003'!$A$1:$GW$36</definedName>
    <definedName name="_xlnm.Print_Area" localSheetId="18">'S 004'!$A$1:$GW$36</definedName>
    <definedName name="_xlnm.Print_Area" localSheetId="19">'S 005'!$A$1:$GW$36</definedName>
    <definedName name="_xlnm.Print_Area" localSheetId="20">'S 006'!$A$1:$GW$36</definedName>
    <definedName name="_xlnm.Print_Area" localSheetId="21">'S 007'!$A$1:$GW$36</definedName>
    <definedName name="_xlnm.Print_Area" localSheetId="22">'S 008'!$A$1:$GW$34</definedName>
    <definedName name="_xlnm.Print_Area" localSheetId="23">'S 009'!$A$1:$GW$34</definedName>
    <definedName name="_xlnm.Print_Area" localSheetId="7">SUVAHAVUJ!$D$1:$X$209</definedName>
    <definedName name="_xlnm.Print_Area" localSheetId="25">'VZP 011'!$A$1:$GW$34</definedName>
    <definedName name="_xlnm.Print_Area" localSheetId="26">'VZP 012'!$A$1:$GW$146</definedName>
    <definedName name="_xlnm.Print_Area" localSheetId="24">'VZS 010'!$A$1:$GW$34</definedName>
    <definedName name="op">#REF!</definedName>
    <definedName name="Osnova" localSheetId="4">Osnova!$A$1:$G$293</definedName>
    <definedName name="Osnova">'HL KNIHA VYPOC'!$A$2:$C$421</definedName>
    <definedName name="Prvni" localSheetId="9">#REF!</definedName>
    <definedName name="Prvni">#REF!</definedName>
    <definedName name="S40INOD.?_PR.?_PS">0</definedName>
    <definedName name="S40KPPR.?_PR.?_PS">0</definedName>
    <definedName name="S40KPPR._PR._PS">0</definedName>
    <definedName name="S40MLEA.?_PR.?_PS">0</definedName>
    <definedName name="S40MLEAB.?_PR.?_PS">0</definedName>
    <definedName name="S40MMZD.?_PR.?_PS">0</definedName>
    <definedName name="S40MNAC.?NP1.?DRUH">0</definedName>
    <definedName name="S40MNAC.?NP1.?MENA">0</definedName>
    <definedName name="S40MNAC.?NP1.?NAZ">0</definedName>
    <definedName name="S40MNAC.?NP1.?OB2.?NP1.?OB15">0</definedName>
    <definedName name="S40MNAC.?NP2.?DRUH">0</definedName>
    <definedName name="S40MNAC.?NP2.?MENA">0</definedName>
    <definedName name="S40MNAC.?NP2.?NAZ">0</definedName>
    <definedName name="S40MNAC.?NP2.?OB2.?NP2.?OB15">0</definedName>
    <definedName name="S40MNAC.?NP3.?OB2.?NP3.?OB15">0</definedName>
    <definedName name="S40MNAC.?NP4.?DRUH">0</definedName>
    <definedName name="S40MNAC.?NP4.?MENA">0</definedName>
    <definedName name="S40MNAC.?NP4.?NAZ">0</definedName>
    <definedName name="S40MNAC.?NP4.?OB2.?NP4.?OB15">0</definedName>
    <definedName name="S40MNAC.?NP5.?DRUH">0</definedName>
    <definedName name="S40MNAC.?NP5.?MENA">0</definedName>
    <definedName name="S40MNAC.?NP5.?NAZ">0</definedName>
    <definedName name="S40MNAC.?NP5.?OB2.?NP5.?OB15">0</definedName>
    <definedName name="S40MNAC.NP3.DRUH">0</definedName>
    <definedName name="S40MNAC.NP3.JEDN">0</definedName>
    <definedName name="S40MNAC.NP3.TR">0</definedName>
    <definedName name="S40MSUO.?_PR.?_PS">0</definedName>
    <definedName name="S40MTRZ.?_PR.?_PS">0</definedName>
    <definedName name="S40MTRZ.?P1_P.?mena">0</definedName>
    <definedName name="S40MTRZ.?P1_P.?Nprod">0</definedName>
    <definedName name="S40MTRZ.?P1_P.?OB2.?P1_P.?OB15">0</definedName>
    <definedName name="S40MTRZ.?P1_PC.?OB2.?P1_PC.?OB15">0</definedName>
    <definedName name="S40MTRZ.?P2_P.?mena">0</definedName>
    <definedName name="S40MTRZ.?P2_P.?Nprod">0</definedName>
    <definedName name="S40MTRZ.?P2_P.?OB2.?P2_P.?OB15">0</definedName>
    <definedName name="S40MTRZ.?P2_PC.?OB2.?P2_PC.?OB15">0</definedName>
    <definedName name="S40MTRZ.?P3_P.?mena">0</definedName>
    <definedName name="S40MTRZ.?P3_P.?Nprod">0</definedName>
    <definedName name="S40MTRZ.?P3_P.?OB2.?P3_P.?OB15">0</definedName>
    <definedName name="S40MTRZ.?P3_PC.?OB2.?P3_PC.?OB15">0</definedName>
    <definedName name="S40MTRZ.?P4_P.?mena">0</definedName>
    <definedName name="S40MTRZ.?P4_P.?Nprod">0</definedName>
    <definedName name="S40MTRZ.?P4_P.?OB2.?P4_P.?OB15">0</definedName>
    <definedName name="S40MTRZ.?P4_PC.?OB2.?P4_PC.?OB15">0</definedName>
    <definedName name="S40MTRZ.?P5_P.?mena">0</definedName>
    <definedName name="S40MTRZ.?P5_P.?Nprod">0</definedName>
    <definedName name="S40MTRZ.?P5_P.?OB2.?P5_P.?OB15">0</definedName>
    <definedName name="S40MTRZ.?P5_PC.?OB2.?P5_PC.?OB15">0</definedName>
    <definedName name="SI_diskontovane_PT_V" localSheetId="9">#REF!</definedName>
    <definedName name="SI_diskontovane_PT_V">#REF!</definedName>
    <definedName name="taxtable" localSheetId="9">#REF!</definedName>
    <definedName name="taxtable" localSheetId="8">#REF!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2">#REF!</definedName>
    <definedName name="taxtable" localSheetId="23">#REF!</definedName>
    <definedName name="taxtable" localSheetId="11">#REF!</definedName>
    <definedName name="taxtable" localSheetId="0">#REF!</definedName>
    <definedName name="taxtable" localSheetId="25">#REF!</definedName>
    <definedName name="taxtable" localSheetId="26">#REF!</definedName>
    <definedName name="taxtable" localSheetId="24">#REF!</definedName>
    <definedName name="taxtable">#REF!</definedName>
    <definedName name="VS_doplňkové_údaje_pro_export_N" localSheetId="9">#REF!</definedName>
    <definedName name="VS_doplňkové_údaje_pro_export_N">#REF!</definedName>
    <definedName name="VS_doplňkové_údaje_pro_export_V" localSheetId="9">#REF!</definedName>
    <definedName name="VS_doplňkové_údaje_pro_export_V">#REF!</definedName>
  </definedNames>
  <calcPr calcId="162913" iterateDelta="1E-4"/>
  <fileRecoveryPr repairLoad="1"/>
  <extLst>
    <ext xmlns:loext="http://schemas.libreoffice.org/" uri="{7626C862-2A13-11E5-B345-FEFF819CDC9F}">
      <loext:extCalcPr stringRefSyntax="CalcA1ExcelA1"/>
    </ext>
  </extLst>
</workbook>
</file>

<file path=xl/calcChain.xml><?xml version="1.0" encoding="utf-8"?>
<calcChain xmlns="http://schemas.openxmlformats.org/spreadsheetml/2006/main">
  <c r="DJ6" i="18" l="1"/>
  <c r="AY5" i="18"/>
  <c r="FC4" i="17"/>
  <c r="FC4" i="18" s="1"/>
  <c r="DE2" i="17"/>
  <c r="DE2" i="18" s="1"/>
  <c r="AT2" i="17"/>
  <c r="A421" i="11"/>
  <c r="I421" i="11" s="1"/>
  <c r="I420" i="11" s="1"/>
  <c r="A418" i="11"/>
  <c r="J418" i="11" s="1"/>
  <c r="A417" i="11"/>
  <c r="I417" i="11" s="1"/>
  <c r="A413" i="11"/>
  <c r="J413" i="11" s="1"/>
  <c r="D412" i="11"/>
  <c r="A412" i="11"/>
  <c r="I412" i="11" s="1"/>
  <c r="A409" i="11"/>
  <c r="J409" i="11" s="1"/>
  <c r="J408" i="11"/>
  <c r="H408" i="11"/>
  <c r="F408" i="11"/>
  <c r="D408" i="11"/>
  <c r="A408" i="11"/>
  <c r="I408" i="11" s="1"/>
  <c r="A407" i="11"/>
  <c r="J407" i="11" s="1"/>
  <c r="J406" i="11"/>
  <c r="H406" i="11"/>
  <c r="F406" i="11"/>
  <c r="D406" i="11"/>
  <c r="A406" i="11"/>
  <c r="I406" i="11" s="1"/>
  <c r="A405" i="11"/>
  <c r="J405" i="11" s="1"/>
  <c r="J403" i="11" s="1"/>
  <c r="J404" i="11"/>
  <c r="I404" i="11"/>
  <c r="H404" i="11"/>
  <c r="K404" i="11" s="1"/>
  <c r="F404" i="11"/>
  <c r="E404" i="11"/>
  <c r="D404" i="11"/>
  <c r="G404" i="11" s="1"/>
  <c r="J401" i="11"/>
  <c r="H401" i="11"/>
  <c r="F401" i="11"/>
  <c r="D401" i="11"/>
  <c r="A401" i="11"/>
  <c r="I401" i="11" s="1"/>
  <c r="A400" i="11"/>
  <c r="J400" i="11" s="1"/>
  <c r="J399" i="11" s="1"/>
  <c r="J397" i="11"/>
  <c r="H397" i="11"/>
  <c r="F397" i="11"/>
  <c r="D397" i="11"/>
  <c r="A397" i="11"/>
  <c r="I397" i="11" s="1"/>
  <c r="A396" i="11"/>
  <c r="J396" i="11" s="1"/>
  <c r="J395" i="11"/>
  <c r="H395" i="11"/>
  <c r="F395" i="11"/>
  <c r="D395" i="11"/>
  <c r="A395" i="11"/>
  <c r="I395" i="11" s="1"/>
  <c r="A394" i="11"/>
  <c r="J394" i="11" s="1"/>
  <c r="J393" i="11"/>
  <c r="H393" i="11"/>
  <c r="F393" i="11"/>
  <c r="D393" i="11"/>
  <c r="A393" i="11"/>
  <c r="I393" i="11" s="1"/>
  <c r="A392" i="11"/>
  <c r="J392" i="11" s="1"/>
  <c r="J391" i="11"/>
  <c r="H391" i="11"/>
  <c r="F391" i="11"/>
  <c r="D391" i="11"/>
  <c r="A391" i="11"/>
  <c r="I391" i="11" s="1"/>
  <c r="A390" i="11"/>
  <c r="J390" i="11" s="1"/>
  <c r="J388" i="11" s="1"/>
  <c r="J389" i="11"/>
  <c r="I389" i="11"/>
  <c r="H389" i="11"/>
  <c r="K389" i="11" s="1"/>
  <c r="F389" i="11"/>
  <c r="E389" i="11"/>
  <c r="D389" i="11"/>
  <c r="G389" i="11" s="1"/>
  <c r="J386" i="11"/>
  <c r="H386" i="11"/>
  <c r="F386" i="11"/>
  <c r="D386" i="11"/>
  <c r="A386" i="11"/>
  <c r="I386" i="11" s="1"/>
  <c r="A385" i="11"/>
  <c r="J385" i="11" s="1"/>
  <c r="J384" i="11"/>
  <c r="H384" i="11"/>
  <c r="F384" i="11"/>
  <c r="D384" i="11"/>
  <c r="A384" i="11"/>
  <c r="I384" i="11" s="1"/>
  <c r="A383" i="11"/>
  <c r="J383" i="11" s="1"/>
  <c r="J382" i="11"/>
  <c r="H382" i="11"/>
  <c r="F382" i="11"/>
  <c r="D382" i="11"/>
  <c r="A382" i="11"/>
  <c r="I382" i="11" s="1"/>
  <c r="A381" i="11"/>
  <c r="J381" i="11" s="1"/>
  <c r="J380" i="11" s="1"/>
  <c r="J378" i="11"/>
  <c r="F378" i="11"/>
  <c r="A378" i="11"/>
  <c r="I378" i="11" s="1"/>
  <c r="A377" i="11"/>
  <c r="J377" i="11" s="1"/>
  <c r="J376" i="11"/>
  <c r="H376" i="11"/>
  <c r="F376" i="11"/>
  <c r="D376" i="11"/>
  <c r="A376" i="11"/>
  <c r="I376" i="11" s="1"/>
  <c r="A375" i="11"/>
  <c r="J375" i="11" s="1"/>
  <c r="J374" i="11"/>
  <c r="H374" i="11"/>
  <c r="F374" i="11"/>
  <c r="D374" i="11"/>
  <c r="A374" i="11"/>
  <c r="I374" i="11" s="1"/>
  <c r="A373" i="11"/>
  <c r="J373" i="11" s="1"/>
  <c r="J371" i="11" s="1"/>
  <c r="J372" i="11"/>
  <c r="I372" i="11"/>
  <c r="H372" i="11"/>
  <c r="K372" i="11" s="1"/>
  <c r="F372" i="11"/>
  <c r="E372" i="11"/>
  <c r="D372" i="11"/>
  <c r="G372" i="11" s="1"/>
  <c r="J369" i="11"/>
  <c r="F369" i="11"/>
  <c r="A369" i="11"/>
  <c r="I369" i="11" s="1"/>
  <c r="A368" i="11"/>
  <c r="J368" i="11" s="1"/>
  <c r="J367" i="11"/>
  <c r="H367" i="11"/>
  <c r="F367" i="11"/>
  <c r="D367" i="11"/>
  <c r="A367" i="11"/>
  <c r="I367" i="11" s="1"/>
  <c r="I366" i="11"/>
  <c r="E366" i="11"/>
  <c r="A366" i="11"/>
  <c r="J365" i="11"/>
  <c r="I365" i="11"/>
  <c r="H365" i="11"/>
  <c r="K365" i="11" s="1"/>
  <c r="F365" i="11"/>
  <c r="E365" i="11"/>
  <c r="D365" i="11"/>
  <c r="G365" i="11" s="1"/>
  <c r="J362" i="11"/>
  <c r="F362" i="11"/>
  <c r="A362" i="11"/>
  <c r="I362" i="11" s="1"/>
  <c r="I361" i="11"/>
  <c r="E361" i="11"/>
  <c r="A361" i="11"/>
  <c r="J360" i="11"/>
  <c r="H360" i="11"/>
  <c r="F360" i="11"/>
  <c r="D360" i="11"/>
  <c r="A360" i="11"/>
  <c r="I360" i="11" s="1"/>
  <c r="I359" i="11"/>
  <c r="I357" i="11" s="1"/>
  <c r="E359" i="11"/>
  <c r="A359" i="11"/>
  <c r="J358" i="11"/>
  <c r="I358" i="11"/>
  <c r="H358" i="11"/>
  <c r="K358" i="11" s="1"/>
  <c r="F358" i="11"/>
  <c r="E358" i="11"/>
  <c r="D358" i="11"/>
  <c r="G358" i="11" s="1"/>
  <c r="J356" i="11"/>
  <c r="I356" i="11"/>
  <c r="H356" i="11"/>
  <c r="K356" i="11" s="1"/>
  <c r="F356" i="11"/>
  <c r="E356" i="11"/>
  <c r="D356" i="11"/>
  <c r="G356" i="11" s="1"/>
  <c r="J355" i="11"/>
  <c r="I355" i="11"/>
  <c r="H355" i="11"/>
  <c r="K355" i="11" s="1"/>
  <c r="F355" i="11"/>
  <c r="E355" i="11"/>
  <c r="D355" i="11"/>
  <c r="G355" i="11" s="1"/>
  <c r="J354" i="11"/>
  <c r="H354" i="11"/>
  <c r="F354" i="11"/>
  <c r="D354" i="11"/>
  <c r="A354" i="11"/>
  <c r="I354" i="11" s="1"/>
  <c r="I353" i="11"/>
  <c r="E353" i="11"/>
  <c r="A353" i="11"/>
  <c r="J352" i="11"/>
  <c r="F352" i="11"/>
  <c r="A352" i="11"/>
  <c r="I352" i="11" s="1"/>
  <c r="J351" i="11"/>
  <c r="I351" i="11"/>
  <c r="K351" i="11" s="1"/>
  <c r="H351" i="11"/>
  <c r="F351" i="11"/>
  <c r="E351" i="11"/>
  <c r="G351" i="11" s="1"/>
  <c r="D351" i="11"/>
  <c r="I350" i="11"/>
  <c r="I347" i="11"/>
  <c r="E347" i="11"/>
  <c r="A347" i="11"/>
  <c r="J346" i="11"/>
  <c r="H346" i="11"/>
  <c r="F346" i="11"/>
  <c r="D346" i="11"/>
  <c r="A346" i="11"/>
  <c r="I346" i="11" s="1"/>
  <c r="I345" i="11"/>
  <c r="E345" i="11"/>
  <c r="A345" i="11"/>
  <c r="J344" i="11"/>
  <c r="H344" i="11"/>
  <c r="F344" i="11"/>
  <c r="D344" i="11"/>
  <c r="A344" i="11"/>
  <c r="I344" i="11" s="1"/>
  <c r="I343" i="11"/>
  <c r="E343" i="11"/>
  <c r="A343" i="11"/>
  <c r="J342" i="11"/>
  <c r="H342" i="11"/>
  <c r="F342" i="11"/>
  <c r="D342" i="11"/>
  <c r="A342" i="11"/>
  <c r="I342" i="11" s="1"/>
  <c r="I341" i="11"/>
  <c r="E341" i="11"/>
  <c r="A341" i="11"/>
  <c r="J340" i="11"/>
  <c r="F340" i="11"/>
  <c r="D340" i="11"/>
  <c r="A340" i="11"/>
  <c r="I340" i="11" s="1"/>
  <c r="I339" i="11"/>
  <c r="I337" i="11"/>
  <c r="E337" i="11"/>
  <c r="A337" i="11"/>
  <c r="J336" i="11"/>
  <c r="H336" i="11"/>
  <c r="F336" i="11"/>
  <c r="D336" i="11"/>
  <c r="A336" i="11"/>
  <c r="I336" i="11" s="1"/>
  <c r="I335" i="11"/>
  <c r="E335" i="11"/>
  <c r="A335" i="11"/>
  <c r="J334" i="11"/>
  <c r="H334" i="11"/>
  <c r="F334" i="11"/>
  <c r="D334" i="11"/>
  <c r="A334" i="11"/>
  <c r="I334" i="11" s="1"/>
  <c r="I333" i="11"/>
  <c r="I331" i="11" s="1"/>
  <c r="E333" i="11"/>
  <c r="A333" i="11"/>
  <c r="J332" i="11"/>
  <c r="I332" i="11"/>
  <c r="H332" i="11"/>
  <c r="K332" i="11" s="1"/>
  <c r="F332" i="11"/>
  <c r="E332" i="11"/>
  <c r="D332" i="11"/>
  <c r="G332" i="11" s="1"/>
  <c r="J329" i="11"/>
  <c r="H329" i="11"/>
  <c r="F329" i="11"/>
  <c r="D329" i="11"/>
  <c r="A329" i="11"/>
  <c r="I329" i="11" s="1"/>
  <c r="I328" i="11"/>
  <c r="I327" i="11" s="1"/>
  <c r="E328" i="11"/>
  <c r="A328" i="11"/>
  <c r="J325" i="11"/>
  <c r="H325" i="11"/>
  <c r="F325" i="11"/>
  <c r="D325" i="11"/>
  <c r="A325" i="11"/>
  <c r="I325" i="11" s="1"/>
  <c r="I324" i="11"/>
  <c r="E324" i="11"/>
  <c r="A324" i="11"/>
  <c r="J323" i="11"/>
  <c r="H323" i="11"/>
  <c r="F323" i="11"/>
  <c r="D323" i="11"/>
  <c r="A323" i="11"/>
  <c r="I323" i="11" s="1"/>
  <c r="I322" i="11"/>
  <c r="E322" i="11"/>
  <c r="A322" i="11"/>
  <c r="J321" i="11"/>
  <c r="I321" i="11"/>
  <c r="H321" i="11"/>
  <c r="K321" i="11" s="1"/>
  <c r="F321" i="11"/>
  <c r="E321" i="11"/>
  <c r="D321" i="11"/>
  <c r="G321" i="11" s="1"/>
  <c r="J320" i="11"/>
  <c r="H320" i="11"/>
  <c r="F320" i="11"/>
  <c r="D320" i="11"/>
  <c r="A320" i="11"/>
  <c r="I320" i="11" s="1"/>
  <c r="I319" i="11"/>
  <c r="E319" i="11"/>
  <c r="A319" i="11"/>
  <c r="J318" i="11"/>
  <c r="F318" i="11"/>
  <c r="A318" i="11"/>
  <c r="I318" i="11" s="1"/>
  <c r="I317" i="11"/>
  <c r="I315" i="11" s="1"/>
  <c r="E317" i="11"/>
  <c r="A317" i="11"/>
  <c r="J316" i="11"/>
  <c r="I316" i="11"/>
  <c r="H316" i="11"/>
  <c r="K316" i="11" s="1"/>
  <c r="F316" i="11"/>
  <c r="E316" i="11"/>
  <c r="D316" i="11"/>
  <c r="G316" i="11" s="1"/>
  <c r="J313" i="11"/>
  <c r="H313" i="11"/>
  <c r="F313" i="11"/>
  <c r="D313" i="11"/>
  <c r="A313" i="11"/>
  <c r="I313" i="11" s="1"/>
  <c r="I312" i="11"/>
  <c r="E312" i="11"/>
  <c r="A312" i="11"/>
  <c r="J311" i="11"/>
  <c r="H311" i="11"/>
  <c r="F311" i="11"/>
  <c r="D311" i="11"/>
  <c r="A311" i="11"/>
  <c r="I311" i="11" s="1"/>
  <c r="I310" i="11"/>
  <c r="E310" i="11"/>
  <c r="A310" i="11"/>
  <c r="J309" i="11"/>
  <c r="I309" i="11"/>
  <c r="H309" i="11"/>
  <c r="K309" i="11" s="1"/>
  <c r="F309" i="11"/>
  <c r="E309" i="11"/>
  <c r="D309" i="11"/>
  <c r="G309" i="11" s="1"/>
  <c r="J308" i="11"/>
  <c r="H308" i="11"/>
  <c r="F308" i="11"/>
  <c r="D308" i="11"/>
  <c r="A308" i="11"/>
  <c r="I308" i="11" s="1"/>
  <c r="I307" i="11"/>
  <c r="I306" i="11" s="1"/>
  <c r="E307" i="11"/>
  <c r="A307" i="11"/>
  <c r="J305" i="11"/>
  <c r="I305" i="11"/>
  <c r="H305" i="11"/>
  <c r="K305" i="11" s="1"/>
  <c r="F305" i="11"/>
  <c r="E305" i="11"/>
  <c r="D305" i="11"/>
  <c r="G305" i="11" s="1"/>
  <c r="J304" i="11"/>
  <c r="I304" i="11"/>
  <c r="F304" i="11"/>
  <c r="E304" i="11"/>
  <c r="J303" i="11"/>
  <c r="I303" i="11"/>
  <c r="H303" i="11"/>
  <c r="K303" i="11" s="1"/>
  <c r="F303" i="11"/>
  <c r="E303" i="11"/>
  <c r="D303" i="11"/>
  <c r="G303" i="11" s="1"/>
  <c r="J302" i="11"/>
  <c r="H302" i="11"/>
  <c r="F302" i="11"/>
  <c r="D302" i="11"/>
  <c r="A302" i="11"/>
  <c r="I302" i="11" s="1"/>
  <c r="I301" i="11"/>
  <c r="E301" i="11"/>
  <c r="A301" i="11"/>
  <c r="J300" i="11"/>
  <c r="H300" i="11"/>
  <c r="F300" i="11"/>
  <c r="D300" i="11"/>
  <c r="A300" i="11"/>
  <c r="I300" i="11" s="1"/>
  <c r="I299" i="11"/>
  <c r="E299" i="11"/>
  <c r="A299" i="11"/>
  <c r="J298" i="11"/>
  <c r="H298" i="11"/>
  <c r="F298" i="11"/>
  <c r="D298" i="11"/>
  <c r="A298" i="11"/>
  <c r="I298" i="11" s="1"/>
  <c r="I297" i="11"/>
  <c r="I295" i="11" s="1"/>
  <c r="E297" i="11"/>
  <c r="A297" i="11"/>
  <c r="J296" i="11"/>
  <c r="I296" i="11"/>
  <c r="H296" i="11"/>
  <c r="K296" i="11" s="1"/>
  <c r="F296" i="11"/>
  <c r="E296" i="11"/>
  <c r="D296" i="11"/>
  <c r="G296" i="11" s="1"/>
  <c r="J293" i="11"/>
  <c r="F293" i="11"/>
  <c r="A293" i="11"/>
  <c r="I293" i="11" s="1"/>
  <c r="I292" i="11"/>
  <c r="E292" i="11"/>
  <c r="A292" i="11"/>
  <c r="J291" i="11"/>
  <c r="H291" i="11"/>
  <c r="F291" i="11"/>
  <c r="D291" i="11"/>
  <c r="A291" i="11"/>
  <c r="I291" i="11" s="1"/>
  <c r="J290" i="11"/>
  <c r="I290" i="11"/>
  <c r="K290" i="11" s="1"/>
  <c r="H290" i="11"/>
  <c r="F290" i="11"/>
  <c r="E290" i="11"/>
  <c r="G290" i="11" s="1"/>
  <c r="D290" i="11"/>
  <c r="I289" i="11"/>
  <c r="I287" i="11"/>
  <c r="E287" i="11"/>
  <c r="A287" i="11"/>
  <c r="J286" i="11"/>
  <c r="F286" i="11"/>
  <c r="A286" i="11"/>
  <c r="I286" i="11" s="1"/>
  <c r="I285" i="11"/>
  <c r="E285" i="11"/>
  <c r="A285" i="11"/>
  <c r="J284" i="11"/>
  <c r="F284" i="11"/>
  <c r="A284" i="11"/>
  <c r="I284" i="11" s="1"/>
  <c r="I283" i="11"/>
  <c r="E283" i="11"/>
  <c r="A283" i="11"/>
  <c r="J282" i="11"/>
  <c r="H282" i="11"/>
  <c r="F282" i="11"/>
  <c r="D282" i="11"/>
  <c r="A282" i="11"/>
  <c r="I282" i="11" s="1"/>
  <c r="I281" i="11"/>
  <c r="E281" i="11"/>
  <c r="A281" i="11"/>
  <c r="J280" i="11"/>
  <c r="F280" i="11"/>
  <c r="A280" i="11"/>
  <c r="I280" i="11" s="1"/>
  <c r="J279" i="11"/>
  <c r="I279" i="11"/>
  <c r="K279" i="11" s="1"/>
  <c r="H279" i="11"/>
  <c r="F279" i="11"/>
  <c r="E279" i="11"/>
  <c r="G279" i="11" s="1"/>
  <c r="D279" i="11"/>
  <c r="I278" i="11"/>
  <c r="I276" i="11"/>
  <c r="E276" i="11"/>
  <c r="A276" i="11"/>
  <c r="J275" i="11"/>
  <c r="F275" i="11"/>
  <c r="A275" i="11"/>
  <c r="I275" i="11" s="1"/>
  <c r="I274" i="11"/>
  <c r="E274" i="11"/>
  <c r="A274" i="11"/>
  <c r="J273" i="11"/>
  <c r="F273" i="11"/>
  <c r="A273" i="11"/>
  <c r="I273" i="11" s="1"/>
  <c r="J272" i="11"/>
  <c r="I272" i="11"/>
  <c r="K272" i="11" s="1"/>
  <c r="H272" i="11"/>
  <c r="F272" i="11"/>
  <c r="E272" i="11"/>
  <c r="G272" i="11" s="1"/>
  <c r="D272" i="11"/>
  <c r="I271" i="11"/>
  <c r="J270" i="11"/>
  <c r="I270" i="11"/>
  <c r="K270" i="11" s="1"/>
  <c r="H270" i="11"/>
  <c r="F270" i="11"/>
  <c r="E270" i="11"/>
  <c r="G270" i="11" s="1"/>
  <c r="D270" i="11"/>
  <c r="J269" i="11"/>
  <c r="I269" i="11"/>
  <c r="K269" i="11" s="1"/>
  <c r="H269" i="11"/>
  <c r="F269" i="11"/>
  <c r="E269" i="11"/>
  <c r="G269" i="11" s="1"/>
  <c r="D269" i="11"/>
  <c r="I268" i="11"/>
  <c r="E268" i="11"/>
  <c r="A268" i="11"/>
  <c r="J267" i="11"/>
  <c r="H267" i="11"/>
  <c r="F267" i="11"/>
  <c r="D267" i="11"/>
  <c r="A267" i="11"/>
  <c r="I267" i="11" s="1"/>
  <c r="I266" i="11"/>
  <c r="E266" i="11"/>
  <c r="A266" i="11"/>
  <c r="J265" i="11"/>
  <c r="F265" i="11"/>
  <c r="A265" i="11"/>
  <c r="I265" i="11" s="1"/>
  <c r="J264" i="11"/>
  <c r="I264" i="11"/>
  <c r="K264" i="11" s="1"/>
  <c r="H264" i="11"/>
  <c r="F264" i="11"/>
  <c r="E264" i="11"/>
  <c r="G264" i="11" s="1"/>
  <c r="D264" i="11"/>
  <c r="I263" i="11"/>
  <c r="I262" i="11"/>
  <c r="I260" i="11"/>
  <c r="I259" i="11" s="1"/>
  <c r="E260" i="11"/>
  <c r="E259" i="11" s="1"/>
  <c r="A260" i="11"/>
  <c r="J257" i="11"/>
  <c r="J256" i="11" s="1"/>
  <c r="H257" i="11"/>
  <c r="F257" i="11"/>
  <c r="F256" i="11" s="1"/>
  <c r="D257" i="11"/>
  <c r="A257" i="11"/>
  <c r="I257" i="11" s="1"/>
  <c r="I256" i="11"/>
  <c r="I254" i="11"/>
  <c r="F254" i="11"/>
  <c r="A254" i="11"/>
  <c r="A253" i="11"/>
  <c r="I253" i="11" s="1"/>
  <c r="J252" i="11"/>
  <c r="H252" i="11"/>
  <c r="K252" i="11" s="1"/>
  <c r="F252" i="11"/>
  <c r="D252" i="11"/>
  <c r="A252" i="11"/>
  <c r="I252" i="11" s="1"/>
  <c r="A251" i="11"/>
  <c r="I251" i="11" s="1"/>
  <c r="J250" i="11"/>
  <c r="H250" i="11"/>
  <c r="K250" i="11" s="1"/>
  <c r="F250" i="11"/>
  <c r="D250" i="11"/>
  <c r="A250" i="11"/>
  <c r="I250" i="11" s="1"/>
  <c r="A249" i="11"/>
  <c r="I249" i="11" s="1"/>
  <c r="J248" i="11"/>
  <c r="F248" i="11"/>
  <c r="A248" i="11"/>
  <c r="I248" i="11" s="1"/>
  <c r="A247" i="11"/>
  <c r="I247" i="11" s="1"/>
  <c r="I246" i="11" s="1"/>
  <c r="J244" i="11"/>
  <c r="J243" i="11" s="1"/>
  <c r="H244" i="11"/>
  <c r="K244" i="11" s="1"/>
  <c r="K243" i="11" s="1"/>
  <c r="F244" i="11"/>
  <c r="F243" i="11" s="1"/>
  <c r="D244" i="11"/>
  <c r="A244" i="11"/>
  <c r="I244" i="11" s="1"/>
  <c r="I243" i="11" s="1"/>
  <c r="A241" i="11"/>
  <c r="I241" i="11" s="1"/>
  <c r="J240" i="11"/>
  <c r="I240" i="11"/>
  <c r="H240" i="11"/>
  <c r="K240" i="11" s="1"/>
  <c r="F240" i="11"/>
  <c r="E240" i="11"/>
  <c r="D240" i="11"/>
  <c r="G240" i="11" s="1"/>
  <c r="J239" i="11"/>
  <c r="H239" i="11"/>
  <c r="F239" i="11"/>
  <c r="D239" i="11"/>
  <c r="A239" i="11"/>
  <c r="I239" i="11" s="1"/>
  <c r="I238" i="11"/>
  <c r="J237" i="11"/>
  <c r="I237" i="11"/>
  <c r="K237" i="11" s="1"/>
  <c r="K236" i="11" s="1"/>
  <c r="H237" i="11"/>
  <c r="F237" i="11"/>
  <c r="E237" i="11"/>
  <c r="G237" i="11" s="1"/>
  <c r="G236" i="11" s="1"/>
  <c r="D237" i="11"/>
  <c r="J236" i="11"/>
  <c r="I236" i="11"/>
  <c r="H236" i="11"/>
  <c r="F236" i="11"/>
  <c r="E236" i="11"/>
  <c r="D236" i="11"/>
  <c r="A234" i="11"/>
  <c r="J231" i="11"/>
  <c r="F231" i="11"/>
  <c r="A231" i="11"/>
  <c r="I231" i="11" s="1"/>
  <c r="A230" i="11"/>
  <c r="J229" i="11"/>
  <c r="F229" i="11"/>
  <c r="A229" i="11"/>
  <c r="I229" i="11" s="1"/>
  <c r="A228" i="11"/>
  <c r="J227" i="11"/>
  <c r="F227" i="11"/>
  <c r="A227" i="11"/>
  <c r="I227" i="11" s="1"/>
  <c r="A226" i="11"/>
  <c r="J223" i="11"/>
  <c r="H223" i="11"/>
  <c r="F223" i="11"/>
  <c r="D223" i="11"/>
  <c r="A223" i="11"/>
  <c r="I223" i="11" s="1"/>
  <c r="A222" i="11"/>
  <c r="J221" i="11"/>
  <c r="H221" i="11"/>
  <c r="F221" i="11"/>
  <c r="D221" i="11"/>
  <c r="A221" i="11"/>
  <c r="I221" i="11" s="1"/>
  <c r="I220" i="11"/>
  <c r="E220" i="11"/>
  <c r="A220" i="11"/>
  <c r="J219" i="11"/>
  <c r="H219" i="11"/>
  <c r="F219" i="11"/>
  <c r="D219" i="11"/>
  <c r="A219" i="11"/>
  <c r="I219" i="11" s="1"/>
  <c r="I218" i="11"/>
  <c r="E218" i="11"/>
  <c r="A218" i="11"/>
  <c r="J217" i="11"/>
  <c r="F217" i="11"/>
  <c r="A217" i="11"/>
  <c r="I217" i="11" s="1"/>
  <c r="I216" i="11"/>
  <c r="E216" i="11"/>
  <c r="A216" i="11"/>
  <c r="J215" i="11"/>
  <c r="F215" i="11"/>
  <c r="A215" i="11"/>
  <c r="I215" i="11" s="1"/>
  <c r="I210" i="11"/>
  <c r="E210" i="11"/>
  <c r="A210" i="11"/>
  <c r="J209" i="11"/>
  <c r="F209" i="11"/>
  <c r="A209" i="11"/>
  <c r="I209" i="11" s="1"/>
  <c r="I208" i="11"/>
  <c r="I207" i="11" s="1"/>
  <c r="E208" i="11"/>
  <c r="A208" i="11"/>
  <c r="J205" i="11"/>
  <c r="I205" i="11"/>
  <c r="H205" i="11"/>
  <c r="K205" i="11" s="1"/>
  <c r="F205" i="11"/>
  <c r="E205" i="11"/>
  <c r="D205" i="11"/>
  <c r="G205" i="11" s="1"/>
  <c r="J204" i="11"/>
  <c r="I204" i="11"/>
  <c r="H204" i="11"/>
  <c r="K204" i="11" s="1"/>
  <c r="F204" i="11"/>
  <c r="E204" i="11"/>
  <c r="D204" i="11"/>
  <c r="G204" i="11" s="1"/>
  <c r="J203" i="11"/>
  <c r="I203" i="11"/>
  <c r="H203" i="11"/>
  <c r="K203" i="11" s="1"/>
  <c r="F203" i="11"/>
  <c r="E203" i="11"/>
  <c r="D203" i="11"/>
  <c r="G203" i="11" s="1"/>
  <c r="J202" i="11"/>
  <c r="I202" i="11"/>
  <c r="H202" i="11"/>
  <c r="K202" i="11" s="1"/>
  <c r="F202" i="11"/>
  <c r="E202" i="11"/>
  <c r="D202" i="11"/>
  <c r="G202" i="11" s="1"/>
  <c r="J201" i="11"/>
  <c r="F201" i="11"/>
  <c r="A201" i="11"/>
  <c r="I201" i="11" s="1"/>
  <c r="I200" i="11"/>
  <c r="E200" i="11"/>
  <c r="A200" i="11"/>
  <c r="J199" i="11"/>
  <c r="F199" i="11"/>
  <c r="D199" i="11"/>
  <c r="A199" i="11"/>
  <c r="I199" i="11" s="1"/>
  <c r="I198" i="11"/>
  <c r="E198" i="11"/>
  <c r="A198" i="11"/>
  <c r="J197" i="11"/>
  <c r="H197" i="11"/>
  <c r="F197" i="11"/>
  <c r="D197" i="11"/>
  <c r="A197" i="11"/>
  <c r="I197" i="11" s="1"/>
  <c r="I196" i="11"/>
  <c r="I194" i="11"/>
  <c r="E194" i="11"/>
  <c r="A194" i="11"/>
  <c r="J193" i="11"/>
  <c r="H193" i="11"/>
  <c r="F193" i="11"/>
  <c r="A193" i="11"/>
  <c r="I193" i="11" s="1"/>
  <c r="I192" i="11"/>
  <c r="E192" i="11"/>
  <c r="A192" i="11"/>
  <c r="J191" i="11"/>
  <c r="H191" i="11"/>
  <c r="F191" i="11"/>
  <c r="D191" i="11"/>
  <c r="A191" i="11"/>
  <c r="I191" i="11" s="1"/>
  <c r="I190" i="11"/>
  <c r="E190" i="11"/>
  <c r="A190" i="11"/>
  <c r="J189" i="11"/>
  <c r="H189" i="11"/>
  <c r="F189" i="11"/>
  <c r="D189" i="11"/>
  <c r="A189" i="11"/>
  <c r="I189" i="11" s="1"/>
  <c r="I188" i="11"/>
  <c r="E188" i="11"/>
  <c r="A188" i="11"/>
  <c r="J187" i="11"/>
  <c r="H187" i="11"/>
  <c r="F187" i="11"/>
  <c r="D187" i="11"/>
  <c r="A187" i="11"/>
  <c r="I187" i="11" s="1"/>
  <c r="I186" i="11"/>
  <c r="I185" i="11" s="1"/>
  <c r="E186" i="11"/>
  <c r="A186" i="11"/>
  <c r="J183" i="11"/>
  <c r="H183" i="11"/>
  <c r="F183" i="11"/>
  <c r="D183" i="11"/>
  <c r="A183" i="11"/>
  <c r="I183" i="11" s="1"/>
  <c r="I182" i="11"/>
  <c r="E182" i="11"/>
  <c r="A182" i="11"/>
  <c r="J181" i="11"/>
  <c r="H181" i="11"/>
  <c r="F181" i="11"/>
  <c r="D181" i="11"/>
  <c r="A181" i="11"/>
  <c r="I181" i="11" s="1"/>
  <c r="I180" i="11"/>
  <c r="E180" i="11"/>
  <c r="A180" i="11"/>
  <c r="J179" i="11"/>
  <c r="H179" i="11"/>
  <c r="F179" i="11"/>
  <c r="D179" i="11"/>
  <c r="A179" i="11"/>
  <c r="I179" i="11" s="1"/>
  <c r="I178" i="11"/>
  <c r="I177" i="11" s="1"/>
  <c r="E178" i="11"/>
  <c r="A178" i="11"/>
  <c r="J175" i="11"/>
  <c r="H175" i="11"/>
  <c r="F175" i="11"/>
  <c r="D175" i="11"/>
  <c r="A175" i="11"/>
  <c r="I175" i="11" s="1"/>
  <c r="I174" i="11"/>
  <c r="E174" i="11"/>
  <c r="A174" i="11"/>
  <c r="J173" i="11"/>
  <c r="H173" i="11"/>
  <c r="F173" i="11"/>
  <c r="D173" i="11"/>
  <c r="A173" i="11"/>
  <c r="I173" i="11" s="1"/>
  <c r="I172" i="11"/>
  <c r="E172" i="11"/>
  <c r="A172" i="11"/>
  <c r="J171" i="11"/>
  <c r="H171" i="11"/>
  <c r="F171" i="11"/>
  <c r="D171" i="11"/>
  <c r="A171" i="11"/>
  <c r="I171" i="11" s="1"/>
  <c r="I170" i="11"/>
  <c r="I168" i="11"/>
  <c r="E168" i="11"/>
  <c r="A168" i="11"/>
  <c r="J167" i="11"/>
  <c r="F167" i="11"/>
  <c r="A167" i="11"/>
  <c r="I167" i="11" s="1"/>
  <c r="I166" i="11"/>
  <c r="E166" i="11"/>
  <c r="A166" i="11"/>
  <c r="J165" i="11"/>
  <c r="F165" i="11"/>
  <c r="A165" i="11"/>
  <c r="I165" i="11" s="1"/>
  <c r="I164" i="11"/>
  <c r="E164" i="11"/>
  <c r="A164" i="11"/>
  <c r="J163" i="11"/>
  <c r="F163" i="11"/>
  <c r="A163" i="11"/>
  <c r="I163" i="11" s="1"/>
  <c r="I162" i="11"/>
  <c r="I160" i="11"/>
  <c r="E160" i="11"/>
  <c r="A160" i="11"/>
  <c r="J159" i="11"/>
  <c r="F159" i="11"/>
  <c r="A159" i="11"/>
  <c r="I159" i="11" s="1"/>
  <c r="I158" i="11"/>
  <c r="E158" i="11"/>
  <c r="A158" i="11"/>
  <c r="J157" i="11"/>
  <c r="F157" i="11"/>
  <c r="A157" i="11"/>
  <c r="I157" i="11" s="1"/>
  <c r="I156" i="11"/>
  <c r="J155" i="11"/>
  <c r="I155" i="11"/>
  <c r="K155" i="11" s="1"/>
  <c r="H155" i="11"/>
  <c r="F155" i="11"/>
  <c r="E155" i="11"/>
  <c r="G155" i="11" s="1"/>
  <c r="D155" i="11"/>
  <c r="I154" i="11"/>
  <c r="E154" i="11"/>
  <c r="A154" i="11"/>
  <c r="J153" i="11"/>
  <c r="F153" i="11"/>
  <c r="A153" i="11"/>
  <c r="I153" i="11" s="1"/>
  <c r="I152" i="11"/>
  <c r="E152" i="11"/>
  <c r="A152" i="11"/>
  <c r="J151" i="11"/>
  <c r="F151" i="11"/>
  <c r="A151" i="11"/>
  <c r="I151" i="11" s="1"/>
  <c r="I150" i="11"/>
  <c r="E150" i="11"/>
  <c r="A150" i="11"/>
  <c r="J149" i="11"/>
  <c r="F149" i="11"/>
  <c r="A149" i="11"/>
  <c r="I149" i="11" s="1"/>
  <c r="I148" i="11"/>
  <c r="J147" i="11"/>
  <c r="I147" i="11"/>
  <c r="K147" i="11" s="1"/>
  <c r="D112" i="6" s="1"/>
  <c r="H147" i="11"/>
  <c r="F147" i="11"/>
  <c r="E147" i="11"/>
  <c r="G147" i="11" s="1"/>
  <c r="D147" i="11"/>
  <c r="I146" i="11"/>
  <c r="E146" i="11"/>
  <c r="A146" i="11"/>
  <c r="J145" i="11"/>
  <c r="H145" i="11"/>
  <c r="F145" i="11"/>
  <c r="A145" i="11"/>
  <c r="I145" i="11" s="1"/>
  <c r="I144" i="11"/>
  <c r="E144" i="11"/>
  <c r="A144" i="11"/>
  <c r="J143" i="11"/>
  <c r="H143" i="11"/>
  <c r="F143" i="11"/>
  <c r="D143" i="11"/>
  <c r="A143" i="11"/>
  <c r="I143" i="11" s="1"/>
  <c r="I142" i="11"/>
  <c r="I141" i="11" s="1"/>
  <c r="I140" i="11" s="1"/>
  <c r="E142" i="11"/>
  <c r="A142" i="11"/>
  <c r="J138" i="11"/>
  <c r="I138" i="11"/>
  <c r="H138" i="11"/>
  <c r="K138" i="11" s="1"/>
  <c r="F138" i="11"/>
  <c r="E138" i="11"/>
  <c r="D138" i="11"/>
  <c r="G138" i="11" s="1"/>
  <c r="J137" i="11"/>
  <c r="J136" i="11" s="1"/>
  <c r="H137" i="11"/>
  <c r="F137" i="11"/>
  <c r="F136" i="11" s="1"/>
  <c r="D137" i="11"/>
  <c r="A137" i="11"/>
  <c r="I137" i="11" s="1"/>
  <c r="I136" i="11"/>
  <c r="I134" i="11"/>
  <c r="I133" i="11" s="1"/>
  <c r="E134" i="11"/>
  <c r="E133" i="11" s="1"/>
  <c r="A134" i="11"/>
  <c r="J131" i="11"/>
  <c r="H131" i="11"/>
  <c r="F131" i="11"/>
  <c r="D131" i="11"/>
  <c r="A131" i="11"/>
  <c r="I131" i="11" s="1"/>
  <c r="I130" i="11"/>
  <c r="E130" i="11"/>
  <c r="A130" i="11"/>
  <c r="J129" i="11"/>
  <c r="H129" i="11"/>
  <c r="F129" i="11"/>
  <c r="D129" i="11"/>
  <c r="A129" i="11"/>
  <c r="I129" i="11" s="1"/>
  <c r="I128" i="11"/>
  <c r="E128" i="11"/>
  <c r="A128" i="11"/>
  <c r="J127" i="11"/>
  <c r="H127" i="11"/>
  <c r="F127" i="11"/>
  <c r="D127" i="11"/>
  <c r="A127" i="11"/>
  <c r="I127" i="11" s="1"/>
  <c r="I126" i="11"/>
  <c r="E126" i="11"/>
  <c r="A126" i="11"/>
  <c r="J125" i="11"/>
  <c r="H125" i="11"/>
  <c r="F125" i="11"/>
  <c r="D125" i="11"/>
  <c r="A125" i="11"/>
  <c r="I125" i="11" s="1"/>
  <c r="I124" i="11"/>
  <c r="I122" i="11"/>
  <c r="E122" i="11"/>
  <c r="A122" i="11"/>
  <c r="J121" i="11"/>
  <c r="H121" i="11"/>
  <c r="F121" i="11"/>
  <c r="D121" i="11"/>
  <c r="A121" i="11"/>
  <c r="I121" i="11" s="1"/>
  <c r="I120" i="11"/>
  <c r="I118" i="11"/>
  <c r="E118" i="11"/>
  <c r="A118" i="11"/>
  <c r="J117" i="11"/>
  <c r="H117" i="11"/>
  <c r="F117" i="11"/>
  <c r="D117" i="11"/>
  <c r="A117" i="11"/>
  <c r="I117" i="11" s="1"/>
  <c r="I116" i="11"/>
  <c r="J115" i="11"/>
  <c r="I115" i="11"/>
  <c r="K115" i="11" s="1"/>
  <c r="H115" i="11"/>
  <c r="F115" i="11"/>
  <c r="E115" i="11"/>
  <c r="G115" i="11" s="1"/>
  <c r="D115" i="11"/>
  <c r="I114" i="11"/>
  <c r="I113" i="11" s="1"/>
  <c r="E114" i="11"/>
  <c r="E113" i="11" s="1"/>
  <c r="A114" i="11"/>
  <c r="J111" i="11"/>
  <c r="F111" i="11"/>
  <c r="A111" i="11"/>
  <c r="I111" i="11" s="1"/>
  <c r="I110" i="11"/>
  <c r="I108" i="11" s="1"/>
  <c r="I107" i="11" s="1"/>
  <c r="E110" i="11"/>
  <c r="A110" i="11"/>
  <c r="J109" i="11"/>
  <c r="I109" i="11"/>
  <c r="H109" i="11"/>
  <c r="K109" i="11" s="1"/>
  <c r="F109" i="11"/>
  <c r="E109" i="11"/>
  <c r="D109" i="11"/>
  <c r="G109" i="11" s="1"/>
  <c r="J104" i="11"/>
  <c r="H104" i="11"/>
  <c r="F104" i="11"/>
  <c r="D104" i="11"/>
  <c r="A104" i="11"/>
  <c r="I104" i="11" s="1"/>
  <c r="I103" i="11"/>
  <c r="E103" i="11"/>
  <c r="A103" i="11"/>
  <c r="J102" i="11"/>
  <c r="H102" i="11"/>
  <c r="F102" i="11"/>
  <c r="D102" i="11"/>
  <c r="A102" i="11"/>
  <c r="I102" i="11" s="1"/>
  <c r="I101" i="11"/>
  <c r="E101" i="11"/>
  <c r="A101" i="11"/>
  <c r="J100" i="11"/>
  <c r="H100" i="11"/>
  <c r="F100" i="11"/>
  <c r="D100" i="11"/>
  <c r="A100" i="11"/>
  <c r="I100" i="11" s="1"/>
  <c r="I99" i="11"/>
  <c r="I98" i="11" s="1"/>
  <c r="E99" i="11"/>
  <c r="A99" i="11"/>
  <c r="J96" i="11"/>
  <c r="H96" i="11"/>
  <c r="F96" i="11"/>
  <c r="D96" i="11"/>
  <c r="A96" i="11"/>
  <c r="I96" i="11" s="1"/>
  <c r="J95" i="11"/>
  <c r="I95" i="11"/>
  <c r="K95" i="11" s="1"/>
  <c r="H95" i="11"/>
  <c r="F95" i="11"/>
  <c r="E95" i="11"/>
  <c r="G95" i="11" s="1"/>
  <c r="D95" i="11"/>
  <c r="I94" i="11"/>
  <c r="E94" i="11"/>
  <c r="A94" i="11"/>
  <c r="J93" i="11"/>
  <c r="H93" i="11"/>
  <c r="F93" i="11"/>
  <c r="D93" i="11"/>
  <c r="A93" i="11"/>
  <c r="I93" i="11" s="1"/>
  <c r="I92" i="11"/>
  <c r="I90" i="11"/>
  <c r="E90" i="11"/>
  <c r="A90" i="11"/>
  <c r="J89" i="11"/>
  <c r="F89" i="11"/>
  <c r="A89" i="11"/>
  <c r="I89" i="11" s="1"/>
  <c r="I88" i="11"/>
  <c r="E88" i="11"/>
  <c r="A88" i="11"/>
  <c r="J87" i="11"/>
  <c r="F87" i="11"/>
  <c r="A87" i="11"/>
  <c r="I87" i="11" s="1"/>
  <c r="I86" i="11"/>
  <c r="I84" i="11"/>
  <c r="E84" i="11"/>
  <c r="A84" i="11"/>
  <c r="J83" i="11"/>
  <c r="F83" i="11"/>
  <c r="A83" i="11"/>
  <c r="I83" i="11" s="1"/>
  <c r="I82" i="11"/>
  <c r="I81" i="11" s="1"/>
  <c r="I80" i="11" s="1"/>
  <c r="E82" i="11"/>
  <c r="A82" i="11"/>
  <c r="J78" i="11"/>
  <c r="H78" i="11"/>
  <c r="F78" i="11"/>
  <c r="D78" i="11"/>
  <c r="A78" i="11"/>
  <c r="I78" i="11" s="1"/>
  <c r="I77" i="11"/>
  <c r="E77" i="11"/>
  <c r="A77" i="11"/>
  <c r="J76" i="11"/>
  <c r="H76" i="11"/>
  <c r="F76" i="11"/>
  <c r="D76" i="11"/>
  <c r="A76" i="11"/>
  <c r="I76" i="11" s="1"/>
  <c r="I75" i="11"/>
  <c r="E75" i="11"/>
  <c r="A75" i="11"/>
  <c r="J74" i="11"/>
  <c r="H74" i="11"/>
  <c r="F74" i="11"/>
  <c r="D74" i="11"/>
  <c r="A74" i="11"/>
  <c r="I74" i="11" s="1"/>
  <c r="I73" i="11"/>
  <c r="E73" i="11"/>
  <c r="A73" i="11"/>
  <c r="J72" i="11"/>
  <c r="H72" i="11"/>
  <c r="F72" i="11"/>
  <c r="D72" i="11"/>
  <c r="A72" i="11"/>
  <c r="I72" i="11" s="1"/>
  <c r="I71" i="11"/>
  <c r="I70" i="11" s="1"/>
  <c r="E71" i="11"/>
  <c r="A71" i="11"/>
  <c r="J68" i="11"/>
  <c r="H68" i="11"/>
  <c r="F68" i="11"/>
  <c r="D68" i="11"/>
  <c r="A68" i="11"/>
  <c r="I68" i="11" s="1"/>
  <c r="J67" i="11"/>
  <c r="I67" i="11"/>
  <c r="K67" i="11" s="1"/>
  <c r="H67" i="11"/>
  <c r="F67" i="11"/>
  <c r="E67" i="11"/>
  <c r="G67" i="11" s="1"/>
  <c r="D67" i="11"/>
  <c r="I66" i="11"/>
  <c r="E66" i="11"/>
  <c r="A66" i="11"/>
  <c r="J65" i="11"/>
  <c r="H65" i="11"/>
  <c r="F65" i="11"/>
  <c r="D65" i="11"/>
  <c r="A65" i="11"/>
  <c r="I65" i="11" s="1"/>
  <c r="J64" i="11"/>
  <c r="I64" i="11"/>
  <c r="K64" i="11" s="1"/>
  <c r="H64" i="11"/>
  <c r="F64" i="11"/>
  <c r="E64" i="11"/>
  <c r="G64" i="11" s="1"/>
  <c r="D64" i="11"/>
  <c r="J63" i="11"/>
  <c r="I63" i="11"/>
  <c r="K63" i="11" s="1"/>
  <c r="H63" i="11"/>
  <c r="F63" i="11"/>
  <c r="E63" i="11"/>
  <c r="G63" i="11" s="1"/>
  <c r="D63" i="11"/>
  <c r="I62" i="11"/>
  <c r="E62" i="11"/>
  <c r="A62" i="11"/>
  <c r="J61" i="11"/>
  <c r="F61" i="11"/>
  <c r="A61" i="11"/>
  <c r="I61" i="11" s="1"/>
  <c r="I60" i="11"/>
  <c r="I58" i="11"/>
  <c r="E58" i="11"/>
  <c r="A58" i="11"/>
  <c r="J57" i="11"/>
  <c r="I57" i="11"/>
  <c r="H57" i="11"/>
  <c r="K57" i="11" s="1"/>
  <c r="F57" i="11"/>
  <c r="E57" i="11"/>
  <c r="D57" i="11"/>
  <c r="G57" i="11" s="1"/>
  <c r="J56" i="11"/>
  <c r="H56" i="11"/>
  <c r="F56" i="11"/>
  <c r="D56" i="11"/>
  <c r="A56" i="11"/>
  <c r="I56" i="11" s="1"/>
  <c r="I55" i="11"/>
  <c r="E55" i="11"/>
  <c r="A55" i="11"/>
  <c r="J54" i="11"/>
  <c r="F54" i="11"/>
  <c r="A54" i="11"/>
  <c r="I54" i="11" s="1"/>
  <c r="I53" i="11"/>
  <c r="E53" i="11"/>
  <c r="A53" i="11"/>
  <c r="J52" i="11"/>
  <c r="H52" i="11"/>
  <c r="F52" i="11"/>
  <c r="D52" i="11"/>
  <c r="A52" i="11"/>
  <c r="I52" i="11" s="1"/>
  <c r="J51" i="11"/>
  <c r="I51" i="11"/>
  <c r="K51" i="11" s="1"/>
  <c r="H51" i="11"/>
  <c r="F51" i="11"/>
  <c r="E51" i="11"/>
  <c r="G51" i="11" s="1"/>
  <c r="D51" i="11"/>
  <c r="I50" i="11"/>
  <c r="I48" i="11"/>
  <c r="E48" i="11"/>
  <c r="A48" i="11"/>
  <c r="J47" i="11"/>
  <c r="H47" i="11"/>
  <c r="F47" i="11"/>
  <c r="D47" i="11"/>
  <c r="A47" i="11"/>
  <c r="I47" i="11" s="1"/>
  <c r="I46" i="11"/>
  <c r="E46" i="11"/>
  <c r="A46" i="11"/>
  <c r="J45" i="11"/>
  <c r="H45" i="11"/>
  <c r="F45" i="11"/>
  <c r="D45" i="11"/>
  <c r="A45" i="11"/>
  <c r="I45" i="11" s="1"/>
  <c r="I44" i="11"/>
  <c r="E44" i="11"/>
  <c r="A44" i="11"/>
  <c r="J43" i="11"/>
  <c r="H43" i="11"/>
  <c r="F43" i="11"/>
  <c r="D43" i="11"/>
  <c r="A43" i="11"/>
  <c r="I43" i="11" s="1"/>
  <c r="I42" i="11"/>
  <c r="I41" i="11" s="1"/>
  <c r="E42" i="11"/>
  <c r="A42" i="11"/>
  <c r="J39" i="11"/>
  <c r="H39" i="11"/>
  <c r="F39" i="11"/>
  <c r="D39" i="11"/>
  <c r="A39" i="11"/>
  <c r="I39" i="11" s="1"/>
  <c r="I38" i="11"/>
  <c r="E38" i="11"/>
  <c r="A38" i="11"/>
  <c r="J37" i="11"/>
  <c r="H37" i="11"/>
  <c r="F37" i="11"/>
  <c r="D37" i="11"/>
  <c r="A37" i="11"/>
  <c r="I37" i="11" s="1"/>
  <c r="J36" i="11"/>
  <c r="I36" i="11"/>
  <c r="K36" i="11" s="1"/>
  <c r="H36" i="11"/>
  <c r="F36" i="11"/>
  <c r="E36" i="11"/>
  <c r="G36" i="11" s="1"/>
  <c r="D36" i="11"/>
  <c r="I35" i="11"/>
  <c r="I33" i="11"/>
  <c r="E33" i="11"/>
  <c r="A33" i="11"/>
  <c r="J32" i="11"/>
  <c r="F32" i="11"/>
  <c r="A32" i="11"/>
  <c r="I32" i="11" s="1"/>
  <c r="I31" i="11"/>
  <c r="I29" i="11" s="1"/>
  <c r="E31" i="11"/>
  <c r="A31" i="11"/>
  <c r="J30" i="11"/>
  <c r="I30" i="11"/>
  <c r="H30" i="11"/>
  <c r="K30" i="11" s="1"/>
  <c r="F30" i="11"/>
  <c r="E30" i="11"/>
  <c r="D30" i="11"/>
  <c r="G30" i="11" s="1"/>
  <c r="J27" i="11"/>
  <c r="H27" i="11"/>
  <c r="F27" i="11"/>
  <c r="D27" i="11"/>
  <c r="A27" i="11"/>
  <c r="I27" i="11" s="1"/>
  <c r="I26" i="11"/>
  <c r="I25" i="11" s="1"/>
  <c r="E26" i="11"/>
  <c r="A26" i="11"/>
  <c r="J23" i="11"/>
  <c r="H23" i="11"/>
  <c r="F23" i="11"/>
  <c r="D23" i="11"/>
  <c r="A23" i="11"/>
  <c r="I23" i="11" s="1"/>
  <c r="J22" i="11"/>
  <c r="I22" i="11"/>
  <c r="K22" i="11" s="1"/>
  <c r="H22" i="11"/>
  <c r="F22" i="11"/>
  <c r="E22" i="11"/>
  <c r="G22" i="11" s="1"/>
  <c r="D22" i="11"/>
  <c r="I21" i="11"/>
  <c r="E21" i="11"/>
  <c r="A21" i="11"/>
  <c r="J20" i="11"/>
  <c r="W419" i="7" s="1"/>
  <c r="F20" i="11"/>
  <c r="A20" i="11"/>
  <c r="I20" i="11" s="1"/>
  <c r="J19" i="11"/>
  <c r="I19" i="11"/>
  <c r="K19" i="11" s="1"/>
  <c r="H19" i="11"/>
  <c r="F19" i="11"/>
  <c r="E19" i="11"/>
  <c r="G19" i="11" s="1"/>
  <c r="D19" i="11"/>
  <c r="J18" i="11"/>
  <c r="I18" i="11"/>
  <c r="K18" i="11" s="1"/>
  <c r="H18" i="11"/>
  <c r="F18" i="11"/>
  <c r="E18" i="11"/>
  <c r="G18" i="11" s="1"/>
  <c r="D18" i="11"/>
  <c r="I17" i="11"/>
  <c r="R418" i="7" s="1"/>
  <c r="E17" i="11"/>
  <c r="A17" i="11"/>
  <c r="J16" i="11"/>
  <c r="M419" i="7" s="1"/>
  <c r="F16" i="11"/>
  <c r="A16" i="11"/>
  <c r="I16" i="11" s="1"/>
  <c r="I15" i="11"/>
  <c r="I13" i="11"/>
  <c r="E13" i="11"/>
  <c r="AC269" i="7" s="1"/>
  <c r="A13" i="11"/>
  <c r="J12" i="11"/>
  <c r="I12" i="11"/>
  <c r="H12" i="11"/>
  <c r="K12" i="11" s="1"/>
  <c r="F12" i="11"/>
  <c r="E12" i="11"/>
  <c r="D12" i="11"/>
  <c r="G12" i="11" s="1"/>
  <c r="J11" i="11"/>
  <c r="X307" i="7" s="1"/>
  <c r="H11" i="11"/>
  <c r="F11" i="11"/>
  <c r="D11" i="11"/>
  <c r="A11" i="11"/>
  <c r="I11" i="11" s="1"/>
  <c r="X306" i="7" s="1"/>
  <c r="I10" i="11"/>
  <c r="E10" i="11"/>
  <c r="T269" i="7" s="1"/>
  <c r="A10" i="11"/>
  <c r="J9" i="11"/>
  <c r="P307" i="7" s="1"/>
  <c r="F9" i="11"/>
  <c r="A9" i="11"/>
  <c r="I9" i="11" s="1"/>
  <c r="P306" i="7" s="1"/>
  <c r="I8" i="11"/>
  <c r="E8" i="11"/>
  <c r="L269" i="7" s="1"/>
  <c r="A8" i="11"/>
  <c r="J7" i="11"/>
  <c r="H7" i="11"/>
  <c r="F7" i="11"/>
  <c r="D7" i="11"/>
  <c r="A7" i="11"/>
  <c r="I7" i="11" s="1"/>
  <c r="I6" i="11"/>
  <c r="I5" i="11" s="1"/>
  <c r="I4" i="11" s="1"/>
  <c r="E6" i="11"/>
  <c r="A6" i="11"/>
  <c r="F246" i="10"/>
  <c r="E246" i="10"/>
  <c r="D246" i="10"/>
  <c r="C246" i="10"/>
  <c r="F242" i="10"/>
  <c r="F238" i="10"/>
  <c r="E238" i="10"/>
  <c r="D238" i="10"/>
  <c r="C238" i="10"/>
  <c r="F233" i="10"/>
  <c r="F234" i="10" s="1"/>
  <c r="E233" i="10"/>
  <c r="F231" i="10"/>
  <c r="E231" i="10"/>
  <c r="D231" i="10"/>
  <c r="C231" i="10"/>
  <c r="A231" i="10"/>
  <c r="A232" i="10" s="1"/>
  <c r="A233" i="10" s="1"/>
  <c r="A234" i="10" s="1"/>
  <c r="A235" i="10" s="1"/>
  <c r="C229" i="10"/>
  <c r="E222" i="10"/>
  <c r="A219" i="10"/>
  <c r="A220" i="10" s="1"/>
  <c r="A221" i="10" s="1"/>
  <c r="A222" i="10" s="1"/>
  <c r="A223" i="10" s="1"/>
  <c r="A224" i="10" s="1"/>
  <c r="A225" i="10" s="1"/>
  <c r="A226" i="10" s="1"/>
  <c r="C218" i="10"/>
  <c r="E209" i="10"/>
  <c r="E205" i="10"/>
  <c r="E203" i="10"/>
  <c r="E202" i="10"/>
  <c r="E201" i="10"/>
  <c r="F198" i="10"/>
  <c r="E198" i="10"/>
  <c r="E193" i="10"/>
  <c r="E191" i="10"/>
  <c r="E190" i="10"/>
  <c r="E187" i="10"/>
  <c r="E180" i="10"/>
  <c r="C177" i="10"/>
  <c r="F171" i="10"/>
  <c r="E171" i="10"/>
  <c r="F170" i="10"/>
  <c r="E170" i="10"/>
  <c r="E169" i="10"/>
  <c r="E173" i="10" s="1"/>
  <c r="F168" i="10"/>
  <c r="F167" i="10"/>
  <c r="E167" i="10"/>
  <c r="F166" i="10"/>
  <c r="C161" i="10"/>
  <c r="F148" i="10"/>
  <c r="E148" i="10"/>
  <c r="E146" i="10"/>
  <c r="F145" i="10"/>
  <c r="E145" i="10"/>
  <c r="F144" i="10"/>
  <c r="E144" i="10"/>
  <c r="F140" i="10"/>
  <c r="E140" i="10"/>
  <c r="E137" i="10"/>
  <c r="E135" i="10"/>
  <c r="E133" i="10"/>
  <c r="F128" i="10"/>
  <c r="E128" i="10"/>
  <c r="E123" i="10"/>
  <c r="F120" i="10"/>
  <c r="E120" i="10"/>
  <c r="E119" i="10"/>
  <c r="C117" i="10"/>
  <c r="F114" i="10"/>
  <c r="F113" i="10"/>
  <c r="E113" i="10"/>
  <c r="F109" i="10"/>
  <c r="F108" i="10"/>
  <c r="F105" i="10"/>
  <c r="F103" i="10"/>
  <c r="F101" i="10"/>
  <c r="F100" i="10"/>
  <c r="F99" i="10"/>
  <c r="F98" i="10"/>
  <c r="F97" i="10"/>
  <c r="F104" i="10" s="1"/>
  <c r="E97" i="10"/>
  <c r="A96" i="10"/>
  <c r="A97" i="10" s="1"/>
  <c r="A98" i="10" s="1"/>
  <c r="A99" i="10" s="1"/>
  <c r="A100" i="10" s="1"/>
  <c r="A101" i="10" s="1"/>
  <c r="A102" i="10" s="1"/>
  <c r="A103" i="10" s="1"/>
  <c r="A104" i="10" s="1"/>
  <c r="A105" i="10" s="1"/>
  <c r="A106" i="10" s="1"/>
  <c r="A107" i="10" s="1"/>
  <c r="A108" i="10" s="1"/>
  <c r="A109" i="10" s="1"/>
  <c r="A110" i="10" s="1"/>
  <c r="A111" i="10" s="1"/>
  <c r="A112" i="10" s="1"/>
  <c r="A113"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3" i="10" s="1"/>
  <c r="A144" i="10" s="1"/>
  <c r="A145" i="10" s="1"/>
  <c r="A146" i="10" s="1"/>
  <c r="A147" i="10" s="1"/>
  <c r="A148" i="10" s="1"/>
  <c r="A149" i="10" s="1"/>
  <c r="A150" i="10" s="1"/>
  <c r="A151" i="10" s="1"/>
  <c r="A152" i="10" s="1"/>
  <c r="A153" i="10" s="1"/>
  <c r="A154" i="10" s="1"/>
  <c r="A155" i="10" s="1"/>
  <c r="A156" i="10" s="1"/>
  <c r="A157" i="10" s="1"/>
  <c r="A158" i="10" s="1"/>
  <c r="A162" i="10" s="1"/>
  <c r="A163" i="10" s="1"/>
  <c r="A164" i="10" s="1"/>
  <c r="A165" i="10" s="1"/>
  <c r="A166" i="10" s="1"/>
  <c r="A167" i="10" s="1"/>
  <c r="A168" i="10" s="1"/>
  <c r="A169" i="10" s="1"/>
  <c r="A170" i="10" s="1"/>
  <c r="A171" i="10" s="1"/>
  <c r="A172" i="10" s="1"/>
  <c r="A173" i="10" s="1"/>
  <c r="A174" i="10" s="1"/>
  <c r="A178" i="10" s="1"/>
  <c r="F95" i="10"/>
  <c r="C94" i="10"/>
  <c r="F91" i="10"/>
  <c r="E91" i="10"/>
  <c r="F90" i="10"/>
  <c r="F84" i="10"/>
  <c r="F87" i="10" s="1"/>
  <c r="F89" i="10" s="1"/>
  <c r="E84" i="10"/>
  <c r="F79" i="10"/>
  <c r="E79" i="10"/>
  <c r="F78" i="10"/>
  <c r="E78" i="10"/>
  <c r="F77" i="10"/>
  <c r="E77" i="10"/>
  <c r="F76" i="10"/>
  <c r="F169" i="10" s="1"/>
  <c r="F173" i="10" s="1"/>
  <c r="E76" i="10"/>
  <c r="F75" i="10"/>
  <c r="A60" i="10"/>
  <c r="F57" i="10"/>
  <c r="E57" i="10"/>
  <c r="A56" i="10"/>
  <c r="C55" i="10"/>
  <c r="F49" i="10"/>
  <c r="F110" i="10" s="1"/>
  <c r="E49" i="10"/>
  <c r="F36" i="10"/>
  <c r="F143" i="10" s="1"/>
  <c r="E36" i="10"/>
  <c r="E223" i="10" s="1"/>
  <c r="F33" i="10"/>
  <c r="E33" i="10"/>
  <c r="F29" i="10"/>
  <c r="E29" i="10"/>
  <c r="F26" i="10"/>
  <c r="E26" i="10"/>
  <c r="F20" i="10"/>
  <c r="E20" i="10"/>
  <c r="E118" i="10" s="1"/>
  <c r="F19" i="10"/>
  <c r="E19" i="10"/>
  <c r="F5" i="10"/>
  <c r="F146" i="10" s="1"/>
  <c r="E5" i="10"/>
  <c r="E147" i="10" s="1"/>
  <c r="F4" i="10"/>
  <c r="E4" i="10"/>
  <c r="D3" i="10"/>
  <c r="D177" i="10" s="1"/>
  <c r="AP120" i="9"/>
  <c r="AP122" i="9" s="1"/>
  <c r="AY22" i="9" s="1"/>
  <c r="BD117" i="9"/>
  <c r="BD112" i="9"/>
  <c r="BB112" i="9"/>
  <c r="BD111" i="9"/>
  <c r="BB111" i="9"/>
  <c r="BD110" i="9"/>
  <c r="BB110" i="9"/>
  <c r="BD109" i="9"/>
  <c r="BB109" i="9"/>
  <c r="BD108" i="9"/>
  <c r="BB108" i="9"/>
  <c r="BD106" i="9"/>
  <c r="BB106" i="9"/>
  <c r="BD105" i="9"/>
  <c r="BB105" i="9"/>
  <c r="BD103" i="9"/>
  <c r="BB103" i="9"/>
  <c r="BD102" i="9"/>
  <c r="BB102" i="9"/>
  <c r="BD101" i="9"/>
  <c r="BB101" i="9"/>
  <c r="BD100" i="9"/>
  <c r="BB100" i="9"/>
  <c r="BD98" i="9"/>
  <c r="BB98" i="9"/>
  <c r="BD97" i="9"/>
  <c r="BB97" i="9"/>
  <c r="BD87" i="9"/>
  <c r="BB87" i="9"/>
  <c r="BD86" i="9"/>
  <c r="BB86" i="9"/>
  <c r="BD85" i="9"/>
  <c r="BB85" i="9"/>
  <c r="BD84" i="9"/>
  <c r="BB84" i="9"/>
  <c r="BD83" i="9"/>
  <c r="BB83" i="9"/>
  <c r="BD82" i="9"/>
  <c r="BB82" i="9"/>
  <c r="BD81" i="9"/>
  <c r="BB81" i="9"/>
  <c r="BD80" i="9"/>
  <c r="BB80" i="9"/>
  <c r="BD79" i="9"/>
  <c r="BB79" i="9"/>
  <c r="AI79" i="9"/>
  <c r="BB78" i="9"/>
  <c r="BD76" i="9"/>
  <c r="BB76" i="9"/>
  <c r="BD75" i="9"/>
  <c r="BB75" i="9"/>
  <c r="BD74" i="9"/>
  <c r="BB74" i="9"/>
  <c r="BD73" i="9"/>
  <c r="BB73" i="9"/>
  <c r="BD72" i="9"/>
  <c r="BB72" i="9"/>
  <c r="BD71" i="9"/>
  <c r="BB71" i="9"/>
  <c r="BD70" i="9"/>
  <c r="BB70" i="9"/>
  <c r="BD69" i="9"/>
  <c r="BB69" i="9"/>
  <c r="BD68" i="9"/>
  <c r="BB68" i="9"/>
  <c r="BD67" i="9"/>
  <c r="BB67" i="9"/>
  <c r="BD66" i="9"/>
  <c r="BB66" i="9"/>
  <c r="BD55" i="9"/>
  <c r="BB55" i="9"/>
  <c r="BD54" i="9"/>
  <c r="BB54" i="9"/>
  <c r="BD53" i="9"/>
  <c r="BB53" i="9"/>
  <c r="BD52" i="9"/>
  <c r="BB52" i="9"/>
  <c r="BD51" i="9"/>
  <c r="BB51" i="9"/>
  <c r="BD45" i="9"/>
  <c r="BB45" i="9"/>
  <c r="BD44" i="9"/>
  <c r="BB44" i="9"/>
  <c r="BD41" i="9"/>
  <c r="BB41" i="9"/>
  <c r="BB39" i="9"/>
  <c r="BB38" i="9"/>
  <c r="BD21" i="9"/>
  <c r="BB21" i="9"/>
  <c r="BD20" i="9"/>
  <c r="BD11" i="9"/>
  <c r="BB11" i="9"/>
  <c r="D222" i="8"/>
  <c r="D220" i="8"/>
  <c r="D218" i="8"/>
  <c r="D216" i="8"/>
  <c r="D214" i="8"/>
  <c r="AE1" i="8" s="1"/>
  <c r="D212" i="8"/>
  <c r="C2" i="8" s="1"/>
  <c r="AG210" i="8"/>
  <c r="AF210" i="8"/>
  <c r="AN209" i="8"/>
  <c r="AS208" i="8"/>
  <c r="AQ208" i="8"/>
  <c r="D208" i="8"/>
  <c r="L12" i="27" s="1"/>
  <c r="AQ207" i="8"/>
  <c r="AS207" i="8" s="1"/>
  <c r="AS206" i="8"/>
  <c r="AS205" i="8" s="1"/>
  <c r="AQ206" i="8"/>
  <c r="D206" i="8"/>
  <c r="L10" i="27" s="1"/>
  <c r="D205" i="8"/>
  <c r="L9" i="27" s="1"/>
  <c r="D204" i="8"/>
  <c r="L8" i="27" s="1"/>
  <c r="D203" i="8"/>
  <c r="L7" i="27" s="1"/>
  <c r="AQ202" i="8"/>
  <c r="AS202" i="8" s="1"/>
  <c r="AS201" i="8"/>
  <c r="AQ201" i="8"/>
  <c r="D201" i="8"/>
  <c r="L32" i="26" s="1"/>
  <c r="AQ200" i="8"/>
  <c r="AS200" i="8" s="1"/>
  <c r="AS199" i="8"/>
  <c r="AQ199" i="8"/>
  <c r="X199" i="8"/>
  <c r="AG199" i="8" s="1"/>
  <c r="V199" i="8"/>
  <c r="N199" i="8"/>
  <c r="AF199" i="8" s="1"/>
  <c r="L199" i="8"/>
  <c r="D199" i="8"/>
  <c r="L30" i="26" s="1"/>
  <c r="AS196" i="8"/>
  <c r="AQ196" i="8"/>
  <c r="X196" i="8"/>
  <c r="AG196" i="8" s="1"/>
  <c r="V196" i="8"/>
  <c r="N196" i="8"/>
  <c r="AF196" i="8" s="1"/>
  <c r="L196" i="8"/>
  <c r="D196" i="8"/>
  <c r="L27" i="26" s="1"/>
  <c r="AQ195" i="8"/>
  <c r="AS195" i="8" s="1"/>
  <c r="AS194" i="8"/>
  <c r="AQ194" i="8"/>
  <c r="D194" i="8"/>
  <c r="L25" i="26" s="1"/>
  <c r="D193" i="8"/>
  <c r="L24" i="26" s="1"/>
  <c r="AQ192" i="8"/>
  <c r="AS192" i="8" s="1"/>
  <c r="AS191" i="8"/>
  <c r="AQ191" i="8"/>
  <c r="D191" i="8"/>
  <c r="L22" i="26" s="1"/>
  <c r="AQ190" i="8"/>
  <c r="AS190" i="8" s="1"/>
  <c r="AS189" i="8"/>
  <c r="AQ189" i="8"/>
  <c r="X189" i="8"/>
  <c r="AG189" i="8" s="1"/>
  <c r="V189" i="8"/>
  <c r="N189" i="8"/>
  <c r="AF189" i="8" s="1"/>
  <c r="L189" i="8"/>
  <c r="D189" i="8"/>
  <c r="L20" i="26" s="1"/>
  <c r="AS186" i="8"/>
  <c r="AQ186" i="8"/>
  <c r="X186" i="8"/>
  <c r="AG186" i="8" s="1"/>
  <c r="V186" i="8"/>
  <c r="N186" i="8"/>
  <c r="AF186" i="8" s="1"/>
  <c r="L186" i="8"/>
  <c r="D186" i="8"/>
  <c r="L17" i="26" s="1"/>
  <c r="AQ185" i="8"/>
  <c r="AS185" i="8" s="1"/>
  <c r="V185" i="8"/>
  <c r="X185" i="8" s="1"/>
  <c r="AG185" i="8" s="1"/>
  <c r="L185" i="8"/>
  <c r="N185" i="8" s="1"/>
  <c r="AF185" i="8" s="1"/>
  <c r="D184" i="8"/>
  <c r="L15" i="26" s="1"/>
  <c r="D183" i="8"/>
  <c r="L14" i="26" s="1"/>
  <c r="AQ182" i="8"/>
  <c r="AS182" i="8" s="1"/>
  <c r="V182" i="8"/>
  <c r="X182" i="8" s="1"/>
  <c r="AG182" i="8" s="1"/>
  <c r="L182" i="8"/>
  <c r="N182" i="8" s="1"/>
  <c r="AF182" i="8" s="1"/>
  <c r="AS181" i="8"/>
  <c r="AQ181" i="8"/>
  <c r="X181" i="8"/>
  <c r="AG181" i="8" s="1"/>
  <c r="V181" i="8"/>
  <c r="N181" i="8"/>
  <c r="AF181" i="8" s="1"/>
  <c r="L181" i="8"/>
  <c r="D181" i="8"/>
  <c r="L12" i="26" s="1"/>
  <c r="AS178" i="8"/>
  <c r="AQ178" i="8"/>
  <c r="D178" i="8"/>
  <c r="L9" i="26" s="1"/>
  <c r="D177" i="8"/>
  <c r="L8" i="26" s="1"/>
  <c r="D176" i="8"/>
  <c r="L7" i="26" s="1"/>
  <c r="D175" i="8"/>
  <c r="L33" i="25" s="1"/>
  <c r="AQ174" i="8"/>
  <c r="AS174" i="8" s="1"/>
  <c r="AS173" i="8"/>
  <c r="AQ173" i="8"/>
  <c r="X173" i="8"/>
  <c r="AG173" i="8" s="1"/>
  <c r="V173" i="8"/>
  <c r="N173" i="8"/>
  <c r="AF173" i="8" s="1"/>
  <c r="L173" i="8"/>
  <c r="D173" i="8"/>
  <c r="L31" i="25" s="1"/>
  <c r="AQ172" i="8"/>
  <c r="AS172" i="8" s="1"/>
  <c r="AS171" i="8"/>
  <c r="AQ171" i="8"/>
  <c r="X171" i="8"/>
  <c r="AG171" i="8" s="1"/>
  <c r="V171" i="8"/>
  <c r="N171" i="8"/>
  <c r="BB12" i="9" s="1"/>
  <c r="L171" i="8"/>
  <c r="D171" i="8"/>
  <c r="L29" i="25" s="1"/>
  <c r="AQ170" i="8"/>
  <c r="AS170" i="8" s="1"/>
  <c r="AS169" i="8" s="1"/>
  <c r="AS168" i="8"/>
  <c r="AQ168" i="8"/>
  <c r="D168" i="8"/>
  <c r="L26" i="25" s="1"/>
  <c r="AQ167" i="8"/>
  <c r="AS167" i="8" s="1"/>
  <c r="AS166" i="8"/>
  <c r="AQ166" i="8"/>
  <c r="D166" i="8"/>
  <c r="L24" i="25" s="1"/>
  <c r="AQ165" i="8"/>
  <c r="AS165" i="8" s="1"/>
  <c r="AS164" i="8"/>
  <c r="AQ164" i="8"/>
  <c r="D164" i="8"/>
  <c r="L22" i="25" s="1"/>
  <c r="AQ163" i="8"/>
  <c r="AS162" i="8"/>
  <c r="AQ162" i="8"/>
  <c r="D162" i="8"/>
  <c r="L20" i="25" s="1"/>
  <c r="AQ161" i="8"/>
  <c r="AS161" i="8" s="1"/>
  <c r="V161" i="8"/>
  <c r="X161" i="8" s="1"/>
  <c r="L161" i="8"/>
  <c r="N161" i="8" s="1"/>
  <c r="AS160" i="8"/>
  <c r="AQ160" i="8"/>
  <c r="D160" i="8"/>
  <c r="L18" i="25" s="1"/>
  <c r="AQ159" i="8"/>
  <c r="AS159" i="8" s="1"/>
  <c r="D158" i="8"/>
  <c r="L16" i="25" s="1"/>
  <c r="AQ157" i="8"/>
  <c r="AS157" i="8" s="1"/>
  <c r="AS156" i="8"/>
  <c r="AQ156" i="8"/>
  <c r="D156" i="8"/>
  <c r="L14" i="25" s="1"/>
  <c r="AQ155" i="8"/>
  <c r="AS155" i="8" s="1"/>
  <c r="AS154" i="8"/>
  <c r="AQ154" i="8"/>
  <c r="D154" i="8"/>
  <c r="L12" i="25" s="1"/>
  <c r="AQ153" i="8"/>
  <c r="AS153" i="8" s="1"/>
  <c r="AS152" i="8"/>
  <c r="AQ152" i="8"/>
  <c r="D152" i="8"/>
  <c r="L10" i="25" s="1"/>
  <c r="AQ151" i="8"/>
  <c r="AS151" i="8" s="1"/>
  <c r="D150" i="8"/>
  <c r="L8" i="25" s="1"/>
  <c r="AG148" i="8"/>
  <c r="AF148" i="8"/>
  <c r="N148" i="8"/>
  <c r="AE147" i="8"/>
  <c r="AD147" i="8"/>
  <c r="D147" i="8"/>
  <c r="L33" i="24" s="1"/>
  <c r="AN146" i="8"/>
  <c r="AS146" i="8" s="1"/>
  <c r="AL146" i="8"/>
  <c r="AE146" i="8"/>
  <c r="AD146" i="8"/>
  <c r="Q146" i="8"/>
  <c r="S146" i="8" s="1"/>
  <c r="X146" i="8" s="1"/>
  <c r="I146" i="8"/>
  <c r="N146" i="8" s="1"/>
  <c r="AB146" i="8" s="1"/>
  <c r="AF146" i="8" s="1"/>
  <c r="G146" i="8"/>
  <c r="D146" i="8"/>
  <c r="L32" i="24" s="1"/>
  <c r="AE145" i="8"/>
  <c r="AD145" i="8"/>
  <c r="D145" i="8"/>
  <c r="L31" i="24" s="1"/>
  <c r="AN144" i="8"/>
  <c r="AS144" i="8" s="1"/>
  <c r="AL144" i="8"/>
  <c r="AE144" i="8"/>
  <c r="AD144" i="8"/>
  <c r="Q144" i="8"/>
  <c r="S144" i="8" s="1"/>
  <c r="X144" i="8" s="1"/>
  <c r="I144" i="8"/>
  <c r="N144" i="8" s="1"/>
  <c r="G144" i="8"/>
  <c r="D144" i="8"/>
  <c r="L30" i="24" s="1"/>
  <c r="AN143" i="8"/>
  <c r="AE143" i="8"/>
  <c r="AD143" i="8"/>
  <c r="S143" i="8"/>
  <c r="I143" i="8"/>
  <c r="AE142" i="8"/>
  <c r="AD142" i="8"/>
  <c r="D142" i="8"/>
  <c r="L28" i="24" s="1"/>
  <c r="AE141" i="8"/>
  <c r="AD141" i="8"/>
  <c r="AE140" i="8"/>
  <c r="AD140" i="8"/>
  <c r="AE139" i="8"/>
  <c r="AD139" i="8"/>
  <c r="AN138" i="8"/>
  <c r="AE138" i="8"/>
  <c r="AD138" i="8"/>
  <c r="S138" i="8"/>
  <c r="I138" i="8"/>
  <c r="D138" i="8"/>
  <c r="L24" i="24" s="1"/>
  <c r="AE137" i="8"/>
  <c r="AD137" i="8"/>
  <c r="AE136" i="8"/>
  <c r="AD136" i="8"/>
  <c r="AE135" i="8"/>
  <c r="AD135" i="8"/>
  <c r="AE134" i="8"/>
  <c r="AD134" i="8"/>
  <c r="AL133" i="8"/>
  <c r="AE133" i="8"/>
  <c r="AD133" i="8"/>
  <c r="Q133" i="8"/>
  <c r="G133" i="8"/>
  <c r="D133" i="8"/>
  <c r="L19" i="24" s="1"/>
  <c r="AE132" i="8"/>
  <c r="AD132" i="8"/>
  <c r="AL131" i="8"/>
  <c r="AK131" i="8"/>
  <c r="AN131" i="8" s="1"/>
  <c r="AS131" i="8" s="1"/>
  <c r="AE131" i="8"/>
  <c r="AD131" i="8"/>
  <c r="Q131" i="8"/>
  <c r="P131" i="8"/>
  <c r="G131" i="8"/>
  <c r="F131" i="8"/>
  <c r="I131" i="8" s="1"/>
  <c r="N131" i="8" s="1"/>
  <c r="AB131" i="8" s="1"/>
  <c r="AF131" i="8" s="1"/>
  <c r="D131" i="8"/>
  <c r="L17" i="24" s="1"/>
  <c r="AE130" i="8"/>
  <c r="AD130" i="8"/>
  <c r="AE129" i="8"/>
  <c r="AD129" i="8"/>
  <c r="AL128" i="8"/>
  <c r="AN128" i="8" s="1"/>
  <c r="AS128" i="8" s="1"/>
  <c r="AE128" i="8"/>
  <c r="AD128" i="8"/>
  <c r="S128" i="8"/>
  <c r="X128" i="8" s="1"/>
  <c r="AC128" i="8" s="1"/>
  <c r="AG128" i="8" s="1"/>
  <c r="Q128" i="8"/>
  <c r="G128" i="8"/>
  <c r="I128" i="8" s="1"/>
  <c r="N128" i="8" s="1"/>
  <c r="AB128" i="8" s="1"/>
  <c r="AF128" i="8" s="1"/>
  <c r="AL127" i="8"/>
  <c r="AN127" i="8" s="1"/>
  <c r="AS127" i="8" s="1"/>
  <c r="AE127" i="8"/>
  <c r="AD127" i="8"/>
  <c r="S127" i="8"/>
  <c r="X127" i="8" s="1"/>
  <c r="AC127" i="8" s="1"/>
  <c r="AG127" i="8" s="1"/>
  <c r="Q127" i="8"/>
  <c r="G127" i="8"/>
  <c r="I127" i="8" s="1"/>
  <c r="N127" i="8" s="1"/>
  <c r="AB127" i="8" s="1"/>
  <c r="AF127" i="8" s="1"/>
  <c r="AE126" i="8"/>
  <c r="AD126" i="8"/>
  <c r="AN125" i="8"/>
  <c r="AE125" i="8"/>
  <c r="AD125" i="8"/>
  <c r="S125" i="8"/>
  <c r="I125" i="8"/>
  <c r="D125" i="8"/>
  <c r="L11" i="24" s="1"/>
  <c r="AN124" i="8"/>
  <c r="AE124" i="8"/>
  <c r="AD124" i="8"/>
  <c r="S124" i="8"/>
  <c r="I124" i="8"/>
  <c r="AS123" i="8"/>
  <c r="AL123" i="8"/>
  <c r="AN123" i="8" s="1"/>
  <c r="AE123" i="8"/>
  <c r="AD123" i="8"/>
  <c r="S123" i="8"/>
  <c r="X123" i="8" s="1"/>
  <c r="Q123" i="8"/>
  <c r="N123" i="8"/>
  <c r="C50" i="10" s="1"/>
  <c r="G123" i="8"/>
  <c r="I123" i="8" s="1"/>
  <c r="AS122" i="8"/>
  <c r="AL122" i="8"/>
  <c r="AN122" i="8" s="1"/>
  <c r="AE122" i="8"/>
  <c r="AD122" i="8"/>
  <c r="S122" i="8"/>
  <c r="X122" i="8" s="1"/>
  <c r="AC122" i="8" s="1"/>
  <c r="AG122" i="8" s="1"/>
  <c r="Q122" i="8"/>
  <c r="N122" i="8"/>
  <c r="AB122" i="8" s="1"/>
  <c r="AF122" i="8" s="1"/>
  <c r="G122" i="8"/>
  <c r="I122" i="8" s="1"/>
  <c r="AS121" i="8"/>
  <c r="AL121" i="8"/>
  <c r="AN121" i="8" s="1"/>
  <c r="AE121" i="8"/>
  <c r="AD121" i="8"/>
  <c r="S121" i="8"/>
  <c r="X121" i="8" s="1"/>
  <c r="AC121" i="8" s="1"/>
  <c r="AG121" i="8" s="1"/>
  <c r="Q121" i="8"/>
  <c r="N121" i="8"/>
  <c r="AB121" i="8" s="1"/>
  <c r="AF121" i="8" s="1"/>
  <c r="G121" i="8"/>
  <c r="I121" i="8" s="1"/>
  <c r="AS120" i="8"/>
  <c r="AN120" i="8"/>
  <c r="AE120" i="8"/>
  <c r="AD120" i="8"/>
  <c r="X120" i="8"/>
  <c r="S120" i="8"/>
  <c r="N120" i="8"/>
  <c r="I120" i="8"/>
  <c r="D120" i="8"/>
  <c r="L6" i="24" s="1"/>
  <c r="AE119" i="8"/>
  <c r="AD119" i="8"/>
  <c r="D119" i="8"/>
  <c r="L33" i="23" s="1"/>
  <c r="AN118" i="8"/>
  <c r="AS118" i="8" s="1"/>
  <c r="AL118" i="8"/>
  <c r="AE118" i="8"/>
  <c r="AD118" i="8"/>
  <c r="X118" i="8"/>
  <c r="AC118" i="8" s="1"/>
  <c r="AG118" i="8" s="1"/>
  <c r="Q118" i="8"/>
  <c r="S118" i="8" s="1"/>
  <c r="D118" i="8"/>
  <c r="L32" i="23" s="1"/>
  <c r="AN117" i="8"/>
  <c r="AS117" i="8" s="1"/>
  <c r="AL117" i="8"/>
  <c r="AE117" i="8"/>
  <c r="AD117" i="8"/>
  <c r="X117" i="8"/>
  <c r="AC117" i="8" s="1"/>
  <c r="AG117" i="8" s="1"/>
  <c r="Q117" i="8"/>
  <c r="S117" i="8" s="1"/>
  <c r="I117" i="8"/>
  <c r="N117" i="8" s="1"/>
  <c r="AB117" i="8" s="1"/>
  <c r="AF117" i="8" s="1"/>
  <c r="G117" i="8"/>
  <c r="D117" i="8"/>
  <c r="L31" i="23" s="1"/>
  <c r="AE116" i="8"/>
  <c r="AD116" i="8"/>
  <c r="D116" i="8"/>
  <c r="L30" i="23" s="1"/>
  <c r="AN115" i="8"/>
  <c r="AS115" i="8" s="1"/>
  <c r="AL115" i="8"/>
  <c r="AE115" i="8"/>
  <c r="AD115" i="8"/>
  <c r="X115" i="8"/>
  <c r="AC115" i="8" s="1"/>
  <c r="AG115" i="8" s="1"/>
  <c r="Q115" i="8"/>
  <c r="S115" i="8" s="1"/>
  <c r="I115" i="8"/>
  <c r="N115" i="8" s="1"/>
  <c r="AB115" i="8" s="1"/>
  <c r="AF115" i="8" s="1"/>
  <c r="G115" i="8"/>
  <c r="D115" i="8"/>
  <c r="L29" i="23" s="1"/>
  <c r="AN114" i="8"/>
  <c r="AS114" i="8" s="1"/>
  <c r="AL114" i="8"/>
  <c r="AE114" i="8"/>
  <c r="AD114" i="8"/>
  <c r="Q114" i="8"/>
  <c r="S114" i="8" s="1"/>
  <c r="X114" i="8" s="1"/>
  <c r="AC114" i="8" s="1"/>
  <c r="AG114" i="8" s="1"/>
  <c r="I114" i="8"/>
  <c r="N114" i="8" s="1"/>
  <c r="AB114" i="8" s="1"/>
  <c r="AF114" i="8" s="1"/>
  <c r="G114" i="8"/>
  <c r="D114" i="8"/>
  <c r="L28" i="23" s="1"/>
  <c r="AN113" i="8"/>
  <c r="AS113" i="8" s="1"/>
  <c r="AL113" i="8"/>
  <c r="AE113" i="8"/>
  <c r="AD113" i="8"/>
  <c r="X113" i="8"/>
  <c r="AC113" i="8" s="1"/>
  <c r="AG113" i="8" s="1"/>
  <c r="Q113" i="8"/>
  <c r="S113" i="8" s="1"/>
  <c r="I113" i="8"/>
  <c r="N113" i="8" s="1"/>
  <c r="AB113" i="8" s="1"/>
  <c r="AF113" i="8" s="1"/>
  <c r="G113" i="8"/>
  <c r="D113" i="8"/>
  <c r="L27" i="23" s="1"/>
  <c r="AN112" i="8"/>
  <c r="AS112" i="8" s="1"/>
  <c r="AL112" i="8"/>
  <c r="AE112" i="8"/>
  <c r="AD112" i="8"/>
  <c r="Q112" i="8"/>
  <c r="S112" i="8" s="1"/>
  <c r="X112" i="8" s="1"/>
  <c r="AC112" i="8" s="1"/>
  <c r="AG112" i="8" s="1"/>
  <c r="I112" i="8"/>
  <c r="N112" i="8" s="1"/>
  <c r="AB112" i="8" s="1"/>
  <c r="AF112" i="8" s="1"/>
  <c r="G112" i="8"/>
  <c r="D112" i="8"/>
  <c r="L26" i="23" s="1"/>
  <c r="AN111" i="8"/>
  <c r="AS111" i="8" s="1"/>
  <c r="AL111" i="8"/>
  <c r="AE111" i="8"/>
  <c r="AD111" i="8"/>
  <c r="X111" i="8"/>
  <c r="AC111" i="8" s="1"/>
  <c r="AG111" i="8" s="1"/>
  <c r="Q111" i="8"/>
  <c r="S111" i="8" s="1"/>
  <c r="I111" i="8"/>
  <c r="N111" i="8" s="1"/>
  <c r="AB111" i="8" s="1"/>
  <c r="AF111" i="8" s="1"/>
  <c r="G111" i="8"/>
  <c r="D111" i="8"/>
  <c r="L25" i="23" s="1"/>
  <c r="AN110" i="8"/>
  <c r="AS110" i="8" s="1"/>
  <c r="AL110" i="8"/>
  <c r="AE110" i="8"/>
  <c r="AD110" i="8"/>
  <c r="Q110" i="8"/>
  <c r="S110" i="8" s="1"/>
  <c r="X110" i="8" s="1"/>
  <c r="AC110" i="8" s="1"/>
  <c r="AG110" i="8" s="1"/>
  <c r="I110" i="8"/>
  <c r="N110" i="8" s="1"/>
  <c r="AB110" i="8" s="1"/>
  <c r="AF110" i="8" s="1"/>
  <c r="G110" i="8"/>
  <c r="D110" i="8"/>
  <c r="L24" i="23" s="1"/>
  <c r="AN109" i="8"/>
  <c r="AS109" i="8" s="1"/>
  <c r="AL109" i="8"/>
  <c r="AE109" i="8"/>
  <c r="AD109" i="8"/>
  <c r="X109" i="8"/>
  <c r="AC109" i="8" s="1"/>
  <c r="AG109" i="8" s="1"/>
  <c r="Q109" i="8"/>
  <c r="S109" i="8" s="1"/>
  <c r="I109" i="8"/>
  <c r="N109" i="8" s="1"/>
  <c r="AB109" i="8" s="1"/>
  <c r="AF109" i="8" s="1"/>
  <c r="G109" i="8"/>
  <c r="D109" i="8"/>
  <c r="L23" i="23" s="1"/>
  <c r="AN108" i="8"/>
  <c r="AS108" i="8" s="1"/>
  <c r="AL108" i="8"/>
  <c r="AE108" i="8"/>
  <c r="AD108" i="8"/>
  <c r="Q108" i="8"/>
  <c r="S108" i="8" s="1"/>
  <c r="X108" i="8" s="1"/>
  <c r="AC108" i="8" s="1"/>
  <c r="AG108" i="8" s="1"/>
  <c r="I108" i="8"/>
  <c r="N108" i="8" s="1"/>
  <c r="AB108" i="8" s="1"/>
  <c r="AF108" i="8" s="1"/>
  <c r="G108" i="8"/>
  <c r="D108" i="8"/>
  <c r="L22" i="23" s="1"/>
  <c r="AN107" i="8"/>
  <c r="AS107" i="8" s="1"/>
  <c r="AL107" i="8"/>
  <c r="AE107" i="8"/>
  <c r="AD107" i="8"/>
  <c r="X107" i="8"/>
  <c r="AC107" i="8" s="1"/>
  <c r="AG107" i="8" s="1"/>
  <c r="Q107" i="8"/>
  <c r="S107" i="8" s="1"/>
  <c r="I107" i="8"/>
  <c r="N107" i="8" s="1"/>
  <c r="AB107" i="8" s="1"/>
  <c r="AF107" i="8" s="1"/>
  <c r="G107" i="8"/>
  <c r="D107" i="8"/>
  <c r="L21" i="23" s="1"/>
  <c r="AN106" i="8"/>
  <c r="AS106" i="8" s="1"/>
  <c r="AL106" i="8"/>
  <c r="AE106" i="8"/>
  <c r="AD106" i="8"/>
  <c r="Q106" i="8"/>
  <c r="S106" i="8" s="1"/>
  <c r="X106" i="8" s="1"/>
  <c r="I106" i="8"/>
  <c r="N106" i="8" s="1"/>
  <c r="G106" i="8"/>
  <c r="D106" i="8"/>
  <c r="L20" i="23" s="1"/>
  <c r="AN105" i="8"/>
  <c r="AE105" i="8"/>
  <c r="AD105" i="8"/>
  <c r="S105" i="8"/>
  <c r="I105" i="8"/>
  <c r="AN104" i="8"/>
  <c r="AE104" i="8"/>
  <c r="AD104" i="8"/>
  <c r="S104" i="8"/>
  <c r="I104" i="8"/>
  <c r="D104" i="8"/>
  <c r="L18" i="23" s="1"/>
  <c r="AN103" i="8"/>
  <c r="AE103" i="8"/>
  <c r="AD103" i="8"/>
  <c r="S103" i="8"/>
  <c r="I103" i="8"/>
  <c r="AN102" i="8"/>
  <c r="AE102" i="8"/>
  <c r="AD102" i="8"/>
  <c r="S102" i="8"/>
  <c r="I102" i="8"/>
  <c r="D102" i="8"/>
  <c r="L16" i="23" s="1"/>
  <c r="AE101" i="8"/>
  <c r="AD101" i="8"/>
  <c r="D101" i="8"/>
  <c r="L15" i="23" s="1"/>
  <c r="AE100" i="8"/>
  <c r="AD100" i="8"/>
  <c r="D100" i="8"/>
  <c r="L14" i="23" s="1"/>
  <c r="AN99" i="8"/>
  <c r="AE99" i="8"/>
  <c r="AD99" i="8"/>
  <c r="S99" i="8"/>
  <c r="I99" i="8"/>
  <c r="AE98" i="8"/>
  <c r="AD98" i="8"/>
  <c r="AS97" i="8"/>
  <c r="AK97" i="8"/>
  <c r="AN97" i="8" s="1"/>
  <c r="AE97" i="8"/>
  <c r="AD97" i="8"/>
  <c r="AE96" i="8"/>
  <c r="AD96" i="8"/>
  <c r="AN95" i="8"/>
  <c r="AE95" i="8"/>
  <c r="AD95" i="8"/>
  <c r="S95" i="8"/>
  <c r="I95" i="8"/>
  <c r="D95" i="8"/>
  <c r="L9" i="23" s="1"/>
  <c r="AE94" i="8"/>
  <c r="AD94" i="8"/>
  <c r="D94" i="8"/>
  <c r="L8" i="23" s="1"/>
  <c r="AE93" i="8"/>
  <c r="AD93" i="8"/>
  <c r="D93" i="8"/>
  <c r="L7" i="23" s="1"/>
  <c r="AN92" i="8"/>
  <c r="AE92" i="8"/>
  <c r="AD92" i="8"/>
  <c r="S92" i="8"/>
  <c r="I92" i="8"/>
  <c r="AS91" i="8"/>
  <c r="AL91" i="8"/>
  <c r="AN91" i="8" s="1"/>
  <c r="AE91" i="8"/>
  <c r="AD91" i="8"/>
  <c r="S91" i="8"/>
  <c r="X91" i="8" s="1"/>
  <c r="AC91" i="8" s="1"/>
  <c r="AG91" i="8" s="1"/>
  <c r="Q91" i="8"/>
  <c r="N91" i="8"/>
  <c r="AB91" i="8" s="1"/>
  <c r="AF91" i="8" s="1"/>
  <c r="G91" i="8"/>
  <c r="I91" i="8" s="1"/>
  <c r="AE90" i="8"/>
  <c r="AD90" i="8"/>
  <c r="D90" i="8"/>
  <c r="L34" i="22" s="1"/>
  <c r="AN89" i="8"/>
  <c r="AE89" i="8"/>
  <c r="AD89" i="8"/>
  <c r="S89" i="8"/>
  <c r="I89" i="8"/>
  <c r="AE88" i="8"/>
  <c r="AD88" i="8"/>
  <c r="AE87" i="8"/>
  <c r="AD87" i="8"/>
  <c r="AE86" i="8"/>
  <c r="AD86" i="8"/>
  <c r="AK85" i="8"/>
  <c r="AN85" i="8" s="1"/>
  <c r="AS85" i="8" s="1"/>
  <c r="AE85" i="8"/>
  <c r="AD85" i="8"/>
  <c r="AE84" i="8"/>
  <c r="AD84" i="8"/>
  <c r="AE83" i="8"/>
  <c r="AD83" i="8"/>
  <c r="AE82" i="8"/>
  <c r="AD82" i="8"/>
  <c r="AR81" i="8"/>
  <c r="AP81" i="8"/>
  <c r="AP76" i="8" s="1"/>
  <c r="AN81" i="8"/>
  <c r="AA81" i="8"/>
  <c r="AE81" i="8" s="1"/>
  <c r="W81" i="8"/>
  <c r="U81" i="8"/>
  <c r="S81" i="8"/>
  <c r="M81" i="8"/>
  <c r="K81" i="8"/>
  <c r="I81" i="8"/>
  <c r="Z81" i="8" s="1"/>
  <c r="AD81" i="8" s="1"/>
  <c r="D81" i="8"/>
  <c r="L25" i="22" s="1"/>
  <c r="AR80" i="8"/>
  <c r="AP80" i="8"/>
  <c r="AA80" i="8"/>
  <c r="AE80" i="8" s="1"/>
  <c r="W80" i="8"/>
  <c r="U80" i="8"/>
  <c r="M80" i="8"/>
  <c r="K80" i="8"/>
  <c r="D80" i="8"/>
  <c r="L21" i="22" s="1"/>
  <c r="AR79" i="8"/>
  <c r="AP79" i="8"/>
  <c r="AN79" i="8"/>
  <c r="AS79" i="8" s="1"/>
  <c r="AL79" i="8"/>
  <c r="AA79" i="8"/>
  <c r="AE79" i="8" s="1"/>
  <c r="W79" i="8"/>
  <c r="U79" i="8"/>
  <c r="Q79" i="8"/>
  <c r="S79" i="8" s="1"/>
  <c r="X79" i="8" s="1"/>
  <c r="M79" i="8"/>
  <c r="K79" i="8"/>
  <c r="I79" i="8"/>
  <c r="G79" i="8"/>
  <c r="D79" i="8"/>
  <c r="L19" i="22" s="1"/>
  <c r="AR78" i="8"/>
  <c r="AP78" i="8"/>
  <c r="AA78" i="8"/>
  <c r="AE78" i="8" s="1"/>
  <c r="W78" i="8"/>
  <c r="U78" i="8"/>
  <c r="M78" i="8"/>
  <c r="K78" i="8"/>
  <c r="D78" i="8"/>
  <c r="L17" i="22" s="1"/>
  <c r="AR77" i="8"/>
  <c r="AP77" i="8"/>
  <c r="AN77" i="8"/>
  <c r="AS77" i="8" s="1"/>
  <c r="AL77" i="8"/>
  <c r="AA77" i="8"/>
  <c r="AE77" i="8" s="1"/>
  <c r="W77" i="8"/>
  <c r="U77" i="8"/>
  <c r="U76" i="8" s="1"/>
  <c r="Q77" i="8"/>
  <c r="S77" i="8" s="1"/>
  <c r="X77" i="8" s="1"/>
  <c r="M77" i="8"/>
  <c r="K77" i="8"/>
  <c r="I77" i="8"/>
  <c r="G77" i="8"/>
  <c r="D77" i="8"/>
  <c r="L15" i="22" s="1"/>
  <c r="AR76" i="8"/>
  <c r="W76" i="8"/>
  <c r="M76" i="8"/>
  <c r="K76" i="8"/>
  <c r="AR75" i="8"/>
  <c r="AP75" i="8"/>
  <c r="AP73" i="8" s="1"/>
  <c r="AA75" i="8"/>
  <c r="AE75" i="8" s="1"/>
  <c r="W75" i="8"/>
  <c r="U75" i="8"/>
  <c r="M75" i="8"/>
  <c r="K75" i="8"/>
  <c r="K73" i="8" s="1"/>
  <c r="D75" i="8"/>
  <c r="L11" i="22" s="1"/>
  <c r="AR74" i="8"/>
  <c r="AR73" i="8" s="1"/>
  <c r="AP74" i="8"/>
  <c r="AA74" i="8"/>
  <c r="AE74" i="8" s="1"/>
  <c r="W74" i="8"/>
  <c r="U74" i="8"/>
  <c r="U73" i="8" s="1"/>
  <c r="M74" i="8"/>
  <c r="K74" i="8"/>
  <c r="D74" i="8"/>
  <c r="L9" i="22" s="1"/>
  <c r="W73" i="8"/>
  <c r="M73" i="8"/>
  <c r="AQ72" i="8"/>
  <c r="AR72" i="8" s="1"/>
  <c r="AP72" i="8"/>
  <c r="AL72" i="8"/>
  <c r="AK72" i="8"/>
  <c r="AN72" i="8" s="1"/>
  <c r="AS72" i="8" s="1"/>
  <c r="W72" i="8"/>
  <c r="V72" i="8"/>
  <c r="U72" i="8"/>
  <c r="Q72" i="8"/>
  <c r="L72" i="8"/>
  <c r="M72" i="8" s="1"/>
  <c r="K72" i="8"/>
  <c r="G72" i="8"/>
  <c r="AR71" i="8"/>
  <c r="AP71" i="8"/>
  <c r="W71" i="8"/>
  <c r="U71" i="8"/>
  <c r="M71" i="8"/>
  <c r="K71" i="8"/>
  <c r="AA71" i="8" s="1"/>
  <c r="AE71" i="8" s="1"/>
  <c r="AS70" i="8"/>
  <c r="AQ70" i="8"/>
  <c r="AR70" i="8" s="1"/>
  <c r="AP70" i="8"/>
  <c r="AN70" i="8"/>
  <c r="AL70" i="8"/>
  <c r="AA70" i="8"/>
  <c r="AE70" i="8" s="1"/>
  <c r="V70" i="8"/>
  <c r="W70" i="8" s="1"/>
  <c r="U70" i="8"/>
  <c r="S70" i="8"/>
  <c r="X70" i="8" s="1"/>
  <c r="AC70" i="8" s="1"/>
  <c r="AG70" i="8" s="1"/>
  <c r="Q70" i="8"/>
  <c r="N70" i="8"/>
  <c r="AB70" i="8" s="1"/>
  <c r="AF70" i="8" s="1"/>
  <c r="L70" i="8"/>
  <c r="M70" i="8" s="1"/>
  <c r="K70" i="8"/>
  <c r="I70" i="8"/>
  <c r="Z70" i="8" s="1"/>
  <c r="AD70" i="8" s="1"/>
  <c r="G70" i="8"/>
  <c r="D70" i="8"/>
  <c r="L29" i="21" s="1"/>
  <c r="AP69" i="8"/>
  <c r="U69" i="8"/>
  <c r="K69" i="8"/>
  <c r="AP68" i="8"/>
  <c r="U68" i="8"/>
  <c r="K68" i="8"/>
  <c r="D68" i="8"/>
  <c r="L25" i="21" s="1"/>
  <c r="AR67" i="8"/>
  <c r="AQ67" i="8"/>
  <c r="AP67" i="8"/>
  <c r="W67" i="8"/>
  <c r="V67" i="8"/>
  <c r="U67" i="8"/>
  <c r="M67" i="8"/>
  <c r="L67" i="8"/>
  <c r="K67" i="8"/>
  <c r="AA67" i="8" s="1"/>
  <c r="AE67" i="8" s="1"/>
  <c r="AR66" i="8"/>
  <c r="AP66" i="8"/>
  <c r="W66" i="8"/>
  <c r="U66" i="8"/>
  <c r="M66" i="8"/>
  <c r="K66" i="8"/>
  <c r="AA66" i="8" s="1"/>
  <c r="AE66" i="8" s="1"/>
  <c r="AQ65" i="8"/>
  <c r="AR65" i="8" s="1"/>
  <c r="AP65" i="8"/>
  <c r="V65" i="8"/>
  <c r="W65" i="8" s="1"/>
  <c r="U65" i="8"/>
  <c r="L65" i="8"/>
  <c r="M65" i="8" s="1"/>
  <c r="AA65" i="8" s="1"/>
  <c r="AE65" i="8" s="1"/>
  <c r="K65" i="8"/>
  <c r="D65" i="8"/>
  <c r="L19" i="21" s="1"/>
  <c r="AR64" i="8"/>
  <c r="AQ64" i="8"/>
  <c r="AP64" i="8"/>
  <c r="W64" i="8"/>
  <c r="V64" i="8"/>
  <c r="U64" i="8"/>
  <c r="M64" i="8"/>
  <c r="L64" i="8"/>
  <c r="K64" i="8"/>
  <c r="AA64" i="8" s="1"/>
  <c r="AE64" i="8" s="1"/>
  <c r="AQ63" i="8"/>
  <c r="AR63" i="8" s="1"/>
  <c r="AP63" i="8"/>
  <c r="V63" i="8"/>
  <c r="W63" i="8" s="1"/>
  <c r="U63" i="8"/>
  <c r="L63" i="8"/>
  <c r="M63" i="8" s="1"/>
  <c r="AA63" i="8" s="1"/>
  <c r="AE63" i="8" s="1"/>
  <c r="K63" i="8"/>
  <c r="D63" i="8"/>
  <c r="L15" i="21" s="1"/>
  <c r="AR62" i="8"/>
  <c r="AQ62" i="8"/>
  <c r="AP62" i="8"/>
  <c r="AL62" i="8"/>
  <c r="AN62" i="8" s="1"/>
  <c r="AS62" i="8" s="1"/>
  <c r="W62" i="8"/>
  <c r="V62" i="8"/>
  <c r="U62" i="8"/>
  <c r="Q62" i="8"/>
  <c r="S62" i="8" s="1"/>
  <c r="X62" i="8" s="1"/>
  <c r="AC62" i="8" s="1"/>
  <c r="AG62" i="8" s="1"/>
  <c r="M62" i="8"/>
  <c r="L62" i="8"/>
  <c r="K62" i="8"/>
  <c r="AA62" i="8" s="1"/>
  <c r="AE62" i="8" s="1"/>
  <c r="G62" i="8"/>
  <c r="I62" i="8" s="1"/>
  <c r="N62" i="8" s="1"/>
  <c r="AB62" i="8" s="1"/>
  <c r="AF62" i="8" s="1"/>
  <c r="AQ61" i="8"/>
  <c r="AR61" i="8" s="1"/>
  <c r="AP61" i="8"/>
  <c r="V61" i="8"/>
  <c r="W61" i="8" s="1"/>
  <c r="U61" i="8"/>
  <c r="L61" i="8"/>
  <c r="M61" i="8" s="1"/>
  <c r="AA61" i="8" s="1"/>
  <c r="AE61" i="8" s="1"/>
  <c r="K61" i="8"/>
  <c r="D61" i="8"/>
  <c r="L11" i="21" s="1"/>
  <c r="AR60" i="8"/>
  <c r="AP60" i="8"/>
  <c r="AA60" i="8"/>
  <c r="AE60" i="8" s="1"/>
  <c r="W60" i="8"/>
  <c r="U60" i="8"/>
  <c r="M60" i="8"/>
  <c r="K60" i="8"/>
  <c r="D60" i="8"/>
  <c r="L9" i="21" s="1"/>
  <c r="AR59" i="8"/>
  <c r="AQ59" i="8"/>
  <c r="AP59" i="8"/>
  <c r="AL59" i="8"/>
  <c r="AN59" i="8" s="1"/>
  <c r="AS59" i="8" s="1"/>
  <c r="W59" i="8"/>
  <c r="V59" i="8"/>
  <c r="U59" i="8"/>
  <c r="Q59" i="8"/>
  <c r="S59" i="8" s="1"/>
  <c r="X59" i="8" s="1"/>
  <c r="AC59" i="8" s="1"/>
  <c r="AG59" i="8" s="1"/>
  <c r="M59" i="8"/>
  <c r="L59" i="8"/>
  <c r="K59" i="8"/>
  <c r="AA59" i="8" s="1"/>
  <c r="AE59" i="8" s="1"/>
  <c r="G59" i="8"/>
  <c r="I59" i="8" s="1"/>
  <c r="N59" i="8" s="1"/>
  <c r="AB59" i="8" s="1"/>
  <c r="AF59" i="8" s="1"/>
  <c r="AQ58" i="8"/>
  <c r="AR58" i="8" s="1"/>
  <c r="AP58" i="8"/>
  <c r="AN58" i="8"/>
  <c r="AS58" i="8" s="1"/>
  <c r="AL58" i="8"/>
  <c r="X58" i="8"/>
  <c r="AC58" i="8" s="1"/>
  <c r="AG58" i="8" s="1"/>
  <c r="V58" i="8"/>
  <c r="W58" i="8" s="1"/>
  <c r="U58" i="8"/>
  <c r="S58" i="8"/>
  <c r="Q58" i="8"/>
  <c r="L58" i="8"/>
  <c r="M58" i="8" s="1"/>
  <c r="AA58" i="8" s="1"/>
  <c r="AE58" i="8" s="1"/>
  <c r="K58" i="8"/>
  <c r="I58" i="8"/>
  <c r="Z58" i="8" s="1"/>
  <c r="AD58" i="8" s="1"/>
  <c r="G58" i="8"/>
  <c r="D58" i="8"/>
  <c r="L33" i="20" s="1"/>
  <c r="AR57" i="8"/>
  <c r="AQ57" i="8"/>
  <c r="AP57" i="8"/>
  <c r="U57" i="8"/>
  <c r="K57" i="8"/>
  <c r="AP56" i="8"/>
  <c r="AP55" i="8" s="1"/>
  <c r="U56" i="8"/>
  <c r="U55" i="8" s="1"/>
  <c r="K56" i="8"/>
  <c r="K55" i="8" s="1"/>
  <c r="D56" i="8"/>
  <c r="L29" i="20" s="1"/>
  <c r="AR54" i="8"/>
  <c r="AP54" i="8"/>
  <c r="W54" i="8"/>
  <c r="U54" i="8"/>
  <c r="M54" i="8"/>
  <c r="K54" i="8"/>
  <c r="AA54" i="8" s="1"/>
  <c r="AE54" i="8" s="1"/>
  <c r="AQ53" i="8"/>
  <c r="AR53" i="8" s="1"/>
  <c r="AP53" i="8"/>
  <c r="AN53" i="8"/>
  <c r="AS53" i="8" s="1"/>
  <c r="AL53" i="8"/>
  <c r="X53" i="8"/>
  <c r="AC53" i="8" s="1"/>
  <c r="AG53" i="8" s="1"/>
  <c r="V53" i="8"/>
  <c r="W53" i="8" s="1"/>
  <c r="U53" i="8"/>
  <c r="S53" i="8"/>
  <c r="Q53" i="8"/>
  <c r="L53" i="8"/>
  <c r="M53" i="8" s="1"/>
  <c r="AA53" i="8" s="1"/>
  <c r="AE53" i="8" s="1"/>
  <c r="K53" i="8"/>
  <c r="I53" i="8"/>
  <c r="Z53" i="8" s="1"/>
  <c r="AD53" i="8" s="1"/>
  <c r="G53" i="8"/>
  <c r="D53" i="8"/>
  <c r="L23" i="20" s="1"/>
  <c r="AR52" i="8"/>
  <c r="AP52" i="8"/>
  <c r="AN52" i="8"/>
  <c r="AS52" i="8" s="1"/>
  <c r="AL52" i="8"/>
  <c r="AA52" i="8"/>
  <c r="AE52" i="8" s="1"/>
  <c r="W52" i="8"/>
  <c r="U52" i="8"/>
  <c r="Q52" i="8"/>
  <c r="S52" i="8" s="1"/>
  <c r="X52" i="8" s="1"/>
  <c r="AC52" i="8" s="1"/>
  <c r="AG52" i="8" s="1"/>
  <c r="M52" i="8"/>
  <c r="K52" i="8"/>
  <c r="I52" i="8"/>
  <c r="G52" i="8"/>
  <c r="D52" i="8"/>
  <c r="L21" i="20" s="1"/>
  <c r="AR51" i="8"/>
  <c r="AQ51" i="8"/>
  <c r="AP51" i="8"/>
  <c r="AL51" i="8"/>
  <c r="AN51" i="8" s="1"/>
  <c r="W51" i="8"/>
  <c r="V51" i="8"/>
  <c r="U51" i="8"/>
  <c r="Q51" i="8"/>
  <c r="S51" i="8" s="1"/>
  <c r="M51" i="8"/>
  <c r="L51" i="8"/>
  <c r="K51" i="8"/>
  <c r="AA51" i="8" s="1"/>
  <c r="AE51" i="8" s="1"/>
  <c r="G51" i="8"/>
  <c r="I51" i="8" s="1"/>
  <c r="AS50" i="8"/>
  <c r="AQ50" i="8"/>
  <c r="AR50" i="8" s="1"/>
  <c r="AP50" i="8"/>
  <c r="AN50" i="8"/>
  <c r="AL50" i="8"/>
  <c r="AA50" i="8"/>
  <c r="AE50" i="8" s="1"/>
  <c r="V50" i="8"/>
  <c r="W50" i="8" s="1"/>
  <c r="U50" i="8"/>
  <c r="S50" i="8"/>
  <c r="X50" i="8" s="1"/>
  <c r="AC50" i="8" s="1"/>
  <c r="AG50" i="8" s="1"/>
  <c r="Q50" i="8"/>
  <c r="N50" i="8"/>
  <c r="AB50" i="8" s="1"/>
  <c r="AF50" i="8" s="1"/>
  <c r="L50" i="8"/>
  <c r="M50" i="8" s="1"/>
  <c r="K50" i="8"/>
  <c r="I50" i="8"/>
  <c r="Z50" i="8" s="1"/>
  <c r="AD50" i="8" s="1"/>
  <c r="G50" i="8"/>
  <c r="D50" i="8"/>
  <c r="L17" i="20" s="1"/>
  <c r="AR49" i="8"/>
  <c r="AQ49" i="8"/>
  <c r="AP49" i="8"/>
  <c r="AL49" i="8"/>
  <c r="AN49" i="8" s="1"/>
  <c r="W49" i="8"/>
  <c r="V49" i="8"/>
  <c r="U49" i="8"/>
  <c r="Q49" i="8"/>
  <c r="S49" i="8" s="1"/>
  <c r="M49" i="8"/>
  <c r="L49" i="8"/>
  <c r="K49" i="8"/>
  <c r="AA49" i="8" s="1"/>
  <c r="AE49" i="8" s="1"/>
  <c r="G49" i="8"/>
  <c r="I49" i="8" s="1"/>
  <c r="AR48" i="8"/>
  <c r="AP48" i="8"/>
  <c r="AS48" i="8" s="1"/>
  <c r="AL48" i="8"/>
  <c r="AN48" i="8" s="1"/>
  <c r="W48" i="8"/>
  <c r="U48" i="8"/>
  <c r="S48" i="8"/>
  <c r="X48" i="8" s="1"/>
  <c r="AC48" i="8" s="1"/>
  <c r="AG48" i="8" s="1"/>
  <c r="Q48" i="8"/>
  <c r="M48" i="8"/>
  <c r="K48" i="8"/>
  <c r="AA48" i="8" s="1"/>
  <c r="AE48" i="8" s="1"/>
  <c r="G48" i="8"/>
  <c r="I48" i="8" s="1"/>
  <c r="Z48" i="8" s="1"/>
  <c r="AD48" i="8" s="1"/>
  <c r="AS47" i="8"/>
  <c r="AQ47" i="8"/>
  <c r="AR47" i="8" s="1"/>
  <c r="AP47" i="8"/>
  <c r="AN47" i="8"/>
  <c r="AL47" i="8"/>
  <c r="AA47" i="8"/>
  <c r="AE47" i="8" s="1"/>
  <c r="V47" i="8"/>
  <c r="W47" i="8" s="1"/>
  <c r="U47" i="8"/>
  <c r="S47" i="8"/>
  <c r="X47" i="8" s="1"/>
  <c r="AC47" i="8" s="1"/>
  <c r="AG47" i="8" s="1"/>
  <c r="Q47" i="8"/>
  <c r="N47" i="8"/>
  <c r="L47" i="8"/>
  <c r="M47" i="8" s="1"/>
  <c r="K47" i="8"/>
  <c r="I47" i="8"/>
  <c r="Z47" i="8" s="1"/>
  <c r="AD47" i="8" s="1"/>
  <c r="G47" i="8"/>
  <c r="D47" i="8"/>
  <c r="L11" i="20" s="1"/>
  <c r="AR46" i="8"/>
  <c r="AQ46" i="8"/>
  <c r="AP46" i="8"/>
  <c r="AP44" i="8" s="1"/>
  <c r="AP43" i="8" s="1"/>
  <c r="AL46" i="8"/>
  <c r="AN46" i="8" s="1"/>
  <c r="W46" i="8"/>
  <c r="V46" i="8"/>
  <c r="U46" i="8"/>
  <c r="U44" i="8" s="1"/>
  <c r="U43" i="8" s="1"/>
  <c r="Q46" i="8"/>
  <c r="S46" i="8" s="1"/>
  <c r="M46" i="8"/>
  <c r="L46" i="8"/>
  <c r="K46" i="8"/>
  <c r="G46" i="8"/>
  <c r="I46" i="8" s="1"/>
  <c r="AS45" i="8"/>
  <c r="AQ45" i="8"/>
  <c r="AR45" i="8" s="1"/>
  <c r="AP45" i="8"/>
  <c r="AN45" i="8"/>
  <c r="AL45" i="8"/>
  <c r="AA45" i="8"/>
  <c r="AE45" i="8" s="1"/>
  <c r="V45" i="8"/>
  <c r="W45" i="8" s="1"/>
  <c r="U45" i="8"/>
  <c r="S45" i="8"/>
  <c r="X45" i="8" s="1"/>
  <c r="Q45" i="8"/>
  <c r="N45" i="8"/>
  <c r="L45" i="8"/>
  <c r="M45" i="8" s="1"/>
  <c r="K45" i="8"/>
  <c r="I45" i="8"/>
  <c r="Z45" i="8" s="1"/>
  <c r="AD45" i="8" s="1"/>
  <c r="G45" i="8"/>
  <c r="D45" i="8"/>
  <c r="L7" i="20" s="1"/>
  <c r="AR44" i="8"/>
  <c r="AR43" i="8" s="1"/>
  <c r="AN44" i="8"/>
  <c r="W44" i="8"/>
  <c r="W43" i="8" s="1"/>
  <c r="M44" i="8"/>
  <c r="M43" i="8" s="1"/>
  <c r="I44" i="8"/>
  <c r="D43" i="8"/>
  <c r="L31" i="19" s="1"/>
  <c r="AR42" i="8"/>
  <c r="AQ42" i="8"/>
  <c r="AP42" i="8"/>
  <c r="AL42" i="8"/>
  <c r="AN42" i="8" s="1"/>
  <c r="AS42" i="8" s="1"/>
  <c r="W42" i="8"/>
  <c r="V42" i="8"/>
  <c r="U42" i="8"/>
  <c r="Q42" i="8"/>
  <c r="S42" i="8" s="1"/>
  <c r="X42" i="8" s="1"/>
  <c r="AC42" i="8" s="1"/>
  <c r="AG42" i="8" s="1"/>
  <c r="M42" i="8"/>
  <c r="L42" i="8"/>
  <c r="K42" i="8"/>
  <c r="AA42" i="8" s="1"/>
  <c r="AE42" i="8" s="1"/>
  <c r="G42" i="8"/>
  <c r="I42" i="8" s="1"/>
  <c r="N42" i="8" s="1"/>
  <c r="AB42" i="8" s="1"/>
  <c r="AF42" i="8" s="1"/>
  <c r="AQ41" i="8"/>
  <c r="AR41" i="8" s="1"/>
  <c r="AP41" i="8"/>
  <c r="U41" i="8"/>
  <c r="K41" i="8"/>
  <c r="D41" i="8"/>
  <c r="L27" i="19" s="1"/>
  <c r="AP40" i="8"/>
  <c r="U40" i="8"/>
  <c r="K40" i="8"/>
  <c r="AQ39" i="8"/>
  <c r="AR39" i="8" s="1"/>
  <c r="AP39" i="8"/>
  <c r="U39" i="8"/>
  <c r="K39" i="8"/>
  <c r="D39" i="8"/>
  <c r="L23" i="19" s="1"/>
  <c r="AP38" i="8"/>
  <c r="AP36" i="8" s="1"/>
  <c r="U38" i="8"/>
  <c r="U36" i="8" s="1"/>
  <c r="K38" i="8"/>
  <c r="AP37" i="8"/>
  <c r="U37" i="8"/>
  <c r="K37" i="8"/>
  <c r="D37" i="8"/>
  <c r="L19" i="19" s="1"/>
  <c r="AR35" i="8"/>
  <c r="AP35" i="8"/>
  <c r="W35" i="8"/>
  <c r="U35" i="8"/>
  <c r="D35" i="8"/>
  <c r="L15" i="19" s="1"/>
  <c r="AR34" i="8"/>
  <c r="AQ34" i="8"/>
  <c r="AP34" i="8"/>
  <c r="AK34" i="8"/>
  <c r="AN34" i="8" s="1"/>
  <c r="AS34" i="8" s="1"/>
  <c r="W34" i="8"/>
  <c r="V34" i="8"/>
  <c r="U34" i="8"/>
  <c r="M34" i="8"/>
  <c r="L34" i="8"/>
  <c r="K34" i="8"/>
  <c r="AA34" i="8" s="1"/>
  <c r="AE34" i="8" s="1"/>
  <c r="AQ33" i="8"/>
  <c r="AR33" i="8" s="1"/>
  <c r="AP33" i="8"/>
  <c r="V33" i="8"/>
  <c r="W33" i="8" s="1"/>
  <c r="U33" i="8"/>
  <c r="L33" i="8"/>
  <c r="M33" i="8" s="1"/>
  <c r="AA33" i="8" s="1"/>
  <c r="AE33" i="8" s="1"/>
  <c r="K33" i="8"/>
  <c r="D33" i="8"/>
  <c r="L11" i="19" s="1"/>
  <c r="AR32" i="8"/>
  <c r="AP32" i="8"/>
  <c r="AN32" i="8"/>
  <c r="AS32" i="8" s="1"/>
  <c r="AL32" i="8"/>
  <c r="W32" i="8"/>
  <c r="U32" i="8"/>
  <c r="X32" i="8" s="1"/>
  <c r="Q32" i="8"/>
  <c r="S32" i="8" s="1"/>
  <c r="M32" i="8"/>
  <c r="AA32" i="8" s="1"/>
  <c r="AE32" i="8" s="1"/>
  <c r="K32" i="8"/>
  <c r="I32" i="8"/>
  <c r="G32" i="8"/>
  <c r="D32" i="8"/>
  <c r="L9" i="19" s="1"/>
  <c r="AR31" i="8"/>
  <c r="AQ31" i="8"/>
  <c r="AP31" i="8"/>
  <c r="AL31" i="8"/>
  <c r="AN31" i="8" s="1"/>
  <c r="AS31" i="8" s="1"/>
  <c r="W31" i="8"/>
  <c r="V31" i="8"/>
  <c r="U31" i="8"/>
  <c r="Q31" i="8"/>
  <c r="S31" i="8" s="1"/>
  <c r="X31" i="8" s="1"/>
  <c r="M31" i="8"/>
  <c r="L31" i="8"/>
  <c r="K31" i="8"/>
  <c r="AA31" i="8" s="1"/>
  <c r="AE31" i="8" s="1"/>
  <c r="G31" i="8"/>
  <c r="I31" i="8" s="1"/>
  <c r="N31" i="8" s="1"/>
  <c r="AB31" i="8" s="1"/>
  <c r="AF31" i="8" s="1"/>
  <c r="AQ30" i="8"/>
  <c r="AR30" i="8" s="1"/>
  <c r="AP30" i="8"/>
  <c r="AK30" i="8"/>
  <c r="W30" i="8"/>
  <c r="V30" i="8"/>
  <c r="U30" i="8"/>
  <c r="L30" i="8"/>
  <c r="M30" i="8" s="1"/>
  <c r="K30" i="8"/>
  <c r="AA30" i="8" s="1"/>
  <c r="AE30" i="8" s="1"/>
  <c r="AQ29" i="8"/>
  <c r="AR29" i="8" s="1"/>
  <c r="AP29" i="8"/>
  <c r="V29" i="8"/>
  <c r="W29" i="8" s="1"/>
  <c r="U29" i="8"/>
  <c r="L29" i="8"/>
  <c r="M29" i="8" s="1"/>
  <c r="AA29" i="8" s="1"/>
  <c r="AE29" i="8" s="1"/>
  <c r="K29" i="8"/>
  <c r="D29" i="8"/>
  <c r="L31" i="18" s="1"/>
  <c r="AR28" i="8"/>
  <c r="AQ28" i="8"/>
  <c r="AP28" i="8"/>
  <c r="AL28" i="8"/>
  <c r="AN28" i="8" s="1"/>
  <c r="W28" i="8"/>
  <c r="V28" i="8"/>
  <c r="U28" i="8"/>
  <c r="Q28" i="8"/>
  <c r="S28" i="8" s="1"/>
  <c r="M28" i="8"/>
  <c r="L28" i="8"/>
  <c r="K28" i="8"/>
  <c r="AA28" i="8" s="1"/>
  <c r="AE28" i="8" s="1"/>
  <c r="G28" i="8"/>
  <c r="I28" i="8" s="1"/>
  <c r="AQ27" i="8"/>
  <c r="AR27" i="8" s="1"/>
  <c r="AP27" i="8"/>
  <c r="V27" i="8"/>
  <c r="W27" i="8" s="1"/>
  <c r="U27" i="8"/>
  <c r="L27" i="8"/>
  <c r="M27" i="8" s="1"/>
  <c r="AA27" i="8" s="1"/>
  <c r="AE27" i="8" s="1"/>
  <c r="K27" i="8"/>
  <c r="D27" i="8"/>
  <c r="L27" i="18" s="1"/>
  <c r="AR26" i="8"/>
  <c r="AQ26" i="8"/>
  <c r="AP26" i="8"/>
  <c r="AL26" i="8"/>
  <c r="AN26" i="8" s="1"/>
  <c r="AS26" i="8" s="1"/>
  <c r="W26" i="8"/>
  <c r="V26" i="8"/>
  <c r="U26" i="8"/>
  <c r="Q26" i="8"/>
  <c r="S26" i="8" s="1"/>
  <c r="X26" i="8" s="1"/>
  <c r="AC26" i="8" s="1"/>
  <c r="AG26" i="8" s="1"/>
  <c r="M26" i="8"/>
  <c r="L26" i="8"/>
  <c r="K26" i="8"/>
  <c r="AA26" i="8" s="1"/>
  <c r="AE26" i="8" s="1"/>
  <c r="G26" i="8"/>
  <c r="I26" i="8" s="1"/>
  <c r="N26" i="8" s="1"/>
  <c r="AQ25" i="8"/>
  <c r="AR25" i="8" s="1"/>
  <c r="AP25" i="8"/>
  <c r="AN25" i="8"/>
  <c r="AS25" i="8" s="1"/>
  <c r="AL25" i="8"/>
  <c r="X25" i="8"/>
  <c r="D18" i="10" s="1"/>
  <c r="V25" i="8"/>
  <c r="W25" i="8" s="1"/>
  <c r="U25" i="8"/>
  <c r="S25" i="8"/>
  <c r="Q25" i="8"/>
  <c r="L25" i="8"/>
  <c r="M25" i="8" s="1"/>
  <c r="AA25" i="8" s="1"/>
  <c r="AE25" i="8" s="1"/>
  <c r="K25" i="8"/>
  <c r="I25" i="8"/>
  <c r="Z25" i="8" s="1"/>
  <c r="AD25" i="8" s="1"/>
  <c r="G25" i="8"/>
  <c r="D25" i="8"/>
  <c r="L23" i="18" s="1"/>
  <c r="AP24" i="8"/>
  <c r="AP23" i="8" s="1"/>
  <c r="U24" i="8"/>
  <c r="K24" i="8"/>
  <c r="K23" i="8" s="1"/>
  <c r="D24" i="8"/>
  <c r="L21" i="18" s="1"/>
  <c r="AR22" i="8"/>
  <c r="AP22" i="8"/>
  <c r="W22" i="8"/>
  <c r="U22" i="8"/>
  <c r="M22" i="8"/>
  <c r="K22" i="8"/>
  <c r="AA22" i="8" s="1"/>
  <c r="AE22" i="8" s="1"/>
  <c r="AP21" i="8"/>
  <c r="U21" i="8"/>
  <c r="K21" i="8"/>
  <c r="D21" i="8"/>
  <c r="L15" i="18" s="1"/>
  <c r="AR20" i="8"/>
  <c r="AQ20" i="8"/>
  <c r="AP20" i="8"/>
  <c r="U20" i="8"/>
  <c r="K20" i="8"/>
  <c r="AQ19" i="8"/>
  <c r="AR19" i="8" s="1"/>
  <c r="AO19" i="8"/>
  <c r="AP19" i="8" s="1"/>
  <c r="AK19" i="8"/>
  <c r="AN19" i="8" s="1"/>
  <c r="AS19" i="8" s="1"/>
  <c r="W19" i="8"/>
  <c r="V19" i="8"/>
  <c r="L19" i="8"/>
  <c r="M19" i="8" s="1"/>
  <c r="AQ18" i="8"/>
  <c r="AR18" i="8" s="1"/>
  <c r="W18" i="8"/>
  <c r="V18" i="8"/>
  <c r="L18" i="8"/>
  <c r="M18" i="8" s="1"/>
  <c r="AQ17" i="8"/>
  <c r="AR17" i="8" s="1"/>
  <c r="AO17" i="8"/>
  <c r="AP17" i="8" s="1"/>
  <c r="W17" i="8"/>
  <c r="V17" i="8"/>
  <c r="L17" i="8"/>
  <c r="M17" i="8" s="1"/>
  <c r="AQ16" i="8"/>
  <c r="AR16" i="8" s="1"/>
  <c r="AQ15" i="8"/>
  <c r="AR15" i="8" s="1"/>
  <c r="W15" i="8"/>
  <c r="V15" i="8"/>
  <c r="L15" i="8"/>
  <c r="M15" i="8" s="1"/>
  <c r="AQ14" i="8"/>
  <c r="AR14" i="8" s="1"/>
  <c r="AP14" i="8"/>
  <c r="V14" i="8"/>
  <c r="W14" i="8" s="1"/>
  <c r="U14" i="8"/>
  <c r="L14" i="8"/>
  <c r="M14" i="8" s="1"/>
  <c r="AA14" i="8" s="1"/>
  <c r="AE14" i="8" s="1"/>
  <c r="K14" i="8"/>
  <c r="D14" i="8"/>
  <c r="L29" i="17" s="1"/>
  <c r="AQ12" i="8"/>
  <c r="AR12" i="8" s="1"/>
  <c r="AP12" i="8"/>
  <c r="AN12" i="8"/>
  <c r="AS12" i="8" s="1"/>
  <c r="AK12" i="8"/>
  <c r="V12" i="8"/>
  <c r="W12" i="8" s="1"/>
  <c r="U12" i="8"/>
  <c r="L12" i="8"/>
  <c r="M12" i="8" s="1"/>
  <c r="AA12" i="8" s="1"/>
  <c r="AE12" i="8" s="1"/>
  <c r="K12" i="8"/>
  <c r="D12" i="8"/>
  <c r="L25" i="17" s="1"/>
  <c r="AP11" i="8"/>
  <c r="U11" i="8"/>
  <c r="K11" i="8"/>
  <c r="AQ10" i="8"/>
  <c r="AR10" i="8" s="1"/>
  <c r="W10" i="8"/>
  <c r="V10" i="8"/>
  <c r="L10" i="8"/>
  <c r="M10" i="8" s="1"/>
  <c r="AQ9" i="8"/>
  <c r="AR9" i="8" s="1"/>
  <c r="AO9" i="8"/>
  <c r="AP9" i="8" s="1"/>
  <c r="AS9" i="8" s="1"/>
  <c r="AK9" i="8"/>
  <c r="AN9" i="8" s="1"/>
  <c r="W9" i="8"/>
  <c r="V9" i="8"/>
  <c r="L9" i="8"/>
  <c r="M9" i="8" s="1"/>
  <c r="AQ8" i="8"/>
  <c r="AR8" i="8" s="1"/>
  <c r="W8" i="8"/>
  <c r="V8" i="8"/>
  <c r="L8" i="8"/>
  <c r="M8" i="8" s="1"/>
  <c r="AQ6" i="8"/>
  <c r="AR6" i="8" s="1"/>
  <c r="W6" i="8"/>
  <c r="V6" i="8"/>
  <c r="L6" i="8"/>
  <c r="M6" i="8" s="1"/>
  <c r="D5" i="8"/>
  <c r="L11" i="17" s="1"/>
  <c r="D3" i="8"/>
  <c r="L7" i="17" s="1"/>
  <c r="AR2" i="8"/>
  <c r="AN2" i="8"/>
  <c r="W2" i="8"/>
  <c r="S2" i="8"/>
  <c r="M2" i="8"/>
  <c r="I2" i="8"/>
  <c r="BE5" i="17" s="1"/>
  <c r="BE5" i="18" s="1"/>
  <c r="I1" i="8"/>
  <c r="AY4" i="17" s="1"/>
  <c r="AY4" i="18" s="1"/>
  <c r="B1" i="8"/>
  <c r="D223" i="8" s="1"/>
  <c r="D2" i="8" s="1"/>
  <c r="AP1699" i="7"/>
  <c r="AP1697" i="7"/>
  <c r="AB1692" i="7"/>
  <c r="U1692" i="7"/>
  <c r="AB1686" i="7"/>
  <c r="AB1684" i="7"/>
  <c r="U1684" i="7"/>
  <c r="M1684" i="7"/>
  <c r="AP1684" i="7" s="1"/>
  <c r="AB1681" i="7"/>
  <c r="AB1680" i="7"/>
  <c r="U1680" i="7"/>
  <c r="AB1676" i="7"/>
  <c r="U1676" i="7"/>
  <c r="AB1675" i="7"/>
  <c r="AB1673" i="7"/>
  <c r="AB1672" i="7"/>
  <c r="U1672" i="7"/>
  <c r="M1672" i="7"/>
  <c r="AP1672" i="7" s="1"/>
  <c r="AP1670" i="7"/>
  <c r="AB1669" i="7"/>
  <c r="U1669" i="7"/>
  <c r="AP1637" i="7"/>
  <c r="AP1635" i="7"/>
  <c r="U1630" i="7"/>
  <c r="AB1624" i="7"/>
  <c r="U1622" i="7"/>
  <c r="M1622" i="7"/>
  <c r="AB1619" i="7"/>
  <c r="U1618" i="7"/>
  <c r="U1614" i="7"/>
  <c r="AB1613" i="7"/>
  <c r="AB1611" i="7"/>
  <c r="U1610" i="7"/>
  <c r="M1610" i="7"/>
  <c r="AP1608" i="7"/>
  <c r="U1607" i="7"/>
  <c r="AO1345" i="7"/>
  <c r="AF1345" i="7"/>
  <c r="AO1305" i="7"/>
  <c r="AH1305" i="7"/>
  <c r="AQ1287" i="7"/>
  <c r="AI1287" i="7"/>
  <c r="AC1287" i="7"/>
  <c r="W1287" i="7"/>
  <c r="O1287" i="7"/>
  <c r="I1287" i="7"/>
  <c r="AQ1270" i="7"/>
  <c r="AI1270" i="7"/>
  <c r="AC1270" i="7"/>
  <c r="W1270" i="7"/>
  <c r="O1270" i="7"/>
  <c r="I1270" i="7"/>
  <c r="AF1194" i="7"/>
  <c r="AF1187" i="7"/>
  <c r="AI1152" i="7"/>
  <c r="AG1125" i="7"/>
  <c r="AG1124" i="7"/>
  <c r="T1124" i="7"/>
  <c r="AW1051" i="7"/>
  <c r="AI1037" i="7"/>
  <c r="AI1023" i="7"/>
  <c r="Q920" i="7"/>
  <c r="Q919" i="7"/>
  <c r="Q918" i="7"/>
  <c r="Q917" i="7"/>
  <c r="Q916" i="7"/>
  <c r="Q915" i="7"/>
  <c r="Q914" i="7"/>
  <c r="Q913" i="7"/>
  <c r="Q912" i="7"/>
  <c r="Q911" i="7"/>
  <c r="Q910" i="7"/>
  <c r="N877" i="7"/>
  <c r="AQ862" i="7"/>
  <c r="T861" i="7"/>
  <c r="AQ860" i="7"/>
  <c r="X826" i="7"/>
  <c r="AI820" i="7"/>
  <c r="P820" i="7" s="1"/>
  <c r="X813" i="7"/>
  <c r="AH653" i="7"/>
  <c r="AA653" i="7"/>
  <c r="T653" i="7"/>
  <c r="AG562" i="7"/>
  <c r="I562" i="7"/>
  <c r="AS554" i="7"/>
  <c r="AO554" i="7"/>
  <c r="AG554" i="7"/>
  <c r="AC554" i="7"/>
  <c r="Y554" i="7"/>
  <c r="U554" i="7"/>
  <c r="Q554" i="7"/>
  <c r="M554" i="7"/>
  <c r="I554" i="7"/>
  <c r="AW553" i="7"/>
  <c r="AW552" i="7"/>
  <c r="AW551" i="7"/>
  <c r="AS547" i="7"/>
  <c r="AO547" i="7"/>
  <c r="AG547" i="7"/>
  <c r="AC547" i="7"/>
  <c r="Y547" i="7"/>
  <c r="U547" i="7"/>
  <c r="Q547" i="7"/>
  <c r="M547" i="7"/>
  <c r="I547" i="7"/>
  <c r="AK543" i="7"/>
  <c r="AG543" i="7"/>
  <c r="U543" i="7"/>
  <c r="M543" i="7"/>
  <c r="I543" i="7"/>
  <c r="AW542" i="7"/>
  <c r="AS541" i="7"/>
  <c r="AS540" i="7"/>
  <c r="AO540" i="7"/>
  <c r="AS536" i="7"/>
  <c r="AS558" i="7" s="1"/>
  <c r="AO536" i="7"/>
  <c r="AO558" i="7" s="1"/>
  <c r="AG536" i="7"/>
  <c r="AG558" i="7" s="1"/>
  <c r="I536" i="7"/>
  <c r="I558" i="7" s="1"/>
  <c r="AG506" i="7"/>
  <c r="I506" i="7"/>
  <c r="I502" i="7"/>
  <c r="AS498" i="7"/>
  <c r="AO498" i="7"/>
  <c r="AG498" i="7"/>
  <c r="AC498" i="7"/>
  <c r="Y498" i="7"/>
  <c r="U498" i="7"/>
  <c r="Q498" i="7"/>
  <c r="M498" i="7"/>
  <c r="I498" i="7"/>
  <c r="AW497" i="7"/>
  <c r="AW496" i="7"/>
  <c r="AW495" i="7"/>
  <c r="AS491" i="7"/>
  <c r="AO491" i="7"/>
  <c r="AG491" i="7"/>
  <c r="AC491" i="7"/>
  <c r="Y491" i="7"/>
  <c r="U491" i="7"/>
  <c r="Q491" i="7"/>
  <c r="M491" i="7"/>
  <c r="I491" i="7"/>
  <c r="AK487" i="7"/>
  <c r="AG487" i="7"/>
  <c r="U487" i="7"/>
  <c r="M487" i="7"/>
  <c r="I487" i="7"/>
  <c r="AW486" i="7"/>
  <c r="AS485" i="7"/>
  <c r="AO484" i="7"/>
  <c r="AG480" i="7"/>
  <c r="AG502" i="7" s="1"/>
  <c r="I480" i="7"/>
  <c r="AG447" i="7"/>
  <c r="AG443" i="7"/>
  <c r="AB443" i="7"/>
  <c r="AB436" i="7" s="1"/>
  <c r="W443" i="7"/>
  <c r="M443" i="7"/>
  <c r="H443" i="7"/>
  <c r="AT442" i="7"/>
  <c r="AT441" i="7"/>
  <c r="AT440" i="7"/>
  <c r="AG436" i="7"/>
  <c r="W436" i="7"/>
  <c r="M436" i="7"/>
  <c r="AG432" i="7"/>
  <c r="W432" i="7"/>
  <c r="AT431" i="7"/>
  <c r="AG430" i="7"/>
  <c r="AB430" i="7"/>
  <c r="W430" i="7"/>
  <c r="R430" i="7"/>
  <c r="AT430" i="7" s="1"/>
  <c r="M430" i="7"/>
  <c r="AG429" i="7"/>
  <c r="W429" i="7"/>
  <c r="M429" i="7"/>
  <c r="AG425" i="7"/>
  <c r="W425" i="7"/>
  <c r="AT420" i="7"/>
  <c r="AK419" i="7"/>
  <c r="AG419" i="7"/>
  <c r="AO418" i="7"/>
  <c r="AK418" i="7"/>
  <c r="AG418" i="7"/>
  <c r="AB418" i="7"/>
  <c r="W418" i="7"/>
  <c r="M418" i="7"/>
  <c r="H418" i="7"/>
  <c r="AG414" i="7"/>
  <c r="AG421" i="7" s="1"/>
  <c r="AG451" i="7" s="1"/>
  <c r="AG389" i="7"/>
  <c r="AG382" i="7" s="1"/>
  <c r="AB389" i="7"/>
  <c r="W389" i="7"/>
  <c r="W382" i="7" s="1"/>
  <c r="M389" i="7"/>
  <c r="H389" i="7"/>
  <c r="AT388" i="7"/>
  <c r="AT387" i="7"/>
  <c r="AT386" i="7"/>
  <c r="AB382" i="7"/>
  <c r="M382" i="7"/>
  <c r="H382" i="7"/>
  <c r="AT377" i="7"/>
  <c r="AB376" i="7"/>
  <c r="R376" i="7"/>
  <c r="AG375" i="7"/>
  <c r="W375" i="7"/>
  <c r="M375" i="7"/>
  <c r="AG371" i="7"/>
  <c r="W371" i="7"/>
  <c r="AT366" i="7"/>
  <c r="AK365" i="7"/>
  <c r="AG365" i="7"/>
  <c r="W365" i="7"/>
  <c r="M365" i="7"/>
  <c r="AO364" i="7"/>
  <c r="AB364" i="7"/>
  <c r="R364" i="7"/>
  <c r="H364" i="7"/>
  <c r="AG360" i="7"/>
  <c r="AM325" i="7"/>
  <c r="AC325" i="7"/>
  <c r="X325" i="7"/>
  <c r="X320" i="7" s="1"/>
  <c r="T325" i="7"/>
  <c r="L325" i="7"/>
  <c r="AT324" i="7"/>
  <c r="AT323" i="7"/>
  <c r="AT322" i="7"/>
  <c r="AM320" i="7"/>
  <c r="AC320" i="7"/>
  <c r="T320" i="7"/>
  <c r="L320" i="7"/>
  <c r="AT316" i="7"/>
  <c r="AC315" i="7"/>
  <c r="X315" i="7"/>
  <c r="T315" i="7"/>
  <c r="P315" i="7"/>
  <c r="AT315" i="7" s="1"/>
  <c r="L315" i="7"/>
  <c r="X314" i="7"/>
  <c r="P314" i="7"/>
  <c r="X312" i="7"/>
  <c r="X317" i="7" s="1"/>
  <c r="X309" i="7"/>
  <c r="X330" i="7" s="1"/>
  <c r="AT308" i="7"/>
  <c r="AM306" i="7"/>
  <c r="AH306" i="7"/>
  <c r="AC306" i="7"/>
  <c r="T306" i="7"/>
  <c r="L306" i="7"/>
  <c r="X304" i="7"/>
  <c r="AM288" i="7"/>
  <c r="AM283" i="7" s="1"/>
  <c r="AM291" i="7" s="1"/>
  <c r="AC288" i="7"/>
  <c r="AC283" i="7" s="1"/>
  <c r="X288" i="7"/>
  <c r="T288" i="7"/>
  <c r="T283" i="7" s="1"/>
  <c r="L288" i="7"/>
  <c r="AT287" i="7"/>
  <c r="AT286" i="7"/>
  <c r="AT285" i="7"/>
  <c r="X283" i="7"/>
  <c r="AT279" i="7"/>
  <c r="AC278" i="7"/>
  <c r="T278" i="7"/>
  <c r="L278" i="7"/>
  <c r="X277" i="7"/>
  <c r="P277" i="7"/>
  <c r="X275" i="7"/>
  <c r="AT271" i="7"/>
  <c r="AM270" i="7"/>
  <c r="X270" i="7"/>
  <c r="P270" i="7"/>
  <c r="AH269" i="7"/>
  <c r="AM267" i="7"/>
  <c r="X267" i="7"/>
  <c r="X35" i="7"/>
  <c r="J35" i="7"/>
  <c r="P29" i="7"/>
  <c r="L29" i="7"/>
  <c r="P2" i="7"/>
  <c r="AQ1" i="7"/>
  <c r="M217" i="6"/>
  <c r="AQ184" i="8" s="1"/>
  <c r="AS184" i="8" s="1"/>
  <c r="AS183" i="8" s="1"/>
  <c r="M216" i="6"/>
  <c r="O212" i="6"/>
  <c r="N212" i="6"/>
  <c r="M212" i="6"/>
  <c r="AQ188" i="8" s="1"/>
  <c r="AS188" i="8" s="1"/>
  <c r="AS187" i="8" s="1"/>
  <c r="M211" i="6"/>
  <c r="L193" i="6"/>
  <c r="M189" i="6"/>
  <c r="M193" i="6" s="1"/>
  <c r="L189" i="6"/>
  <c r="E181" i="6"/>
  <c r="E183" i="6" s="1"/>
  <c r="AL137" i="8" s="1"/>
  <c r="M177" i="6"/>
  <c r="M175" i="6"/>
  <c r="L175" i="6"/>
  <c r="L177" i="6" s="1"/>
  <c r="M163" i="6"/>
  <c r="M161" i="6"/>
  <c r="L161" i="6"/>
  <c r="L163" i="6" s="1"/>
  <c r="M155" i="6"/>
  <c r="M153" i="6"/>
  <c r="M145" i="6"/>
  <c r="M146" i="6" s="1"/>
  <c r="P139" i="6"/>
  <c r="M141" i="6" s="1"/>
  <c r="AL119" i="8" s="1"/>
  <c r="AN119" i="8" s="1"/>
  <c r="AS119" i="8" s="1"/>
  <c r="M139" i="6"/>
  <c r="M140" i="6" s="1"/>
  <c r="AL54" i="8" s="1"/>
  <c r="AN54" i="8" s="1"/>
  <c r="AS54" i="8" s="1"/>
  <c r="G112" i="6"/>
  <c r="D113" i="6" s="1"/>
  <c r="D115" i="6" s="1"/>
  <c r="Q60" i="8" s="1"/>
  <c r="S60" i="8" s="1"/>
  <c r="X60" i="8" s="1"/>
  <c r="AC60" i="8" s="1"/>
  <c r="AG60" i="8" s="1"/>
  <c r="E112" i="6"/>
  <c r="C112" i="6"/>
  <c r="D110" i="6"/>
  <c r="Q141" i="8" s="1"/>
  <c r="C110" i="6"/>
  <c r="M86" i="6"/>
  <c r="M91" i="6" s="1"/>
  <c r="E86" i="6"/>
  <c r="E90" i="6" s="1"/>
  <c r="E72" i="6"/>
  <c r="E73" i="6" s="1"/>
  <c r="AQ69" i="8" s="1"/>
  <c r="AR69" i="8" s="1"/>
  <c r="AR68" i="8" s="1"/>
  <c r="E65" i="6"/>
  <c r="E64" i="6"/>
  <c r="E61" i="6"/>
  <c r="E60" i="6"/>
  <c r="E57" i="6"/>
  <c r="E56" i="6"/>
  <c r="M47" i="6"/>
  <c r="M49" i="6" s="1"/>
  <c r="E45" i="6"/>
  <c r="E46" i="6" s="1"/>
  <c r="AQ24" i="8" s="1"/>
  <c r="AR24" i="8" s="1"/>
  <c r="AR23" i="8" s="1"/>
  <c r="M43" i="6"/>
  <c r="M45" i="6" s="1"/>
  <c r="M38" i="6"/>
  <c r="M40" i="6" s="1"/>
  <c r="AL66" i="8" s="1"/>
  <c r="AN66" i="8" s="1"/>
  <c r="AS66" i="8" s="1"/>
  <c r="E35" i="6"/>
  <c r="E32" i="6"/>
  <c r="M30" i="6"/>
  <c r="M32" i="6" s="1"/>
  <c r="M22" i="6"/>
  <c r="M24" i="6" s="1"/>
  <c r="E17" i="6"/>
  <c r="E18" i="6" s="1"/>
  <c r="AL29" i="8" s="1"/>
  <c r="AN29" i="8" s="1"/>
  <c r="AS29" i="8" s="1"/>
  <c r="M14" i="6"/>
  <c r="M16" i="6" s="1"/>
  <c r="M7" i="6"/>
  <c r="M10" i="6" s="1"/>
  <c r="AL61" i="8" s="1"/>
  <c r="AN61" i="8" s="1"/>
  <c r="AS61" i="8" s="1"/>
  <c r="E5" i="6"/>
  <c r="E4" i="6"/>
  <c r="F313" i="4"/>
  <c r="I313" i="4" s="1"/>
  <c r="C313" i="4"/>
  <c r="B313" i="4"/>
  <c r="F312" i="4"/>
  <c r="I312" i="4" s="1"/>
  <c r="C312" i="4"/>
  <c r="B312" i="4"/>
  <c r="F311" i="4"/>
  <c r="I311" i="4" s="1"/>
  <c r="C311" i="4"/>
  <c r="B311" i="4"/>
  <c r="F310" i="4"/>
  <c r="I310" i="4" s="1"/>
  <c r="C310" i="4"/>
  <c r="B310" i="4"/>
  <c r="F309" i="4"/>
  <c r="I309" i="4" s="1"/>
  <c r="C309" i="4"/>
  <c r="B309" i="4"/>
  <c r="F308" i="4"/>
  <c r="I308" i="4" s="1"/>
  <c r="C308" i="4"/>
  <c r="B308" i="4"/>
  <c r="F307" i="4"/>
  <c r="I307" i="4" s="1"/>
  <c r="C307" i="4"/>
  <c r="B307" i="4"/>
  <c r="F306" i="4"/>
  <c r="I306" i="4" s="1"/>
  <c r="C306" i="4"/>
  <c r="B306" i="4"/>
  <c r="F305" i="4"/>
  <c r="I305" i="4" s="1"/>
  <c r="C305" i="4"/>
  <c r="B305" i="4"/>
  <c r="F304" i="4"/>
  <c r="I304" i="4" s="1"/>
  <c r="C304" i="4"/>
  <c r="B304" i="4"/>
  <c r="F303" i="4"/>
  <c r="I303" i="4" s="1"/>
  <c r="C303" i="4"/>
  <c r="B303" i="4"/>
  <c r="F302" i="4"/>
  <c r="I302" i="4" s="1"/>
  <c r="C302" i="4"/>
  <c r="B302" i="4"/>
  <c r="F301" i="4"/>
  <c r="I301" i="4" s="1"/>
  <c r="C301" i="4"/>
  <c r="B301" i="4"/>
  <c r="F300" i="4"/>
  <c r="I300" i="4" s="1"/>
  <c r="C300" i="4"/>
  <c r="B300" i="4"/>
  <c r="F299" i="4"/>
  <c r="I299" i="4" s="1"/>
  <c r="C299" i="4"/>
  <c r="B299" i="4"/>
  <c r="F298" i="4"/>
  <c r="I298" i="4" s="1"/>
  <c r="C298" i="4"/>
  <c r="B298" i="4"/>
  <c r="F297" i="4"/>
  <c r="I297" i="4" s="1"/>
  <c r="C297" i="4"/>
  <c r="B297" i="4"/>
  <c r="F296" i="4"/>
  <c r="I296" i="4" s="1"/>
  <c r="C296" i="4"/>
  <c r="B296" i="4"/>
  <c r="F295" i="4"/>
  <c r="I295" i="4" s="1"/>
  <c r="C295" i="4"/>
  <c r="B295" i="4"/>
  <c r="F294" i="4"/>
  <c r="I294" i="4" s="1"/>
  <c r="C294" i="4"/>
  <c r="B294" i="4"/>
  <c r="F293" i="4"/>
  <c r="I293" i="4" s="1"/>
  <c r="C293" i="4"/>
  <c r="B293" i="4"/>
  <c r="F292" i="4"/>
  <c r="I292" i="4" s="1"/>
  <c r="C292" i="4"/>
  <c r="B292" i="4"/>
  <c r="F291" i="4"/>
  <c r="I291" i="4" s="1"/>
  <c r="C291" i="4"/>
  <c r="B291" i="4"/>
  <c r="F290" i="4"/>
  <c r="I290" i="4" s="1"/>
  <c r="C290" i="4"/>
  <c r="B290" i="4"/>
  <c r="F289" i="4"/>
  <c r="I289" i="4" s="1"/>
  <c r="C289" i="4"/>
  <c r="B289" i="4"/>
  <c r="F288" i="4"/>
  <c r="I288" i="4" s="1"/>
  <c r="C288" i="4"/>
  <c r="B288" i="4"/>
  <c r="F287" i="4"/>
  <c r="I287" i="4" s="1"/>
  <c r="C287" i="4"/>
  <c r="B287" i="4"/>
  <c r="F286" i="4"/>
  <c r="I286" i="4" s="1"/>
  <c r="C286" i="4"/>
  <c r="B286" i="4"/>
  <c r="F285" i="4"/>
  <c r="I285" i="4" s="1"/>
  <c r="C285" i="4"/>
  <c r="B285" i="4"/>
  <c r="F284" i="4"/>
  <c r="I284" i="4" s="1"/>
  <c r="C284" i="4"/>
  <c r="B284" i="4"/>
  <c r="F283" i="4"/>
  <c r="I283" i="4" s="1"/>
  <c r="C283" i="4"/>
  <c r="B283" i="4"/>
  <c r="F282" i="4"/>
  <c r="I282" i="4" s="1"/>
  <c r="C282" i="4"/>
  <c r="B282" i="4"/>
  <c r="F281" i="4"/>
  <c r="I281" i="4" s="1"/>
  <c r="C281" i="4"/>
  <c r="B281" i="4"/>
  <c r="F280" i="4"/>
  <c r="I280" i="4" s="1"/>
  <c r="C280" i="4"/>
  <c r="B280" i="4"/>
  <c r="F279" i="4"/>
  <c r="I279" i="4" s="1"/>
  <c r="C279" i="4"/>
  <c r="B279" i="4"/>
  <c r="F278" i="4"/>
  <c r="I278" i="4" s="1"/>
  <c r="C278" i="4"/>
  <c r="B278" i="4"/>
  <c r="F277" i="4"/>
  <c r="I277" i="4" s="1"/>
  <c r="C277" i="4"/>
  <c r="B277" i="4"/>
  <c r="F276" i="4"/>
  <c r="I276" i="4" s="1"/>
  <c r="C276" i="4"/>
  <c r="B276" i="4"/>
  <c r="F275" i="4"/>
  <c r="I275" i="4" s="1"/>
  <c r="C275" i="4"/>
  <c r="B275" i="4"/>
  <c r="F274" i="4"/>
  <c r="I274" i="4" s="1"/>
  <c r="C274" i="4"/>
  <c r="B274" i="4"/>
  <c r="F273" i="4"/>
  <c r="I273" i="4" s="1"/>
  <c r="C273" i="4"/>
  <c r="B273" i="4"/>
  <c r="F272" i="4"/>
  <c r="I272" i="4" s="1"/>
  <c r="C272" i="4"/>
  <c r="B272" i="4"/>
  <c r="F271" i="4"/>
  <c r="I271" i="4" s="1"/>
  <c r="C271" i="4"/>
  <c r="B271" i="4"/>
  <c r="F270" i="4"/>
  <c r="I270" i="4" s="1"/>
  <c r="C270" i="4"/>
  <c r="B270" i="4"/>
  <c r="F269" i="4"/>
  <c r="I269" i="4" s="1"/>
  <c r="C269" i="4"/>
  <c r="B269" i="4"/>
  <c r="F268" i="4"/>
  <c r="I268" i="4" s="1"/>
  <c r="C268" i="4"/>
  <c r="B268" i="4"/>
  <c r="F267" i="4"/>
  <c r="I267" i="4" s="1"/>
  <c r="C267" i="4"/>
  <c r="B267" i="4"/>
  <c r="F266" i="4"/>
  <c r="I266" i="4" s="1"/>
  <c r="C266" i="4"/>
  <c r="B266" i="4"/>
  <c r="F265" i="4"/>
  <c r="I265" i="4" s="1"/>
  <c r="C265" i="4"/>
  <c r="B265" i="4"/>
  <c r="F264" i="4"/>
  <c r="I264" i="4" s="1"/>
  <c r="C264" i="4"/>
  <c r="B264" i="4"/>
  <c r="F263" i="4"/>
  <c r="I263" i="4" s="1"/>
  <c r="C263" i="4"/>
  <c r="B263" i="4"/>
  <c r="F262" i="4"/>
  <c r="I262" i="4" s="1"/>
  <c r="C262" i="4"/>
  <c r="B262" i="4"/>
  <c r="F261" i="4"/>
  <c r="I261" i="4" s="1"/>
  <c r="C261" i="4"/>
  <c r="B261" i="4"/>
  <c r="F260" i="4"/>
  <c r="I260" i="4" s="1"/>
  <c r="C260" i="4"/>
  <c r="B260" i="4"/>
  <c r="F259" i="4"/>
  <c r="I259" i="4" s="1"/>
  <c r="C259" i="4"/>
  <c r="B259" i="4"/>
  <c r="F258" i="4"/>
  <c r="I258" i="4" s="1"/>
  <c r="C258" i="4"/>
  <c r="B258" i="4"/>
  <c r="F257" i="4"/>
  <c r="I257" i="4" s="1"/>
  <c r="C257" i="4"/>
  <c r="B257" i="4"/>
  <c r="F256" i="4"/>
  <c r="I256" i="4" s="1"/>
  <c r="C256" i="4"/>
  <c r="B256" i="4"/>
  <c r="F255" i="4"/>
  <c r="I255" i="4" s="1"/>
  <c r="C255" i="4"/>
  <c r="B255" i="4"/>
  <c r="F254" i="4"/>
  <c r="I254" i="4" s="1"/>
  <c r="C254" i="4"/>
  <c r="B254" i="4"/>
  <c r="F253" i="4"/>
  <c r="I253" i="4" s="1"/>
  <c r="C253" i="4"/>
  <c r="B253" i="4"/>
  <c r="F252" i="4"/>
  <c r="I252" i="4" s="1"/>
  <c r="C252" i="4"/>
  <c r="B252" i="4"/>
  <c r="F251" i="4"/>
  <c r="I251" i="4" s="1"/>
  <c r="C251" i="4"/>
  <c r="B251" i="4"/>
  <c r="F250" i="4"/>
  <c r="I250" i="4" s="1"/>
  <c r="C250" i="4"/>
  <c r="B250" i="4"/>
  <c r="F249" i="4"/>
  <c r="I249" i="4" s="1"/>
  <c r="C249" i="4"/>
  <c r="B249" i="4"/>
  <c r="F248" i="4"/>
  <c r="I248" i="4" s="1"/>
  <c r="C248" i="4"/>
  <c r="B248" i="4"/>
  <c r="F247" i="4"/>
  <c r="I247" i="4" s="1"/>
  <c r="C247" i="4"/>
  <c r="B247" i="4"/>
  <c r="F246" i="4"/>
  <c r="I246" i="4" s="1"/>
  <c r="C246" i="4"/>
  <c r="B246" i="4"/>
  <c r="F245" i="4"/>
  <c r="I245" i="4" s="1"/>
  <c r="C245" i="4"/>
  <c r="B245" i="4"/>
  <c r="F244" i="4"/>
  <c r="I244" i="4" s="1"/>
  <c r="C244" i="4"/>
  <c r="B244" i="4"/>
  <c r="F243" i="4"/>
  <c r="I243" i="4" s="1"/>
  <c r="C243" i="4"/>
  <c r="B243" i="4"/>
  <c r="F242" i="4"/>
  <c r="I242" i="4" s="1"/>
  <c r="C242" i="4"/>
  <c r="B242" i="4"/>
  <c r="F241" i="4"/>
  <c r="I241" i="4" s="1"/>
  <c r="C241" i="4"/>
  <c r="B241" i="4"/>
  <c r="I240" i="4"/>
  <c r="F240" i="4"/>
  <c r="C240" i="4"/>
  <c r="B240" i="4"/>
  <c r="I239" i="4"/>
  <c r="F239" i="4"/>
  <c r="C239" i="4"/>
  <c r="B239" i="4"/>
  <c r="I238" i="4"/>
  <c r="F238" i="4"/>
  <c r="C238" i="4"/>
  <c r="B238" i="4"/>
  <c r="I237" i="4"/>
  <c r="F237" i="4"/>
  <c r="C237" i="4"/>
  <c r="B237" i="4"/>
  <c r="I236" i="4"/>
  <c r="F236" i="4"/>
  <c r="C236" i="4"/>
  <c r="B236" i="4"/>
  <c r="I235" i="4"/>
  <c r="F235" i="4"/>
  <c r="C235" i="4"/>
  <c r="B235" i="4"/>
  <c r="I234" i="4"/>
  <c r="F234" i="4"/>
  <c r="C234" i="4"/>
  <c r="B234" i="4"/>
  <c r="I233" i="4"/>
  <c r="F233" i="4"/>
  <c r="C233" i="4"/>
  <c r="B233" i="4"/>
  <c r="I232" i="4"/>
  <c r="F232" i="4"/>
  <c r="C232" i="4"/>
  <c r="B232" i="4"/>
  <c r="I231" i="4"/>
  <c r="F231" i="4"/>
  <c r="C231" i="4"/>
  <c r="B231" i="4"/>
  <c r="I230" i="4"/>
  <c r="F230" i="4"/>
  <c r="C230" i="4"/>
  <c r="B230" i="4"/>
  <c r="I229" i="4"/>
  <c r="F229" i="4"/>
  <c r="C229" i="4"/>
  <c r="B229" i="4"/>
  <c r="I228" i="4"/>
  <c r="F228" i="4"/>
  <c r="C228" i="4"/>
  <c r="B228" i="4"/>
  <c r="I227" i="4"/>
  <c r="F227" i="4"/>
  <c r="C227" i="4"/>
  <c r="B227" i="4"/>
  <c r="I226" i="4"/>
  <c r="F226" i="4"/>
  <c r="C226" i="4"/>
  <c r="B226" i="4"/>
  <c r="I225" i="4"/>
  <c r="F225" i="4"/>
  <c r="C225" i="4"/>
  <c r="B225" i="4"/>
  <c r="I224" i="4"/>
  <c r="F224" i="4"/>
  <c r="C224" i="4"/>
  <c r="B224" i="4"/>
  <c r="I223" i="4"/>
  <c r="F223" i="4"/>
  <c r="C223" i="4"/>
  <c r="B223" i="4"/>
  <c r="I222" i="4"/>
  <c r="F222" i="4"/>
  <c r="C222" i="4"/>
  <c r="B222" i="4"/>
  <c r="I221" i="4"/>
  <c r="F221" i="4"/>
  <c r="C221" i="4"/>
  <c r="B221" i="4"/>
  <c r="I220" i="4"/>
  <c r="F220" i="4"/>
  <c r="C220" i="4"/>
  <c r="B220" i="4"/>
  <c r="I219" i="4"/>
  <c r="F219" i="4"/>
  <c r="C219" i="4"/>
  <c r="B219" i="4"/>
  <c r="I218" i="4"/>
  <c r="F218" i="4"/>
  <c r="C218" i="4"/>
  <c r="B218" i="4"/>
  <c r="I217" i="4"/>
  <c r="F217" i="4"/>
  <c r="C217" i="4"/>
  <c r="B217" i="4"/>
  <c r="I216" i="4"/>
  <c r="F216" i="4"/>
  <c r="C216" i="4"/>
  <c r="B216" i="4"/>
  <c r="I215" i="4"/>
  <c r="F215" i="4"/>
  <c r="C215" i="4"/>
  <c r="B215" i="4"/>
  <c r="I214" i="4"/>
  <c r="F214" i="4"/>
  <c r="C214" i="4"/>
  <c r="B214" i="4"/>
  <c r="I213" i="4"/>
  <c r="F213" i="4"/>
  <c r="C213" i="4"/>
  <c r="B213" i="4"/>
  <c r="I212" i="4"/>
  <c r="F212" i="4"/>
  <c r="C212" i="4"/>
  <c r="B212" i="4"/>
  <c r="I211" i="4"/>
  <c r="F211" i="4"/>
  <c r="C211" i="4"/>
  <c r="B211" i="4"/>
  <c r="I210" i="4"/>
  <c r="F210" i="4"/>
  <c r="C210" i="4"/>
  <c r="B210" i="4"/>
  <c r="I209" i="4"/>
  <c r="F209" i="4"/>
  <c r="C209" i="4"/>
  <c r="B209" i="4"/>
  <c r="I208" i="4"/>
  <c r="F208" i="4"/>
  <c r="C208" i="4"/>
  <c r="B208" i="4"/>
  <c r="I207" i="4"/>
  <c r="F207" i="4"/>
  <c r="C207" i="4"/>
  <c r="B207" i="4"/>
  <c r="I206" i="4"/>
  <c r="F206" i="4"/>
  <c r="C206" i="4"/>
  <c r="B206" i="4"/>
  <c r="I205" i="4"/>
  <c r="F205" i="4"/>
  <c r="C205" i="4"/>
  <c r="B205" i="4"/>
  <c r="I204" i="4"/>
  <c r="F204" i="4"/>
  <c r="C204" i="4"/>
  <c r="B204" i="4"/>
  <c r="I203" i="4"/>
  <c r="F203" i="4"/>
  <c r="C203" i="4"/>
  <c r="B203" i="4"/>
  <c r="I202" i="4"/>
  <c r="F202" i="4"/>
  <c r="C202" i="4"/>
  <c r="B202" i="4"/>
  <c r="I201" i="4"/>
  <c r="F201" i="4"/>
  <c r="C201" i="4"/>
  <c r="B201" i="4"/>
  <c r="I200" i="4"/>
  <c r="F200" i="4"/>
  <c r="C200" i="4"/>
  <c r="B200" i="4"/>
  <c r="I199" i="4"/>
  <c r="F199" i="4"/>
  <c r="C199" i="4"/>
  <c r="B199" i="4"/>
  <c r="I198" i="4"/>
  <c r="F198" i="4"/>
  <c r="C198" i="4"/>
  <c r="B198" i="4"/>
  <c r="I197" i="4"/>
  <c r="F197" i="4"/>
  <c r="C197" i="4"/>
  <c r="B197" i="4"/>
  <c r="I196" i="4"/>
  <c r="F196" i="4"/>
  <c r="C196" i="4"/>
  <c r="B196" i="4"/>
  <c r="I195" i="4"/>
  <c r="F195" i="4"/>
  <c r="C195" i="4"/>
  <c r="B195" i="4"/>
  <c r="I194" i="4"/>
  <c r="F194" i="4"/>
  <c r="C194" i="4"/>
  <c r="B194" i="4"/>
  <c r="I193" i="4"/>
  <c r="F193" i="4"/>
  <c r="C193" i="4"/>
  <c r="B193" i="4"/>
  <c r="I192" i="4"/>
  <c r="F192" i="4"/>
  <c r="C192" i="4"/>
  <c r="B192" i="4"/>
  <c r="I191" i="4"/>
  <c r="F191" i="4"/>
  <c r="C191" i="4"/>
  <c r="B191" i="4"/>
  <c r="I190" i="4"/>
  <c r="F190" i="4"/>
  <c r="C190" i="4"/>
  <c r="B190" i="4"/>
  <c r="I189" i="4"/>
  <c r="F189" i="4"/>
  <c r="C189" i="4"/>
  <c r="B189" i="4"/>
  <c r="I188" i="4"/>
  <c r="F188" i="4"/>
  <c r="C188" i="4"/>
  <c r="B188" i="4"/>
  <c r="I187" i="4"/>
  <c r="F187" i="4"/>
  <c r="C187" i="4"/>
  <c r="B187" i="4"/>
  <c r="I186" i="4"/>
  <c r="F186" i="4"/>
  <c r="C186" i="4"/>
  <c r="B186" i="4"/>
  <c r="I185" i="4"/>
  <c r="F185" i="4"/>
  <c r="C185" i="4"/>
  <c r="B185" i="4"/>
  <c r="I184" i="4"/>
  <c r="F184" i="4"/>
  <c r="C184" i="4"/>
  <c r="B184" i="4"/>
  <c r="I183" i="4"/>
  <c r="F183" i="4"/>
  <c r="C183" i="4"/>
  <c r="B183" i="4"/>
  <c r="I182" i="4"/>
  <c r="F182" i="4"/>
  <c r="C182" i="4"/>
  <c r="B182" i="4"/>
  <c r="I181" i="4"/>
  <c r="F181" i="4"/>
  <c r="C181" i="4"/>
  <c r="B181" i="4"/>
  <c r="I180" i="4"/>
  <c r="F180" i="4"/>
  <c r="C180" i="4"/>
  <c r="B180" i="4"/>
  <c r="I179" i="4"/>
  <c r="F179" i="4"/>
  <c r="C179" i="4"/>
  <c r="B179" i="4"/>
  <c r="I178" i="4"/>
  <c r="F178" i="4"/>
  <c r="C178" i="4"/>
  <c r="B178" i="4"/>
  <c r="I177" i="4"/>
  <c r="F177" i="4"/>
  <c r="C177" i="4"/>
  <c r="B177" i="4"/>
  <c r="I176" i="4"/>
  <c r="F176" i="4"/>
  <c r="C176" i="4"/>
  <c r="B176" i="4"/>
  <c r="I175" i="4"/>
  <c r="F175" i="4"/>
  <c r="C175" i="4"/>
  <c r="B175" i="4"/>
  <c r="I174" i="4"/>
  <c r="F174" i="4"/>
  <c r="C174" i="4"/>
  <c r="B174" i="4"/>
  <c r="I173" i="4"/>
  <c r="F173" i="4"/>
  <c r="C173" i="4"/>
  <c r="B173" i="4"/>
  <c r="I172" i="4"/>
  <c r="F172" i="4"/>
  <c r="C172" i="4"/>
  <c r="B172" i="4"/>
  <c r="I171" i="4"/>
  <c r="F171" i="4"/>
  <c r="C171" i="4"/>
  <c r="B171" i="4"/>
  <c r="I170" i="4"/>
  <c r="F170" i="4"/>
  <c r="C170" i="4"/>
  <c r="B170" i="4"/>
  <c r="I169" i="4"/>
  <c r="F169" i="4"/>
  <c r="C169" i="4"/>
  <c r="B169" i="4"/>
  <c r="I168" i="4"/>
  <c r="F168" i="4"/>
  <c r="C168" i="4"/>
  <c r="B168" i="4"/>
  <c r="I167" i="4"/>
  <c r="F167" i="4"/>
  <c r="C167" i="4"/>
  <c r="B167" i="4"/>
  <c r="I166" i="4"/>
  <c r="F166" i="4"/>
  <c r="C166" i="4"/>
  <c r="B166" i="4"/>
  <c r="I165" i="4"/>
  <c r="F165" i="4"/>
  <c r="C165" i="4"/>
  <c r="B165" i="4"/>
  <c r="I164" i="4"/>
  <c r="F164" i="4"/>
  <c r="C164" i="4"/>
  <c r="B164" i="4"/>
  <c r="I163" i="4"/>
  <c r="F163" i="4"/>
  <c r="C163" i="4"/>
  <c r="B163" i="4"/>
  <c r="I162" i="4"/>
  <c r="F162" i="4"/>
  <c r="C162" i="4"/>
  <c r="B162" i="4"/>
  <c r="I161" i="4"/>
  <c r="F161" i="4"/>
  <c r="C161" i="4"/>
  <c r="B161" i="4"/>
  <c r="I160" i="4"/>
  <c r="F160" i="4"/>
  <c r="C160" i="4"/>
  <c r="B160" i="4"/>
  <c r="I159" i="4"/>
  <c r="F159" i="4"/>
  <c r="C159" i="4"/>
  <c r="B159" i="4"/>
  <c r="I158" i="4"/>
  <c r="F158" i="4"/>
  <c r="C158" i="4"/>
  <c r="B158" i="4"/>
  <c r="I157" i="4"/>
  <c r="F157" i="4"/>
  <c r="C157" i="4"/>
  <c r="B157" i="4"/>
  <c r="I156" i="4"/>
  <c r="F156" i="4"/>
  <c r="C156" i="4"/>
  <c r="B156" i="4"/>
  <c r="I155" i="4"/>
  <c r="F155" i="4"/>
  <c r="C155" i="4"/>
  <c r="B155" i="4"/>
  <c r="I154" i="4"/>
  <c r="F154" i="4"/>
  <c r="C154" i="4"/>
  <c r="B154" i="4"/>
  <c r="I153" i="4"/>
  <c r="F153" i="4"/>
  <c r="C153" i="4"/>
  <c r="B153" i="4"/>
  <c r="I152" i="4"/>
  <c r="F152" i="4"/>
  <c r="C152" i="4"/>
  <c r="B152" i="4"/>
  <c r="I151" i="4"/>
  <c r="F151" i="4"/>
  <c r="C151" i="4"/>
  <c r="B151" i="4"/>
  <c r="I150" i="4"/>
  <c r="F150" i="4"/>
  <c r="C150" i="4"/>
  <c r="B150" i="4"/>
  <c r="I149" i="4"/>
  <c r="F149" i="4"/>
  <c r="C149" i="4"/>
  <c r="B149" i="4"/>
  <c r="I148" i="4"/>
  <c r="F148" i="4"/>
  <c r="C148" i="4"/>
  <c r="B148" i="4"/>
  <c r="I147" i="4"/>
  <c r="F147" i="4"/>
  <c r="C147" i="4"/>
  <c r="B147" i="4"/>
  <c r="I146" i="4"/>
  <c r="F146" i="4"/>
  <c r="C146" i="4"/>
  <c r="B146" i="4"/>
  <c r="I145" i="4"/>
  <c r="F145" i="4"/>
  <c r="C145" i="4"/>
  <c r="B145" i="4"/>
  <c r="I144" i="4"/>
  <c r="F144" i="4"/>
  <c r="C144" i="4"/>
  <c r="B144" i="4"/>
  <c r="I143" i="4"/>
  <c r="F143" i="4"/>
  <c r="C143" i="4"/>
  <c r="B143" i="4"/>
  <c r="I142" i="4"/>
  <c r="F142" i="4"/>
  <c r="C142" i="4"/>
  <c r="B142" i="4"/>
  <c r="I141" i="4"/>
  <c r="F141" i="4"/>
  <c r="C141" i="4"/>
  <c r="B141" i="4"/>
  <c r="I140" i="4"/>
  <c r="F140" i="4"/>
  <c r="C140" i="4"/>
  <c r="B140" i="4"/>
  <c r="I139" i="4"/>
  <c r="F139" i="4"/>
  <c r="C139" i="4"/>
  <c r="B139" i="4"/>
  <c r="I138" i="4"/>
  <c r="F138" i="4"/>
  <c r="C138" i="4"/>
  <c r="B138" i="4"/>
  <c r="I137" i="4"/>
  <c r="F137" i="4"/>
  <c r="C137" i="4"/>
  <c r="B137" i="4"/>
  <c r="I136" i="4"/>
  <c r="F136" i="4"/>
  <c r="C136" i="4"/>
  <c r="B136" i="4"/>
  <c r="I135" i="4"/>
  <c r="F135" i="4"/>
  <c r="C135" i="4"/>
  <c r="B135" i="4"/>
  <c r="I134" i="4"/>
  <c r="F134" i="4"/>
  <c r="C134" i="4"/>
  <c r="B134" i="4"/>
  <c r="I133" i="4"/>
  <c r="F133" i="4"/>
  <c r="C133" i="4"/>
  <c r="B133" i="4"/>
  <c r="I132" i="4"/>
  <c r="F132" i="4"/>
  <c r="C132" i="4"/>
  <c r="B132" i="4"/>
  <c r="I131" i="4"/>
  <c r="F131" i="4"/>
  <c r="C131" i="4"/>
  <c r="B131" i="4"/>
  <c r="I130" i="4"/>
  <c r="F130" i="4"/>
  <c r="C130" i="4"/>
  <c r="B130" i="4"/>
  <c r="I129" i="4"/>
  <c r="F129" i="4"/>
  <c r="C129" i="4"/>
  <c r="B129" i="4"/>
  <c r="I128" i="4"/>
  <c r="F128" i="4"/>
  <c r="C128" i="4"/>
  <c r="B128" i="4"/>
  <c r="I127" i="4"/>
  <c r="F127" i="4"/>
  <c r="C127" i="4"/>
  <c r="B127" i="4"/>
  <c r="I126" i="4"/>
  <c r="F126" i="4"/>
  <c r="C126" i="4"/>
  <c r="B126" i="4"/>
  <c r="I125" i="4"/>
  <c r="F125" i="4"/>
  <c r="C125" i="4"/>
  <c r="B125" i="4"/>
  <c r="I124" i="4"/>
  <c r="F124" i="4"/>
  <c r="C124" i="4"/>
  <c r="B124" i="4"/>
  <c r="I123" i="4"/>
  <c r="F123" i="4"/>
  <c r="C123" i="4"/>
  <c r="B123" i="4"/>
  <c r="I122" i="4"/>
  <c r="F122" i="4"/>
  <c r="C122" i="4"/>
  <c r="B122" i="4"/>
  <c r="I121" i="4"/>
  <c r="F121" i="4"/>
  <c r="C121" i="4"/>
  <c r="B121" i="4"/>
  <c r="I120" i="4"/>
  <c r="F120" i="4"/>
  <c r="C120" i="4"/>
  <c r="B120" i="4"/>
  <c r="I119" i="4"/>
  <c r="F119" i="4"/>
  <c r="C119" i="4"/>
  <c r="B119" i="4"/>
  <c r="I118" i="4"/>
  <c r="F118" i="4"/>
  <c r="C118" i="4"/>
  <c r="B118" i="4"/>
  <c r="I117" i="4"/>
  <c r="F117" i="4"/>
  <c r="C117" i="4"/>
  <c r="B117" i="4"/>
  <c r="I116" i="4"/>
  <c r="F116" i="4"/>
  <c r="C116" i="4"/>
  <c r="B116" i="4"/>
  <c r="I115" i="4"/>
  <c r="F115" i="4"/>
  <c r="C115" i="4"/>
  <c r="B115" i="4"/>
  <c r="I114" i="4"/>
  <c r="F114" i="4"/>
  <c r="C114" i="4"/>
  <c r="B114" i="4"/>
  <c r="I113" i="4"/>
  <c r="F113" i="4"/>
  <c r="C113" i="4"/>
  <c r="B113" i="4"/>
  <c r="I112" i="4"/>
  <c r="F112" i="4"/>
  <c r="C112" i="4"/>
  <c r="B112" i="4"/>
  <c r="I111" i="4"/>
  <c r="F111" i="4"/>
  <c r="C111" i="4"/>
  <c r="B111" i="4"/>
  <c r="I110" i="4"/>
  <c r="F110" i="4"/>
  <c r="C110" i="4"/>
  <c r="B110" i="4"/>
  <c r="I109" i="4"/>
  <c r="F109" i="4"/>
  <c r="C109" i="4"/>
  <c r="B109" i="4"/>
  <c r="I108" i="4"/>
  <c r="F108" i="4"/>
  <c r="C108" i="4"/>
  <c r="B108" i="4"/>
  <c r="I107" i="4"/>
  <c r="F107" i="4"/>
  <c r="C107" i="4"/>
  <c r="B107" i="4"/>
  <c r="I106" i="4"/>
  <c r="F106" i="4"/>
  <c r="C106" i="4"/>
  <c r="B106" i="4"/>
  <c r="I105" i="4"/>
  <c r="F105" i="4"/>
  <c r="C105" i="4"/>
  <c r="B105" i="4"/>
  <c r="I104" i="4"/>
  <c r="F104" i="4"/>
  <c r="C104" i="4"/>
  <c r="B104" i="4"/>
  <c r="I103" i="4"/>
  <c r="F103" i="4"/>
  <c r="C103" i="4"/>
  <c r="B103" i="4"/>
  <c r="I102" i="4"/>
  <c r="F102" i="4"/>
  <c r="C102" i="4"/>
  <c r="B102" i="4"/>
  <c r="I101" i="4"/>
  <c r="F101" i="4"/>
  <c r="C101" i="4"/>
  <c r="B101" i="4"/>
  <c r="I100" i="4"/>
  <c r="F100" i="4"/>
  <c r="C100" i="4"/>
  <c r="B100" i="4"/>
  <c r="I99" i="4"/>
  <c r="F99" i="4"/>
  <c r="C99" i="4"/>
  <c r="B99" i="4"/>
  <c r="I98" i="4"/>
  <c r="F98" i="4"/>
  <c r="C98" i="4"/>
  <c r="B98" i="4"/>
  <c r="I97" i="4"/>
  <c r="F97" i="4"/>
  <c r="C97" i="4"/>
  <c r="B97" i="4"/>
  <c r="I96" i="4"/>
  <c r="F96" i="4"/>
  <c r="C96" i="4"/>
  <c r="B96" i="4"/>
  <c r="I95" i="4"/>
  <c r="F95" i="4"/>
  <c r="C95" i="4"/>
  <c r="B95" i="4"/>
  <c r="I94" i="4"/>
  <c r="F94" i="4"/>
  <c r="C94" i="4"/>
  <c r="B94" i="4"/>
  <c r="I93" i="4"/>
  <c r="F93" i="4"/>
  <c r="C93" i="4"/>
  <c r="B93" i="4"/>
  <c r="I92" i="4"/>
  <c r="F92" i="4"/>
  <c r="C92" i="4"/>
  <c r="B92" i="4"/>
  <c r="I91" i="4"/>
  <c r="F91" i="4"/>
  <c r="H378" i="11" s="1"/>
  <c r="K378" i="11" s="1"/>
  <c r="C91" i="4"/>
  <c r="I90" i="4"/>
  <c r="F90" i="4"/>
  <c r="C90" i="4"/>
  <c r="I89" i="4"/>
  <c r="F89" i="4"/>
  <c r="H369" i="11" s="1"/>
  <c r="K369" i="11" s="1"/>
  <c r="C89" i="4"/>
  <c r="I88" i="4"/>
  <c r="F88" i="4"/>
  <c r="H362" i="11" s="1"/>
  <c r="K362" i="11" s="1"/>
  <c r="C88" i="4"/>
  <c r="I87" i="4"/>
  <c r="F87" i="4"/>
  <c r="C87" i="4"/>
  <c r="I86" i="4"/>
  <c r="F86" i="4"/>
  <c r="C86" i="4"/>
  <c r="I85" i="4"/>
  <c r="F85" i="4"/>
  <c r="C85" i="4"/>
  <c r="I84" i="4"/>
  <c r="F84" i="4"/>
  <c r="H352" i="11" s="1"/>
  <c r="C84" i="4"/>
  <c r="I83" i="4"/>
  <c r="F83" i="4"/>
  <c r="B83" i="4"/>
  <c r="F82" i="4"/>
  <c r="H340" i="11" s="1"/>
  <c r="C82" i="4"/>
  <c r="F81" i="4"/>
  <c r="I81" i="4" s="1"/>
  <c r="C81" i="4"/>
  <c r="F80" i="4"/>
  <c r="H318" i="11" s="1"/>
  <c r="C80" i="4"/>
  <c r="F79" i="4"/>
  <c r="I79" i="4" s="1"/>
  <c r="I78" i="4"/>
  <c r="F78" i="4"/>
  <c r="H304" i="11" s="1"/>
  <c r="K304" i="11" s="1"/>
  <c r="C78" i="4"/>
  <c r="I77" i="4"/>
  <c r="F77" i="4"/>
  <c r="C77" i="4"/>
  <c r="I76" i="4"/>
  <c r="F76" i="4"/>
  <c r="H293" i="11" s="1"/>
  <c r="K293" i="11" s="1"/>
  <c r="C76" i="4"/>
  <c r="I75" i="4"/>
  <c r="F75" i="4"/>
  <c r="C75" i="4"/>
  <c r="I74" i="4"/>
  <c r="F74" i="4"/>
  <c r="C74" i="4"/>
  <c r="I73" i="4"/>
  <c r="F73" i="4"/>
  <c r="H286" i="11" s="1"/>
  <c r="K286" i="11" s="1"/>
  <c r="C73" i="4"/>
  <c r="I72" i="4"/>
  <c r="F72" i="4"/>
  <c r="H284" i="11" s="1"/>
  <c r="K284" i="11" s="1"/>
  <c r="C72" i="4"/>
  <c r="I71" i="4"/>
  <c r="F71" i="4"/>
  <c r="C71" i="4"/>
  <c r="I70" i="4"/>
  <c r="F70" i="4"/>
  <c r="H280" i="11" s="1"/>
  <c r="C70" i="4"/>
  <c r="I69" i="4"/>
  <c r="F69" i="4"/>
  <c r="C69" i="4"/>
  <c r="I68" i="4"/>
  <c r="F68" i="4"/>
  <c r="H275" i="11" s="1"/>
  <c r="K275" i="11" s="1"/>
  <c r="AO1306" i="7" s="1"/>
  <c r="C68" i="4"/>
  <c r="I67" i="4"/>
  <c r="F67" i="4"/>
  <c r="C67" i="4"/>
  <c r="I66" i="4"/>
  <c r="F66" i="4"/>
  <c r="H273" i="11" s="1"/>
  <c r="C66" i="4"/>
  <c r="I65" i="4"/>
  <c r="F65" i="4"/>
  <c r="C65" i="4"/>
  <c r="I64" i="4"/>
  <c r="F64" i="4"/>
  <c r="H265" i="11" s="1"/>
  <c r="C64" i="4"/>
  <c r="I63" i="4"/>
  <c r="F63" i="4"/>
  <c r="C63" i="4"/>
  <c r="I62" i="4"/>
  <c r="F62" i="4"/>
  <c r="H248" i="11" s="1"/>
  <c r="C62" i="4"/>
  <c r="I61" i="4"/>
  <c r="F61" i="4"/>
  <c r="C61" i="4"/>
  <c r="I60" i="4"/>
  <c r="F60" i="4"/>
  <c r="H231" i="11" s="1"/>
  <c r="C60" i="4"/>
  <c r="I59" i="4"/>
  <c r="F59" i="4"/>
  <c r="H229" i="11" s="1"/>
  <c r="C59" i="4"/>
  <c r="I58" i="4"/>
  <c r="F58" i="4"/>
  <c r="H227" i="11" s="1"/>
  <c r="K227" i="11" s="1"/>
  <c r="C58" i="4"/>
  <c r="I57" i="4"/>
  <c r="F57" i="4"/>
  <c r="C57" i="4"/>
  <c r="I56" i="4"/>
  <c r="F56" i="4"/>
  <c r="H217" i="11" s="1"/>
  <c r="K217" i="11" s="1"/>
  <c r="P88" i="8" s="1"/>
  <c r="S88" i="8" s="1"/>
  <c r="X88" i="8" s="1"/>
  <c r="AC88" i="8" s="1"/>
  <c r="AG88" i="8" s="1"/>
  <c r="C56" i="4"/>
  <c r="I55" i="4"/>
  <c r="F55" i="4"/>
  <c r="H215" i="11" s="1"/>
  <c r="C55" i="4"/>
  <c r="I54" i="4"/>
  <c r="F54" i="4"/>
  <c r="H209" i="11" s="1"/>
  <c r="K209" i="11" s="1"/>
  <c r="C54" i="4"/>
  <c r="I53" i="4"/>
  <c r="F53" i="4"/>
  <c r="H201" i="11" s="1"/>
  <c r="K201" i="11" s="1"/>
  <c r="L55" i="6" s="1"/>
  <c r="L57" i="6" s="1"/>
  <c r="Q80" i="8" s="1"/>
  <c r="S80" i="8" s="1"/>
  <c r="X80" i="8" s="1"/>
  <c r="C53" i="4"/>
  <c r="I52" i="4"/>
  <c r="F52" i="4"/>
  <c r="C52" i="4"/>
  <c r="I51" i="4"/>
  <c r="F51" i="4"/>
  <c r="H199" i="11" s="1"/>
  <c r="C51" i="4"/>
  <c r="I50" i="4"/>
  <c r="F50" i="4"/>
  <c r="C50" i="4"/>
  <c r="I49" i="4"/>
  <c r="F49" i="4"/>
  <c r="F48" i="4"/>
  <c r="H167" i="11" s="1"/>
  <c r="K167" i="11" s="1"/>
  <c r="L122" i="6" s="1"/>
  <c r="C48" i="4"/>
  <c r="F47" i="4"/>
  <c r="I47" i="4" s="1"/>
  <c r="C47" i="4"/>
  <c r="F46" i="4"/>
  <c r="H165" i="11" s="1"/>
  <c r="K165" i="11" s="1"/>
  <c r="L114" i="6" s="1"/>
  <c r="L115" i="6" s="1"/>
  <c r="C46" i="4"/>
  <c r="F45" i="4"/>
  <c r="I45" i="4" s="1"/>
  <c r="C45" i="4"/>
  <c r="F44" i="4"/>
  <c r="H163" i="11" s="1"/>
  <c r="C44" i="4"/>
  <c r="F43" i="4"/>
  <c r="I43" i="4" s="1"/>
  <c r="C43" i="4"/>
  <c r="F42" i="4"/>
  <c r="H159" i="11" s="1"/>
  <c r="K159" i="11" s="1"/>
  <c r="L3" i="6" s="1"/>
  <c r="L5" i="6" s="1"/>
  <c r="C42" i="4"/>
  <c r="F41" i="4"/>
  <c r="I41" i="4" s="1"/>
  <c r="C41" i="4"/>
  <c r="F40" i="4"/>
  <c r="H157" i="11" s="1"/>
  <c r="C40" i="4"/>
  <c r="F39" i="4"/>
  <c r="H153" i="11" s="1"/>
  <c r="C39" i="4"/>
  <c r="F38" i="4"/>
  <c r="H151" i="11" s="1"/>
  <c r="K151" i="11" s="1"/>
  <c r="D162" i="6" s="1"/>
  <c r="D163" i="6" s="1"/>
  <c r="C38" i="4"/>
  <c r="F37" i="4"/>
  <c r="H149" i="11" s="1"/>
  <c r="C37" i="4"/>
  <c r="F36" i="4"/>
  <c r="I36" i="4" s="1"/>
  <c r="I35" i="4"/>
  <c r="F35" i="4"/>
  <c r="C35" i="4"/>
  <c r="I34" i="4"/>
  <c r="F34" i="4"/>
  <c r="C34" i="4"/>
  <c r="I33" i="4"/>
  <c r="F33" i="4"/>
  <c r="C33" i="4"/>
  <c r="I32" i="4"/>
  <c r="F32" i="4"/>
  <c r="C32" i="4"/>
  <c r="I31" i="4"/>
  <c r="F31" i="4"/>
  <c r="H111" i="11" s="1"/>
  <c r="K111" i="11" s="1"/>
  <c r="C31" i="4"/>
  <c r="I30" i="4"/>
  <c r="F30" i="4"/>
  <c r="C30" i="4"/>
  <c r="I29" i="4"/>
  <c r="F29" i="4"/>
  <c r="C29" i="4"/>
  <c r="I28" i="4"/>
  <c r="F28" i="4"/>
  <c r="H89" i="11" s="1"/>
  <c r="C28" i="4"/>
  <c r="I27" i="4"/>
  <c r="F27" i="4"/>
  <c r="H87" i="11" s="1"/>
  <c r="C27" i="4"/>
  <c r="I26" i="4"/>
  <c r="F26" i="4"/>
  <c r="H83" i="11" s="1"/>
  <c r="C26" i="4"/>
  <c r="I25" i="4"/>
  <c r="F25" i="4"/>
  <c r="C25" i="4"/>
  <c r="I24" i="4"/>
  <c r="F24" i="4"/>
  <c r="C24" i="4"/>
  <c r="I23" i="4"/>
  <c r="F23" i="4"/>
  <c r="C23" i="4"/>
  <c r="I22" i="4"/>
  <c r="F22" i="4"/>
  <c r="H61" i="11" s="1"/>
  <c r="AO15" i="8" s="1"/>
  <c r="AP15" i="8" s="1"/>
  <c r="C22" i="4"/>
  <c r="I21" i="4"/>
  <c r="F21" i="4"/>
  <c r="C21" i="4"/>
  <c r="I20" i="4"/>
  <c r="F20" i="4"/>
  <c r="H54" i="11" s="1"/>
  <c r="K54" i="11" s="1"/>
  <c r="T7" i="8" s="1"/>
  <c r="U7" i="8" s="1"/>
  <c r="C20" i="4"/>
  <c r="I19" i="4"/>
  <c r="F19" i="4"/>
  <c r="H32" i="11" s="1"/>
  <c r="K32" i="11" s="1"/>
  <c r="P20" i="8" s="1"/>
  <c r="S20" i="8" s="1"/>
  <c r="C19" i="4"/>
  <c r="I18" i="4"/>
  <c r="F18" i="4"/>
  <c r="C18" i="4"/>
  <c r="I17" i="4"/>
  <c r="F17" i="4"/>
  <c r="H20" i="11" s="1"/>
  <c r="AK17" i="8" s="1"/>
  <c r="AN17" i="8" s="1"/>
  <c r="AS17" i="8" s="1"/>
  <c r="C17" i="4"/>
  <c r="I16" i="4"/>
  <c r="F16" i="4"/>
  <c r="C16" i="4"/>
  <c r="I15" i="4"/>
  <c r="F15" i="4"/>
  <c r="H16" i="11" s="1"/>
  <c r="C15" i="4"/>
  <c r="I14" i="4"/>
  <c r="F14" i="4"/>
  <c r="C14" i="4"/>
  <c r="I13" i="4"/>
  <c r="F13" i="4"/>
  <c r="H9" i="11" s="1"/>
  <c r="C13" i="4"/>
  <c r="E10" i="4"/>
  <c r="B91" i="4" s="1"/>
  <c r="G7" i="4"/>
  <c r="G5" i="4"/>
  <c r="G4" i="4"/>
  <c r="G3" i="4"/>
  <c r="G2" i="4"/>
  <c r="I314" i="3"/>
  <c r="F314" i="3"/>
  <c r="C314" i="3"/>
  <c r="B314" i="3"/>
  <c r="I313" i="3"/>
  <c r="F313" i="3"/>
  <c r="C313" i="3"/>
  <c r="B313" i="3"/>
  <c r="I312" i="3"/>
  <c r="F312" i="3"/>
  <c r="C312" i="3"/>
  <c r="B312" i="3"/>
  <c r="I311" i="3"/>
  <c r="F311" i="3"/>
  <c r="C311" i="3"/>
  <c r="B311" i="3"/>
  <c r="I310" i="3"/>
  <c r="F310" i="3"/>
  <c r="C310" i="3"/>
  <c r="B310" i="3"/>
  <c r="I309" i="3"/>
  <c r="F309" i="3"/>
  <c r="C309" i="3"/>
  <c r="B309" i="3"/>
  <c r="I308" i="3"/>
  <c r="F308" i="3"/>
  <c r="C308" i="3"/>
  <c r="B308" i="3"/>
  <c r="I307" i="3"/>
  <c r="F307" i="3"/>
  <c r="C307" i="3"/>
  <c r="B307" i="3"/>
  <c r="I306" i="3"/>
  <c r="F306" i="3"/>
  <c r="C306" i="3"/>
  <c r="B306" i="3"/>
  <c r="I305" i="3"/>
  <c r="F305" i="3"/>
  <c r="C305" i="3"/>
  <c r="B305" i="3"/>
  <c r="I304" i="3"/>
  <c r="F304" i="3"/>
  <c r="C304" i="3"/>
  <c r="B304" i="3"/>
  <c r="I303" i="3"/>
  <c r="F303" i="3"/>
  <c r="C303" i="3"/>
  <c r="B303" i="3"/>
  <c r="I302" i="3"/>
  <c r="F302" i="3"/>
  <c r="C302" i="3"/>
  <c r="B302" i="3"/>
  <c r="I301" i="3"/>
  <c r="F301" i="3"/>
  <c r="C301" i="3"/>
  <c r="B301" i="3"/>
  <c r="I300" i="3"/>
  <c r="F300" i="3"/>
  <c r="C300" i="3"/>
  <c r="B300" i="3"/>
  <c r="I299" i="3"/>
  <c r="F299" i="3"/>
  <c r="C299" i="3"/>
  <c r="B299" i="3"/>
  <c r="I298" i="3"/>
  <c r="F298" i="3"/>
  <c r="C298" i="3"/>
  <c r="B298" i="3"/>
  <c r="I297" i="3"/>
  <c r="F297" i="3"/>
  <c r="C297" i="3"/>
  <c r="B297" i="3"/>
  <c r="I296" i="3"/>
  <c r="F296" i="3"/>
  <c r="C296" i="3"/>
  <c r="B296" i="3"/>
  <c r="I295" i="3"/>
  <c r="F295" i="3"/>
  <c r="C295" i="3"/>
  <c r="B295" i="3"/>
  <c r="I294" i="3"/>
  <c r="F294" i="3"/>
  <c r="C294" i="3"/>
  <c r="B294" i="3"/>
  <c r="I293" i="3"/>
  <c r="F293" i="3"/>
  <c r="C293" i="3"/>
  <c r="B293" i="3"/>
  <c r="I292" i="3"/>
  <c r="F292" i="3"/>
  <c r="C292" i="3"/>
  <c r="B292" i="3"/>
  <c r="I291" i="3"/>
  <c r="F291" i="3"/>
  <c r="C291" i="3"/>
  <c r="B291" i="3"/>
  <c r="I290" i="3"/>
  <c r="F290" i="3"/>
  <c r="C290" i="3"/>
  <c r="B290" i="3"/>
  <c r="I289" i="3"/>
  <c r="F289" i="3"/>
  <c r="C289" i="3"/>
  <c r="B289" i="3"/>
  <c r="I288" i="3"/>
  <c r="F288" i="3"/>
  <c r="C288" i="3"/>
  <c r="B288" i="3"/>
  <c r="I287" i="3"/>
  <c r="F287" i="3"/>
  <c r="C287" i="3"/>
  <c r="B287" i="3"/>
  <c r="I286" i="3"/>
  <c r="F286" i="3"/>
  <c r="C286" i="3"/>
  <c r="B286" i="3"/>
  <c r="I285" i="3"/>
  <c r="F285" i="3"/>
  <c r="C285" i="3"/>
  <c r="B285" i="3"/>
  <c r="I284" i="3"/>
  <c r="F284" i="3"/>
  <c r="C284" i="3"/>
  <c r="B284" i="3"/>
  <c r="I283" i="3"/>
  <c r="F283" i="3"/>
  <c r="C283" i="3"/>
  <c r="B283" i="3"/>
  <c r="I282" i="3"/>
  <c r="F282" i="3"/>
  <c r="C282" i="3"/>
  <c r="B282" i="3"/>
  <c r="I281" i="3"/>
  <c r="F281" i="3"/>
  <c r="C281" i="3"/>
  <c r="B281" i="3"/>
  <c r="I280" i="3"/>
  <c r="F280" i="3"/>
  <c r="C280" i="3"/>
  <c r="B280" i="3"/>
  <c r="I279" i="3"/>
  <c r="F279" i="3"/>
  <c r="C279" i="3"/>
  <c r="B279" i="3"/>
  <c r="I278" i="3"/>
  <c r="F278" i="3"/>
  <c r="C278" i="3"/>
  <c r="B278" i="3"/>
  <c r="I277" i="3"/>
  <c r="F277" i="3"/>
  <c r="C277" i="3"/>
  <c r="B277" i="3"/>
  <c r="I276" i="3"/>
  <c r="F276" i="3"/>
  <c r="C276" i="3"/>
  <c r="B276" i="3"/>
  <c r="I275" i="3"/>
  <c r="F275" i="3"/>
  <c r="C275" i="3"/>
  <c r="B275" i="3"/>
  <c r="I274" i="3"/>
  <c r="F274" i="3"/>
  <c r="C274" i="3"/>
  <c r="B274" i="3"/>
  <c r="I273" i="3"/>
  <c r="F273" i="3"/>
  <c r="C273" i="3"/>
  <c r="B273" i="3"/>
  <c r="I272" i="3"/>
  <c r="F272" i="3"/>
  <c r="C272" i="3"/>
  <c r="B272" i="3"/>
  <c r="I271" i="3"/>
  <c r="F271" i="3"/>
  <c r="C271" i="3"/>
  <c r="B271" i="3"/>
  <c r="I270" i="3"/>
  <c r="F270" i="3"/>
  <c r="C270" i="3"/>
  <c r="B270" i="3"/>
  <c r="I269" i="3"/>
  <c r="F269" i="3"/>
  <c r="C269" i="3"/>
  <c r="B269" i="3"/>
  <c r="I268" i="3"/>
  <c r="F268" i="3"/>
  <c r="C268" i="3"/>
  <c r="B268" i="3"/>
  <c r="I267" i="3"/>
  <c r="F267" i="3"/>
  <c r="C267" i="3"/>
  <c r="B267" i="3"/>
  <c r="I266" i="3"/>
  <c r="F266" i="3"/>
  <c r="C266" i="3"/>
  <c r="B266" i="3"/>
  <c r="I265" i="3"/>
  <c r="F265" i="3"/>
  <c r="C265" i="3"/>
  <c r="B265" i="3"/>
  <c r="I264" i="3"/>
  <c r="F264" i="3"/>
  <c r="C264" i="3"/>
  <c r="B264" i="3"/>
  <c r="I263" i="3"/>
  <c r="F263" i="3"/>
  <c r="C263" i="3"/>
  <c r="B263" i="3"/>
  <c r="I262" i="3"/>
  <c r="F262" i="3"/>
  <c r="C262" i="3"/>
  <c r="B262" i="3"/>
  <c r="I261" i="3"/>
  <c r="F261" i="3"/>
  <c r="C261" i="3"/>
  <c r="B261" i="3"/>
  <c r="I260" i="3"/>
  <c r="F260" i="3"/>
  <c r="C260" i="3"/>
  <c r="B260" i="3"/>
  <c r="I259" i="3"/>
  <c r="F259" i="3"/>
  <c r="C259" i="3"/>
  <c r="B259" i="3"/>
  <c r="I258" i="3"/>
  <c r="F258" i="3"/>
  <c r="C258" i="3"/>
  <c r="B258" i="3"/>
  <c r="I257" i="3"/>
  <c r="F257" i="3"/>
  <c r="C257" i="3"/>
  <c r="B257" i="3"/>
  <c r="I256" i="3"/>
  <c r="F256" i="3"/>
  <c r="C256" i="3"/>
  <c r="B256" i="3"/>
  <c r="I255" i="3"/>
  <c r="F255" i="3"/>
  <c r="C255" i="3"/>
  <c r="B255" i="3"/>
  <c r="I254" i="3"/>
  <c r="F254" i="3"/>
  <c r="C254" i="3"/>
  <c r="B254" i="3"/>
  <c r="I253" i="3"/>
  <c r="F253" i="3"/>
  <c r="C253" i="3"/>
  <c r="B253" i="3"/>
  <c r="I252" i="3"/>
  <c r="F252" i="3"/>
  <c r="C252" i="3"/>
  <c r="B252" i="3"/>
  <c r="I251" i="3"/>
  <c r="F251" i="3"/>
  <c r="C251" i="3"/>
  <c r="B251" i="3"/>
  <c r="I250" i="3"/>
  <c r="F250" i="3"/>
  <c r="C250" i="3"/>
  <c r="B250" i="3"/>
  <c r="I249" i="3"/>
  <c r="F249" i="3"/>
  <c r="C249" i="3"/>
  <c r="B249" i="3"/>
  <c r="I248" i="3"/>
  <c r="F248" i="3"/>
  <c r="C248" i="3"/>
  <c r="B248" i="3"/>
  <c r="I247" i="3"/>
  <c r="F247" i="3"/>
  <c r="C247" i="3"/>
  <c r="B247" i="3"/>
  <c r="I246" i="3"/>
  <c r="F246" i="3"/>
  <c r="C246" i="3"/>
  <c r="B246" i="3"/>
  <c r="I245" i="3"/>
  <c r="F245" i="3"/>
  <c r="C245" i="3"/>
  <c r="B245" i="3"/>
  <c r="I244" i="3"/>
  <c r="F244" i="3"/>
  <c r="C244" i="3"/>
  <c r="B244" i="3"/>
  <c r="I243" i="3"/>
  <c r="F243" i="3"/>
  <c r="C243" i="3"/>
  <c r="B243" i="3"/>
  <c r="I242" i="3"/>
  <c r="F242" i="3"/>
  <c r="C242" i="3"/>
  <c r="B242" i="3"/>
  <c r="I241" i="3"/>
  <c r="F241" i="3"/>
  <c r="C241" i="3"/>
  <c r="B241" i="3"/>
  <c r="I240" i="3"/>
  <c r="F240" i="3"/>
  <c r="C240" i="3"/>
  <c r="B240" i="3"/>
  <c r="I239" i="3"/>
  <c r="F239" i="3"/>
  <c r="C239" i="3"/>
  <c r="B239" i="3"/>
  <c r="I238" i="3"/>
  <c r="F238" i="3"/>
  <c r="C238" i="3"/>
  <c r="B238" i="3"/>
  <c r="I237" i="3"/>
  <c r="F237" i="3"/>
  <c r="C237" i="3"/>
  <c r="B237" i="3"/>
  <c r="I236" i="3"/>
  <c r="F236" i="3"/>
  <c r="C236" i="3"/>
  <c r="B236" i="3"/>
  <c r="I235" i="3"/>
  <c r="F235" i="3"/>
  <c r="C235" i="3"/>
  <c r="B235" i="3"/>
  <c r="I234" i="3"/>
  <c r="F234" i="3"/>
  <c r="C234" i="3"/>
  <c r="B234" i="3"/>
  <c r="I233" i="3"/>
  <c r="F233" i="3"/>
  <c r="C233" i="3"/>
  <c r="B233" i="3"/>
  <c r="I232" i="3"/>
  <c r="F232" i="3"/>
  <c r="C232" i="3"/>
  <c r="B232" i="3"/>
  <c r="I231" i="3"/>
  <c r="F231" i="3"/>
  <c r="C231" i="3"/>
  <c r="B231" i="3"/>
  <c r="I230" i="3"/>
  <c r="F230" i="3"/>
  <c r="C230" i="3"/>
  <c r="B230" i="3"/>
  <c r="I229" i="3"/>
  <c r="F229" i="3"/>
  <c r="C229" i="3"/>
  <c r="B229" i="3"/>
  <c r="I228" i="3"/>
  <c r="F228" i="3"/>
  <c r="C228" i="3"/>
  <c r="B228" i="3"/>
  <c r="I227" i="3"/>
  <c r="F227" i="3"/>
  <c r="C227" i="3"/>
  <c r="B227" i="3"/>
  <c r="I226" i="3"/>
  <c r="F226" i="3"/>
  <c r="C226" i="3"/>
  <c r="B226" i="3"/>
  <c r="I225" i="3"/>
  <c r="F225" i="3"/>
  <c r="C225" i="3"/>
  <c r="B225" i="3"/>
  <c r="I224" i="3"/>
  <c r="F224" i="3"/>
  <c r="C224" i="3"/>
  <c r="B224" i="3"/>
  <c r="I223" i="3"/>
  <c r="F223" i="3"/>
  <c r="C223" i="3"/>
  <c r="B223" i="3"/>
  <c r="I222" i="3"/>
  <c r="F222" i="3"/>
  <c r="C222" i="3"/>
  <c r="B222" i="3"/>
  <c r="I221" i="3"/>
  <c r="F221" i="3"/>
  <c r="C221" i="3"/>
  <c r="B221" i="3"/>
  <c r="I220" i="3"/>
  <c r="F220" i="3"/>
  <c r="C220" i="3"/>
  <c r="B220" i="3"/>
  <c r="I219" i="3"/>
  <c r="F219" i="3"/>
  <c r="C219" i="3"/>
  <c r="B219" i="3"/>
  <c r="I218" i="3"/>
  <c r="F218" i="3"/>
  <c r="C218" i="3"/>
  <c r="B218" i="3"/>
  <c r="I217" i="3"/>
  <c r="F217" i="3"/>
  <c r="C217" i="3"/>
  <c r="B217" i="3"/>
  <c r="I216" i="3"/>
  <c r="F216" i="3"/>
  <c r="C216" i="3"/>
  <c r="B216" i="3"/>
  <c r="I215" i="3"/>
  <c r="F215" i="3"/>
  <c r="C215" i="3"/>
  <c r="B215" i="3"/>
  <c r="I214" i="3"/>
  <c r="F214" i="3"/>
  <c r="C214" i="3"/>
  <c r="B214" i="3"/>
  <c r="I213" i="3"/>
  <c r="F213" i="3"/>
  <c r="C213" i="3"/>
  <c r="B213" i="3"/>
  <c r="I212" i="3"/>
  <c r="F212" i="3"/>
  <c r="C212" i="3"/>
  <c r="B212" i="3"/>
  <c r="I211" i="3"/>
  <c r="F211" i="3"/>
  <c r="C211" i="3"/>
  <c r="B211" i="3"/>
  <c r="I210" i="3"/>
  <c r="F210" i="3"/>
  <c r="C210" i="3"/>
  <c r="B210" i="3"/>
  <c r="I209" i="3"/>
  <c r="F209" i="3"/>
  <c r="C209" i="3"/>
  <c r="B209" i="3"/>
  <c r="I208" i="3"/>
  <c r="F208" i="3"/>
  <c r="C208" i="3"/>
  <c r="B208" i="3"/>
  <c r="I207" i="3"/>
  <c r="F207" i="3"/>
  <c r="C207" i="3"/>
  <c r="B207" i="3"/>
  <c r="I206" i="3"/>
  <c r="F206" i="3"/>
  <c r="C206" i="3"/>
  <c r="B206" i="3"/>
  <c r="I205" i="3"/>
  <c r="F205" i="3"/>
  <c r="C205" i="3"/>
  <c r="B205" i="3"/>
  <c r="I204" i="3"/>
  <c r="F204" i="3"/>
  <c r="C204" i="3"/>
  <c r="B204" i="3"/>
  <c r="I203" i="3"/>
  <c r="F203" i="3"/>
  <c r="C203" i="3"/>
  <c r="B203" i="3"/>
  <c r="I202" i="3"/>
  <c r="F202" i="3"/>
  <c r="C202" i="3"/>
  <c r="B202" i="3"/>
  <c r="I201" i="3"/>
  <c r="F201" i="3"/>
  <c r="C201" i="3"/>
  <c r="B201" i="3"/>
  <c r="I200" i="3"/>
  <c r="F200" i="3"/>
  <c r="C200" i="3"/>
  <c r="B200" i="3"/>
  <c r="I199" i="3"/>
  <c r="F199" i="3"/>
  <c r="C199" i="3"/>
  <c r="B199" i="3"/>
  <c r="I198" i="3"/>
  <c r="F198" i="3"/>
  <c r="C198" i="3"/>
  <c r="B198" i="3"/>
  <c r="I197" i="3"/>
  <c r="F197" i="3"/>
  <c r="C197" i="3"/>
  <c r="B197" i="3"/>
  <c r="I196" i="3"/>
  <c r="F196" i="3"/>
  <c r="C196" i="3"/>
  <c r="B196" i="3"/>
  <c r="I195" i="3"/>
  <c r="F195" i="3"/>
  <c r="C195" i="3"/>
  <c r="B195" i="3"/>
  <c r="I194" i="3"/>
  <c r="F194" i="3"/>
  <c r="C194" i="3"/>
  <c r="B194" i="3"/>
  <c r="I193" i="3"/>
  <c r="F193" i="3"/>
  <c r="C193" i="3"/>
  <c r="B193" i="3"/>
  <c r="I192" i="3"/>
  <c r="F192" i="3"/>
  <c r="C192" i="3"/>
  <c r="B192" i="3"/>
  <c r="I191" i="3"/>
  <c r="F191" i="3"/>
  <c r="C191" i="3"/>
  <c r="B191" i="3"/>
  <c r="I190" i="3"/>
  <c r="F190" i="3"/>
  <c r="C190" i="3"/>
  <c r="B190" i="3"/>
  <c r="F189" i="3"/>
  <c r="I189" i="3" s="1"/>
  <c r="C189" i="3"/>
  <c r="B189" i="3"/>
  <c r="F188" i="3"/>
  <c r="I188" i="3" s="1"/>
  <c r="C188" i="3"/>
  <c r="B188" i="3"/>
  <c r="F187" i="3"/>
  <c r="I187" i="3" s="1"/>
  <c r="C187" i="3"/>
  <c r="B187" i="3"/>
  <c r="F186" i="3"/>
  <c r="I186" i="3" s="1"/>
  <c r="C186" i="3"/>
  <c r="B186" i="3"/>
  <c r="F185" i="3"/>
  <c r="I185" i="3" s="1"/>
  <c r="C185" i="3"/>
  <c r="B185" i="3"/>
  <c r="F184" i="3"/>
  <c r="I184" i="3" s="1"/>
  <c r="C184" i="3"/>
  <c r="B184" i="3"/>
  <c r="F183" i="3"/>
  <c r="I183" i="3" s="1"/>
  <c r="C183" i="3"/>
  <c r="B183" i="3"/>
  <c r="F182" i="3"/>
  <c r="I182" i="3" s="1"/>
  <c r="C182" i="3"/>
  <c r="B182" i="3"/>
  <c r="F181" i="3"/>
  <c r="I181" i="3" s="1"/>
  <c r="C181" i="3"/>
  <c r="B181" i="3"/>
  <c r="F180" i="3"/>
  <c r="I180" i="3" s="1"/>
  <c r="C180" i="3"/>
  <c r="B180" i="3"/>
  <c r="F179" i="3"/>
  <c r="I179" i="3" s="1"/>
  <c r="C179" i="3"/>
  <c r="B179" i="3"/>
  <c r="F178" i="3"/>
  <c r="I178" i="3" s="1"/>
  <c r="C178" i="3"/>
  <c r="B178" i="3"/>
  <c r="F177" i="3"/>
  <c r="I177" i="3" s="1"/>
  <c r="C177" i="3"/>
  <c r="B177" i="3"/>
  <c r="F176" i="3"/>
  <c r="I176" i="3" s="1"/>
  <c r="C176" i="3"/>
  <c r="B176" i="3"/>
  <c r="F175" i="3"/>
  <c r="I175" i="3" s="1"/>
  <c r="C175" i="3"/>
  <c r="B175" i="3"/>
  <c r="F174" i="3"/>
  <c r="I174" i="3" s="1"/>
  <c r="C174" i="3"/>
  <c r="B174" i="3"/>
  <c r="F173" i="3"/>
  <c r="I173" i="3" s="1"/>
  <c r="C173" i="3"/>
  <c r="B173" i="3"/>
  <c r="F172" i="3"/>
  <c r="I172" i="3" s="1"/>
  <c r="C172" i="3"/>
  <c r="B172" i="3"/>
  <c r="F171" i="3"/>
  <c r="I171" i="3" s="1"/>
  <c r="C171" i="3"/>
  <c r="B171" i="3"/>
  <c r="F170" i="3"/>
  <c r="I170" i="3" s="1"/>
  <c r="C170" i="3"/>
  <c r="B170" i="3"/>
  <c r="F169" i="3"/>
  <c r="I169" i="3" s="1"/>
  <c r="C169" i="3"/>
  <c r="B169" i="3"/>
  <c r="F168" i="3"/>
  <c r="I168" i="3" s="1"/>
  <c r="C168" i="3"/>
  <c r="B168" i="3"/>
  <c r="F167" i="3"/>
  <c r="I167" i="3" s="1"/>
  <c r="C167" i="3"/>
  <c r="B167" i="3"/>
  <c r="F166" i="3"/>
  <c r="I166" i="3" s="1"/>
  <c r="C166" i="3"/>
  <c r="B166" i="3"/>
  <c r="F165" i="3"/>
  <c r="I165" i="3" s="1"/>
  <c r="C165" i="3"/>
  <c r="B165" i="3"/>
  <c r="F164" i="3"/>
  <c r="I164" i="3" s="1"/>
  <c r="C164" i="3"/>
  <c r="B164" i="3"/>
  <c r="F163" i="3"/>
  <c r="I163" i="3" s="1"/>
  <c r="C163" i="3"/>
  <c r="B163" i="3"/>
  <c r="F162" i="3"/>
  <c r="I162" i="3" s="1"/>
  <c r="C162" i="3"/>
  <c r="B162" i="3"/>
  <c r="F161" i="3"/>
  <c r="I161" i="3" s="1"/>
  <c r="C161" i="3"/>
  <c r="B161" i="3"/>
  <c r="F160" i="3"/>
  <c r="I160" i="3" s="1"/>
  <c r="C160" i="3"/>
  <c r="B160" i="3"/>
  <c r="F159" i="3"/>
  <c r="I159" i="3" s="1"/>
  <c r="C159" i="3"/>
  <c r="B159" i="3"/>
  <c r="F158" i="3"/>
  <c r="I158" i="3" s="1"/>
  <c r="C158" i="3"/>
  <c r="B158" i="3"/>
  <c r="F157" i="3"/>
  <c r="I157" i="3" s="1"/>
  <c r="C157" i="3"/>
  <c r="B157" i="3"/>
  <c r="F156" i="3"/>
  <c r="I156" i="3" s="1"/>
  <c r="C156" i="3"/>
  <c r="B156" i="3"/>
  <c r="F155" i="3"/>
  <c r="I155" i="3" s="1"/>
  <c r="C155" i="3"/>
  <c r="B155" i="3"/>
  <c r="F154" i="3"/>
  <c r="I154" i="3" s="1"/>
  <c r="C154" i="3"/>
  <c r="B154" i="3"/>
  <c r="F153" i="3"/>
  <c r="I153" i="3" s="1"/>
  <c r="C153" i="3"/>
  <c r="B153" i="3"/>
  <c r="F152" i="3"/>
  <c r="I152" i="3" s="1"/>
  <c r="C152" i="3"/>
  <c r="B152" i="3"/>
  <c r="F151" i="3"/>
  <c r="I151" i="3" s="1"/>
  <c r="C151" i="3"/>
  <c r="B151" i="3"/>
  <c r="F150" i="3"/>
  <c r="I150" i="3" s="1"/>
  <c r="C150" i="3"/>
  <c r="B150" i="3"/>
  <c r="F149" i="3"/>
  <c r="I149" i="3" s="1"/>
  <c r="C149" i="3"/>
  <c r="B149" i="3"/>
  <c r="F148" i="3"/>
  <c r="I148" i="3" s="1"/>
  <c r="C148" i="3"/>
  <c r="B148" i="3"/>
  <c r="F147" i="3"/>
  <c r="I147" i="3" s="1"/>
  <c r="C147" i="3"/>
  <c r="B147" i="3"/>
  <c r="F146" i="3"/>
  <c r="I146" i="3" s="1"/>
  <c r="C146" i="3"/>
  <c r="B146" i="3"/>
  <c r="F145" i="3"/>
  <c r="I145" i="3" s="1"/>
  <c r="C145" i="3"/>
  <c r="B145" i="3"/>
  <c r="F144" i="3"/>
  <c r="I144" i="3" s="1"/>
  <c r="C144" i="3"/>
  <c r="B144" i="3"/>
  <c r="F143" i="3"/>
  <c r="I143" i="3" s="1"/>
  <c r="C143" i="3"/>
  <c r="B143" i="3"/>
  <c r="F142" i="3"/>
  <c r="I142" i="3" s="1"/>
  <c r="C142" i="3"/>
  <c r="B142" i="3"/>
  <c r="F141" i="3"/>
  <c r="I141" i="3" s="1"/>
  <c r="C141" i="3"/>
  <c r="B141" i="3"/>
  <c r="F140" i="3"/>
  <c r="I140" i="3" s="1"/>
  <c r="C140" i="3"/>
  <c r="B140" i="3"/>
  <c r="F139" i="3"/>
  <c r="I139" i="3" s="1"/>
  <c r="C139" i="3"/>
  <c r="B139" i="3"/>
  <c r="F138" i="3"/>
  <c r="I138" i="3" s="1"/>
  <c r="C138" i="3"/>
  <c r="B138" i="3"/>
  <c r="F137" i="3"/>
  <c r="I137" i="3" s="1"/>
  <c r="C137" i="3"/>
  <c r="B137" i="3"/>
  <c r="F136" i="3"/>
  <c r="I136" i="3" s="1"/>
  <c r="C136" i="3"/>
  <c r="B136" i="3"/>
  <c r="F135" i="3"/>
  <c r="I135" i="3" s="1"/>
  <c r="C135" i="3"/>
  <c r="B135" i="3"/>
  <c r="F134" i="3"/>
  <c r="I134" i="3" s="1"/>
  <c r="C134" i="3"/>
  <c r="B134" i="3"/>
  <c r="F133" i="3"/>
  <c r="I133" i="3" s="1"/>
  <c r="C133" i="3"/>
  <c r="B133" i="3"/>
  <c r="F132" i="3"/>
  <c r="I132" i="3" s="1"/>
  <c r="C132" i="3"/>
  <c r="B132" i="3"/>
  <c r="F131" i="3"/>
  <c r="I131" i="3" s="1"/>
  <c r="C131" i="3"/>
  <c r="B131" i="3"/>
  <c r="F130" i="3"/>
  <c r="I130" i="3" s="1"/>
  <c r="C130" i="3"/>
  <c r="B130" i="3"/>
  <c r="F129" i="3"/>
  <c r="I129" i="3" s="1"/>
  <c r="C129" i="3"/>
  <c r="B129" i="3"/>
  <c r="F128" i="3"/>
  <c r="I128" i="3" s="1"/>
  <c r="C128" i="3"/>
  <c r="B128" i="3"/>
  <c r="F127" i="3"/>
  <c r="I127" i="3" s="1"/>
  <c r="C127" i="3"/>
  <c r="B127" i="3"/>
  <c r="F126" i="3"/>
  <c r="I126" i="3" s="1"/>
  <c r="C126" i="3"/>
  <c r="B126" i="3"/>
  <c r="F125" i="3"/>
  <c r="I125" i="3" s="1"/>
  <c r="C125" i="3"/>
  <c r="B125" i="3"/>
  <c r="F124" i="3"/>
  <c r="I124" i="3" s="1"/>
  <c r="C124" i="3"/>
  <c r="B124" i="3"/>
  <c r="F123" i="3"/>
  <c r="I123" i="3" s="1"/>
  <c r="C123" i="3"/>
  <c r="B123" i="3"/>
  <c r="F122" i="3"/>
  <c r="I122" i="3" s="1"/>
  <c r="C122" i="3"/>
  <c r="B122" i="3"/>
  <c r="F121" i="3"/>
  <c r="I121" i="3" s="1"/>
  <c r="C121" i="3"/>
  <c r="B121" i="3"/>
  <c r="F120" i="3"/>
  <c r="I120" i="3" s="1"/>
  <c r="C120" i="3"/>
  <c r="B120" i="3"/>
  <c r="F119" i="3"/>
  <c r="I119" i="3" s="1"/>
  <c r="C119" i="3"/>
  <c r="B119" i="3"/>
  <c r="F118" i="3"/>
  <c r="I118" i="3" s="1"/>
  <c r="C118" i="3"/>
  <c r="B118" i="3"/>
  <c r="F117" i="3"/>
  <c r="I117" i="3" s="1"/>
  <c r="C117" i="3"/>
  <c r="B117" i="3"/>
  <c r="F116" i="3"/>
  <c r="I116" i="3" s="1"/>
  <c r="C116" i="3"/>
  <c r="B116" i="3"/>
  <c r="F115" i="3"/>
  <c r="I115" i="3" s="1"/>
  <c r="C115" i="3"/>
  <c r="B115" i="3"/>
  <c r="F114" i="3"/>
  <c r="I114" i="3" s="1"/>
  <c r="C114" i="3"/>
  <c r="B114" i="3"/>
  <c r="F113" i="3"/>
  <c r="I113" i="3" s="1"/>
  <c r="C113" i="3"/>
  <c r="B113" i="3"/>
  <c r="F112" i="3"/>
  <c r="I112" i="3" s="1"/>
  <c r="C112" i="3"/>
  <c r="B112" i="3"/>
  <c r="F111" i="3"/>
  <c r="I111" i="3" s="1"/>
  <c r="C111" i="3"/>
  <c r="B111" i="3"/>
  <c r="F110" i="3"/>
  <c r="I110" i="3" s="1"/>
  <c r="C110" i="3"/>
  <c r="B110" i="3"/>
  <c r="F109" i="3"/>
  <c r="I109" i="3" s="1"/>
  <c r="C109" i="3"/>
  <c r="B109" i="3"/>
  <c r="F108" i="3"/>
  <c r="I108" i="3" s="1"/>
  <c r="C108" i="3"/>
  <c r="B108" i="3"/>
  <c r="F107" i="3"/>
  <c r="I107" i="3" s="1"/>
  <c r="C107" i="3"/>
  <c r="B107" i="3"/>
  <c r="F106" i="3"/>
  <c r="I106" i="3" s="1"/>
  <c r="C106" i="3"/>
  <c r="B106" i="3"/>
  <c r="F105" i="3"/>
  <c r="I105" i="3" s="1"/>
  <c r="C105" i="3"/>
  <c r="B105" i="3"/>
  <c r="F104" i="3"/>
  <c r="I104" i="3" s="1"/>
  <c r="C104" i="3"/>
  <c r="B104" i="3"/>
  <c r="F103" i="3"/>
  <c r="I103" i="3" s="1"/>
  <c r="C103" i="3"/>
  <c r="B103" i="3"/>
  <c r="F102" i="3"/>
  <c r="I102" i="3" s="1"/>
  <c r="C102" i="3"/>
  <c r="B102" i="3"/>
  <c r="F101" i="3"/>
  <c r="I101" i="3" s="1"/>
  <c r="C101" i="3"/>
  <c r="B101" i="3"/>
  <c r="F100" i="3"/>
  <c r="I100" i="3" s="1"/>
  <c r="C100" i="3"/>
  <c r="B100" i="3"/>
  <c r="F99" i="3"/>
  <c r="I99" i="3" s="1"/>
  <c r="C99" i="3"/>
  <c r="B99" i="3"/>
  <c r="F98" i="3"/>
  <c r="I98" i="3" s="1"/>
  <c r="C98" i="3"/>
  <c r="B98" i="3"/>
  <c r="F97" i="3"/>
  <c r="I97" i="3" s="1"/>
  <c r="C97" i="3"/>
  <c r="B97" i="3"/>
  <c r="F96" i="3"/>
  <c r="I96" i="3" s="1"/>
  <c r="C96" i="3"/>
  <c r="B96" i="3"/>
  <c r="F95" i="3"/>
  <c r="I95" i="3" s="1"/>
  <c r="C95" i="3"/>
  <c r="B95" i="3"/>
  <c r="F94" i="3"/>
  <c r="I94" i="3" s="1"/>
  <c r="C94" i="3"/>
  <c r="B94" i="3"/>
  <c r="F93" i="3"/>
  <c r="I93" i="3" s="1"/>
  <c r="C93" i="3"/>
  <c r="B93" i="3"/>
  <c r="F92" i="3"/>
  <c r="I92" i="3" s="1"/>
  <c r="C92" i="3"/>
  <c r="B92" i="3"/>
  <c r="F91" i="3"/>
  <c r="I91" i="3" s="1"/>
  <c r="C91" i="3"/>
  <c r="B91" i="3"/>
  <c r="F90" i="3"/>
  <c r="D378" i="11" s="1"/>
  <c r="C90" i="3"/>
  <c r="F89" i="3"/>
  <c r="I89" i="3" s="1"/>
  <c r="C89" i="3"/>
  <c r="F88" i="3"/>
  <c r="D369" i="11" s="1"/>
  <c r="C88" i="3"/>
  <c r="F87" i="3"/>
  <c r="D362" i="11" s="1"/>
  <c r="C87" i="3"/>
  <c r="F86" i="3"/>
  <c r="I86" i="3" s="1"/>
  <c r="C86" i="3"/>
  <c r="F85" i="3"/>
  <c r="I85" i="3" s="1"/>
  <c r="C85" i="3"/>
  <c r="F84" i="3"/>
  <c r="I84" i="3" s="1"/>
  <c r="C84" i="3"/>
  <c r="F83" i="3"/>
  <c r="D352" i="11" s="1"/>
  <c r="C83" i="3"/>
  <c r="F82" i="3"/>
  <c r="I82" i="3" s="1"/>
  <c r="C82" i="3"/>
  <c r="F81" i="3"/>
  <c r="D318" i="11" s="1"/>
  <c r="C81" i="3"/>
  <c r="F80" i="3"/>
  <c r="I80" i="3" s="1"/>
  <c r="C80" i="3"/>
  <c r="F79" i="3"/>
  <c r="D304" i="11" s="1"/>
  <c r="G304" i="11" s="1"/>
  <c r="C79" i="3"/>
  <c r="F78" i="3"/>
  <c r="I78" i="3" s="1"/>
  <c r="C78" i="3"/>
  <c r="F77" i="3"/>
  <c r="D293" i="11" s="1"/>
  <c r="C77" i="3"/>
  <c r="F76" i="3"/>
  <c r="I76" i="3" s="1"/>
  <c r="C76" i="3"/>
  <c r="F75" i="3"/>
  <c r="I75" i="3" s="1"/>
  <c r="I74" i="3"/>
  <c r="F74" i="3"/>
  <c r="D286" i="11" s="1"/>
  <c r="C74" i="3"/>
  <c r="I73" i="3"/>
  <c r="F73" i="3"/>
  <c r="D284" i="11" s="1"/>
  <c r="C73" i="3"/>
  <c r="I72" i="3"/>
  <c r="F72" i="3"/>
  <c r="C72" i="3"/>
  <c r="I71" i="3"/>
  <c r="F71" i="3"/>
  <c r="C71" i="3"/>
  <c r="I70" i="3"/>
  <c r="F70" i="3"/>
  <c r="D280" i="11" s="1"/>
  <c r="C70" i="3"/>
  <c r="I69" i="3"/>
  <c r="F69" i="3"/>
  <c r="C69" i="3"/>
  <c r="I68" i="3"/>
  <c r="F68" i="3"/>
  <c r="D275" i="11" s="1"/>
  <c r="C68" i="3"/>
  <c r="I67" i="3"/>
  <c r="F67" i="3"/>
  <c r="D273" i="11" s="1"/>
  <c r="C67" i="3"/>
  <c r="I66" i="3"/>
  <c r="F66" i="3"/>
  <c r="C66" i="3"/>
  <c r="I65" i="3"/>
  <c r="F65" i="3"/>
  <c r="D265" i="11" s="1"/>
  <c r="C65" i="3"/>
  <c r="I64" i="3"/>
  <c r="F64" i="3"/>
  <c r="D254" i="11" s="1"/>
  <c r="C64" i="3"/>
  <c r="I63" i="3"/>
  <c r="F63" i="3"/>
  <c r="D248" i="11" s="1"/>
  <c r="C63" i="3"/>
  <c r="I62" i="3"/>
  <c r="F62" i="3"/>
  <c r="C62" i="3"/>
  <c r="I61" i="3"/>
  <c r="F61" i="3"/>
  <c r="D231" i="11" s="1"/>
  <c r="C61" i="3"/>
  <c r="I60" i="3"/>
  <c r="F60" i="3"/>
  <c r="D229" i="11" s="1"/>
  <c r="C60" i="3"/>
  <c r="I59" i="3"/>
  <c r="F59" i="3"/>
  <c r="D227" i="11" s="1"/>
  <c r="C59" i="3"/>
  <c r="I58" i="3"/>
  <c r="F58" i="3"/>
  <c r="C58" i="3"/>
  <c r="I57" i="3"/>
  <c r="F57" i="3"/>
  <c r="D217" i="11" s="1"/>
  <c r="C57" i="3"/>
  <c r="I56" i="3"/>
  <c r="F56" i="3"/>
  <c r="D215" i="11" s="1"/>
  <c r="C56" i="3"/>
  <c r="I55" i="3"/>
  <c r="F55" i="3"/>
  <c r="D209" i="11" s="1"/>
  <c r="C55" i="3"/>
  <c r="I54" i="3"/>
  <c r="F54" i="3"/>
  <c r="D201" i="11" s="1"/>
  <c r="C54" i="3"/>
  <c r="I53" i="3"/>
  <c r="F53" i="3"/>
  <c r="C53" i="3"/>
  <c r="I52" i="3"/>
  <c r="F52" i="3"/>
  <c r="C52" i="3"/>
  <c r="I51" i="3"/>
  <c r="F51" i="3"/>
  <c r="D193" i="11" s="1"/>
  <c r="C51" i="3"/>
  <c r="I50" i="3"/>
  <c r="F50" i="3"/>
  <c r="C50" i="3"/>
  <c r="I49" i="3"/>
  <c r="F49" i="3"/>
  <c r="D167" i="11" s="1"/>
  <c r="C49" i="3"/>
  <c r="I48" i="3"/>
  <c r="F48" i="3"/>
  <c r="C48" i="3"/>
  <c r="I47" i="3"/>
  <c r="F47" i="3"/>
  <c r="D165" i="11" s="1"/>
  <c r="C47" i="3"/>
  <c r="I46" i="3"/>
  <c r="F46" i="3"/>
  <c r="C46" i="3"/>
  <c r="I45" i="3"/>
  <c r="F45" i="3"/>
  <c r="D163" i="11" s="1"/>
  <c r="C45" i="3"/>
  <c r="I44" i="3"/>
  <c r="F44" i="3"/>
  <c r="C44" i="3"/>
  <c r="I43" i="3"/>
  <c r="F43" i="3"/>
  <c r="D159" i="11" s="1"/>
  <c r="C43" i="3"/>
  <c r="I42" i="3"/>
  <c r="F42" i="3"/>
  <c r="C42" i="3"/>
  <c r="I41" i="3"/>
  <c r="F41" i="3"/>
  <c r="D157" i="11" s="1"/>
  <c r="C41" i="3"/>
  <c r="I40" i="3"/>
  <c r="F40" i="3"/>
  <c r="D153" i="11" s="1"/>
  <c r="C40" i="3"/>
  <c r="I39" i="3"/>
  <c r="F39" i="3"/>
  <c r="D151" i="11" s="1"/>
  <c r="C39" i="3"/>
  <c r="I38" i="3"/>
  <c r="F38" i="3"/>
  <c r="D149" i="11" s="1"/>
  <c r="C38" i="3"/>
  <c r="I37" i="3"/>
  <c r="F37" i="3"/>
  <c r="C37" i="3"/>
  <c r="I36" i="3"/>
  <c r="F36" i="3"/>
  <c r="D145" i="11" s="1"/>
  <c r="C36" i="3"/>
  <c r="I35" i="3"/>
  <c r="F35" i="3"/>
  <c r="C35" i="3"/>
  <c r="I34" i="3"/>
  <c r="F34" i="3"/>
  <c r="C34" i="3"/>
  <c r="I33" i="3"/>
  <c r="F33" i="3"/>
  <c r="C33" i="3"/>
  <c r="I32" i="3"/>
  <c r="F32" i="3"/>
  <c r="C32" i="3"/>
  <c r="I31" i="3"/>
  <c r="F31" i="3"/>
  <c r="D111" i="11" s="1"/>
  <c r="C31" i="3"/>
  <c r="I30" i="3"/>
  <c r="F30" i="3"/>
  <c r="C30" i="3"/>
  <c r="I29" i="3"/>
  <c r="F29" i="3"/>
  <c r="B29" i="3"/>
  <c r="F28" i="3"/>
  <c r="D89" i="11" s="1"/>
  <c r="C28" i="3"/>
  <c r="B28" i="3"/>
  <c r="F27" i="3"/>
  <c r="D87" i="11" s="1"/>
  <c r="C27" i="3"/>
  <c r="B27" i="3"/>
  <c r="F26" i="3"/>
  <c r="D83" i="11" s="1"/>
  <c r="C26" i="3"/>
  <c r="B26" i="3"/>
  <c r="F25" i="3"/>
  <c r="I25" i="3" s="1"/>
  <c r="C25" i="3"/>
  <c r="B25" i="3"/>
  <c r="F24" i="3"/>
  <c r="I24" i="3" s="1"/>
  <c r="C24" i="3"/>
  <c r="B24" i="3"/>
  <c r="F23" i="3"/>
  <c r="I23" i="3" s="1"/>
  <c r="I22" i="3"/>
  <c r="F22" i="3"/>
  <c r="D61" i="11" s="1"/>
  <c r="C22" i="3"/>
  <c r="I21" i="3"/>
  <c r="F21" i="3"/>
  <c r="C21" i="3"/>
  <c r="I20" i="3"/>
  <c r="F20" i="3"/>
  <c r="D54" i="11" s="1"/>
  <c r="C20" i="3"/>
  <c r="I19" i="3"/>
  <c r="F19" i="3"/>
  <c r="D32" i="11" s="1"/>
  <c r="B19" i="3"/>
  <c r="F18" i="3"/>
  <c r="I18" i="3" s="1"/>
  <c r="I17" i="3"/>
  <c r="F17" i="3"/>
  <c r="D20" i="11" s="1"/>
  <c r="C17" i="3"/>
  <c r="I16" i="3"/>
  <c r="F16" i="3"/>
  <c r="C16" i="3"/>
  <c r="I15" i="3"/>
  <c r="F15" i="3"/>
  <c r="D16" i="11" s="1"/>
  <c r="C15" i="3"/>
  <c r="I14" i="3"/>
  <c r="F14" i="3"/>
  <c r="C14" i="3"/>
  <c r="I13" i="3"/>
  <c r="F13" i="3"/>
  <c r="D9" i="11" s="1"/>
  <c r="C13" i="3"/>
  <c r="E10" i="3"/>
  <c r="B90" i="3" s="1"/>
  <c r="H55" i="2"/>
  <c r="H54" i="2"/>
  <c r="H51" i="2"/>
  <c r="H50" i="2"/>
  <c r="AK48" i="2"/>
  <c r="AJ48" i="2"/>
  <c r="AI48" i="2"/>
  <c r="AH48" i="2"/>
  <c r="AG48" i="2"/>
  <c r="AF48" i="2"/>
  <c r="AE48" i="2"/>
  <c r="AD48" i="2"/>
  <c r="AC48" i="2"/>
  <c r="AB48" i="2"/>
  <c r="AA48" i="2"/>
  <c r="Z48" i="2"/>
  <c r="Y48" i="2"/>
  <c r="X48" i="2"/>
  <c r="W48" i="2"/>
  <c r="V48" i="2"/>
  <c r="U48" i="2"/>
  <c r="T48" i="2"/>
  <c r="S48" i="2"/>
  <c r="R48" i="2"/>
  <c r="Q48" i="2"/>
  <c r="P48" i="2"/>
  <c r="O48" i="2"/>
  <c r="N48" i="2"/>
  <c r="M48" i="2"/>
  <c r="L48" i="2"/>
  <c r="K48" i="2"/>
  <c r="J48" i="2"/>
  <c r="I48" i="2"/>
  <c r="H48" i="2"/>
  <c r="H47" i="2"/>
  <c r="AK45" i="2"/>
  <c r="AJ45" i="2"/>
  <c r="AI45" i="2"/>
  <c r="AH45" i="2"/>
  <c r="AG45" i="2"/>
  <c r="AF45" i="2"/>
  <c r="AE45" i="2"/>
  <c r="AD45" i="2"/>
  <c r="AC45" i="2"/>
  <c r="AB45" i="2"/>
  <c r="AA45" i="2"/>
  <c r="Z45" i="2"/>
  <c r="Y45" i="2"/>
  <c r="X45" i="2"/>
  <c r="U45" i="2"/>
  <c r="T45" i="2"/>
  <c r="S45" i="2"/>
  <c r="R45" i="2"/>
  <c r="Q45" i="2"/>
  <c r="P45" i="2"/>
  <c r="O45" i="2"/>
  <c r="N45" i="2"/>
  <c r="M45" i="2"/>
  <c r="L45" i="2"/>
  <c r="K45" i="2"/>
  <c r="J45" i="2"/>
  <c r="I45" i="2"/>
  <c r="H45" i="2"/>
  <c r="X44" i="2"/>
  <c r="H44" i="2"/>
  <c r="AQ42" i="2"/>
  <c r="AP42" i="2"/>
  <c r="AO42" i="2"/>
  <c r="AN42" i="2"/>
  <c r="AM42" i="2"/>
  <c r="AL42" i="2"/>
  <c r="AK42" i="2"/>
  <c r="AJ42" i="2"/>
  <c r="AI42" i="2"/>
  <c r="AH42" i="2"/>
  <c r="AG42" i="2"/>
  <c r="AF42" i="2"/>
  <c r="AE42" i="2"/>
  <c r="AD42" i="2"/>
  <c r="AC42" i="2"/>
  <c r="AB42" i="2"/>
  <c r="AA42" i="2"/>
  <c r="Z42" i="2"/>
  <c r="Y42" i="2"/>
  <c r="X42" i="2"/>
  <c r="W42" i="2"/>
  <c r="V42" i="2"/>
  <c r="U42" i="2"/>
  <c r="T42" i="2"/>
  <c r="S42" i="2"/>
  <c r="R42" i="2"/>
  <c r="Q42" i="2"/>
  <c r="P42" i="2"/>
  <c r="O42" i="2"/>
  <c r="N42" i="2"/>
  <c r="M42" i="2"/>
  <c r="L42" i="2"/>
  <c r="K42" i="2"/>
  <c r="J42" i="2"/>
  <c r="I42" i="2"/>
  <c r="H42" i="2"/>
  <c r="AQ41" i="2"/>
  <c r="AP41" i="2"/>
  <c r="AO41" i="2"/>
  <c r="AN41" i="2"/>
  <c r="AM41" i="2"/>
  <c r="AL41" i="2"/>
  <c r="AK41" i="2"/>
  <c r="AJ41" i="2"/>
  <c r="AI41" i="2"/>
  <c r="AH41" i="2"/>
  <c r="AG41" i="2"/>
  <c r="AF41" i="2"/>
  <c r="AE41" i="2"/>
  <c r="AD41" i="2"/>
  <c r="AC41" i="2"/>
  <c r="AB41" i="2"/>
  <c r="AA41" i="2"/>
  <c r="Z41" i="2"/>
  <c r="Y41" i="2"/>
  <c r="X41" i="2"/>
  <c r="W41" i="2"/>
  <c r="V41" i="2"/>
  <c r="U41" i="2"/>
  <c r="T41" i="2"/>
  <c r="S41" i="2"/>
  <c r="R41" i="2"/>
  <c r="Q41" i="2"/>
  <c r="P41" i="2"/>
  <c r="O41" i="2"/>
  <c r="N41" i="2"/>
  <c r="M41" i="2"/>
  <c r="L41" i="2"/>
  <c r="K41" i="2"/>
  <c r="J41" i="2"/>
  <c r="I41" i="2"/>
  <c r="H41" i="2"/>
  <c r="H40" i="2"/>
  <c r="AQ38" i="2"/>
  <c r="AP38" i="2"/>
  <c r="AO38" i="2"/>
  <c r="AN38" i="2"/>
  <c r="AM38" i="2"/>
  <c r="AL38" i="2"/>
  <c r="AK38" i="2"/>
  <c r="AJ38" i="2"/>
  <c r="AI38" i="2"/>
  <c r="AH38" i="2"/>
  <c r="AG38" i="2"/>
  <c r="AF38" i="2"/>
  <c r="AE38" i="2"/>
  <c r="AD38" i="2"/>
  <c r="AC38" i="2"/>
  <c r="AB38" i="2"/>
  <c r="AA38" i="2"/>
  <c r="Z38" i="2"/>
  <c r="Y38" i="2"/>
  <c r="X38" i="2"/>
  <c r="W38" i="2"/>
  <c r="V38" i="2"/>
  <c r="U38" i="2"/>
  <c r="T38" i="2"/>
  <c r="S38" i="2"/>
  <c r="R38" i="2"/>
  <c r="Q38" i="2"/>
  <c r="P38" i="2"/>
  <c r="O38" i="2"/>
  <c r="N38" i="2"/>
  <c r="L38" i="2"/>
  <c r="K38" i="2"/>
  <c r="J38" i="2"/>
  <c r="I38" i="2"/>
  <c r="H38" i="2"/>
  <c r="N37" i="2"/>
  <c r="H37" i="2"/>
  <c r="AQ35" i="2"/>
  <c r="AP35" i="2"/>
  <c r="AO35" i="2"/>
  <c r="AN35" i="2"/>
  <c r="AM35" i="2"/>
  <c r="AL35" i="2"/>
  <c r="AK35" i="2"/>
  <c r="AJ35" i="2"/>
  <c r="AI35" i="2"/>
  <c r="AH35" i="2"/>
  <c r="AG35" i="2"/>
  <c r="AF35" i="2"/>
  <c r="AE35" i="2"/>
  <c r="AD35" i="2"/>
  <c r="AC35" i="2"/>
  <c r="AB35" i="2"/>
  <c r="AA35" i="2"/>
  <c r="Z35" i="2"/>
  <c r="Y35" i="2"/>
  <c r="X35" i="2"/>
  <c r="W35" i="2"/>
  <c r="V35" i="2"/>
  <c r="U35" i="2"/>
  <c r="T35" i="2"/>
  <c r="S35" i="2"/>
  <c r="R35" i="2"/>
  <c r="Q35" i="2"/>
  <c r="P35" i="2"/>
  <c r="O35" i="2"/>
  <c r="N35" i="2"/>
  <c r="M35" i="2"/>
  <c r="L35" i="2"/>
  <c r="K35" i="2"/>
  <c r="J35" i="2"/>
  <c r="I35" i="2"/>
  <c r="H35" i="2"/>
  <c r="AQ34" i="2"/>
  <c r="AP34" i="2"/>
  <c r="AO34" i="2"/>
  <c r="AN34" i="2"/>
  <c r="AM34" i="2"/>
  <c r="AL34"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I34" i="2"/>
  <c r="H34" i="2"/>
  <c r="H33" i="2"/>
  <c r="AQ31" i="2"/>
  <c r="AP31" i="2"/>
  <c r="AO31" i="2"/>
  <c r="AN31" i="2"/>
  <c r="AM31" i="2"/>
  <c r="AL31" i="2"/>
  <c r="AK31" i="2"/>
  <c r="AJ31" i="2"/>
  <c r="AI31" i="2"/>
  <c r="AH31" i="2"/>
  <c r="AG31" i="2"/>
  <c r="AF31" i="2"/>
  <c r="AE31" i="2"/>
  <c r="AD31" i="2"/>
  <c r="AC31" i="2"/>
  <c r="AB31" i="2"/>
  <c r="AA31" i="2"/>
  <c r="Z31" i="2"/>
  <c r="Y31" i="2"/>
  <c r="X31" i="2"/>
  <c r="W31" i="2"/>
  <c r="V31" i="2"/>
  <c r="U31" i="2"/>
  <c r="T31" i="2"/>
  <c r="S31" i="2"/>
  <c r="R31" i="2"/>
  <c r="Q31" i="2"/>
  <c r="P31" i="2"/>
  <c r="O31" i="2"/>
  <c r="N31" i="2"/>
  <c r="M31" i="2"/>
  <c r="L31" i="2"/>
  <c r="K31" i="2"/>
  <c r="J31" i="2"/>
  <c r="I31" i="2"/>
  <c r="H31" i="2"/>
  <c r="AQ30" i="2"/>
  <c r="AP30" i="2"/>
  <c r="AO30" i="2"/>
  <c r="AN30" i="2"/>
  <c r="AM30" i="2"/>
  <c r="AL30" i="2"/>
  <c r="AK30" i="2"/>
  <c r="AJ30" i="2"/>
  <c r="AI30" i="2"/>
  <c r="AH30" i="2"/>
  <c r="AG30" i="2"/>
  <c r="AF30" i="2"/>
  <c r="AE30" i="2"/>
  <c r="AD30" i="2"/>
  <c r="AC30" i="2"/>
  <c r="AB30" i="2"/>
  <c r="AA30" i="2"/>
  <c r="Z30" i="2"/>
  <c r="Y30" i="2"/>
  <c r="X30" i="2"/>
  <c r="W30" i="2"/>
  <c r="V30" i="2"/>
  <c r="U30" i="2"/>
  <c r="T30" i="2"/>
  <c r="S30" i="2"/>
  <c r="R30" i="2"/>
  <c r="Q30" i="2"/>
  <c r="P30" i="2"/>
  <c r="O30" i="2"/>
  <c r="N30" i="2"/>
  <c r="M30" i="2"/>
  <c r="L30" i="2"/>
  <c r="K30" i="2"/>
  <c r="J30" i="2"/>
  <c r="I30" i="2"/>
  <c r="H30" i="2"/>
  <c r="H29" i="2"/>
  <c r="AF26" i="2"/>
  <c r="S26" i="2"/>
  <c r="J26" i="2"/>
  <c r="H25" i="2"/>
  <c r="AH24" i="2"/>
  <c r="AH23" i="2"/>
  <c r="AM22" i="2"/>
  <c r="AJ22" i="2"/>
  <c r="N21" i="2"/>
  <c r="L21" i="2"/>
  <c r="K21" i="2"/>
  <c r="I21" i="2"/>
  <c r="H21" i="2"/>
  <c r="S20" i="2"/>
  <c r="AH19" i="2"/>
  <c r="U18" i="2"/>
  <c r="O18" i="2"/>
  <c r="N18" i="2"/>
  <c r="M18" i="2"/>
  <c r="L18" i="2"/>
  <c r="K18" i="2"/>
  <c r="J18" i="2"/>
  <c r="I18" i="2"/>
  <c r="H18" i="2"/>
  <c r="AH17" i="2"/>
  <c r="AC17" i="2"/>
  <c r="U17" i="2"/>
  <c r="H17" i="2"/>
  <c r="AH16" i="2"/>
  <c r="AC16" i="2"/>
  <c r="U16" i="2"/>
  <c r="AM15" i="2"/>
  <c r="AJ15" i="2"/>
  <c r="Q15" i="2"/>
  <c r="AQ2" i="9" s="1"/>
  <c r="P15" i="2"/>
  <c r="AP2" i="9" s="1"/>
  <c r="O15" i="2"/>
  <c r="AO2" i="9" s="1"/>
  <c r="N15" i="2"/>
  <c r="AN2" i="9" s="1"/>
  <c r="M15" i="2"/>
  <c r="AM2" i="9" s="1"/>
  <c r="L15" i="2"/>
  <c r="AL2" i="9" s="1"/>
  <c r="K15" i="2"/>
  <c r="AK2" i="9" s="1"/>
  <c r="J15" i="2"/>
  <c r="AJ2" i="9" s="1"/>
  <c r="I15" i="2"/>
  <c r="AI2" i="9" s="1"/>
  <c r="H15" i="2"/>
  <c r="AH2" i="9" s="1"/>
  <c r="AH14" i="2"/>
  <c r="AA14" i="2"/>
  <c r="S14" i="2"/>
  <c r="H14" i="2"/>
  <c r="AB8" i="2"/>
  <c r="Y8" i="2"/>
  <c r="V8" i="2"/>
  <c r="S8" i="2"/>
  <c r="N7" i="2"/>
  <c r="P4" i="2"/>
  <c r="AR1" i="2"/>
  <c r="C5" i="1"/>
  <c r="AO967" i="7" l="1"/>
  <c r="AC80" i="8"/>
  <c r="AG80" i="8" s="1"/>
  <c r="GN10" i="21"/>
  <c r="GC10" i="21"/>
  <c r="FR10" i="21"/>
  <c r="FG10" i="21"/>
  <c r="EV10" i="21"/>
  <c r="GS10" i="21"/>
  <c r="FW10" i="21"/>
  <c r="FA10" i="21"/>
  <c r="GH10" i="21"/>
  <c r="FL10" i="21"/>
  <c r="EP10" i="21"/>
  <c r="DD26" i="17"/>
  <c r="CS26" i="17"/>
  <c r="CH26" i="17"/>
  <c r="BW26" i="17"/>
  <c r="BL26" i="17"/>
  <c r="BA26" i="17"/>
  <c r="CY26" i="17"/>
  <c r="CN26" i="17"/>
  <c r="CC26" i="17"/>
  <c r="BR26" i="17"/>
  <c r="BG26" i="17"/>
  <c r="DD32" i="18"/>
  <c r="CS32" i="18"/>
  <c r="CH32" i="18"/>
  <c r="BW32" i="18"/>
  <c r="BL32" i="18"/>
  <c r="BA32" i="18"/>
  <c r="CY32" i="18"/>
  <c r="CN32" i="18"/>
  <c r="CC32" i="18"/>
  <c r="BR32" i="18"/>
  <c r="BG32" i="18"/>
  <c r="AC45" i="8"/>
  <c r="AG45" i="8" s="1"/>
  <c r="GS12" i="20"/>
  <c r="GH12" i="20"/>
  <c r="FW12" i="20"/>
  <c r="FL12" i="20"/>
  <c r="FA12" i="20"/>
  <c r="EP12" i="20"/>
  <c r="GN12" i="20"/>
  <c r="GC12" i="20"/>
  <c r="FR12" i="20"/>
  <c r="FG12" i="20"/>
  <c r="EV12" i="20"/>
  <c r="GN18" i="20"/>
  <c r="GC18" i="20"/>
  <c r="FR18" i="20"/>
  <c r="FG18" i="20"/>
  <c r="EV18" i="20"/>
  <c r="GS18" i="20"/>
  <c r="GH18" i="20"/>
  <c r="FW18" i="20"/>
  <c r="FL18" i="20"/>
  <c r="FA18" i="20"/>
  <c r="EP18" i="20"/>
  <c r="GN22" i="20"/>
  <c r="GC22" i="20"/>
  <c r="FR22" i="20"/>
  <c r="FG22" i="20"/>
  <c r="EV22" i="20"/>
  <c r="GS22" i="20"/>
  <c r="GH22" i="20"/>
  <c r="FW22" i="20"/>
  <c r="FL22" i="20"/>
  <c r="FA22" i="20"/>
  <c r="EP22" i="20"/>
  <c r="CY24" i="20"/>
  <c r="CN24" i="20"/>
  <c r="CC24" i="20"/>
  <c r="BR24" i="20"/>
  <c r="BG24" i="20"/>
  <c r="DD24" i="20"/>
  <c r="CS24" i="20"/>
  <c r="CH24" i="20"/>
  <c r="BW24" i="20"/>
  <c r="BL24" i="20"/>
  <c r="BA24" i="20"/>
  <c r="GN34" i="20"/>
  <c r="GC34" i="20"/>
  <c r="FR34" i="20"/>
  <c r="FG34" i="20"/>
  <c r="EV34" i="20"/>
  <c r="GS34" i="20"/>
  <c r="GH34" i="20"/>
  <c r="FW34" i="20"/>
  <c r="FL34" i="20"/>
  <c r="FA34" i="20"/>
  <c r="EP34" i="20"/>
  <c r="DD10" i="21"/>
  <c r="CS10" i="21"/>
  <c r="CH10" i="21"/>
  <c r="BW10" i="21"/>
  <c r="BL10" i="21"/>
  <c r="BA10" i="21"/>
  <c r="CY10" i="21"/>
  <c r="CC10" i="21"/>
  <c r="BG10" i="21"/>
  <c r="CN10" i="21"/>
  <c r="BR10" i="21"/>
  <c r="FJ13" i="21"/>
  <c r="EY13" i="21"/>
  <c r="EN13" i="21"/>
  <c r="EC13" i="21"/>
  <c r="DR13" i="21"/>
  <c r="FO13" i="21"/>
  <c r="ES13" i="21"/>
  <c r="DW13" i="21"/>
  <c r="FD13" i="21"/>
  <c r="EH13" i="21"/>
  <c r="DL13" i="21"/>
  <c r="CY16" i="21"/>
  <c r="CN16" i="21"/>
  <c r="CC16" i="21"/>
  <c r="BR16" i="21"/>
  <c r="BG16" i="21"/>
  <c r="DD16" i="21"/>
  <c r="CH16" i="21"/>
  <c r="BL16" i="21"/>
  <c r="CS16" i="21"/>
  <c r="BW16" i="21"/>
  <c r="BA16" i="21"/>
  <c r="CY20" i="21"/>
  <c r="CN20" i="21"/>
  <c r="CC20" i="21"/>
  <c r="BR20" i="21"/>
  <c r="BG20" i="21"/>
  <c r="CS20" i="21"/>
  <c r="BW20" i="21"/>
  <c r="BA20" i="21"/>
  <c r="DD20" i="21"/>
  <c r="CH20" i="21"/>
  <c r="BL20" i="21"/>
  <c r="GN30" i="21"/>
  <c r="GC30" i="21"/>
  <c r="FR30" i="21"/>
  <c r="FG30" i="21"/>
  <c r="EV30" i="21"/>
  <c r="GH30" i="21"/>
  <c r="FL30" i="21"/>
  <c r="EP30" i="21"/>
  <c r="GS30" i="21"/>
  <c r="FW30" i="21"/>
  <c r="FA30" i="21"/>
  <c r="DD16" i="22"/>
  <c r="CS16" i="22"/>
  <c r="CH16" i="22"/>
  <c r="BW16" i="22"/>
  <c r="BL16" i="22"/>
  <c r="BA16" i="22"/>
  <c r="CY16" i="22"/>
  <c r="CC16" i="22"/>
  <c r="BG16" i="22"/>
  <c r="BR16" i="22"/>
  <c r="CN16" i="22"/>
  <c r="CY18" i="22"/>
  <c r="CN18" i="22"/>
  <c r="CC18" i="22"/>
  <c r="BR18" i="22"/>
  <c r="BG18" i="22"/>
  <c r="CS18" i="22"/>
  <c r="BW18" i="22"/>
  <c r="BA18" i="22"/>
  <c r="CH18" i="22"/>
  <c r="DD18" i="22"/>
  <c r="BL18" i="22"/>
  <c r="AO963" i="7"/>
  <c r="AC79" i="8"/>
  <c r="AG79" i="8" s="1"/>
  <c r="GN21" i="23"/>
  <c r="GC21" i="23"/>
  <c r="FR21" i="23"/>
  <c r="FG21" i="23"/>
  <c r="EV21" i="23"/>
  <c r="GH21" i="23"/>
  <c r="FL21" i="23"/>
  <c r="EP21" i="23"/>
  <c r="GS21" i="23"/>
  <c r="FW21" i="23"/>
  <c r="FA21" i="23"/>
  <c r="GS22" i="23"/>
  <c r="GH22" i="23"/>
  <c r="FW22" i="23"/>
  <c r="FL22" i="23"/>
  <c r="FA22" i="23"/>
  <c r="EP22" i="23"/>
  <c r="GN22" i="23"/>
  <c r="FR22" i="23"/>
  <c r="EV22" i="23"/>
  <c r="GC22" i="23"/>
  <c r="FG22" i="23"/>
  <c r="GN25" i="23"/>
  <c r="GC25" i="23"/>
  <c r="FR25" i="23"/>
  <c r="FG25" i="23"/>
  <c r="EV25" i="23"/>
  <c r="GH25" i="23"/>
  <c r="FL25" i="23"/>
  <c r="EP25" i="23"/>
  <c r="GS25" i="23"/>
  <c r="FW25" i="23"/>
  <c r="FA25" i="23"/>
  <c r="GS26" i="23"/>
  <c r="GH26" i="23"/>
  <c r="FW26" i="23"/>
  <c r="FL26" i="23"/>
  <c r="FA26" i="23"/>
  <c r="EP26" i="23"/>
  <c r="GN26" i="23"/>
  <c r="FR26" i="23"/>
  <c r="EV26" i="23"/>
  <c r="GC26" i="23"/>
  <c r="FG26" i="23"/>
  <c r="GN29" i="23"/>
  <c r="GC29" i="23"/>
  <c r="FR29" i="23"/>
  <c r="FG29" i="23"/>
  <c r="EV29" i="23"/>
  <c r="GH29" i="23"/>
  <c r="FL29" i="23"/>
  <c r="EP29" i="23"/>
  <c r="GS29" i="23"/>
  <c r="FW29" i="23"/>
  <c r="FA29" i="23"/>
  <c r="GN31" i="23"/>
  <c r="GC31" i="23"/>
  <c r="FR31" i="23"/>
  <c r="FG31" i="23"/>
  <c r="EV31" i="23"/>
  <c r="GH31" i="23"/>
  <c r="FL31" i="23"/>
  <c r="EP31" i="23"/>
  <c r="GS31" i="23"/>
  <c r="FA31" i="23"/>
  <c r="FW31" i="23"/>
  <c r="EC17" i="24"/>
  <c r="DR17" i="24"/>
  <c r="DF17" i="24"/>
  <c r="CU17" i="24"/>
  <c r="CJ17" i="24"/>
  <c r="EH17" i="24"/>
  <c r="DL17" i="24"/>
  <c r="CP17" i="24"/>
  <c r="DW17" i="24"/>
  <c r="CE17" i="24"/>
  <c r="DA17" i="24"/>
  <c r="GN32" i="22"/>
  <c r="GC32" i="22"/>
  <c r="FR32" i="22"/>
  <c r="FG32" i="22"/>
  <c r="EV32" i="22"/>
  <c r="GS32" i="22"/>
  <c r="FW32" i="22"/>
  <c r="FA32" i="22"/>
  <c r="GH32" i="22"/>
  <c r="FL32" i="22"/>
  <c r="EP32" i="22"/>
  <c r="DD30" i="17"/>
  <c r="CS30" i="17"/>
  <c r="CH30" i="17"/>
  <c r="BW30" i="17"/>
  <c r="BL30" i="17"/>
  <c r="BA30" i="17"/>
  <c r="CY30" i="17"/>
  <c r="CN30" i="17"/>
  <c r="CC30" i="17"/>
  <c r="BR30" i="17"/>
  <c r="BG30" i="17"/>
  <c r="DD24" i="18"/>
  <c r="CS24" i="18"/>
  <c r="CH24" i="18"/>
  <c r="BW24" i="18"/>
  <c r="BL24" i="18"/>
  <c r="BA24" i="18"/>
  <c r="CY24" i="18"/>
  <c r="CN24" i="18"/>
  <c r="CC24" i="18"/>
  <c r="BR24" i="18"/>
  <c r="BG24" i="18"/>
  <c r="DD28" i="18"/>
  <c r="CS28" i="18"/>
  <c r="CH28" i="18"/>
  <c r="BW28" i="18"/>
  <c r="BL28" i="18"/>
  <c r="BA28" i="18"/>
  <c r="CY28" i="18"/>
  <c r="CN28" i="18"/>
  <c r="CC28" i="18"/>
  <c r="BR28" i="18"/>
  <c r="BG28" i="18"/>
  <c r="FO7" i="19"/>
  <c r="FD7" i="19"/>
  <c r="ES7" i="19"/>
  <c r="EH7" i="19"/>
  <c r="DW7" i="19"/>
  <c r="DL7" i="19"/>
  <c r="FJ7" i="19"/>
  <c r="EY7" i="19"/>
  <c r="EN7" i="19"/>
  <c r="EC7" i="19"/>
  <c r="DR7" i="19"/>
  <c r="DD10" i="19"/>
  <c r="CS10" i="19"/>
  <c r="CH10" i="19"/>
  <c r="BW10" i="19"/>
  <c r="BL10" i="19"/>
  <c r="BA10" i="19"/>
  <c r="CY10" i="19"/>
  <c r="CN10" i="19"/>
  <c r="CC10" i="19"/>
  <c r="BR10" i="19"/>
  <c r="BG10" i="19"/>
  <c r="N650" i="7"/>
  <c r="N632" i="7" s="1"/>
  <c r="AC32" i="8"/>
  <c r="AG32" i="8" s="1"/>
  <c r="CY12" i="19"/>
  <c r="CN12" i="19"/>
  <c r="CC12" i="19"/>
  <c r="BR12" i="19"/>
  <c r="BG12" i="19"/>
  <c r="DD12" i="19"/>
  <c r="CS12" i="19"/>
  <c r="CH12" i="19"/>
  <c r="BW12" i="19"/>
  <c r="BL12" i="19"/>
  <c r="BA12" i="19"/>
  <c r="FO29" i="19"/>
  <c r="FD29" i="19"/>
  <c r="ES29" i="19"/>
  <c r="EH29" i="19"/>
  <c r="DW29" i="19"/>
  <c r="DL29" i="19"/>
  <c r="FJ29" i="19"/>
  <c r="EY29" i="19"/>
  <c r="EN29" i="19"/>
  <c r="EC29" i="19"/>
  <c r="DR29" i="19"/>
  <c r="CY8" i="20"/>
  <c r="CN8" i="20"/>
  <c r="CC8" i="20"/>
  <c r="BR8" i="20"/>
  <c r="BG8" i="20"/>
  <c r="DD8" i="20"/>
  <c r="CS8" i="20"/>
  <c r="CH8" i="20"/>
  <c r="BW8" i="20"/>
  <c r="BL8" i="20"/>
  <c r="BA8" i="20"/>
  <c r="CY12" i="20"/>
  <c r="CN12" i="20"/>
  <c r="CC12" i="20"/>
  <c r="BR12" i="20"/>
  <c r="BG12" i="20"/>
  <c r="DD12" i="20"/>
  <c r="CS12" i="20"/>
  <c r="CH12" i="20"/>
  <c r="BW12" i="20"/>
  <c r="BL12" i="20"/>
  <c r="BA12" i="20"/>
  <c r="DD13" i="20"/>
  <c r="CS13" i="20"/>
  <c r="CH13" i="20"/>
  <c r="BW13" i="20"/>
  <c r="BL13" i="20"/>
  <c r="BA13" i="20"/>
  <c r="CY13" i="20"/>
  <c r="CN13" i="20"/>
  <c r="CC13" i="20"/>
  <c r="BR13" i="20"/>
  <c r="BG13" i="20"/>
  <c r="DD18" i="20"/>
  <c r="CS18" i="20"/>
  <c r="CH18" i="20"/>
  <c r="BW18" i="20"/>
  <c r="BL18" i="20"/>
  <c r="BA18" i="20"/>
  <c r="CY18" i="20"/>
  <c r="CN18" i="20"/>
  <c r="CC18" i="20"/>
  <c r="BR18" i="20"/>
  <c r="BG18" i="20"/>
  <c r="DD22" i="20"/>
  <c r="CS22" i="20"/>
  <c r="CH22" i="20"/>
  <c r="BW22" i="20"/>
  <c r="BL22" i="20"/>
  <c r="BA22" i="20"/>
  <c r="CY22" i="20"/>
  <c r="CN22" i="20"/>
  <c r="CC22" i="20"/>
  <c r="BR22" i="20"/>
  <c r="BG22" i="20"/>
  <c r="GS24" i="20"/>
  <c r="GH24" i="20"/>
  <c r="FW24" i="20"/>
  <c r="FL24" i="20"/>
  <c r="FA24" i="20"/>
  <c r="EP24" i="20"/>
  <c r="GN24" i="20"/>
  <c r="GC24" i="20"/>
  <c r="FR24" i="20"/>
  <c r="FG24" i="20"/>
  <c r="EV24" i="20"/>
  <c r="DD34" i="20"/>
  <c r="CS34" i="20"/>
  <c r="CH34" i="20"/>
  <c r="BW34" i="20"/>
  <c r="BL34" i="20"/>
  <c r="BA34" i="20"/>
  <c r="CY34" i="20"/>
  <c r="CN34" i="20"/>
  <c r="CC34" i="20"/>
  <c r="BR34" i="20"/>
  <c r="BG34" i="20"/>
  <c r="FJ7" i="21"/>
  <c r="EY7" i="21"/>
  <c r="EN7" i="21"/>
  <c r="EC7" i="21"/>
  <c r="DR7" i="21"/>
  <c r="FO7" i="21"/>
  <c r="FD7" i="21"/>
  <c r="ES7" i="21"/>
  <c r="EH7" i="21"/>
  <c r="DW7" i="21"/>
  <c r="DL7" i="21"/>
  <c r="CY12" i="21"/>
  <c r="CN12" i="21"/>
  <c r="CC12" i="21"/>
  <c r="BR12" i="21"/>
  <c r="BG12" i="21"/>
  <c r="CS12" i="21"/>
  <c r="BW12" i="21"/>
  <c r="BA12" i="21"/>
  <c r="DD12" i="21"/>
  <c r="CH12" i="21"/>
  <c r="BL12" i="21"/>
  <c r="DD30" i="21"/>
  <c r="CS30" i="21"/>
  <c r="CH30" i="21"/>
  <c r="BW30" i="21"/>
  <c r="BL30" i="21"/>
  <c r="BA30" i="21"/>
  <c r="CN30" i="21"/>
  <c r="BR30" i="21"/>
  <c r="CY30" i="21"/>
  <c r="CC30" i="21"/>
  <c r="BG30" i="21"/>
  <c r="CY10" i="22"/>
  <c r="CN10" i="22"/>
  <c r="CC10" i="22"/>
  <c r="BR10" i="22"/>
  <c r="BG10" i="22"/>
  <c r="CS10" i="22"/>
  <c r="BW10" i="22"/>
  <c r="BA10" i="22"/>
  <c r="DD10" i="22"/>
  <c r="BL10" i="22"/>
  <c r="CH10" i="22"/>
  <c r="DD12" i="22"/>
  <c r="CS12" i="22"/>
  <c r="CH12" i="22"/>
  <c r="BW12" i="22"/>
  <c r="BL12" i="22"/>
  <c r="BA12" i="22"/>
  <c r="CN12" i="22"/>
  <c r="BR12" i="22"/>
  <c r="CC12" i="22"/>
  <c r="CY12" i="22"/>
  <c r="BG12" i="22"/>
  <c r="AO956" i="7"/>
  <c r="AC77" i="8"/>
  <c r="AG77" i="8" s="1"/>
  <c r="DD20" i="22"/>
  <c r="CS20" i="22"/>
  <c r="CH20" i="22"/>
  <c r="BW20" i="22"/>
  <c r="BL20" i="22"/>
  <c r="BA20" i="22"/>
  <c r="CY20" i="22"/>
  <c r="CC20" i="22"/>
  <c r="CN20" i="22"/>
  <c r="BR20" i="22"/>
  <c r="BG20" i="22"/>
  <c r="CY22" i="22"/>
  <c r="CN22" i="22"/>
  <c r="CC22" i="22"/>
  <c r="BR22" i="22"/>
  <c r="BG22" i="22"/>
  <c r="CS22" i="22"/>
  <c r="BW22" i="22"/>
  <c r="BA22" i="22"/>
  <c r="DD22" i="22"/>
  <c r="CH22" i="22"/>
  <c r="BL22" i="22"/>
  <c r="EC35" i="22"/>
  <c r="DR35" i="22"/>
  <c r="DF35" i="22"/>
  <c r="CU35" i="22"/>
  <c r="CJ35" i="22"/>
  <c r="DW35" i="22"/>
  <c r="DA35" i="22"/>
  <c r="CE35" i="22"/>
  <c r="EH35" i="22"/>
  <c r="DL35" i="22"/>
  <c r="CP35" i="22"/>
  <c r="X105" i="8"/>
  <c r="AC106" i="8"/>
  <c r="AG106" i="8" s="1"/>
  <c r="GN23" i="23"/>
  <c r="GC23" i="23"/>
  <c r="FR23" i="23"/>
  <c r="FG23" i="23"/>
  <c r="EV23" i="23"/>
  <c r="GS23" i="23"/>
  <c r="FW23" i="23"/>
  <c r="FA23" i="23"/>
  <c r="GH23" i="23"/>
  <c r="FL23" i="23"/>
  <c r="EP23" i="23"/>
  <c r="GS24" i="23"/>
  <c r="GH24" i="23"/>
  <c r="FW24" i="23"/>
  <c r="FL24" i="23"/>
  <c r="FA24" i="23"/>
  <c r="EP24" i="23"/>
  <c r="GC24" i="23"/>
  <c r="FG24" i="23"/>
  <c r="GN24" i="23"/>
  <c r="FR24" i="23"/>
  <c r="EV24" i="23"/>
  <c r="GN27" i="23"/>
  <c r="GC27" i="23"/>
  <c r="FR27" i="23"/>
  <c r="FG27" i="23"/>
  <c r="EV27" i="23"/>
  <c r="GS27" i="23"/>
  <c r="FW27" i="23"/>
  <c r="FA27" i="23"/>
  <c r="GH27" i="23"/>
  <c r="FL27" i="23"/>
  <c r="EP27" i="23"/>
  <c r="GS28" i="23"/>
  <c r="GH28" i="23"/>
  <c r="FW28" i="23"/>
  <c r="FL28" i="23"/>
  <c r="FA28" i="23"/>
  <c r="EP28" i="23"/>
  <c r="GC28" i="23"/>
  <c r="FG28" i="23"/>
  <c r="GN28" i="23"/>
  <c r="FR28" i="23"/>
  <c r="EV28" i="23"/>
  <c r="GS32" i="23"/>
  <c r="GH32" i="23"/>
  <c r="FW32" i="23"/>
  <c r="FL32" i="23"/>
  <c r="FA32" i="23"/>
  <c r="EP32" i="23"/>
  <c r="GN32" i="23"/>
  <c r="FR32" i="23"/>
  <c r="EV32" i="23"/>
  <c r="FG32" i="23"/>
  <c r="GC32" i="23"/>
  <c r="EC7" i="24"/>
  <c r="DR7" i="24"/>
  <c r="DF7" i="24"/>
  <c r="CU7" i="24"/>
  <c r="CJ7" i="24"/>
  <c r="EH7" i="24"/>
  <c r="DL7" i="24"/>
  <c r="CP7" i="24"/>
  <c r="DA7" i="24"/>
  <c r="DW7" i="24"/>
  <c r="CE7" i="24"/>
  <c r="EH8" i="24"/>
  <c r="DW8" i="24"/>
  <c r="DL8" i="24"/>
  <c r="DA8" i="24"/>
  <c r="CP8" i="24"/>
  <c r="CE8" i="24"/>
  <c r="DR8" i="24"/>
  <c r="CU8" i="24"/>
  <c r="DF8" i="24"/>
  <c r="EC8" i="24"/>
  <c r="CJ8" i="24"/>
  <c r="EC13" i="24"/>
  <c r="DR13" i="24"/>
  <c r="DF13" i="24"/>
  <c r="CU13" i="24"/>
  <c r="CJ13" i="24"/>
  <c r="EH13" i="24"/>
  <c r="DL13" i="24"/>
  <c r="CP13" i="24"/>
  <c r="DA13" i="24"/>
  <c r="CE13" i="24"/>
  <c r="DW13" i="24"/>
  <c r="EH14" i="24"/>
  <c r="DW14" i="24"/>
  <c r="DL14" i="24"/>
  <c r="DA14" i="24"/>
  <c r="CP14" i="24"/>
  <c r="CE14" i="24"/>
  <c r="DR14" i="24"/>
  <c r="CU14" i="24"/>
  <c r="DF14" i="24"/>
  <c r="EC14" i="24"/>
  <c r="CJ14" i="24"/>
  <c r="AI92" i="9"/>
  <c r="AI32" i="9"/>
  <c r="AI61" i="9"/>
  <c r="AK92" i="9"/>
  <c r="AK61" i="9"/>
  <c r="AK32" i="9"/>
  <c r="AO92" i="9"/>
  <c r="AO61" i="9"/>
  <c r="AO32" i="9"/>
  <c r="AH61" i="9"/>
  <c r="AH92" i="9"/>
  <c r="AH32" i="9"/>
  <c r="AJ61" i="9"/>
  <c r="AJ92" i="9"/>
  <c r="AJ32" i="9"/>
  <c r="AL61" i="9"/>
  <c r="AL92" i="9"/>
  <c r="AL32" i="9"/>
  <c r="AN61" i="9"/>
  <c r="AN92" i="9"/>
  <c r="AN32" i="9"/>
  <c r="B13" i="3"/>
  <c r="B14" i="3"/>
  <c r="B15" i="3"/>
  <c r="B16" i="3"/>
  <c r="B17" i="3"/>
  <c r="B18" i="3"/>
  <c r="AK360" i="7"/>
  <c r="B20" i="3"/>
  <c r="P275" i="7"/>
  <c r="B21" i="3"/>
  <c r="B22" i="3"/>
  <c r="B23" i="3"/>
  <c r="I26" i="3"/>
  <c r="I27" i="3"/>
  <c r="I28"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M1614" i="7"/>
  <c r="B58" i="3"/>
  <c r="B59" i="3"/>
  <c r="B60" i="3"/>
  <c r="M1618" i="7"/>
  <c r="B61" i="3"/>
  <c r="M1630" i="7"/>
  <c r="B62" i="3"/>
  <c r="B63" i="3"/>
  <c r="B64" i="3"/>
  <c r="B65" i="3"/>
  <c r="B66" i="3"/>
  <c r="B67" i="3"/>
  <c r="B68" i="3"/>
  <c r="B69" i="3"/>
  <c r="B70" i="3"/>
  <c r="B71" i="3"/>
  <c r="B72" i="3"/>
  <c r="B73" i="3"/>
  <c r="B74" i="3"/>
  <c r="B75" i="3"/>
  <c r="I77" i="3"/>
  <c r="I79" i="3"/>
  <c r="I81" i="3"/>
  <c r="I83" i="3"/>
  <c r="I87" i="3"/>
  <c r="I88" i="3"/>
  <c r="I90" i="3"/>
  <c r="B37" i="4"/>
  <c r="K149" i="11"/>
  <c r="E149" i="6"/>
  <c r="E153" i="6" s="1"/>
  <c r="B38" i="4"/>
  <c r="B39" i="4"/>
  <c r="K153" i="11"/>
  <c r="D171" i="6" s="1"/>
  <c r="D172" i="6" s="1"/>
  <c r="E171" i="6"/>
  <c r="E172" i="6" s="1"/>
  <c r="B40" i="4"/>
  <c r="K157" i="11"/>
  <c r="B41" i="4"/>
  <c r="B42" i="4"/>
  <c r="B43" i="4"/>
  <c r="B44" i="4"/>
  <c r="K163" i="11"/>
  <c r="B45" i="4"/>
  <c r="B46" i="4"/>
  <c r="B47" i="4"/>
  <c r="B48" i="4"/>
  <c r="B49" i="4"/>
  <c r="B80" i="4"/>
  <c r="K318" i="11"/>
  <c r="D211" i="6" s="1"/>
  <c r="D212" i="6" s="1"/>
  <c r="V198" i="8" s="1"/>
  <c r="X198" i="8" s="1"/>
  <c r="E211" i="6"/>
  <c r="E212" i="6" s="1"/>
  <c r="AQ198" i="8" s="1"/>
  <c r="AS198" i="8" s="1"/>
  <c r="AS197" i="8" s="1"/>
  <c r="B81" i="4"/>
  <c r="B82" i="4"/>
  <c r="K340" i="11"/>
  <c r="C113" i="6"/>
  <c r="C115" i="6" s="1"/>
  <c r="G60" i="8" s="1"/>
  <c r="I60" i="8" s="1"/>
  <c r="F112" i="6"/>
  <c r="O114" i="6"/>
  <c r="C116" i="6"/>
  <c r="C118" i="6" s="1"/>
  <c r="G129" i="8" s="1"/>
  <c r="I129" i="8" s="1"/>
  <c r="N129" i="8" s="1"/>
  <c r="AB129" i="8" s="1"/>
  <c r="AF129" i="8" s="1"/>
  <c r="L116" i="6"/>
  <c r="M122" i="6"/>
  <c r="X291" i="7"/>
  <c r="M360" i="7"/>
  <c r="AG393" i="7"/>
  <c r="M371" i="7"/>
  <c r="U506" i="7"/>
  <c r="U480" i="7"/>
  <c r="U502" i="7" s="1"/>
  <c r="U562" i="7"/>
  <c r="U536" i="7"/>
  <c r="U558" i="7" s="1"/>
  <c r="M1607" i="7"/>
  <c r="M1676" i="7"/>
  <c r="AP1676" i="7" s="1"/>
  <c r="AY4" i="22"/>
  <c r="CE24" i="22" s="1"/>
  <c r="CE5" i="23" s="1"/>
  <c r="CE5" i="24" s="1"/>
  <c r="CE6" i="25" s="1"/>
  <c r="AY4" i="20"/>
  <c r="AY4" i="21"/>
  <c r="AY4" i="19"/>
  <c r="BE5" i="22"/>
  <c r="BE5" i="21"/>
  <c r="BE5" i="20"/>
  <c r="BE5" i="19"/>
  <c r="AO7" i="8"/>
  <c r="AP7" i="8" s="1"/>
  <c r="AK20" i="8"/>
  <c r="AN20" i="8" s="1"/>
  <c r="AS20" i="8" s="1"/>
  <c r="CY18" i="18"/>
  <c r="CN18" i="18"/>
  <c r="CC18" i="18"/>
  <c r="BR18" i="18"/>
  <c r="BG18" i="18"/>
  <c r="DD18" i="18"/>
  <c r="CS18" i="18"/>
  <c r="CH18" i="18"/>
  <c r="BW18" i="18"/>
  <c r="BL18" i="18"/>
  <c r="BA18" i="18"/>
  <c r="DD23" i="18"/>
  <c r="CS23" i="18"/>
  <c r="CH23" i="18"/>
  <c r="BW23" i="18"/>
  <c r="BL23" i="18"/>
  <c r="BA23" i="18"/>
  <c r="CY23" i="18"/>
  <c r="CN23" i="18"/>
  <c r="CC23" i="18"/>
  <c r="BR23" i="18"/>
  <c r="BG23" i="18"/>
  <c r="AC25" i="8"/>
  <c r="AG25" i="8" s="1"/>
  <c r="GS26" i="18"/>
  <c r="GH26" i="18"/>
  <c r="FW26" i="18"/>
  <c r="FL26" i="18"/>
  <c r="FA26" i="18"/>
  <c r="EP26" i="18"/>
  <c r="GN26" i="18"/>
  <c r="GC26" i="18"/>
  <c r="FR26" i="18"/>
  <c r="FG26" i="18"/>
  <c r="EV26" i="18"/>
  <c r="Z26" i="8"/>
  <c r="AD26" i="8" s="1"/>
  <c r="CY30" i="18"/>
  <c r="CN30" i="18"/>
  <c r="CC30" i="18"/>
  <c r="BR30" i="18"/>
  <c r="BG30" i="18"/>
  <c r="DD30" i="18"/>
  <c r="CS30" i="18"/>
  <c r="CH30" i="18"/>
  <c r="BW30" i="18"/>
  <c r="BL30" i="18"/>
  <c r="BA30" i="18"/>
  <c r="CY34" i="18"/>
  <c r="CN34" i="18"/>
  <c r="CC34" i="18"/>
  <c r="BR34" i="18"/>
  <c r="BG34" i="18"/>
  <c r="DD34" i="18"/>
  <c r="CS34" i="18"/>
  <c r="CH34" i="18"/>
  <c r="BW34" i="18"/>
  <c r="BL34" i="18"/>
  <c r="BA34" i="18"/>
  <c r="AC31" i="8"/>
  <c r="AG31" i="8" s="1"/>
  <c r="N651" i="7"/>
  <c r="N637" i="7" s="1"/>
  <c r="Z31" i="8"/>
  <c r="AD31" i="8" s="1"/>
  <c r="Z32" i="8"/>
  <c r="AD32" i="8" s="1"/>
  <c r="N32" i="8"/>
  <c r="GS30" i="19"/>
  <c r="GH30" i="19"/>
  <c r="FW30" i="19"/>
  <c r="FL30" i="19"/>
  <c r="FA30" i="19"/>
  <c r="EP30" i="19"/>
  <c r="GN30" i="19"/>
  <c r="GC30" i="19"/>
  <c r="FR30" i="19"/>
  <c r="FG30" i="19"/>
  <c r="EV30" i="19"/>
  <c r="Z42" i="8"/>
  <c r="AD42" i="8" s="1"/>
  <c r="AB45" i="8"/>
  <c r="AF45" i="8" s="1"/>
  <c r="AI803" i="7"/>
  <c r="P803" i="7" s="1"/>
  <c r="AA46" i="8"/>
  <c r="AE46" i="8" s="1"/>
  <c r="K44" i="8"/>
  <c r="AB47" i="8"/>
  <c r="AF47" i="8" s="1"/>
  <c r="AI805" i="7"/>
  <c r="P805" i="7" s="1"/>
  <c r="DD14" i="20"/>
  <c r="CS14" i="20"/>
  <c r="CH14" i="20"/>
  <c r="BW14" i="20"/>
  <c r="BL14" i="20"/>
  <c r="BA14" i="20"/>
  <c r="CY14" i="20"/>
  <c r="CN14" i="20"/>
  <c r="CC14" i="20"/>
  <c r="BR14" i="20"/>
  <c r="BG14" i="20"/>
  <c r="N48" i="8"/>
  <c r="GN14" i="20"/>
  <c r="GC14" i="20"/>
  <c r="FR14" i="20"/>
  <c r="FG14" i="20"/>
  <c r="EV14" i="20"/>
  <c r="GS14" i="20"/>
  <c r="GH14" i="20"/>
  <c r="FW14" i="20"/>
  <c r="FL14" i="20"/>
  <c r="FA14" i="20"/>
  <c r="EP14" i="20"/>
  <c r="CY16" i="20"/>
  <c r="CN16" i="20"/>
  <c r="CC16" i="20"/>
  <c r="BR16" i="20"/>
  <c r="BG16" i="20"/>
  <c r="DD16" i="20"/>
  <c r="CS16" i="20"/>
  <c r="CH16" i="20"/>
  <c r="BW16" i="20"/>
  <c r="BL16" i="20"/>
  <c r="BA16" i="20"/>
  <c r="FJ17" i="20"/>
  <c r="EY17" i="20"/>
  <c r="EN17" i="20"/>
  <c r="EC17" i="20"/>
  <c r="DR17" i="20"/>
  <c r="FO17" i="20"/>
  <c r="FD17" i="20"/>
  <c r="ES17" i="20"/>
  <c r="EH17" i="20"/>
  <c r="DW17" i="20"/>
  <c r="DL17" i="20"/>
  <c r="CY20" i="20"/>
  <c r="CN20" i="20"/>
  <c r="CC20" i="20"/>
  <c r="BR20" i="20"/>
  <c r="BG20" i="20"/>
  <c r="DD20" i="20"/>
  <c r="CS20" i="20"/>
  <c r="CH20" i="20"/>
  <c r="BW20" i="20"/>
  <c r="BL20" i="20"/>
  <c r="BA20" i="20"/>
  <c r="CY23" i="20"/>
  <c r="CN23" i="20"/>
  <c r="CC23" i="20"/>
  <c r="BR23" i="20"/>
  <c r="BG23" i="20"/>
  <c r="DD23" i="20"/>
  <c r="CS23" i="20"/>
  <c r="CH23" i="20"/>
  <c r="BW23" i="20"/>
  <c r="BL23" i="20"/>
  <c r="BA23" i="20"/>
  <c r="DD33" i="20"/>
  <c r="CS33" i="20"/>
  <c r="CH33" i="20"/>
  <c r="BW33" i="20"/>
  <c r="BL33" i="20"/>
  <c r="BA33" i="20"/>
  <c r="CY33" i="20"/>
  <c r="CN33" i="20"/>
  <c r="CC33" i="20"/>
  <c r="BR33" i="20"/>
  <c r="BG33" i="20"/>
  <c r="GS8" i="21"/>
  <c r="GH8" i="21"/>
  <c r="FW8" i="21"/>
  <c r="FL8" i="21"/>
  <c r="FA8" i="21"/>
  <c r="EP8" i="21"/>
  <c r="GC8" i="21"/>
  <c r="FG8" i="21"/>
  <c r="GN8" i="21"/>
  <c r="FR8" i="21"/>
  <c r="EV8" i="21"/>
  <c r="Z59" i="8"/>
  <c r="AD59" i="8" s="1"/>
  <c r="GN14" i="21"/>
  <c r="GC14" i="21"/>
  <c r="FR14" i="21"/>
  <c r="FG14" i="21"/>
  <c r="EV14" i="21"/>
  <c r="GH14" i="21"/>
  <c r="FL14" i="21"/>
  <c r="EP14" i="21"/>
  <c r="GS14" i="21"/>
  <c r="FW14" i="21"/>
  <c r="FA14" i="21"/>
  <c r="Z62" i="8"/>
  <c r="AD62" i="8" s="1"/>
  <c r="DD18" i="21"/>
  <c r="CS18" i="21"/>
  <c r="CH18" i="21"/>
  <c r="BW18" i="21"/>
  <c r="BL18" i="21"/>
  <c r="BA18" i="21"/>
  <c r="CY18" i="21"/>
  <c r="CC18" i="21"/>
  <c r="BG18" i="21"/>
  <c r="CN18" i="21"/>
  <c r="BR18" i="21"/>
  <c r="CY24" i="21"/>
  <c r="CN24" i="21"/>
  <c r="CC24" i="21"/>
  <c r="BR24" i="21"/>
  <c r="BG24" i="21"/>
  <c r="DD24" i="21"/>
  <c r="CH24" i="21"/>
  <c r="BL24" i="21"/>
  <c r="CS24" i="21"/>
  <c r="BW24" i="21"/>
  <c r="BA24" i="21"/>
  <c r="FJ29" i="21"/>
  <c r="EY29" i="21"/>
  <c r="EN29" i="21"/>
  <c r="EC29" i="21"/>
  <c r="DR29" i="21"/>
  <c r="FO29" i="21"/>
  <c r="ES29" i="21"/>
  <c r="DW29" i="21"/>
  <c r="FD29" i="21"/>
  <c r="EH29" i="21"/>
  <c r="DL29" i="21"/>
  <c r="CY32" i="21"/>
  <c r="CN32" i="21"/>
  <c r="CC32" i="21"/>
  <c r="BR32" i="21"/>
  <c r="BG32" i="21"/>
  <c r="DD32" i="21"/>
  <c r="CH32" i="21"/>
  <c r="BL32" i="21"/>
  <c r="CS32" i="21"/>
  <c r="BW32" i="21"/>
  <c r="BA32" i="21"/>
  <c r="GS35" i="22"/>
  <c r="GH35" i="22"/>
  <c r="FW35" i="22"/>
  <c r="FL35" i="22"/>
  <c r="FA35" i="22"/>
  <c r="EP35" i="22"/>
  <c r="GN35" i="22"/>
  <c r="FR35" i="22"/>
  <c r="EV35" i="22"/>
  <c r="GC35" i="22"/>
  <c r="FG35" i="22"/>
  <c r="EH21" i="23"/>
  <c r="DW21" i="23"/>
  <c r="DL21" i="23"/>
  <c r="DA21" i="23"/>
  <c r="CP21" i="23"/>
  <c r="CE21" i="23"/>
  <c r="DR21" i="23"/>
  <c r="CU21" i="23"/>
  <c r="EC21" i="23"/>
  <c r="DF21" i="23"/>
  <c r="CJ21" i="23"/>
  <c r="EH23" i="23"/>
  <c r="DW23" i="23"/>
  <c r="DL23" i="23"/>
  <c r="DA23" i="23"/>
  <c r="CP23" i="23"/>
  <c r="CE23" i="23"/>
  <c r="EC23" i="23"/>
  <c r="DF23" i="23"/>
  <c r="CJ23" i="23"/>
  <c r="DR23" i="23"/>
  <c r="CU23" i="23"/>
  <c r="EH25" i="23"/>
  <c r="DW25" i="23"/>
  <c r="DL25" i="23"/>
  <c r="DA25" i="23"/>
  <c r="CP25" i="23"/>
  <c r="CE25" i="23"/>
  <c r="DR25" i="23"/>
  <c r="CU25" i="23"/>
  <c r="EC25" i="23"/>
  <c r="DF25" i="23"/>
  <c r="CJ25" i="23"/>
  <c r="EH27" i="23"/>
  <c r="DW27" i="23"/>
  <c r="DL27" i="23"/>
  <c r="DA27" i="23"/>
  <c r="CP27" i="23"/>
  <c r="CE27" i="23"/>
  <c r="EC27" i="23"/>
  <c r="DF27" i="23"/>
  <c r="CJ27" i="23"/>
  <c r="DR27" i="23"/>
  <c r="CU27" i="23"/>
  <c r="EH29" i="23"/>
  <c r="DW29" i="23"/>
  <c r="DL29" i="23"/>
  <c r="DA29" i="23"/>
  <c r="CP29" i="23"/>
  <c r="CE29" i="23"/>
  <c r="DR29" i="23"/>
  <c r="CU29" i="23"/>
  <c r="EC29" i="23"/>
  <c r="DF29" i="23"/>
  <c r="CJ29" i="23"/>
  <c r="EH31" i="23"/>
  <c r="DW31" i="23"/>
  <c r="DL31" i="23"/>
  <c r="DA31" i="23"/>
  <c r="CP31" i="23"/>
  <c r="CE31" i="23"/>
  <c r="DR31" i="23"/>
  <c r="DF31" i="23"/>
  <c r="CJ31" i="23"/>
  <c r="EC31" i="23"/>
  <c r="CU31" i="23"/>
  <c r="AI13" i="9"/>
  <c r="BB13" i="9"/>
  <c r="AB120" i="8"/>
  <c r="AF120" i="8" s="1"/>
  <c r="AP1051" i="7"/>
  <c r="GS7" i="24"/>
  <c r="GH7" i="24"/>
  <c r="FW7" i="24"/>
  <c r="FL7" i="24"/>
  <c r="FA7" i="24"/>
  <c r="EP7" i="24"/>
  <c r="GC7" i="24"/>
  <c r="FG7" i="24"/>
  <c r="GN7" i="24"/>
  <c r="EV7" i="24"/>
  <c r="FR7" i="24"/>
  <c r="GN8" i="24"/>
  <c r="GC8" i="24"/>
  <c r="FR8" i="24"/>
  <c r="FG8" i="24"/>
  <c r="EV8" i="24"/>
  <c r="GH8" i="24"/>
  <c r="FL8" i="24"/>
  <c r="EP8" i="24"/>
  <c r="GS8" i="24"/>
  <c r="FA8" i="24"/>
  <c r="FW8" i="24"/>
  <c r="D50" i="10"/>
  <c r="AC123" i="8"/>
  <c r="AG123" i="8" s="1"/>
  <c r="AQ1152" i="7"/>
  <c r="AB144" i="8"/>
  <c r="AF144" i="8" s="1"/>
  <c r="AC146" i="8"/>
  <c r="AG146" i="8" s="1"/>
  <c r="AO1194" i="7"/>
  <c r="AS150" i="8"/>
  <c r="AS176" i="8"/>
  <c r="C67" i="10"/>
  <c r="AF161" i="8"/>
  <c r="EH13" i="26"/>
  <c r="DW13" i="26"/>
  <c r="DL13" i="26"/>
  <c r="DA13" i="26"/>
  <c r="CP13" i="26"/>
  <c r="CE13" i="26"/>
  <c r="DR13" i="26"/>
  <c r="CU13" i="26"/>
  <c r="DF13" i="26"/>
  <c r="EC13" i="26"/>
  <c r="CJ13" i="26"/>
  <c r="GS16" i="26"/>
  <c r="GH16" i="26"/>
  <c r="FW16" i="26"/>
  <c r="FL16" i="26"/>
  <c r="FA16" i="26"/>
  <c r="EP16" i="26"/>
  <c r="GC16" i="26"/>
  <c r="FG16" i="26"/>
  <c r="FR16" i="26"/>
  <c r="GN16" i="26"/>
  <c r="EV16" i="26"/>
  <c r="EH17" i="26"/>
  <c r="DW17" i="26"/>
  <c r="DL17" i="26"/>
  <c r="DA17" i="26"/>
  <c r="CP17" i="26"/>
  <c r="CE17" i="26"/>
  <c r="DR17" i="26"/>
  <c r="CU17" i="26"/>
  <c r="EC17" i="26"/>
  <c r="CJ17" i="26"/>
  <c r="DF17" i="26"/>
  <c r="GN17" i="26"/>
  <c r="GC17" i="26"/>
  <c r="FR17" i="26"/>
  <c r="FG17" i="26"/>
  <c r="EV17" i="26"/>
  <c r="GH17" i="26"/>
  <c r="FL17" i="26"/>
  <c r="EP17" i="26"/>
  <c r="FW17" i="26"/>
  <c r="GS17" i="26"/>
  <c r="FA17" i="26"/>
  <c r="AS193" i="8"/>
  <c r="EH27" i="26"/>
  <c r="DW27" i="26"/>
  <c r="DL27" i="26"/>
  <c r="DA27" i="26"/>
  <c r="CP27" i="26"/>
  <c r="CE27" i="26"/>
  <c r="DR27" i="26"/>
  <c r="CU27" i="26"/>
  <c r="DF27" i="26"/>
  <c r="EC27" i="26"/>
  <c r="CJ27" i="26"/>
  <c r="GN27" i="26"/>
  <c r="GC27" i="26"/>
  <c r="FR27" i="26"/>
  <c r="FG27" i="26"/>
  <c r="EV27" i="26"/>
  <c r="GH27" i="26"/>
  <c r="FL27" i="26"/>
  <c r="EP27" i="26"/>
  <c r="GS27" i="26"/>
  <c r="FA27" i="26"/>
  <c r="FW27" i="26"/>
  <c r="AM92" i="9"/>
  <c r="AM32" i="9"/>
  <c r="AM61" i="9"/>
  <c r="B76" i="3"/>
  <c r="B77" i="3"/>
  <c r="B78" i="3"/>
  <c r="B79" i="3"/>
  <c r="B80" i="3"/>
  <c r="B81" i="3"/>
  <c r="B82" i="3"/>
  <c r="B83" i="3"/>
  <c r="B84" i="3"/>
  <c r="B85" i="3"/>
  <c r="B86" i="3"/>
  <c r="B87" i="3"/>
  <c r="B88" i="3"/>
  <c r="B89" i="3"/>
  <c r="B13" i="4"/>
  <c r="K9" i="11"/>
  <c r="P7" i="8" s="1"/>
  <c r="S7" i="8" s="1"/>
  <c r="P304" i="7"/>
  <c r="B14" i="4"/>
  <c r="B15" i="4"/>
  <c r="K16" i="11"/>
  <c r="M414" i="7"/>
  <c r="B16" i="4"/>
  <c r="B17" i="4"/>
  <c r="K20" i="11"/>
  <c r="P17" i="8" s="1"/>
  <c r="S17" i="8" s="1"/>
  <c r="W414" i="7"/>
  <c r="B18" i="4"/>
  <c r="B19" i="4"/>
  <c r="B20" i="4"/>
  <c r="B21" i="4"/>
  <c r="B22" i="4"/>
  <c r="K61" i="11"/>
  <c r="M425" i="7"/>
  <c r="B23" i="4"/>
  <c r="B24" i="4"/>
  <c r="B25" i="4"/>
  <c r="B26" i="4"/>
  <c r="K83" i="11"/>
  <c r="B27" i="4"/>
  <c r="K87" i="11"/>
  <c r="B28" i="4"/>
  <c r="K89" i="11"/>
  <c r="AK39" i="8"/>
  <c r="AN39" i="8" s="1"/>
  <c r="AS39" i="8" s="1"/>
  <c r="AA1302" i="7"/>
  <c r="B29" i="4"/>
  <c r="B30" i="4"/>
  <c r="B31" i="4"/>
  <c r="B32" i="4"/>
  <c r="B33" i="4"/>
  <c r="B34" i="4"/>
  <c r="B35" i="4"/>
  <c r="B36" i="4"/>
  <c r="I37" i="4"/>
  <c r="I38" i="4"/>
  <c r="I39" i="4"/>
  <c r="I40" i="4"/>
  <c r="I42" i="4"/>
  <c r="I44" i="4"/>
  <c r="I46" i="4"/>
  <c r="I48" i="4"/>
  <c r="B50" i="4"/>
  <c r="B51" i="4"/>
  <c r="K199" i="11"/>
  <c r="D189" i="6" s="1"/>
  <c r="D191" i="6" s="1"/>
  <c r="Q145" i="8" s="1"/>
  <c r="S145" i="8" s="1"/>
  <c r="X145" i="8" s="1"/>
  <c r="E189" i="6"/>
  <c r="E191" i="6" s="1"/>
  <c r="AL145" i="8" s="1"/>
  <c r="AN145" i="8" s="1"/>
  <c r="AS145" i="8" s="1"/>
  <c r="B52" i="4"/>
  <c r="B53" i="4"/>
  <c r="B54" i="4"/>
  <c r="B55" i="4"/>
  <c r="K215" i="11"/>
  <c r="M1669" i="7"/>
  <c r="AP1669" i="7" s="1"/>
  <c r="B56" i="4"/>
  <c r="B57" i="4"/>
  <c r="B58" i="4"/>
  <c r="B59" i="4"/>
  <c r="K229" i="11"/>
  <c r="P94" i="8" s="1"/>
  <c r="S94" i="8" s="1"/>
  <c r="X94" i="8" s="1"/>
  <c r="AC94" i="8" s="1"/>
  <c r="AG94" i="8" s="1"/>
  <c r="AK94" i="8"/>
  <c r="AN94" i="8" s="1"/>
  <c r="AS94" i="8" s="1"/>
  <c r="B60" i="4"/>
  <c r="K231" i="11"/>
  <c r="P101" i="8" s="1"/>
  <c r="S101" i="8" s="1"/>
  <c r="X101" i="8" s="1"/>
  <c r="AC101" i="8" s="1"/>
  <c r="AG101" i="8" s="1"/>
  <c r="AK101" i="8"/>
  <c r="AN101" i="8" s="1"/>
  <c r="AS101" i="8" s="1"/>
  <c r="B61" i="4"/>
  <c r="B62" i="4"/>
  <c r="K248" i="11"/>
  <c r="AK116" i="8"/>
  <c r="AN116" i="8" s="1"/>
  <c r="AS116" i="8" s="1"/>
  <c r="AG1120" i="7"/>
  <c r="B63" i="4"/>
  <c r="B64" i="4"/>
  <c r="K265" i="11"/>
  <c r="B65" i="4"/>
  <c r="B66" i="4"/>
  <c r="K273" i="11"/>
  <c r="B67" i="4"/>
  <c r="B68" i="4"/>
  <c r="B69" i="4"/>
  <c r="B70" i="4"/>
  <c r="K280" i="11"/>
  <c r="B71" i="4"/>
  <c r="B72" i="4"/>
  <c r="B73" i="4"/>
  <c r="B74" i="4"/>
  <c r="B75" i="4"/>
  <c r="B76" i="4"/>
  <c r="B77" i="4"/>
  <c r="B78" i="4"/>
  <c r="B79" i="4"/>
  <c r="I80" i="4"/>
  <c r="I82" i="4"/>
  <c r="B84" i="4"/>
  <c r="K352" i="11"/>
  <c r="B85" i="4"/>
  <c r="B86" i="4"/>
  <c r="B87" i="4"/>
  <c r="B88" i="4"/>
  <c r="B89" i="4"/>
  <c r="B90" i="4"/>
  <c r="M3" i="6"/>
  <c r="M5" i="6" s="1"/>
  <c r="M55" i="6"/>
  <c r="M57" i="6" s="1"/>
  <c r="AL80" i="8" s="1"/>
  <c r="AN80" i="8" s="1"/>
  <c r="AS80" i="8" s="1"/>
  <c r="M106" i="6"/>
  <c r="H112" i="6"/>
  <c r="E113" i="6" s="1"/>
  <c r="E115" i="6" s="1"/>
  <c r="AL60" i="8" s="1"/>
  <c r="AN60" i="8" s="1"/>
  <c r="AS60" i="8" s="1"/>
  <c r="M114" i="6"/>
  <c r="E116" i="6"/>
  <c r="E118" i="6" s="1"/>
  <c r="AL129" i="8" s="1"/>
  <c r="AN129" i="8" s="1"/>
  <c r="AS129" i="8" s="1"/>
  <c r="O122" i="6"/>
  <c r="L124" i="6" s="1"/>
  <c r="E162" i="6"/>
  <c r="E163" i="6" s="1"/>
  <c r="AL139" i="8" s="1"/>
  <c r="AN139" i="8" s="1"/>
  <c r="AS139" i="8" s="1"/>
  <c r="P267" i="7"/>
  <c r="L283" i="7"/>
  <c r="AT306" i="7"/>
  <c r="P312" i="7"/>
  <c r="P317" i="7" s="1"/>
  <c r="X328" i="7"/>
  <c r="W360" i="7"/>
  <c r="AK414" i="7"/>
  <c r="AT418" i="7"/>
  <c r="H436" i="7"/>
  <c r="M506" i="7"/>
  <c r="M480" i="7"/>
  <c r="M502" i="7" s="1"/>
  <c r="AK506" i="7"/>
  <c r="AK480" i="7"/>
  <c r="AK502" i="7" s="1"/>
  <c r="AW540" i="7"/>
  <c r="M562" i="7"/>
  <c r="M536" i="7"/>
  <c r="M558" i="7" s="1"/>
  <c r="AK562" i="7"/>
  <c r="AK536" i="7"/>
  <c r="AK558" i="7" s="1"/>
  <c r="AQ651" i="7"/>
  <c r="AQ637" i="7" s="1"/>
  <c r="AI817" i="7"/>
  <c r="P817" i="7" s="1"/>
  <c r="T1120" i="7"/>
  <c r="M1680" i="7"/>
  <c r="AP1680" i="7" s="1"/>
  <c r="M1692" i="7"/>
  <c r="AP1692" i="7" s="1"/>
  <c r="AK7" i="8"/>
  <c r="AN7" i="8" s="1"/>
  <c r="AK15" i="8"/>
  <c r="AN15" i="8" s="1"/>
  <c r="AS15" i="8" s="1"/>
  <c r="N25" i="8"/>
  <c r="CY26" i="18"/>
  <c r="CN26" i="18"/>
  <c r="CC26" i="18"/>
  <c r="BR26" i="18"/>
  <c r="BG26" i="18"/>
  <c r="DD26" i="18"/>
  <c r="CS26" i="18"/>
  <c r="CH26" i="18"/>
  <c r="BW26" i="18"/>
  <c r="BL26" i="18"/>
  <c r="BA26" i="18"/>
  <c r="U23" i="8"/>
  <c r="AB26" i="8"/>
  <c r="AF26" i="8" s="1"/>
  <c r="N28" i="8"/>
  <c r="X28" i="8"/>
  <c r="Z28" i="8"/>
  <c r="AD28" i="8" s="1"/>
  <c r="AS28" i="8"/>
  <c r="CY8" i="19"/>
  <c r="CN8" i="19"/>
  <c r="CC8" i="19"/>
  <c r="BR8" i="19"/>
  <c r="BG8" i="19"/>
  <c r="DD8" i="19"/>
  <c r="CS8" i="19"/>
  <c r="CH8" i="19"/>
  <c r="BW8" i="19"/>
  <c r="BL8" i="19"/>
  <c r="BA8" i="19"/>
  <c r="DD14" i="19"/>
  <c r="CS14" i="19"/>
  <c r="CH14" i="19"/>
  <c r="BW14" i="19"/>
  <c r="BL14" i="19"/>
  <c r="BA14" i="19"/>
  <c r="CY14" i="19"/>
  <c r="CN14" i="19"/>
  <c r="CC14" i="19"/>
  <c r="BR14" i="19"/>
  <c r="BG14" i="19"/>
  <c r="K36" i="8"/>
  <c r="CY30" i="19"/>
  <c r="CN30" i="19"/>
  <c r="CC30" i="19"/>
  <c r="BR30" i="19"/>
  <c r="BG30" i="19"/>
  <c r="DD30" i="19"/>
  <c r="CS30" i="19"/>
  <c r="CH30" i="19"/>
  <c r="BW30" i="19"/>
  <c r="BL30" i="19"/>
  <c r="BA30" i="19"/>
  <c r="S44" i="8"/>
  <c r="Z44" i="8"/>
  <c r="AD44" i="8" s="1"/>
  <c r="AN43" i="8"/>
  <c r="CY7" i="20"/>
  <c r="CN7" i="20"/>
  <c r="CC7" i="20"/>
  <c r="BR7" i="20"/>
  <c r="BG7" i="20"/>
  <c r="DD7" i="20"/>
  <c r="CS7" i="20"/>
  <c r="CH7" i="20"/>
  <c r="BW7" i="20"/>
  <c r="BL7" i="20"/>
  <c r="BA7" i="20"/>
  <c r="N46" i="8"/>
  <c r="X46" i="8"/>
  <c r="AC46" i="8" s="1"/>
  <c r="AG46" i="8" s="1"/>
  <c r="Z46" i="8"/>
  <c r="AD46" i="8" s="1"/>
  <c r="AS46" i="8"/>
  <c r="AS44" i="8" s="1"/>
  <c r="AS43" i="8" s="1"/>
  <c r="CY11" i="20"/>
  <c r="CN11" i="20"/>
  <c r="CC11" i="20"/>
  <c r="BR11" i="20"/>
  <c r="BG11" i="20"/>
  <c r="DD11" i="20"/>
  <c r="CS11" i="20"/>
  <c r="CH11" i="20"/>
  <c r="BW11" i="20"/>
  <c r="BL11" i="20"/>
  <c r="BA11" i="20"/>
  <c r="N49" i="8"/>
  <c r="X49" i="8"/>
  <c r="AC49" i="8" s="1"/>
  <c r="AG49" i="8" s="1"/>
  <c r="Z49" i="8"/>
  <c r="AD49" i="8" s="1"/>
  <c r="AS49" i="8"/>
  <c r="DD17" i="20"/>
  <c r="CS17" i="20"/>
  <c r="CH17" i="20"/>
  <c r="BW17" i="20"/>
  <c r="BL17" i="20"/>
  <c r="BA17" i="20"/>
  <c r="CY17" i="20"/>
  <c r="CN17" i="20"/>
  <c r="CC17" i="20"/>
  <c r="BR17" i="20"/>
  <c r="BG17" i="20"/>
  <c r="N51" i="8"/>
  <c r="X51" i="8"/>
  <c r="AC51" i="8" s="1"/>
  <c r="AG51" i="8" s="1"/>
  <c r="Z51" i="8"/>
  <c r="AD51" i="8" s="1"/>
  <c r="AS51" i="8"/>
  <c r="Z52" i="8"/>
  <c r="AD52" i="8" s="1"/>
  <c r="N52" i="8"/>
  <c r="N53" i="8"/>
  <c r="DD26" i="20"/>
  <c r="CS26" i="20"/>
  <c r="CH26" i="20"/>
  <c r="BW26" i="20"/>
  <c r="BL26" i="20"/>
  <c r="BA26" i="20"/>
  <c r="CY26" i="20"/>
  <c r="CN26" i="20"/>
  <c r="CC26" i="20"/>
  <c r="BR26" i="20"/>
  <c r="BG26" i="20"/>
  <c r="AR56" i="8"/>
  <c r="AR55" i="8" s="1"/>
  <c r="N58" i="8"/>
  <c r="DD8" i="21"/>
  <c r="CS8" i="21"/>
  <c r="CH8" i="21"/>
  <c r="BW8" i="21"/>
  <c r="BL8" i="21"/>
  <c r="BA8" i="21"/>
  <c r="CY8" i="21"/>
  <c r="CN8" i="21"/>
  <c r="CC8" i="21"/>
  <c r="BR8" i="21"/>
  <c r="BG8" i="21"/>
  <c r="DD14" i="21"/>
  <c r="CS14" i="21"/>
  <c r="CH14" i="21"/>
  <c r="BW14" i="21"/>
  <c r="BL14" i="21"/>
  <c r="BA14" i="21"/>
  <c r="CN14" i="21"/>
  <c r="BR14" i="21"/>
  <c r="CY14" i="21"/>
  <c r="CC14" i="21"/>
  <c r="BG14" i="21"/>
  <c r="DD22" i="21"/>
  <c r="CS22" i="21"/>
  <c r="CH22" i="21"/>
  <c r="BW22" i="21"/>
  <c r="BL22" i="21"/>
  <c r="BA22" i="21"/>
  <c r="CN22" i="21"/>
  <c r="BR22" i="21"/>
  <c r="CY22" i="21"/>
  <c r="CC22" i="21"/>
  <c r="BG22" i="21"/>
  <c r="DD29" i="21"/>
  <c r="CS29" i="21"/>
  <c r="CH29" i="21"/>
  <c r="BW29" i="21"/>
  <c r="BL29" i="21"/>
  <c r="BA29" i="21"/>
  <c r="CY29" i="21"/>
  <c r="CC29" i="21"/>
  <c r="BG29" i="21"/>
  <c r="CN29" i="21"/>
  <c r="BR29" i="21"/>
  <c r="AA72" i="8"/>
  <c r="AE72" i="8" s="1"/>
  <c r="AA73" i="8"/>
  <c r="AE73" i="8" s="1"/>
  <c r="AA76" i="8"/>
  <c r="AE76" i="8" s="1"/>
  <c r="Z77" i="8"/>
  <c r="AD77" i="8" s="1"/>
  <c r="N77" i="8"/>
  <c r="Z79" i="8"/>
  <c r="AD79" i="8" s="1"/>
  <c r="N79" i="8"/>
  <c r="AK88" i="8"/>
  <c r="AN88" i="8" s="1"/>
  <c r="AS88" i="8" s="1"/>
  <c r="AB106" i="8"/>
  <c r="AF106" i="8" s="1"/>
  <c r="N105" i="8"/>
  <c r="AS105" i="8"/>
  <c r="AS104" i="8" s="1"/>
  <c r="EC22" i="23"/>
  <c r="DR22" i="23"/>
  <c r="DF22" i="23"/>
  <c r="CU22" i="23"/>
  <c r="CJ22" i="23"/>
  <c r="DW22" i="23"/>
  <c r="DA22" i="23"/>
  <c r="CE22" i="23"/>
  <c r="EH22" i="23"/>
  <c r="DL22" i="23"/>
  <c r="CP22" i="23"/>
  <c r="EC24" i="23"/>
  <c r="DR24" i="23"/>
  <c r="DF24" i="23"/>
  <c r="CU24" i="23"/>
  <c r="CJ24" i="23"/>
  <c r="EH24" i="23"/>
  <c r="DL24" i="23"/>
  <c r="CP24" i="23"/>
  <c r="DW24" i="23"/>
  <c r="DA24" i="23"/>
  <c r="CE24" i="23"/>
  <c r="EC26" i="23"/>
  <c r="DR26" i="23"/>
  <c r="DF26" i="23"/>
  <c r="CU26" i="23"/>
  <c r="CJ26" i="23"/>
  <c r="DW26" i="23"/>
  <c r="DA26" i="23"/>
  <c r="CE26" i="23"/>
  <c r="EH26" i="23"/>
  <c r="DL26" i="23"/>
  <c r="CP26" i="23"/>
  <c r="EC28" i="23"/>
  <c r="DR28" i="23"/>
  <c r="DF28" i="23"/>
  <c r="CU28" i="23"/>
  <c r="CJ28" i="23"/>
  <c r="EH28" i="23"/>
  <c r="DL28" i="23"/>
  <c r="CP28" i="23"/>
  <c r="DW28" i="23"/>
  <c r="DA28" i="23"/>
  <c r="CE28" i="23"/>
  <c r="AC120" i="8"/>
  <c r="AG120" i="8" s="1"/>
  <c r="AB123" i="8"/>
  <c r="AF123" i="8" s="1"/>
  <c r="GS13" i="24"/>
  <c r="GH13" i="24"/>
  <c r="FW13" i="24"/>
  <c r="FL13" i="24"/>
  <c r="FA13" i="24"/>
  <c r="EP13" i="24"/>
  <c r="GC13" i="24"/>
  <c r="FG13" i="24"/>
  <c r="GN13" i="24"/>
  <c r="EV13" i="24"/>
  <c r="FR13" i="24"/>
  <c r="GN14" i="24"/>
  <c r="GC14" i="24"/>
  <c r="FR14" i="24"/>
  <c r="FG14" i="24"/>
  <c r="EV14" i="24"/>
  <c r="GH14" i="24"/>
  <c r="FL14" i="24"/>
  <c r="EP14" i="24"/>
  <c r="GS14" i="24"/>
  <c r="FA14" i="24"/>
  <c r="FW14" i="24"/>
  <c r="S131" i="8"/>
  <c r="X131" i="8" s="1"/>
  <c r="AC131" i="8" s="1"/>
  <c r="AG131" i="8" s="1"/>
  <c r="AC144" i="8"/>
  <c r="AG144" i="8" s="1"/>
  <c r="AO1187" i="7"/>
  <c r="EH32" i="24"/>
  <c r="DW32" i="24"/>
  <c r="DL32" i="24"/>
  <c r="DA32" i="24"/>
  <c r="CP32" i="24"/>
  <c r="CE32" i="24"/>
  <c r="EC32" i="24"/>
  <c r="DF32" i="24"/>
  <c r="CJ32" i="24"/>
  <c r="CU32" i="24"/>
  <c r="DR32" i="24"/>
  <c r="D67" i="10"/>
  <c r="AG161" i="8"/>
  <c r="AS163" i="8"/>
  <c r="AS158" i="8" s="1"/>
  <c r="GN29" i="25"/>
  <c r="GC29" i="25"/>
  <c r="FR29" i="25"/>
  <c r="FG29" i="25"/>
  <c r="EV29" i="25"/>
  <c r="GS29" i="25"/>
  <c r="FW29" i="25"/>
  <c r="FA29" i="25"/>
  <c r="FL29" i="25"/>
  <c r="GH29" i="25"/>
  <c r="EP29" i="25"/>
  <c r="EH31" i="25"/>
  <c r="DW31" i="25"/>
  <c r="DL31" i="25"/>
  <c r="DA31" i="25"/>
  <c r="CP31" i="25"/>
  <c r="CE31" i="25"/>
  <c r="DR31" i="25"/>
  <c r="CU31" i="25"/>
  <c r="EC31" i="25"/>
  <c r="CJ31" i="25"/>
  <c r="DF31" i="25"/>
  <c r="GN31" i="25"/>
  <c r="GC31" i="25"/>
  <c r="FR31" i="25"/>
  <c r="FG31" i="25"/>
  <c r="EV31" i="25"/>
  <c r="GH31" i="25"/>
  <c r="FL31" i="25"/>
  <c r="EP31" i="25"/>
  <c r="FW31" i="25"/>
  <c r="GS31" i="25"/>
  <c r="FA31" i="25"/>
  <c r="EC12" i="26"/>
  <c r="DR12" i="26"/>
  <c r="DF12" i="26"/>
  <c r="CU12" i="26"/>
  <c r="CJ12" i="26"/>
  <c r="EH12" i="26"/>
  <c r="DL12" i="26"/>
  <c r="CP12" i="26"/>
  <c r="DA12" i="26"/>
  <c r="DW12" i="26"/>
  <c r="CE12" i="26"/>
  <c r="GS12" i="26"/>
  <c r="GH12" i="26"/>
  <c r="FW12" i="26"/>
  <c r="FL12" i="26"/>
  <c r="FA12" i="26"/>
  <c r="EP12" i="26"/>
  <c r="GC12" i="26"/>
  <c r="FG12" i="26"/>
  <c r="GN12" i="26"/>
  <c r="EV12" i="26"/>
  <c r="FR12" i="26"/>
  <c r="GN13" i="26"/>
  <c r="GC13" i="26"/>
  <c r="FR13" i="26"/>
  <c r="FG13" i="26"/>
  <c r="EV13" i="26"/>
  <c r="GH13" i="26"/>
  <c r="FL13" i="26"/>
  <c r="EP13" i="26"/>
  <c r="GS13" i="26"/>
  <c r="FA13" i="26"/>
  <c r="FW13" i="26"/>
  <c r="EC16" i="26"/>
  <c r="DR16" i="26"/>
  <c r="DF16" i="26"/>
  <c r="CU16" i="26"/>
  <c r="CJ16" i="26"/>
  <c r="EH16" i="26"/>
  <c r="DL16" i="26"/>
  <c r="CP16" i="26"/>
  <c r="DW16" i="26"/>
  <c r="CE16" i="26"/>
  <c r="DA16" i="26"/>
  <c r="EC20" i="26"/>
  <c r="DR20" i="26"/>
  <c r="DF20" i="26"/>
  <c r="CU20" i="26"/>
  <c r="CJ20" i="26"/>
  <c r="EH20" i="26"/>
  <c r="DL20" i="26"/>
  <c r="CP20" i="26"/>
  <c r="DA20" i="26"/>
  <c r="DW20" i="26"/>
  <c r="CE20" i="26"/>
  <c r="GS20" i="26"/>
  <c r="GH20" i="26"/>
  <c r="FW20" i="26"/>
  <c r="FL20" i="26"/>
  <c r="FA20" i="26"/>
  <c r="EP20" i="26"/>
  <c r="GC20" i="26"/>
  <c r="FG20" i="26"/>
  <c r="GN20" i="26"/>
  <c r="EV20" i="26"/>
  <c r="FR20" i="26"/>
  <c r="EC30" i="26"/>
  <c r="DR30" i="26"/>
  <c r="DF30" i="26"/>
  <c r="CU30" i="26"/>
  <c r="CJ30" i="26"/>
  <c r="EH30" i="26"/>
  <c r="DL30" i="26"/>
  <c r="CP30" i="26"/>
  <c r="DW30" i="26"/>
  <c r="CE30" i="26"/>
  <c r="DA30" i="26"/>
  <c r="GS30" i="26"/>
  <c r="GH30" i="26"/>
  <c r="FW30" i="26"/>
  <c r="FL30" i="26"/>
  <c r="FA30" i="26"/>
  <c r="EP30" i="26"/>
  <c r="GC30" i="26"/>
  <c r="FG30" i="26"/>
  <c r="FR30" i="26"/>
  <c r="GN30" i="26"/>
  <c r="EV30" i="26"/>
  <c r="F230" i="10"/>
  <c r="F165" i="10"/>
  <c r="F163" i="10"/>
  <c r="F139" i="10"/>
  <c r="F96" i="10"/>
  <c r="F162" i="10"/>
  <c r="F174" i="10"/>
  <c r="F164" i="10"/>
  <c r="F200" i="10" s="1"/>
  <c r="A239" i="10"/>
  <c r="A240" i="10" s="1"/>
  <c r="A241" i="10" s="1"/>
  <c r="A242" i="10" s="1"/>
  <c r="A243" i="10" s="1"/>
  <c r="A236" i="10"/>
  <c r="A237" i="10" s="1"/>
  <c r="A238" i="10" s="1"/>
  <c r="D116" i="6"/>
  <c r="D118" i="6" s="1"/>
  <c r="Q129" i="8" s="1"/>
  <c r="S129" i="8" s="1"/>
  <c r="X129" i="8" s="1"/>
  <c r="AC129" i="8" s="1"/>
  <c r="AG129" i="8" s="1"/>
  <c r="D4" i="8"/>
  <c r="L9" i="17" s="1"/>
  <c r="D6" i="8"/>
  <c r="L13" i="17" s="1"/>
  <c r="D7" i="8"/>
  <c r="L15" i="17" s="1"/>
  <c r="D8" i="8"/>
  <c r="L17" i="17" s="1"/>
  <c r="D9" i="8"/>
  <c r="L19" i="17" s="1"/>
  <c r="D10" i="8"/>
  <c r="L21" i="17" s="1"/>
  <c r="D11" i="8"/>
  <c r="L23" i="17" s="1"/>
  <c r="D13" i="8"/>
  <c r="L27" i="17" s="1"/>
  <c r="D15" i="8"/>
  <c r="L31" i="17" s="1"/>
  <c r="D16" i="8"/>
  <c r="L33" i="17" s="1"/>
  <c r="D17" i="8"/>
  <c r="L7" i="18" s="1"/>
  <c r="D18" i="8"/>
  <c r="L9" i="18" s="1"/>
  <c r="D19" i="8"/>
  <c r="L11" i="18" s="1"/>
  <c r="D20" i="8"/>
  <c r="L13" i="18" s="1"/>
  <c r="D22" i="8"/>
  <c r="L17" i="18" s="1"/>
  <c r="D23" i="8"/>
  <c r="L19" i="18" s="1"/>
  <c r="D26" i="8"/>
  <c r="L25" i="18" s="1"/>
  <c r="D28" i="8"/>
  <c r="L29" i="18" s="1"/>
  <c r="D30" i="8"/>
  <c r="L33" i="18" s="1"/>
  <c r="D31" i="8"/>
  <c r="L7" i="19" s="1"/>
  <c r="D34" i="8"/>
  <c r="L13" i="19" s="1"/>
  <c r="D36" i="8"/>
  <c r="L17" i="19" s="1"/>
  <c r="D38" i="8"/>
  <c r="L21" i="19" s="1"/>
  <c r="D40" i="8"/>
  <c r="L25" i="19" s="1"/>
  <c r="D42" i="8"/>
  <c r="L29" i="19" s="1"/>
  <c r="D44" i="8"/>
  <c r="L33" i="19" s="1"/>
  <c r="D46" i="8"/>
  <c r="L9" i="20" s="1"/>
  <c r="D48" i="8"/>
  <c r="L13" i="20" s="1"/>
  <c r="D49" i="8"/>
  <c r="L15" i="20" s="1"/>
  <c r="D51" i="8"/>
  <c r="L19" i="20" s="1"/>
  <c r="D54" i="8"/>
  <c r="L25" i="20" s="1"/>
  <c r="D55" i="8"/>
  <c r="L27" i="20" s="1"/>
  <c r="D57" i="8"/>
  <c r="L31" i="20" s="1"/>
  <c r="D59" i="8"/>
  <c r="L7" i="21" s="1"/>
  <c r="D62" i="8"/>
  <c r="L13" i="21" s="1"/>
  <c r="D64" i="8"/>
  <c r="L17" i="21" s="1"/>
  <c r="D66" i="8"/>
  <c r="L21" i="21" s="1"/>
  <c r="D67" i="8"/>
  <c r="L23" i="21" s="1"/>
  <c r="D69" i="8"/>
  <c r="L27" i="21" s="1"/>
  <c r="D71" i="8"/>
  <c r="L31" i="21" s="1"/>
  <c r="D72" i="8"/>
  <c r="L33" i="21" s="1"/>
  <c r="D73" i="8"/>
  <c r="L7" i="22" s="1"/>
  <c r="D76" i="8"/>
  <c r="L13" i="22" s="1"/>
  <c r="D82" i="8"/>
  <c r="L26" i="22" s="1"/>
  <c r="D83" i="8"/>
  <c r="L27" i="22" s="1"/>
  <c r="D84" i="8"/>
  <c r="L28" i="22" s="1"/>
  <c r="D85" i="8"/>
  <c r="L29" i="22" s="1"/>
  <c r="D86" i="8"/>
  <c r="L30" i="22" s="1"/>
  <c r="D87" i="8"/>
  <c r="L31" i="22" s="1"/>
  <c r="D88" i="8"/>
  <c r="L32" i="22" s="1"/>
  <c r="D89" i="8"/>
  <c r="L33" i="22" s="1"/>
  <c r="D91" i="8"/>
  <c r="L35" i="22" s="1"/>
  <c r="D92" i="8"/>
  <c r="L6" i="23" s="1"/>
  <c r="D96" i="8"/>
  <c r="L10" i="23" s="1"/>
  <c r="D97" i="8"/>
  <c r="L11" i="23" s="1"/>
  <c r="D98" i="8"/>
  <c r="L12" i="23" s="1"/>
  <c r="D99" i="8"/>
  <c r="L13" i="23" s="1"/>
  <c r="D103" i="8"/>
  <c r="L17" i="23" s="1"/>
  <c r="D105" i="8"/>
  <c r="L19" i="23" s="1"/>
  <c r="D121" i="8"/>
  <c r="L7" i="24" s="1"/>
  <c r="D122" i="8"/>
  <c r="L8" i="24" s="1"/>
  <c r="D123" i="8"/>
  <c r="L9" i="24" s="1"/>
  <c r="D124" i="8"/>
  <c r="L10" i="24" s="1"/>
  <c r="D126" i="8"/>
  <c r="L12" i="24" s="1"/>
  <c r="D127" i="8"/>
  <c r="L13" i="24" s="1"/>
  <c r="D128" i="8"/>
  <c r="L14" i="24" s="1"/>
  <c r="D129" i="8"/>
  <c r="L15" i="24" s="1"/>
  <c r="D130" i="8"/>
  <c r="L16" i="24" s="1"/>
  <c r="D132" i="8"/>
  <c r="L18" i="24" s="1"/>
  <c r="D134" i="8"/>
  <c r="L20" i="24" s="1"/>
  <c r="D135" i="8"/>
  <c r="L21" i="24" s="1"/>
  <c r="D136" i="8"/>
  <c r="L22" i="24" s="1"/>
  <c r="D137" i="8"/>
  <c r="L23" i="24" s="1"/>
  <c r="D139" i="8"/>
  <c r="L25" i="24" s="1"/>
  <c r="D140" i="8"/>
  <c r="L26" i="24" s="1"/>
  <c r="D141" i="8"/>
  <c r="L27" i="24" s="1"/>
  <c r="D143" i="8"/>
  <c r="L29" i="24" s="1"/>
  <c r="D149" i="8"/>
  <c r="L7" i="25" s="1"/>
  <c r="AQ150" i="8"/>
  <c r="D151" i="8"/>
  <c r="L9" i="25" s="1"/>
  <c r="D153" i="8"/>
  <c r="L11" i="25" s="1"/>
  <c r="D155" i="8"/>
  <c r="L13" i="25" s="1"/>
  <c r="D157" i="8"/>
  <c r="L15" i="25" s="1"/>
  <c r="AQ158" i="8"/>
  <c r="D159" i="8"/>
  <c r="L17" i="25" s="1"/>
  <c r="D161" i="8"/>
  <c r="L19" i="25" s="1"/>
  <c r="D163" i="8"/>
  <c r="L21" i="25" s="1"/>
  <c r="D165" i="8"/>
  <c r="L23" i="25" s="1"/>
  <c r="D167" i="8"/>
  <c r="L25" i="25" s="1"/>
  <c r="D169" i="8"/>
  <c r="L27" i="25" s="1"/>
  <c r="D170" i="8"/>
  <c r="L28" i="25" s="1"/>
  <c r="AF171" i="8"/>
  <c r="D172" i="8"/>
  <c r="L30" i="25" s="1"/>
  <c r="D174" i="8"/>
  <c r="L32" i="25" s="1"/>
  <c r="D179" i="8"/>
  <c r="L10" i="26" s="1"/>
  <c r="D180" i="8"/>
  <c r="L11" i="26" s="1"/>
  <c r="D182" i="8"/>
  <c r="L13" i="26" s="1"/>
  <c r="D185" i="8"/>
  <c r="L16" i="26" s="1"/>
  <c r="D187" i="8"/>
  <c r="L18" i="26" s="1"/>
  <c r="D188" i="8"/>
  <c r="L19" i="26" s="1"/>
  <c r="D190" i="8"/>
  <c r="L21" i="26" s="1"/>
  <c r="D192" i="8"/>
  <c r="L23" i="26" s="1"/>
  <c r="D195" i="8"/>
  <c r="L26" i="26" s="1"/>
  <c r="D197" i="8"/>
  <c r="L28" i="26" s="1"/>
  <c r="D198" i="8"/>
  <c r="L29" i="26" s="1"/>
  <c r="D200" i="8"/>
  <c r="L31" i="26" s="1"/>
  <c r="D202" i="8"/>
  <c r="L33" i="26" s="1"/>
  <c r="D207" i="8"/>
  <c r="L11" i="27" s="1"/>
  <c r="D209" i="8"/>
  <c r="L13" i="27" s="1"/>
  <c r="D213" i="8"/>
  <c r="AD1" i="8" s="1"/>
  <c r="D215" i="8"/>
  <c r="E2" i="8" s="1"/>
  <c r="AQ4" i="17" s="1"/>
  <c r="AQ4" i="18" s="1"/>
  <c r="D217" i="8"/>
  <c r="D219" i="8"/>
  <c r="D221" i="8"/>
  <c r="AI12" i="9"/>
  <c r="BD12" i="9"/>
  <c r="D55" i="10"/>
  <c r="F106" i="10"/>
  <c r="F132" i="10"/>
  <c r="F136" i="10"/>
  <c r="F147" i="10"/>
  <c r="E221" i="10"/>
  <c r="E237" i="10" s="1"/>
  <c r="J6" i="11"/>
  <c r="H6" i="11"/>
  <c r="F6" i="11"/>
  <c r="D6" i="11"/>
  <c r="K7" i="11"/>
  <c r="J8" i="11"/>
  <c r="L307" i="7" s="1"/>
  <c r="H8" i="11"/>
  <c r="F8" i="11"/>
  <c r="L270" i="7" s="1"/>
  <c r="D8" i="11"/>
  <c r="J10" i="11"/>
  <c r="T307" i="7" s="1"/>
  <c r="H10" i="11"/>
  <c r="F10" i="11"/>
  <c r="T270" i="7" s="1"/>
  <c r="D10" i="11"/>
  <c r="K11" i="11"/>
  <c r="P9" i="8" s="1"/>
  <c r="S9" i="8" s="1"/>
  <c r="J13" i="11"/>
  <c r="AC307" i="7" s="1"/>
  <c r="H13" i="11"/>
  <c r="F13" i="11"/>
  <c r="AC270" i="7" s="1"/>
  <c r="D13" i="11"/>
  <c r="J17" i="11"/>
  <c r="R419" i="7" s="1"/>
  <c r="H17" i="11"/>
  <c r="F17" i="11"/>
  <c r="R365" i="7" s="1"/>
  <c r="D17" i="11"/>
  <c r="J21" i="11"/>
  <c r="AB419" i="7" s="1"/>
  <c r="H21" i="11"/>
  <c r="F21" i="11"/>
  <c r="AB365" i="7" s="1"/>
  <c r="D21" i="11"/>
  <c r="K23" i="11"/>
  <c r="J26" i="11"/>
  <c r="H26" i="11"/>
  <c r="F26" i="11"/>
  <c r="D26" i="11"/>
  <c r="K27" i="11"/>
  <c r="J31" i="11"/>
  <c r="H31" i="11"/>
  <c r="F31" i="11"/>
  <c r="D31" i="11"/>
  <c r="J33" i="11"/>
  <c r="AO541" i="7" s="1"/>
  <c r="AW541" i="7" s="1"/>
  <c r="H33" i="11"/>
  <c r="F33" i="11"/>
  <c r="AO485" i="7" s="1"/>
  <c r="AW485" i="7" s="1"/>
  <c r="D33" i="11"/>
  <c r="G33" i="11" s="1"/>
  <c r="K37" i="11"/>
  <c r="P12" i="8" s="1"/>
  <c r="S12" i="8" s="1"/>
  <c r="X12" i="8" s="1"/>
  <c r="AC12" i="8" s="1"/>
  <c r="AG12" i="8" s="1"/>
  <c r="J38" i="11"/>
  <c r="H38" i="11"/>
  <c r="F38" i="11"/>
  <c r="AO365" i="7" s="1"/>
  <c r="D38" i="11"/>
  <c r="K39" i="11"/>
  <c r="J42" i="11"/>
  <c r="H42" i="11"/>
  <c r="F42" i="11"/>
  <c r="D42" i="11"/>
  <c r="K43" i="11"/>
  <c r="D4" i="6" s="1"/>
  <c r="D5" i="6" s="1"/>
  <c r="J44" i="11"/>
  <c r="H44" i="11"/>
  <c r="F44" i="11"/>
  <c r="D44" i="11"/>
  <c r="G44" i="11" s="1"/>
  <c r="C8" i="6" s="1"/>
  <c r="C9" i="6" s="1"/>
  <c r="K45" i="11"/>
  <c r="P30" i="8" s="1"/>
  <c r="J46" i="11"/>
  <c r="H46" i="11"/>
  <c r="F46" i="11"/>
  <c r="D46" i="11"/>
  <c r="G46" i="11" s="1"/>
  <c r="C12" i="6" s="1"/>
  <c r="C13" i="6" s="1"/>
  <c r="K47" i="11"/>
  <c r="D17" i="6" s="1"/>
  <c r="D18" i="6" s="1"/>
  <c r="J48" i="11"/>
  <c r="H48" i="11"/>
  <c r="F48" i="11"/>
  <c r="D48" i="11"/>
  <c r="G48" i="11" s="1"/>
  <c r="C21" i="6" s="1"/>
  <c r="C22" i="6" s="1"/>
  <c r="K52" i="11"/>
  <c r="J53" i="11"/>
  <c r="L314" i="7" s="1"/>
  <c r="H53" i="11"/>
  <c r="F53" i="11"/>
  <c r="L277" i="7" s="1"/>
  <c r="D53" i="11"/>
  <c r="J55" i="11"/>
  <c r="T314" i="7" s="1"/>
  <c r="H55" i="11"/>
  <c r="F55" i="11"/>
  <c r="T277" i="7" s="1"/>
  <c r="D55" i="11"/>
  <c r="K56" i="11"/>
  <c r="T9" i="8" s="1"/>
  <c r="U9" i="8" s="1"/>
  <c r="J58" i="11"/>
  <c r="AC314" i="7" s="1"/>
  <c r="H58" i="11"/>
  <c r="F58" i="11"/>
  <c r="AC277" i="7" s="1"/>
  <c r="D58" i="11"/>
  <c r="J62" i="11"/>
  <c r="R429" i="7" s="1"/>
  <c r="H62" i="11"/>
  <c r="F62" i="11"/>
  <c r="R375" i="7" s="1"/>
  <c r="AT375" i="7" s="1"/>
  <c r="D62" i="11"/>
  <c r="K65" i="11"/>
  <c r="T17" i="8" s="1"/>
  <c r="U17" i="8" s="1"/>
  <c r="J66" i="11"/>
  <c r="AB429" i="7" s="1"/>
  <c r="H66" i="11"/>
  <c r="F66" i="11"/>
  <c r="AB375" i="7" s="1"/>
  <c r="D66" i="11"/>
  <c r="K68" i="11"/>
  <c r="T19" i="8" s="1"/>
  <c r="U19" i="8" s="1"/>
  <c r="J71" i="11"/>
  <c r="H71" i="11"/>
  <c r="F71" i="11"/>
  <c r="D71" i="11"/>
  <c r="K72" i="11"/>
  <c r="D32" i="6" s="1"/>
  <c r="D35" i="6" s="1"/>
  <c r="J73" i="11"/>
  <c r="H73" i="11"/>
  <c r="F73" i="11"/>
  <c r="D73" i="11"/>
  <c r="G73" i="11" s="1"/>
  <c r="K74" i="11"/>
  <c r="J75" i="11"/>
  <c r="H75" i="11"/>
  <c r="F75" i="11"/>
  <c r="D75" i="11"/>
  <c r="G75" i="11" s="1"/>
  <c r="C40" i="6" s="1"/>
  <c r="C42" i="6" s="1"/>
  <c r="K76" i="11"/>
  <c r="D45" i="6" s="1"/>
  <c r="D46" i="6" s="1"/>
  <c r="J77" i="11"/>
  <c r="H77" i="11"/>
  <c r="F77" i="11"/>
  <c r="D77" i="11"/>
  <c r="G77" i="11" s="1"/>
  <c r="K78" i="11"/>
  <c r="J82" i="11"/>
  <c r="H82" i="11"/>
  <c r="F82" i="11"/>
  <c r="D82" i="11"/>
  <c r="J84" i="11"/>
  <c r="H84" i="11"/>
  <c r="K84" i="11" s="1"/>
  <c r="F84" i="11"/>
  <c r="D84" i="11"/>
  <c r="G84" i="11" s="1"/>
  <c r="J88" i="11"/>
  <c r="H88" i="11"/>
  <c r="K88" i="11" s="1"/>
  <c r="F88" i="11"/>
  <c r="D88" i="11"/>
  <c r="G88" i="11" s="1"/>
  <c r="J90" i="11"/>
  <c r="H90" i="11"/>
  <c r="F90" i="11"/>
  <c r="D90" i="11"/>
  <c r="G90" i="11" s="1"/>
  <c r="K93" i="11"/>
  <c r="J94" i="11"/>
  <c r="H94" i="11"/>
  <c r="K94" i="11" s="1"/>
  <c r="F94" i="11"/>
  <c r="D94" i="11"/>
  <c r="G94" i="11" s="1"/>
  <c r="K96" i="11"/>
  <c r="J99" i="11"/>
  <c r="H99" i="11"/>
  <c r="F99" i="11"/>
  <c r="D99" i="11"/>
  <c r="K100" i="11"/>
  <c r="J101" i="11"/>
  <c r="H101" i="11"/>
  <c r="F101" i="11"/>
  <c r="D101" i="11"/>
  <c r="G101" i="11" s="1"/>
  <c r="K102" i="11"/>
  <c r="V39" i="8" s="1"/>
  <c r="W39" i="8" s="1"/>
  <c r="J103" i="11"/>
  <c r="H103" i="11"/>
  <c r="F103" i="11"/>
  <c r="D103" i="11"/>
  <c r="G103" i="11" s="1"/>
  <c r="L40" i="8" s="1"/>
  <c r="M40" i="8" s="1"/>
  <c r="AA40" i="8" s="1"/>
  <c r="AE40" i="8" s="1"/>
  <c r="K104" i="11"/>
  <c r="V41" i="8" s="1"/>
  <c r="W41" i="8" s="1"/>
  <c r="J110" i="11"/>
  <c r="J108" i="11" s="1"/>
  <c r="H110" i="11"/>
  <c r="F110" i="11"/>
  <c r="F108" i="11" s="1"/>
  <c r="D110" i="11"/>
  <c r="J114" i="11"/>
  <c r="J113" i="11" s="1"/>
  <c r="H114" i="11"/>
  <c r="F114" i="11"/>
  <c r="F113" i="11" s="1"/>
  <c r="D114" i="11"/>
  <c r="K117" i="11"/>
  <c r="J118" i="11"/>
  <c r="H118" i="11"/>
  <c r="F118" i="11"/>
  <c r="D118" i="11"/>
  <c r="G118" i="11" s="1"/>
  <c r="K121" i="11"/>
  <c r="J122" i="11"/>
  <c r="H122" i="11"/>
  <c r="F122" i="11"/>
  <c r="D122" i="11"/>
  <c r="G122" i="11" s="1"/>
  <c r="K125" i="11"/>
  <c r="J126" i="11"/>
  <c r="H126" i="11"/>
  <c r="F126" i="11"/>
  <c r="AA861" i="7" s="1"/>
  <c r="D126" i="11"/>
  <c r="K127" i="11"/>
  <c r="D60" i="6" s="1"/>
  <c r="D61" i="6" s="1"/>
  <c r="J128" i="11"/>
  <c r="H128" i="11"/>
  <c r="F128" i="11"/>
  <c r="D128" i="11"/>
  <c r="G128" i="11" s="1"/>
  <c r="C145" i="6" s="1"/>
  <c r="C147" i="6" s="1"/>
  <c r="K129" i="11"/>
  <c r="D64" i="6" s="1"/>
  <c r="D65" i="6" s="1"/>
  <c r="J130" i="11"/>
  <c r="H130" i="11"/>
  <c r="F130" i="11"/>
  <c r="AA859" i="7" s="1"/>
  <c r="D130" i="11"/>
  <c r="K131" i="11"/>
  <c r="P72" i="8" s="1"/>
  <c r="S72" i="8" s="1"/>
  <c r="X72" i="8" s="1"/>
  <c r="AC72" i="8" s="1"/>
  <c r="AG72" i="8" s="1"/>
  <c r="J134" i="11"/>
  <c r="J133" i="11" s="1"/>
  <c r="H134" i="11"/>
  <c r="F134" i="11"/>
  <c r="F133" i="11" s="1"/>
  <c r="D134" i="11"/>
  <c r="D136" i="11"/>
  <c r="K137" i="11"/>
  <c r="H136" i="11"/>
  <c r="J142" i="11"/>
  <c r="H142" i="11"/>
  <c r="F142" i="11"/>
  <c r="D142" i="11"/>
  <c r="K143" i="11"/>
  <c r="D86" i="6" s="1"/>
  <c r="D90" i="6" s="1"/>
  <c r="J144" i="11"/>
  <c r="H144" i="11"/>
  <c r="F144" i="11"/>
  <c r="D144" i="11"/>
  <c r="G144" i="11" s="1"/>
  <c r="K78" i="6" s="1"/>
  <c r="K82" i="6" s="1"/>
  <c r="K145" i="11"/>
  <c r="L86" i="6" s="1"/>
  <c r="L91" i="6" s="1"/>
  <c r="J146" i="11"/>
  <c r="H146" i="11"/>
  <c r="F146" i="11"/>
  <c r="D146" i="11"/>
  <c r="J150" i="11"/>
  <c r="H150" i="11"/>
  <c r="H148" i="11" s="1"/>
  <c r="F150" i="11"/>
  <c r="D150" i="11"/>
  <c r="J152" i="11"/>
  <c r="H152" i="11"/>
  <c r="F152" i="11"/>
  <c r="D152" i="11"/>
  <c r="J154" i="11"/>
  <c r="H154" i="11"/>
  <c r="F154" i="11"/>
  <c r="D154" i="11"/>
  <c r="J158" i="11"/>
  <c r="H158" i="11"/>
  <c r="H156" i="11" s="1"/>
  <c r="F158" i="11"/>
  <c r="D158" i="11"/>
  <c r="D156" i="11" s="1"/>
  <c r="J160" i="11"/>
  <c r="H160" i="11"/>
  <c r="F160" i="11"/>
  <c r="D160" i="11"/>
  <c r="J164" i="11"/>
  <c r="H164" i="11"/>
  <c r="F164" i="11"/>
  <c r="D164" i="11"/>
  <c r="J166" i="11"/>
  <c r="H166" i="11"/>
  <c r="F166" i="11"/>
  <c r="D166" i="11"/>
  <c r="J168" i="11"/>
  <c r="H168" i="11"/>
  <c r="F168" i="11"/>
  <c r="D168" i="11"/>
  <c r="K171" i="11"/>
  <c r="J172" i="11"/>
  <c r="U1673" i="7" s="1"/>
  <c r="H172" i="11"/>
  <c r="F172" i="11"/>
  <c r="U1611" i="7" s="1"/>
  <c r="D172" i="11"/>
  <c r="K173" i="11"/>
  <c r="L14" i="6" s="1"/>
  <c r="L16" i="6" s="1"/>
  <c r="J174" i="11"/>
  <c r="H174" i="11"/>
  <c r="F174" i="11"/>
  <c r="D174" i="11"/>
  <c r="K175" i="11"/>
  <c r="L22" i="6" s="1"/>
  <c r="L24" i="6" s="1"/>
  <c r="J178" i="11"/>
  <c r="H178" i="11"/>
  <c r="F178" i="11"/>
  <c r="D178" i="11"/>
  <c r="K179" i="11"/>
  <c r="J180" i="11"/>
  <c r="H180" i="11"/>
  <c r="F180" i="11"/>
  <c r="D180" i="11"/>
  <c r="K181" i="11"/>
  <c r="J182" i="11"/>
  <c r="H182" i="11"/>
  <c r="F182" i="11"/>
  <c r="D182" i="11"/>
  <c r="K183" i="11"/>
  <c r="J186" i="11"/>
  <c r="H186" i="11"/>
  <c r="F186" i="11"/>
  <c r="D186" i="11"/>
  <c r="K187" i="11"/>
  <c r="D181" i="6" s="1"/>
  <c r="D183" i="6" s="1"/>
  <c r="Q137" i="8" s="1"/>
  <c r="J188" i="11"/>
  <c r="H188" i="11"/>
  <c r="F188" i="11"/>
  <c r="D188" i="11"/>
  <c r="K189" i="11"/>
  <c r="L30" i="6" s="1"/>
  <c r="L32" i="6" s="1"/>
  <c r="J190" i="11"/>
  <c r="H190" i="11"/>
  <c r="F190" i="11"/>
  <c r="D190" i="11"/>
  <c r="K191" i="11"/>
  <c r="L38" i="6" s="1"/>
  <c r="L40" i="6" s="1"/>
  <c r="Q66" i="8" s="1"/>
  <c r="S66" i="8" s="1"/>
  <c r="X66" i="8" s="1"/>
  <c r="AC66" i="8" s="1"/>
  <c r="AG66" i="8" s="1"/>
  <c r="J192" i="11"/>
  <c r="H192" i="11"/>
  <c r="F192" i="11"/>
  <c r="D192" i="11"/>
  <c r="K193" i="11"/>
  <c r="L43" i="6" s="1"/>
  <c r="L45" i="6" s="1"/>
  <c r="J194" i="11"/>
  <c r="H194" i="11"/>
  <c r="F194" i="11"/>
  <c r="D194" i="11"/>
  <c r="G194" i="11" s="1"/>
  <c r="F137" i="8" s="1"/>
  <c r="K197" i="11"/>
  <c r="J198" i="11"/>
  <c r="H198" i="11"/>
  <c r="F198" i="11"/>
  <c r="D198" i="11"/>
  <c r="G198" i="11" s="1"/>
  <c r="K51" i="6" s="1"/>
  <c r="K53" i="6" s="1"/>
  <c r="J200" i="11"/>
  <c r="H200" i="11"/>
  <c r="F200" i="11"/>
  <c r="D200" i="11"/>
  <c r="J208" i="11"/>
  <c r="H208" i="11"/>
  <c r="F208" i="11"/>
  <c r="D208" i="11"/>
  <c r="J210" i="11"/>
  <c r="H210" i="11"/>
  <c r="F210" i="11"/>
  <c r="D210" i="11"/>
  <c r="J216" i="11"/>
  <c r="U1675" i="7" s="1"/>
  <c r="H216" i="11"/>
  <c r="H214" i="11" s="1"/>
  <c r="F216" i="11"/>
  <c r="U1613" i="7" s="1"/>
  <c r="D216" i="11"/>
  <c r="J218" i="11"/>
  <c r="U1681" i="7" s="1"/>
  <c r="H218" i="11"/>
  <c r="F218" i="11"/>
  <c r="U1619" i="7" s="1"/>
  <c r="D218" i="11"/>
  <c r="K219" i="11"/>
  <c r="P97" i="8" s="1"/>
  <c r="S97" i="8" s="1"/>
  <c r="X97" i="8" s="1"/>
  <c r="AC97" i="8" s="1"/>
  <c r="AG97" i="8" s="1"/>
  <c r="J220" i="11"/>
  <c r="U1686" i="7" s="1"/>
  <c r="H220" i="11"/>
  <c r="F220" i="11"/>
  <c r="U1624" i="7" s="1"/>
  <c r="D220" i="11"/>
  <c r="K221" i="11"/>
  <c r="L145" i="6" s="1"/>
  <c r="L146" i="6" s="1"/>
  <c r="J222" i="11"/>
  <c r="U1677" i="7" s="1"/>
  <c r="H222" i="11"/>
  <c r="F222" i="11"/>
  <c r="U1615" i="7" s="1"/>
  <c r="D222" i="11"/>
  <c r="K223" i="11"/>
  <c r="P85" i="8" s="1"/>
  <c r="S85" i="8" s="1"/>
  <c r="X85" i="8" s="1"/>
  <c r="AC85" i="8" s="1"/>
  <c r="AG85" i="8" s="1"/>
  <c r="J226" i="11"/>
  <c r="H226" i="11"/>
  <c r="F226" i="11"/>
  <c r="D226" i="11"/>
  <c r="J228" i="11"/>
  <c r="U1679" i="7" s="1"/>
  <c r="H228" i="11"/>
  <c r="F228" i="11"/>
  <c r="D228" i="11"/>
  <c r="J230" i="11"/>
  <c r="U1690" i="7" s="1"/>
  <c r="H230" i="11"/>
  <c r="F230" i="11"/>
  <c r="U1628" i="7" s="1"/>
  <c r="D230" i="11"/>
  <c r="J234" i="11"/>
  <c r="J233" i="11" s="1"/>
  <c r="H234" i="11"/>
  <c r="F234" i="11"/>
  <c r="F233" i="11" s="1"/>
  <c r="D234" i="11"/>
  <c r="K239" i="11"/>
  <c r="D229" i="10"/>
  <c r="D218" i="10"/>
  <c r="D161" i="10"/>
  <c r="D117" i="10"/>
  <c r="E3" i="10"/>
  <c r="F208" i="10"/>
  <c r="F207" i="10"/>
  <c r="F205" i="10"/>
  <c r="F203" i="10"/>
  <c r="F202" i="10"/>
  <c r="F193" i="10"/>
  <c r="F191" i="10"/>
  <c r="F189" i="10"/>
  <c r="F188" i="10"/>
  <c r="F184" i="10"/>
  <c r="F181" i="10"/>
  <c r="F180" i="10"/>
  <c r="F137" i="10"/>
  <c r="F135" i="10"/>
  <c r="F133" i="10"/>
  <c r="F209" i="10"/>
  <c r="F201" i="10"/>
  <c r="F123" i="10"/>
  <c r="F187" i="10" s="1"/>
  <c r="F119" i="10"/>
  <c r="F222" i="10"/>
  <c r="F221" i="10" s="1"/>
  <c r="F237" i="10" s="1"/>
  <c r="F190" i="10"/>
  <c r="E166" i="10"/>
  <c r="E90" i="10"/>
  <c r="E75" i="10"/>
  <c r="D94" i="10"/>
  <c r="F118" i="10"/>
  <c r="F124" i="10"/>
  <c r="F134" i="10"/>
  <c r="F138" i="10"/>
  <c r="F183" i="10"/>
  <c r="F182" i="10"/>
  <c r="F223" i="10"/>
  <c r="F15" i="11"/>
  <c r="J15" i="11"/>
  <c r="F35" i="11"/>
  <c r="J35" i="11"/>
  <c r="F50" i="11"/>
  <c r="J50" i="11"/>
  <c r="F60" i="11"/>
  <c r="J60" i="11"/>
  <c r="F86" i="11"/>
  <c r="J86" i="11"/>
  <c r="F92" i="11"/>
  <c r="J92" i="11"/>
  <c r="F116" i="11"/>
  <c r="J116" i="11"/>
  <c r="F120" i="11"/>
  <c r="J120" i="11"/>
  <c r="F124" i="11"/>
  <c r="J124" i="11"/>
  <c r="F148" i="11"/>
  <c r="J148" i="11"/>
  <c r="F156" i="11"/>
  <c r="J156" i="11"/>
  <c r="F162" i="11"/>
  <c r="J162" i="11"/>
  <c r="F170" i="11"/>
  <c r="J170" i="11"/>
  <c r="F196" i="11"/>
  <c r="J196" i="11"/>
  <c r="F214" i="11"/>
  <c r="J214" i="11"/>
  <c r="E222" i="11"/>
  <c r="I222" i="11"/>
  <c r="E226" i="11"/>
  <c r="I226" i="11"/>
  <c r="E228" i="11"/>
  <c r="I228" i="11"/>
  <c r="AB1679" i="7" s="1"/>
  <c r="E230" i="11"/>
  <c r="AB1628" i="7" s="1"/>
  <c r="I230" i="11"/>
  <c r="AB1690" i="7" s="1"/>
  <c r="E234" i="11"/>
  <c r="E233" i="11" s="1"/>
  <c r="I234" i="11"/>
  <c r="I233" i="11" s="1"/>
  <c r="E124" i="10"/>
  <c r="E132" i="10"/>
  <c r="E134" i="10"/>
  <c r="E136" i="10"/>
  <c r="E138" i="10"/>
  <c r="E143" i="10"/>
  <c r="E7" i="11"/>
  <c r="G7" i="11" s="1"/>
  <c r="E9" i="11"/>
  <c r="P269" i="7" s="1"/>
  <c r="E11" i="11"/>
  <c r="X269" i="7" s="1"/>
  <c r="X272" i="7" s="1"/>
  <c r="X293" i="7" s="1"/>
  <c r="E16" i="11"/>
  <c r="G16" i="11" s="1"/>
  <c r="E20" i="11"/>
  <c r="W364" i="7" s="1"/>
  <c r="E23" i="11"/>
  <c r="E27" i="11"/>
  <c r="G27" i="11" s="1"/>
  <c r="E32" i="11"/>
  <c r="AK364" i="7" s="1"/>
  <c r="E37" i="11"/>
  <c r="E39" i="11"/>
  <c r="AS484" i="7" s="1"/>
  <c r="AW484" i="7" s="1"/>
  <c r="E43" i="11"/>
  <c r="G43" i="11" s="1"/>
  <c r="C4" i="6" s="1"/>
  <c r="C5" i="6" s="1"/>
  <c r="E45" i="11"/>
  <c r="G45" i="11" s="1"/>
  <c r="F30" i="8" s="1"/>
  <c r="E47" i="11"/>
  <c r="G47" i="11" s="1"/>
  <c r="C17" i="6" s="1"/>
  <c r="C18" i="6" s="1"/>
  <c r="E52" i="11"/>
  <c r="E54" i="11"/>
  <c r="P278" i="7" s="1"/>
  <c r="AT278" i="7" s="1"/>
  <c r="E56" i="11"/>
  <c r="X278" i="7" s="1"/>
  <c r="X280" i="7" s="1"/>
  <c r="E61" i="11"/>
  <c r="E65" i="11"/>
  <c r="W376" i="7" s="1"/>
  <c r="W378" i="7" s="1"/>
  <c r="E68" i="11"/>
  <c r="AG376" i="7" s="1"/>
  <c r="AG378" i="7" s="1"/>
  <c r="E72" i="11"/>
  <c r="G72" i="11" s="1"/>
  <c r="C32" i="6" s="1"/>
  <c r="C35" i="6" s="1"/>
  <c r="E74" i="11"/>
  <c r="G74" i="11" s="1"/>
  <c r="E76" i="11"/>
  <c r="G76" i="11" s="1"/>
  <c r="C45" i="6" s="1"/>
  <c r="C46" i="6" s="1"/>
  <c r="E78" i="11"/>
  <c r="G78" i="11" s="1"/>
  <c r="E83" i="11"/>
  <c r="G83" i="11" s="1"/>
  <c r="F37" i="8" s="1"/>
  <c r="I37" i="8" s="1"/>
  <c r="E87" i="11"/>
  <c r="E86" i="11" s="1"/>
  <c r="E89" i="11"/>
  <c r="G89" i="11" s="1"/>
  <c r="E93" i="11"/>
  <c r="E92" i="11" s="1"/>
  <c r="E96" i="11"/>
  <c r="G96" i="11" s="1"/>
  <c r="E100" i="11"/>
  <c r="G100" i="11" s="1"/>
  <c r="L38" i="8" s="1"/>
  <c r="M38" i="8" s="1"/>
  <c r="AA38" i="8" s="1"/>
  <c r="AE38" i="8" s="1"/>
  <c r="E102" i="11"/>
  <c r="G102" i="11" s="1"/>
  <c r="L39" i="8" s="1"/>
  <c r="M39" i="8" s="1"/>
  <c r="AA39" i="8" s="1"/>
  <c r="AE39" i="8" s="1"/>
  <c r="E104" i="11"/>
  <c r="G104" i="11" s="1"/>
  <c r="L41" i="8" s="1"/>
  <c r="M41" i="8" s="1"/>
  <c r="AA41" i="8" s="1"/>
  <c r="AE41" i="8" s="1"/>
  <c r="E111" i="11"/>
  <c r="G111" i="11" s="1"/>
  <c r="E117" i="11"/>
  <c r="E116" i="11" s="1"/>
  <c r="E121" i="11"/>
  <c r="E120" i="11" s="1"/>
  <c r="E125" i="11"/>
  <c r="E127" i="11"/>
  <c r="G127" i="11" s="1"/>
  <c r="C60" i="6" s="1"/>
  <c r="C61" i="6" s="1"/>
  <c r="E129" i="11"/>
  <c r="G129" i="11" s="1"/>
  <c r="C64" i="6" s="1"/>
  <c r="C65" i="6" s="1"/>
  <c r="E131" i="11"/>
  <c r="G131" i="11" s="1"/>
  <c r="F72" i="8" s="1"/>
  <c r="I72" i="8" s="1"/>
  <c r="E137" i="11"/>
  <c r="E136" i="11" s="1"/>
  <c r="E143" i="11"/>
  <c r="G143" i="11" s="1"/>
  <c r="C86" i="6" s="1"/>
  <c r="C90" i="6" s="1"/>
  <c r="E145" i="11"/>
  <c r="G145" i="11" s="1"/>
  <c r="K86" i="6" s="1"/>
  <c r="K91" i="6" s="1"/>
  <c r="E149" i="11"/>
  <c r="G149" i="11" s="1"/>
  <c r="E151" i="11"/>
  <c r="G151" i="11" s="1"/>
  <c r="C162" i="6" s="1"/>
  <c r="C163" i="6" s="1"/>
  <c r="E153" i="11"/>
  <c r="G153" i="11" s="1"/>
  <c r="C171" i="6" s="1"/>
  <c r="C172" i="6" s="1"/>
  <c r="E157" i="11"/>
  <c r="E156" i="11" s="1"/>
  <c r="E159" i="11"/>
  <c r="G159" i="11" s="1"/>
  <c r="K3" i="6" s="1"/>
  <c r="K5" i="6" s="1"/>
  <c r="E163" i="11"/>
  <c r="E165" i="11"/>
  <c r="G165" i="11" s="1"/>
  <c r="K114" i="6" s="1"/>
  <c r="E167" i="11"/>
  <c r="G167" i="11" s="1"/>
  <c r="K122" i="6" s="1"/>
  <c r="E171" i="11"/>
  <c r="G171" i="11" s="1"/>
  <c r="E173" i="11"/>
  <c r="G173" i="11" s="1"/>
  <c r="K14" i="6" s="1"/>
  <c r="K16" i="6" s="1"/>
  <c r="E175" i="11"/>
  <c r="G175" i="11" s="1"/>
  <c r="K22" i="6" s="1"/>
  <c r="K24" i="6" s="1"/>
  <c r="E179" i="11"/>
  <c r="E177" i="11" s="1"/>
  <c r="E181" i="11"/>
  <c r="G181" i="11" s="1"/>
  <c r="E183" i="11"/>
  <c r="G183" i="11" s="1"/>
  <c r="E187" i="11"/>
  <c r="G187" i="11" s="1"/>
  <c r="C181" i="6" s="1"/>
  <c r="C183" i="6" s="1"/>
  <c r="E189" i="11"/>
  <c r="G189" i="11" s="1"/>
  <c r="K30" i="6" s="1"/>
  <c r="K32" i="6" s="1"/>
  <c r="E191" i="11"/>
  <c r="G191" i="11" s="1"/>
  <c r="K38" i="6" s="1"/>
  <c r="K40" i="6" s="1"/>
  <c r="E193" i="11"/>
  <c r="G193" i="11" s="1"/>
  <c r="K43" i="6" s="1"/>
  <c r="K45" i="6" s="1"/>
  <c r="E197" i="11"/>
  <c r="E199" i="11"/>
  <c r="G199" i="11" s="1"/>
  <c r="C189" i="6" s="1"/>
  <c r="C191" i="6" s="1"/>
  <c r="G145" i="8" s="1"/>
  <c r="I145" i="8" s="1"/>
  <c r="N145" i="8" s="1"/>
  <c r="E201" i="11"/>
  <c r="G201" i="11" s="1"/>
  <c r="K55" i="6" s="1"/>
  <c r="K57" i="6" s="1"/>
  <c r="G80" i="8" s="1"/>
  <c r="I80" i="8" s="1"/>
  <c r="E209" i="11"/>
  <c r="E207" i="11" s="1"/>
  <c r="E215" i="11"/>
  <c r="G215" i="11" s="1"/>
  <c r="E217" i="11"/>
  <c r="AB1614" i="7" s="1"/>
  <c r="E219" i="11"/>
  <c r="AB1622" i="7" s="1"/>
  <c r="AP1622" i="7" s="1"/>
  <c r="E221" i="11"/>
  <c r="AB1616" i="7" s="1"/>
  <c r="E223" i="11"/>
  <c r="AB1610" i="7" s="1"/>
  <c r="AP1610" i="7" s="1"/>
  <c r="E227" i="11"/>
  <c r="G227" i="11" s="1"/>
  <c r="E229" i="11"/>
  <c r="AB1618" i="7" s="1"/>
  <c r="E231" i="11"/>
  <c r="AB1630" i="7" s="1"/>
  <c r="E239" i="11"/>
  <c r="G239" i="11" s="1"/>
  <c r="D241" i="11"/>
  <c r="F241" i="11"/>
  <c r="F238" i="11" s="1"/>
  <c r="H241" i="11"/>
  <c r="J241" i="11"/>
  <c r="J238" i="11" s="1"/>
  <c r="D243" i="11"/>
  <c r="H243" i="11"/>
  <c r="E244" i="11"/>
  <c r="E243" i="11" s="1"/>
  <c r="D247" i="11"/>
  <c r="F247" i="11"/>
  <c r="H247" i="11"/>
  <c r="J247" i="11"/>
  <c r="E248" i="11"/>
  <c r="T1125" i="7" s="1"/>
  <c r="D249" i="11"/>
  <c r="F249" i="11"/>
  <c r="H249" i="11"/>
  <c r="J249" i="11"/>
  <c r="E250" i="11"/>
  <c r="G250" i="11" s="1"/>
  <c r="K175" i="6" s="1"/>
  <c r="K177" i="6" s="1"/>
  <c r="D251" i="11"/>
  <c r="F251" i="11"/>
  <c r="H251" i="11"/>
  <c r="J251" i="11"/>
  <c r="E252" i="11"/>
  <c r="G252" i="11" s="1"/>
  <c r="K189" i="6" s="1"/>
  <c r="K193" i="6" s="1"/>
  <c r="D253" i="11"/>
  <c r="F253" i="11"/>
  <c r="H253" i="11"/>
  <c r="J253" i="11"/>
  <c r="J254" i="11"/>
  <c r="H254" i="11"/>
  <c r="E254" i="11"/>
  <c r="G254" i="11" s="1"/>
  <c r="K204" i="6" s="1"/>
  <c r="K206" i="6" s="1"/>
  <c r="D256" i="11"/>
  <c r="K257" i="11"/>
  <c r="H256" i="11"/>
  <c r="J260" i="11"/>
  <c r="J259" i="11" s="1"/>
  <c r="H260" i="11"/>
  <c r="F260" i="11"/>
  <c r="F259" i="11" s="1"/>
  <c r="D260" i="11"/>
  <c r="J266" i="11"/>
  <c r="H266" i="11"/>
  <c r="K266" i="11" s="1"/>
  <c r="K263" i="11" s="1"/>
  <c r="F266" i="11"/>
  <c r="D266" i="11"/>
  <c r="G266" i="11" s="1"/>
  <c r="K267" i="11"/>
  <c r="J268" i="11"/>
  <c r="H268" i="11"/>
  <c r="K268" i="11" s="1"/>
  <c r="V159" i="8" s="1"/>
  <c r="F268" i="11"/>
  <c r="D268" i="11"/>
  <c r="G268" i="11" s="1"/>
  <c r="L159" i="8" s="1"/>
  <c r="J274" i="11"/>
  <c r="H274" i="11"/>
  <c r="K274" i="11" s="1"/>
  <c r="F274" i="11"/>
  <c r="D274" i="11"/>
  <c r="G274" i="11" s="1"/>
  <c r="J276" i="11"/>
  <c r="H276" i="11"/>
  <c r="K276" i="11" s="1"/>
  <c r="F276" i="11"/>
  <c r="D276" i="11"/>
  <c r="G276" i="11" s="1"/>
  <c r="J281" i="11"/>
  <c r="H281" i="11"/>
  <c r="K281" i="11" s="1"/>
  <c r="K278" i="11" s="1"/>
  <c r="F281" i="11"/>
  <c r="D281" i="11"/>
  <c r="G281" i="11" s="1"/>
  <c r="K282" i="11"/>
  <c r="V165" i="8" s="1"/>
  <c r="X165" i="8" s="1"/>
  <c r="AG165" i="8" s="1"/>
  <c r="J283" i="11"/>
  <c r="H283" i="11"/>
  <c r="K283" i="11" s="1"/>
  <c r="F283" i="11"/>
  <c r="D283" i="11"/>
  <c r="G283" i="11" s="1"/>
  <c r="J285" i="11"/>
  <c r="H285" i="11"/>
  <c r="K285" i="11" s="1"/>
  <c r="F285" i="11"/>
  <c r="D285" i="11"/>
  <c r="G285" i="11" s="1"/>
  <c r="J287" i="11"/>
  <c r="H287" i="11"/>
  <c r="K287" i="11" s="1"/>
  <c r="V167" i="8" s="1"/>
  <c r="X167" i="8" s="1"/>
  <c r="AG167" i="8" s="1"/>
  <c r="F287" i="11"/>
  <c r="D287" i="11"/>
  <c r="G287" i="11" s="1"/>
  <c r="K291" i="11"/>
  <c r="K289" i="11" s="1"/>
  <c r="V168" i="8" s="1"/>
  <c r="X168" i="8" s="1"/>
  <c r="J292" i="11"/>
  <c r="H292" i="11"/>
  <c r="K292" i="11" s="1"/>
  <c r="F292" i="11"/>
  <c r="D292" i="11"/>
  <c r="G292" i="11" s="1"/>
  <c r="J297" i="11"/>
  <c r="H297" i="11"/>
  <c r="K297" i="11" s="1"/>
  <c r="F297" i="11"/>
  <c r="D297" i="11"/>
  <c r="K298" i="11"/>
  <c r="J299" i="11"/>
  <c r="H299" i="11"/>
  <c r="K299" i="11" s="1"/>
  <c r="F299" i="11"/>
  <c r="D299" i="11"/>
  <c r="G299" i="11" s="1"/>
  <c r="K300" i="11"/>
  <c r="J301" i="11"/>
  <c r="H301" i="11"/>
  <c r="K301" i="11" s="1"/>
  <c r="F301" i="11"/>
  <c r="D301" i="11"/>
  <c r="G301" i="11" s="1"/>
  <c r="K302" i="11"/>
  <c r="J307" i="11"/>
  <c r="H307" i="11"/>
  <c r="F307" i="11"/>
  <c r="D307" i="11"/>
  <c r="K308" i="11"/>
  <c r="J310" i="11"/>
  <c r="H310" i="11"/>
  <c r="K310" i="11" s="1"/>
  <c r="F310" i="11"/>
  <c r="D310" i="11"/>
  <c r="G310" i="11" s="1"/>
  <c r="K311" i="11"/>
  <c r="J312" i="11"/>
  <c r="H312" i="11"/>
  <c r="K312" i="11" s="1"/>
  <c r="F312" i="11"/>
  <c r="D312" i="11"/>
  <c r="G312" i="11" s="1"/>
  <c r="K313" i="11"/>
  <c r="J317" i="11"/>
  <c r="H317" i="11"/>
  <c r="K317" i="11" s="1"/>
  <c r="V194" i="8" s="1"/>
  <c r="X194" i="8" s="1"/>
  <c r="F317" i="11"/>
  <c r="D317" i="11"/>
  <c r="J319" i="11"/>
  <c r="H319" i="11"/>
  <c r="K319" i="11" s="1"/>
  <c r="V200" i="8" s="1"/>
  <c r="X200" i="8" s="1"/>
  <c r="F319" i="11"/>
  <c r="D319" i="11"/>
  <c r="G319" i="11" s="1"/>
  <c r="L200" i="8" s="1"/>
  <c r="N200" i="8" s="1"/>
  <c r="K320" i="11"/>
  <c r="J322" i="11"/>
  <c r="H322" i="11"/>
  <c r="K322" i="11" s="1"/>
  <c r="V195" i="8" s="1"/>
  <c r="X195" i="8" s="1"/>
  <c r="AG195" i="8" s="1"/>
  <c r="F322" i="11"/>
  <c r="D322" i="11"/>
  <c r="G322" i="11" s="1"/>
  <c r="L195" i="8" s="1"/>
  <c r="N195" i="8" s="1"/>
  <c r="AF195" i="8" s="1"/>
  <c r="K323" i="11"/>
  <c r="J324" i="11"/>
  <c r="H324" i="11"/>
  <c r="K324" i="11" s="1"/>
  <c r="F324" i="11"/>
  <c r="D324" i="11"/>
  <c r="G324" i="11" s="1"/>
  <c r="K325" i="11"/>
  <c r="J328" i="11"/>
  <c r="J327" i="11" s="1"/>
  <c r="H328" i="11"/>
  <c r="F328" i="11"/>
  <c r="F327" i="11" s="1"/>
  <c r="D328" i="11"/>
  <c r="K329" i="11"/>
  <c r="J333" i="11"/>
  <c r="H333" i="11"/>
  <c r="K333" i="11" s="1"/>
  <c r="F333" i="11"/>
  <c r="D333" i="11"/>
  <c r="K334" i="11"/>
  <c r="J335" i="11"/>
  <c r="H335" i="11"/>
  <c r="K335" i="11" s="1"/>
  <c r="F335" i="11"/>
  <c r="D335" i="11"/>
  <c r="G335" i="11" s="1"/>
  <c r="K336" i="11"/>
  <c r="J337" i="11"/>
  <c r="H337" i="11"/>
  <c r="K337" i="11" s="1"/>
  <c r="F337" i="11"/>
  <c r="D337" i="11"/>
  <c r="G337" i="11" s="1"/>
  <c r="J341" i="11"/>
  <c r="H341" i="11"/>
  <c r="K341" i="11" s="1"/>
  <c r="V207" i="8" s="1"/>
  <c r="X207" i="8" s="1"/>
  <c r="AG207" i="8" s="1"/>
  <c r="F341" i="11"/>
  <c r="D341" i="11"/>
  <c r="G341" i="11" s="1"/>
  <c r="L207" i="8" s="1"/>
  <c r="N207" i="8" s="1"/>
  <c r="AF207" i="8" s="1"/>
  <c r="K342" i="11"/>
  <c r="J343" i="11"/>
  <c r="H343" i="11"/>
  <c r="K343" i="11" s="1"/>
  <c r="F343" i="11"/>
  <c r="D343" i="11"/>
  <c r="G343" i="11" s="1"/>
  <c r="K344" i="11"/>
  <c r="J345" i="11"/>
  <c r="H345" i="11"/>
  <c r="K345" i="11" s="1"/>
  <c r="V208" i="8" s="1"/>
  <c r="X208" i="8" s="1"/>
  <c r="AG208" i="8" s="1"/>
  <c r="F345" i="11"/>
  <c r="D345" i="11"/>
  <c r="G345" i="11" s="1"/>
  <c r="L208" i="8" s="1"/>
  <c r="N208" i="8" s="1"/>
  <c r="AF208" i="8" s="1"/>
  <c r="K346" i="11"/>
  <c r="J347" i="11"/>
  <c r="H347" i="11"/>
  <c r="K347" i="11" s="1"/>
  <c r="F347" i="11"/>
  <c r="D347" i="11"/>
  <c r="G347" i="11" s="1"/>
  <c r="J353" i="11"/>
  <c r="H353" i="11"/>
  <c r="K353" i="11" s="1"/>
  <c r="F353" i="11"/>
  <c r="D353" i="11"/>
  <c r="G353" i="11" s="1"/>
  <c r="K354" i="11"/>
  <c r="J359" i="11"/>
  <c r="H359" i="11"/>
  <c r="K359" i="11" s="1"/>
  <c r="K357" i="11" s="1"/>
  <c r="V154" i="8" s="1"/>
  <c r="X154" i="8" s="1"/>
  <c r="F359" i="11"/>
  <c r="D359" i="11"/>
  <c r="K360" i="11"/>
  <c r="J361" i="11"/>
  <c r="H361" i="11"/>
  <c r="K361" i="11" s="1"/>
  <c r="F361" i="11"/>
  <c r="D361" i="11"/>
  <c r="G361" i="11" s="1"/>
  <c r="J366" i="11"/>
  <c r="J364" i="11" s="1"/>
  <c r="H366" i="11"/>
  <c r="K366" i="11" s="1"/>
  <c r="K364" i="11" s="1"/>
  <c r="V155" i="8" s="1"/>
  <c r="X155" i="8" s="1"/>
  <c r="F366" i="11"/>
  <c r="D366" i="11"/>
  <c r="K367" i="11"/>
  <c r="K374" i="11"/>
  <c r="K376" i="11"/>
  <c r="K382" i="11"/>
  <c r="K384" i="11"/>
  <c r="K386" i="11"/>
  <c r="K391" i="11"/>
  <c r="L211" i="6" s="1"/>
  <c r="L212" i="6" s="1"/>
  <c r="V188" i="8" s="1"/>
  <c r="X188" i="8" s="1"/>
  <c r="K393" i="11"/>
  <c r="K395" i="11"/>
  <c r="L216" i="6" s="1"/>
  <c r="L217" i="6" s="1"/>
  <c r="V184" i="8" s="1"/>
  <c r="X184" i="8" s="1"/>
  <c r="K397" i="11"/>
  <c r="V192" i="8" s="1"/>
  <c r="X192" i="8" s="1"/>
  <c r="AG192" i="8" s="1"/>
  <c r="K401" i="11"/>
  <c r="K406" i="11"/>
  <c r="K408" i="11"/>
  <c r="E241" i="11"/>
  <c r="E247" i="11"/>
  <c r="E249" i="11"/>
  <c r="E251" i="11"/>
  <c r="E253" i="11"/>
  <c r="F263" i="11"/>
  <c r="J263" i="11"/>
  <c r="F271" i="11"/>
  <c r="J271" i="11"/>
  <c r="F278" i="11"/>
  <c r="J278" i="11"/>
  <c r="F289" i="11"/>
  <c r="J289" i="11"/>
  <c r="K295" i="11"/>
  <c r="K315" i="11"/>
  <c r="K331" i="11"/>
  <c r="F339" i="11"/>
  <c r="J339" i="11"/>
  <c r="F350" i="11"/>
  <c r="J350" i="11"/>
  <c r="FC4" i="22"/>
  <c r="EN24" i="22" s="1"/>
  <c r="EN5" i="23" s="1"/>
  <c r="EN5" i="24" s="1"/>
  <c r="EN6" i="25" s="1"/>
  <c r="FC4" i="21"/>
  <c r="FC4" i="20"/>
  <c r="FC4" i="19"/>
  <c r="E368" i="11"/>
  <c r="I368" i="11"/>
  <c r="I364" i="11" s="1"/>
  <c r="E373" i="11"/>
  <c r="I373" i="11"/>
  <c r="E375" i="11"/>
  <c r="I375" i="11"/>
  <c r="E377" i="11"/>
  <c r="I377" i="11"/>
  <c r="E381" i="11"/>
  <c r="I381" i="11"/>
  <c r="E383" i="11"/>
  <c r="I383" i="11"/>
  <c r="E385" i="11"/>
  <c r="I385" i="11"/>
  <c r="E390" i="11"/>
  <c r="I390" i="11"/>
  <c r="E392" i="11"/>
  <c r="I392" i="11"/>
  <c r="E394" i="11"/>
  <c r="I394" i="11"/>
  <c r="E396" i="11"/>
  <c r="I396" i="11"/>
  <c r="E400" i="11"/>
  <c r="I400" i="11"/>
  <c r="I399" i="11" s="1"/>
  <c r="E405" i="11"/>
  <c r="I405" i="11"/>
  <c r="E407" i="11"/>
  <c r="I407" i="11"/>
  <c r="E409" i="11"/>
  <c r="I409" i="11"/>
  <c r="F412" i="11"/>
  <c r="H412" i="11"/>
  <c r="J412" i="11"/>
  <c r="J411" i="11" s="1"/>
  <c r="E413" i="11"/>
  <c r="I413" i="11"/>
  <c r="I411" i="11" s="1"/>
  <c r="D417" i="11"/>
  <c r="F417" i="11"/>
  <c r="H417" i="11"/>
  <c r="J417" i="11"/>
  <c r="J416" i="11" s="1"/>
  <c r="E418" i="11"/>
  <c r="I418" i="11"/>
  <c r="I416" i="11" s="1"/>
  <c r="D421" i="11"/>
  <c r="F421" i="11"/>
  <c r="F420" i="11" s="1"/>
  <c r="H421" i="11"/>
  <c r="J421" i="11"/>
  <c r="J420" i="11" s="1"/>
  <c r="AT2" i="27"/>
  <c r="AT2" i="26"/>
  <c r="AT2" i="25"/>
  <c r="AT2" i="24"/>
  <c r="AT2" i="22"/>
  <c r="AT2" i="23"/>
  <c r="AT2" i="21"/>
  <c r="AT2" i="20"/>
  <c r="AY5" i="20"/>
  <c r="AY5" i="22"/>
  <c r="AY5" i="21"/>
  <c r="DJ6" i="22"/>
  <c r="DJ6" i="20"/>
  <c r="DJ6" i="21"/>
  <c r="AT2" i="19"/>
  <c r="E257" i="11"/>
  <c r="E256" i="11" s="1"/>
  <c r="E265" i="11"/>
  <c r="G265" i="11" s="1"/>
  <c r="E267" i="11"/>
  <c r="G267" i="11" s="1"/>
  <c r="E273" i="11"/>
  <c r="G273" i="11" s="1"/>
  <c r="G271" i="11" s="1"/>
  <c r="L162" i="8" s="1"/>
  <c r="N162" i="8" s="1"/>
  <c r="E275" i="11"/>
  <c r="G275" i="11" s="1"/>
  <c r="AH1306" i="7" s="1"/>
  <c r="E280" i="11"/>
  <c r="G280" i="11" s="1"/>
  <c r="E282" i="11"/>
  <c r="G282" i="11" s="1"/>
  <c r="L165" i="8" s="1"/>
  <c r="N165" i="8" s="1"/>
  <c r="AF165" i="8" s="1"/>
  <c r="E284" i="11"/>
  <c r="G284" i="11" s="1"/>
  <c r="E286" i="11"/>
  <c r="G286" i="11" s="1"/>
  <c r="L167" i="8" s="1"/>
  <c r="N167" i="8" s="1"/>
  <c r="AF167" i="8" s="1"/>
  <c r="E291" i="11"/>
  <c r="E293" i="11"/>
  <c r="G293" i="11" s="1"/>
  <c r="E298" i="11"/>
  <c r="G298" i="11" s="1"/>
  <c r="E300" i="11"/>
  <c r="G300" i="11" s="1"/>
  <c r="E302" i="11"/>
  <c r="G302" i="11" s="1"/>
  <c r="E308" i="11"/>
  <c r="G308" i="11" s="1"/>
  <c r="E311" i="11"/>
  <c r="G311" i="11" s="1"/>
  <c r="E313" i="11"/>
  <c r="G313" i="11" s="1"/>
  <c r="E318" i="11"/>
  <c r="E315" i="11" s="1"/>
  <c r="E320" i="11"/>
  <c r="G320" i="11" s="1"/>
  <c r="E323" i="11"/>
  <c r="G323" i="11" s="1"/>
  <c r="E325" i="11"/>
  <c r="G325" i="11" s="1"/>
  <c r="E329" i="11"/>
  <c r="G329" i="11" s="1"/>
  <c r="E334" i="11"/>
  <c r="G334" i="11" s="1"/>
  <c r="E336" i="11"/>
  <c r="G336" i="11" s="1"/>
  <c r="E340" i="11"/>
  <c r="E342" i="11"/>
  <c r="G342" i="11" s="1"/>
  <c r="E344" i="11"/>
  <c r="G344" i="11" s="1"/>
  <c r="E346" i="11"/>
  <c r="G346" i="11" s="1"/>
  <c r="E352" i="11"/>
  <c r="E350" i="11" s="1"/>
  <c r="E354" i="11"/>
  <c r="G354" i="11" s="1"/>
  <c r="E360" i="11"/>
  <c r="G360" i="11" s="1"/>
  <c r="E362" i="11"/>
  <c r="G362" i="11" s="1"/>
  <c r="E367" i="11"/>
  <c r="G367" i="11" s="1"/>
  <c r="D368" i="11"/>
  <c r="F368" i="11"/>
  <c r="H368" i="11"/>
  <c r="K368" i="11" s="1"/>
  <c r="E369" i="11"/>
  <c r="G369" i="11" s="1"/>
  <c r="D373" i="11"/>
  <c r="F373" i="11"/>
  <c r="H373" i="11"/>
  <c r="E374" i="11"/>
  <c r="G374" i="11" s="1"/>
  <c r="D375" i="11"/>
  <c r="F375" i="11"/>
  <c r="H375" i="11"/>
  <c r="K375" i="11" s="1"/>
  <c r="E376" i="11"/>
  <c r="G376" i="11" s="1"/>
  <c r="D377" i="11"/>
  <c r="F377" i="11"/>
  <c r="H377" i="11"/>
  <c r="K377" i="11" s="1"/>
  <c r="E378" i="11"/>
  <c r="G378" i="11" s="1"/>
  <c r="D381" i="11"/>
  <c r="F381" i="11"/>
  <c r="H381" i="11"/>
  <c r="E382" i="11"/>
  <c r="G382" i="11" s="1"/>
  <c r="D383" i="11"/>
  <c r="F383" i="11"/>
  <c r="H383" i="11"/>
  <c r="K383" i="11" s="1"/>
  <c r="V157" i="8" s="1"/>
  <c r="X157" i="8" s="1"/>
  <c r="E384" i="11"/>
  <c r="G384" i="11" s="1"/>
  <c r="D385" i="11"/>
  <c r="F385" i="11"/>
  <c r="H385" i="11"/>
  <c r="K385" i="11" s="1"/>
  <c r="E386" i="11"/>
  <c r="G386" i="11" s="1"/>
  <c r="D390" i="11"/>
  <c r="F390" i="11"/>
  <c r="H390" i="11"/>
  <c r="E391" i="11"/>
  <c r="G391" i="11" s="1"/>
  <c r="K211" i="6" s="1"/>
  <c r="K212" i="6" s="1"/>
  <c r="L188" i="8" s="1"/>
  <c r="N188" i="8" s="1"/>
  <c r="D392" i="11"/>
  <c r="F392" i="11"/>
  <c r="H392" i="11"/>
  <c r="K392" i="11" s="1"/>
  <c r="V190" i="8" s="1"/>
  <c r="X190" i="8" s="1"/>
  <c r="E393" i="11"/>
  <c r="G393" i="11" s="1"/>
  <c r="D394" i="11"/>
  <c r="F394" i="11"/>
  <c r="H394" i="11"/>
  <c r="E395" i="11"/>
  <c r="G395" i="11" s="1"/>
  <c r="K216" i="6" s="1"/>
  <c r="K217" i="6" s="1"/>
  <c r="L184" i="8" s="1"/>
  <c r="N184" i="8" s="1"/>
  <c r="D396" i="11"/>
  <c r="F396" i="11"/>
  <c r="H396" i="11"/>
  <c r="K396" i="11" s="1"/>
  <c r="E397" i="11"/>
  <c r="G397" i="11" s="1"/>
  <c r="L192" i="8" s="1"/>
  <c r="N192" i="8" s="1"/>
  <c r="AF192" i="8" s="1"/>
  <c r="D400" i="11"/>
  <c r="F400" i="11"/>
  <c r="F399" i="11" s="1"/>
  <c r="H400" i="11"/>
  <c r="E401" i="11"/>
  <c r="G401" i="11" s="1"/>
  <c r="D405" i="11"/>
  <c r="F405" i="11"/>
  <c r="H405" i="11"/>
  <c r="E406" i="11"/>
  <c r="G406" i="11" s="1"/>
  <c r="D407" i="11"/>
  <c r="F407" i="11"/>
  <c r="H407" i="11"/>
  <c r="K407" i="11" s="1"/>
  <c r="E408" i="11"/>
  <c r="G408" i="11" s="1"/>
  <c r="D409" i="11"/>
  <c r="F409" i="11"/>
  <c r="H409" i="11"/>
  <c r="K409" i="11" s="1"/>
  <c r="E412" i="11"/>
  <c r="E411" i="11" s="1"/>
  <c r="D413" i="11"/>
  <c r="G413" i="11" s="1"/>
  <c r="F413" i="11"/>
  <c r="H413" i="11"/>
  <c r="K413" i="11" s="1"/>
  <c r="E417" i="11"/>
  <c r="E416" i="11" s="1"/>
  <c r="D418" i="11"/>
  <c r="G418" i="11" s="1"/>
  <c r="F418" i="11"/>
  <c r="H418" i="11"/>
  <c r="K418" i="11" s="1"/>
  <c r="E421" i="11"/>
  <c r="E420" i="11" s="1"/>
  <c r="DE2" i="27"/>
  <c r="DE2" i="25"/>
  <c r="DE2" i="23"/>
  <c r="DE2" i="26"/>
  <c r="DE2" i="24"/>
  <c r="DE2" i="22"/>
  <c r="DE2" i="20"/>
  <c r="DE2" i="21"/>
  <c r="AT2" i="18"/>
  <c r="DE2" i="19"/>
  <c r="AY5" i="19"/>
  <c r="DJ6" i="19"/>
  <c r="L151" i="8" l="1"/>
  <c r="AF1344" i="7"/>
  <c r="L164" i="8"/>
  <c r="G278" i="11"/>
  <c r="C68" i="10"/>
  <c r="AF162" i="8"/>
  <c r="AF1359" i="7"/>
  <c r="L160" i="8"/>
  <c r="N160" i="8" s="1"/>
  <c r="AF160" i="8" s="1"/>
  <c r="G263" i="11"/>
  <c r="D61" i="10"/>
  <c r="AG154" i="8"/>
  <c r="D71" i="10"/>
  <c r="AG168" i="8"/>
  <c r="AB145" i="8"/>
  <c r="AF145" i="8" s="1"/>
  <c r="AF1190" i="7"/>
  <c r="K123" i="6"/>
  <c r="N122" i="6"/>
  <c r="K124" i="6" s="1"/>
  <c r="DD22" i="19"/>
  <c r="CS22" i="19"/>
  <c r="CH22" i="19"/>
  <c r="BW22" i="19"/>
  <c r="BL22" i="19"/>
  <c r="BA22" i="19"/>
  <c r="CY22" i="19"/>
  <c r="CC22" i="19"/>
  <c r="BG22" i="19"/>
  <c r="CN22" i="19"/>
  <c r="BR22" i="19"/>
  <c r="L20" i="8"/>
  <c r="M20" i="8" s="1"/>
  <c r="AA20" i="8" s="1"/>
  <c r="AE20" i="8" s="1"/>
  <c r="AK389" i="7"/>
  <c r="AK382" i="7" s="1"/>
  <c r="G29" i="8"/>
  <c r="I29" i="8" s="1"/>
  <c r="Y487" i="7"/>
  <c r="G24" i="8"/>
  <c r="EH23" i="26"/>
  <c r="DW23" i="26"/>
  <c r="DL23" i="26"/>
  <c r="DA23" i="26"/>
  <c r="CP23" i="26"/>
  <c r="CE23" i="26"/>
  <c r="DR23" i="26"/>
  <c r="CU23" i="26"/>
  <c r="EC23" i="26"/>
  <c r="CJ23" i="26"/>
  <c r="DF23" i="26"/>
  <c r="AF184" i="8"/>
  <c r="N183" i="8"/>
  <c r="AF183" i="8" s="1"/>
  <c r="AF188" i="8"/>
  <c r="N187" i="8"/>
  <c r="L201" i="8"/>
  <c r="N201" i="8" s="1"/>
  <c r="AF201" i="8" s="1"/>
  <c r="EC25" i="25"/>
  <c r="DR25" i="25"/>
  <c r="DF25" i="25"/>
  <c r="CU25" i="25"/>
  <c r="CJ25" i="25"/>
  <c r="DW25" i="25"/>
  <c r="DA25" i="25"/>
  <c r="CE25" i="25"/>
  <c r="EH25" i="25"/>
  <c r="CP25" i="25"/>
  <c r="DL25" i="25"/>
  <c r="EC23" i="25"/>
  <c r="DR23" i="25"/>
  <c r="DF23" i="25"/>
  <c r="CU23" i="25"/>
  <c r="CJ23" i="25"/>
  <c r="EH23" i="25"/>
  <c r="DL23" i="25"/>
  <c r="CP23" i="25"/>
  <c r="DW23" i="25"/>
  <c r="CE23" i="25"/>
  <c r="DA23" i="25"/>
  <c r="D62" i="10"/>
  <c r="AG155" i="8"/>
  <c r="GS25" i="25"/>
  <c r="GH25" i="25"/>
  <c r="FW25" i="25"/>
  <c r="FL25" i="25"/>
  <c r="FA25" i="25"/>
  <c r="EP25" i="25"/>
  <c r="GN25" i="25"/>
  <c r="FR25" i="25"/>
  <c r="EV25" i="25"/>
  <c r="GC25" i="25"/>
  <c r="FG25" i="25"/>
  <c r="K153" i="6"/>
  <c r="K155" i="6" s="1"/>
  <c r="G139" i="8" s="1"/>
  <c r="I139" i="8" s="1"/>
  <c r="N139" i="8" s="1"/>
  <c r="F84" i="8"/>
  <c r="I84" i="8" s="1"/>
  <c r="N84" i="8" s="1"/>
  <c r="Z80" i="8"/>
  <c r="AD80" i="8" s="1"/>
  <c r="N80" i="8"/>
  <c r="G137" i="8"/>
  <c r="K7" i="6"/>
  <c r="K10" i="6" s="1"/>
  <c r="G61" i="8" s="1"/>
  <c r="I61" i="8" s="1"/>
  <c r="K115" i="6"/>
  <c r="N114" i="6"/>
  <c r="K116" i="6" s="1"/>
  <c r="C149" i="6"/>
  <c r="C153" i="6" s="1"/>
  <c r="N72" i="8"/>
  <c r="AB72" i="8" s="1"/>
  <c r="AF72" i="8" s="1"/>
  <c r="Z72" i="8"/>
  <c r="AD72" i="8" s="1"/>
  <c r="CY24" i="19"/>
  <c r="CN24" i="19"/>
  <c r="CC24" i="19"/>
  <c r="BR24" i="19"/>
  <c r="BG24" i="19"/>
  <c r="CS24" i="19"/>
  <c r="BW24" i="19"/>
  <c r="BA24" i="19"/>
  <c r="DD24" i="19"/>
  <c r="CH24" i="19"/>
  <c r="BL24" i="19"/>
  <c r="F39" i="8"/>
  <c r="I39" i="8" s="1"/>
  <c r="M1302" i="7"/>
  <c r="Z37" i="8"/>
  <c r="AD37" i="8" s="1"/>
  <c r="L24" i="8"/>
  <c r="M24" i="8" s="1"/>
  <c r="F498" i="7"/>
  <c r="R389" i="7"/>
  <c r="L16" i="8"/>
  <c r="M16" i="8" s="1"/>
  <c r="F15" i="8"/>
  <c r="I15" i="8" s="1"/>
  <c r="F186" i="10"/>
  <c r="F185" i="10"/>
  <c r="DD26" i="19"/>
  <c r="CS26" i="19"/>
  <c r="CH26" i="19"/>
  <c r="BW26" i="19"/>
  <c r="BL26" i="19"/>
  <c r="BA26" i="19"/>
  <c r="CN26" i="19"/>
  <c r="BR26" i="19"/>
  <c r="CY26" i="19"/>
  <c r="CC26" i="19"/>
  <c r="BG26" i="19"/>
  <c r="DD28" i="19"/>
  <c r="CS28" i="19"/>
  <c r="CH28" i="19"/>
  <c r="BW28" i="19"/>
  <c r="BL28" i="19"/>
  <c r="BA28" i="19"/>
  <c r="CY28" i="19"/>
  <c r="CN28" i="19"/>
  <c r="CC28" i="19"/>
  <c r="BR28" i="19"/>
  <c r="BG28" i="19"/>
  <c r="D411" i="11"/>
  <c r="F380" i="11"/>
  <c r="F371" i="11"/>
  <c r="E339" i="11"/>
  <c r="F416" i="11"/>
  <c r="F411" i="11"/>
  <c r="E403" i="11"/>
  <c r="E399" i="11"/>
  <c r="E388" i="11"/>
  <c r="E380" i="11"/>
  <c r="E371" i="11"/>
  <c r="EN6" i="27"/>
  <c r="EN6" i="26"/>
  <c r="E364" i="11"/>
  <c r="E357" i="11"/>
  <c r="E349" i="11" s="1"/>
  <c r="G8" i="3" s="1"/>
  <c r="E331" i="11"/>
  <c r="E327" i="11"/>
  <c r="E295" i="11"/>
  <c r="G412" i="11"/>
  <c r="G411" i="11" s="1"/>
  <c r="GN23" i="26"/>
  <c r="GC23" i="26"/>
  <c r="FR23" i="26"/>
  <c r="FG23" i="26"/>
  <c r="EV23" i="26"/>
  <c r="GH23" i="26"/>
  <c r="FL23" i="26"/>
  <c r="EP23" i="26"/>
  <c r="FW23" i="26"/>
  <c r="GS23" i="26"/>
  <c r="FA23" i="26"/>
  <c r="AG184" i="8"/>
  <c r="X183" i="8"/>
  <c r="AG183" i="8" s="1"/>
  <c r="V191" i="8"/>
  <c r="X191" i="8" s="1"/>
  <c r="AG191" i="8" s="1"/>
  <c r="AG188" i="8"/>
  <c r="X187" i="8"/>
  <c r="G366" i="11"/>
  <c r="D364" i="11"/>
  <c r="G359" i="11"/>
  <c r="G357" i="11" s="1"/>
  <c r="L154" i="8" s="1"/>
  <c r="N154" i="8" s="1"/>
  <c r="D357" i="11"/>
  <c r="V151" i="8"/>
  <c r="AO1344" i="7"/>
  <c r="L153" i="8"/>
  <c r="N153" i="8" s="1"/>
  <c r="AF1343" i="7"/>
  <c r="V153" i="8"/>
  <c r="X153" i="8" s="1"/>
  <c r="AO1343" i="7"/>
  <c r="EH12" i="27"/>
  <c r="DW12" i="27"/>
  <c r="DL12" i="27"/>
  <c r="DA12" i="27"/>
  <c r="CP12" i="27"/>
  <c r="CE12" i="27"/>
  <c r="DR12" i="27"/>
  <c r="CU12" i="27"/>
  <c r="EC12" i="27"/>
  <c r="CJ12" i="27"/>
  <c r="DF12" i="27"/>
  <c r="GN12" i="27"/>
  <c r="GC12" i="27"/>
  <c r="FR12" i="27"/>
  <c r="FG12" i="27"/>
  <c r="EV12" i="27"/>
  <c r="GH12" i="27"/>
  <c r="FL12" i="27"/>
  <c r="EP12" i="27"/>
  <c r="FW12" i="27"/>
  <c r="GS12" i="27"/>
  <c r="FA12" i="27"/>
  <c r="EC11" i="27"/>
  <c r="DR11" i="27"/>
  <c r="DF11" i="27"/>
  <c r="CU11" i="27"/>
  <c r="CJ11" i="27"/>
  <c r="EH11" i="27"/>
  <c r="DL11" i="27"/>
  <c r="CP11" i="27"/>
  <c r="DW11" i="27"/>
  <c r="CE11" i="27"/>
  <c r="DA11" i="27"/>
  <c r="GS11" i="27"/>
  <c r="GH11" i="27"/>
  <c r="FW11" i="27"/>
  <c r="FL11" i="27"/>
  <c r="FA11" i="27"/>
  <c r="EP11" i="27"/>
  <c r="GC11" i="27"/>
  <c r="FG11" i="27"/>
  <c r="FR11" i="27"/>
  <c r="EV11" i="27"/>
  <c r="GN11" i="27"/>
  <c r="D339" i="11"/>
  <c r="G333" i="11"/>
  <c r="G331" i="11" s="1"/>
  <c r="D331" i="11"/>
  <c r="G328" i="11"/>
  <c r="G327" i="11" s="1"/>
  <c r="D327" i="11"/>
  <c r="K328" i="11"/>
  <c r="K327" i="11" s="1"/>
  <c r="H327" i="11"/>
  <c r="L202" i="8"/>
  <c r="N202" i="8" s="1"/>
  <c r="V202" i="8"/>
  <c r="X202" i="8" s="1"/>
  <c r="EC26" i="26"/>
  <c r="DR26" i="26"/>
  <c r="DF26" i="26"/>
  <c r="CU26" i="26"/>
  <c r="CJ26" i="26"/>
  <c r="EH26" i="26"/>
  <c r="DL26" i="26"/>
  <c r="CP26" i="26"/>
  <c r="DA26" i="26"/>
  <c r="CE26" i="26"/>
  <c r="DW26" i="26"/>
  <c r="GS26" i="26"/>
  <c r="GH26" i="26"/>
  <c r="FW26" i="26"/>
  <c r="FL26" i="26"/>
  <c r="FA26" i="26"/>
  <c r="EP26" i="26"/>
  <c r="GC26" i="26"/>
  <c r="FG26" i="26"/>
  <c r="GN26" i="26"/>
  <c r="EV26" i="26"/>
  <c r="FR26" i="26"/>
  <c r="V201" i="8"/>
  <c r="X201" i="8" s="1"/>
  <c r="AG201" i="8" s="1"/>
  <c r="AF200" i="8"/>
  <c r="AI20" i="9"/>
  <c r="BB20" i="9" s="1"/>
  <c r="AF1376" i="7"/>
  <c r="AG200" i="8"/>
  <c r="AO1376" i="7"/>
  <c r="G317" i="11"/>
  <c r="D315" i="11"/>
  <c r="AG194" i="8"/>
  <c r="G307" i="11"/>
  <c r="D306" i="11"/>
  <c r="K307" i="11"/>
  <c r="H306" i="11"/>
  <c r="L174" i="8"/>
  <c r="N174" i="8" s="1"/>
  <c r="AH1307" i="7"/>
  <c r="V174" i="8"/>
  <c r="X174" i="8" s="1"/>
  <c r="AO1307" i="7"/>
  <c r="G297" i="11"/>
  <c r="D295" i="11"/>
  <c r="V172" i="8"/>
  <c r="X172" i="8" s="1"/>
  <c r="H289" i="11"/>
  <c r="D289" i="11"/>
  <c r="L166" i="8"/>
  <c r="N166" i="8" s="1"/>
  <c r="AF166" i="8" s="1"/>
  <c r="V166" i="8"/>
  <c r="X166" i="8" s="1"/>
  <c r="AG166" i="8" s="1"/>
  <c r="GS23" i="25"/>
  <c r="GH23" i="25"/>
  <c r="FW23" i="25"/>
  <c r="FL23" i="25"/>
  <c r="FA23" i="25"/>
  <c r="EP23" i="25"/>
  <c r="GC23" i="25"/>
  <c r="FG23" i="25"/>
  <c r="FR23" i="25"/>
  <c r="GN23" i="25"/>
  <c r="EV23" i="25"/>
  <c r="N159" i="8"/>
  <c r="X159" i="8"/>
  <c r="G260" i="11"/>
  <c r="G259" i="11" s="1"/>
  <c r="D259" i="11"/>
  <c r="K260" i="11"/>
  <c r="K259" i="11" s="1"/>
  <c r="H259" i="11"/>
  <c r="K253" i="11"/>
  <c r="L197" i="6" s="1"/>
  <c r="L202" i="6" s="1"/>
  <c r="M197" i="6"/>
  <c r="M202" i="6" s="1"/>
  <c r="G253" i="11"/>
  <c r="K197" i="6" s="1"/>
  <c r="K202" i="6" s="1"/>
  <c r="G132" i="8" s="1"/>
  <c r="K249" i="11"/>
  <c r="L171" i="6" s="1"/>
  <c r="L173" i="6" s="1"/>
  <c r="P142" i="8" s="1"/>
  <c r="M171" i="6"/>
  <c r="M173" i="6" s="1"/>
  <c r="G249" i="11"/>
  <c r="K171" i="6" s="1"/>
  <c r="K173" i="6" s="1"/>
  <c r="F142" i="8" s="1"/>
  <c r="J246" i="11"/>
  <c r="F246" i="11"/>
  <c r="K241" i="11"/>
  <c r="L157" i="6" s="1"/>
  <c r="L159" i="6" s="1"/>
  <c r="Q140" i="8" s="1"/>
  <c r="S140" i="8" s="1"/>
  <c r="X140" i="8" s="1"/>
  <c r="AC140" i="8" s="1"/>
  <c r="AG140" i="8" s="1"/>
  <c r="M157" i="6"/>
  <c r="M159" i="6" s="1"/>
  <c r="AL140" i="8" s="1"/>
  <c r="AN140" i="8" s="1"/>
  <c r="AS140" i="8" s="1"/>
  <c r="AS138" i="8" s="1"/>
  <c r="G241" i="11"/>
  <c r="K157" i="6" s="1"/>
  <c r="K159" i="6" s="1"/>
  <c r="G140" i="8" s="1"/>
  <c r="I140" i="8" s="1"/>
  <c r="N140" i="8" s="1"/>
  <c r="AB140" i="8" s="1"/>
  <c r="AF140" i="8" s="1"/>
  <c r="E162" i="11"/>
  <c r="E124" i="11"/>
  <c r="T859" i="7"/>
  <c r="E60" i="11"/>
  <c r="M376" i="7"/>
  <c r="AT376" i="7" s="1"/>
  <c r="E35" i="11"/>
  <c r="AM269" i="7"/>
  <c r="AM272" i="7" s="1"/>
  <c r="AM293" i="7" s="1"/>
  <c r="E225" i="11"/>
  <c r="AB1615" i="7"/>
  <c r="E185" i="11"/>
  <c r="E141" i="11"/>
  <c r="E81" i="11"/>
  <c r="E41" i="11"/>
  <c r="E5" i="11"/>
  <c r="E168" i="10"/>
  <c r="E87" i="10"/>
  <c r="E89" i="10" s="1"/>
  <c r="E184" i="10"/>
  <c r="E183" i="10"/>
  <c r="E208" i="10"/>
  <c r="G244" i="11"/>
  <c r="K238" i="11"/>
  <c r="L153" i="6"/>
  <c r="L155" i="6" s="1"/>
  <c r="Q139" i="8" s="1"/>
  <c r="S139" i="8" s="1"/>
  <c r="X139" i="8" s="1"/>
  <c r="AB1617" i="7"/>
  <c r="U1617" i="7"/>
  <c r="F225" i="11"/>
  <c r="F213" i="11" s="1"/>
  <c r="H6" i="3" s="1"/>
  <c r="U1616" i="7"/>
  <c r="J225" i="11"/>
  <c r="U1678" i="7"/>
  <c r="G223" i="11"/>
  <c r="F85" i="8" s="1"/>
  <c r="I85" i="8" s="1"/>
  <c r="N85" i="8" s="1"/>
  <c r="AB85" i="8" s="1"/>
  <c r="AF85" i="8" s="1"/>
  <c r="G221" i="11"/>
  <c r="K145" i="6" s="1"/>
  <c r="K146" i="6" s="1"/>
  <c r="G219" i="11"/>
  <c r="F97" i="8" s="1"/>
  <c r="I97" i="8" s="1"/>
  <c r="N97" i="8" s="1"/>
  <c r="AB97" i="8" s="1"/>
  <c r="AF97" i="8" s="1"/>
  <c r="F207" i="11"/>
  <c r="J207" i="11"/>
  <c r="K198" i="11"/>
  <c r="L51" i="6" s="1"/>
  <c r="L53" i="6" s="1"/>
  <c r="M51" i="6"/>
  <c r="M53" i="6" s="1"/>
  <c r="AL78" i="8" s="1"/>
  <c r="AN78" i="8" s="1"/>
  <c r="H196" i="11"/>
  <c r="D196" i="11"/>
  <c r="I137" i="8"/>
  <c r="N137" i="8" s="1"/>
  <c r="AB137" i="8" s="1"/>
  <c r="AF137" i="8" s="1"/>
  <c r="K194" i="11"/>
  <c r="P137" i="8" s="1"/>
  <c r="S137" i="8" s="1"/>
  <c r="X137" i="8" s="1"/>
  <c r="AC137" i="8" s="1"/>
  <c r="AG137" i="8" s="1"/>
  <c r="AK137" i="8"/>
  <c r="AN137" i="8" s="1"/>
  <c r="AS137" i="8" s="1"/>
  <c r="F185" i="11"/>
  <c r="J185" i="11"/>
  <c r="G179" i="11"/>
  <c r="F177" i="11"/>
  <c r="J177" i="11"/>
  <c r="L7" i="6"/>
  <c r="L10" i="6" s="1"/>
  <c r="Q61" i="8" s="1"/>
  <c r="S61" i="8" s="1"/>
  <c r="X61" i="8" s="1"/>
  <c r="K144" i="11"/>
  <c r="L78" i="6" s="1"/>
  <c r="L82" i="6" s="1"/>
  <c r="M78" i="6"/>
  <c r="M82" i="6" s="1"/>
  <c r="G142" i="11"/>
  <c r="D141" i="11"/>
  <c r="K142" i="11"/>
  <c r="H141" i="11"/>
  <c r="E78" i="6"/>
  <c r="E82" i="6" s="1"/>
  <c r="G134" i="11"/>
  <c r="D133" i="11"/>
  <c r="K134" i="11"/>
  <c r="H133" i="11"/>
  <c r="AK75" i="8"/>
  <c r="GN34" i="21"/>
  <c r="GC34" i="21"/>
  <c r="FR34" i="21"/>
  <c r="FG34" i="21"/>
  <c r="EV34" i="21"/>
  <c r="GS34" i="21"/>
  <c r="FW34" i="21"/>
  <c r="FA34" i="21"/>
  <c r="GH34" i="21"/>
  <c r="FL34" i="21"/>
  <c r="EP34" i="21"/>
  <c r="G130" i="11"/>
  <c r="C68" i="6" s="1"/>
  <c r="C69" i="6" s="1"/>
  <c r="N859" i="7"/>
  <c r="AQ859" i="7" s="1"/>
  <c r="K130" i="11"/>
  <c r="D68" i="6" s="1"/>
  <c r="D69" i="6" s="1"/>
  <c r="E68" i="6"/>
  <c r="E69" i="6" s="1"/>
  <c r="AL69" i="8" s="1"/>
  <c r="AN69" i="8" s="1"/>
  <c r="K128" i="11"/>
  <c r="D145" i="6" s="1"/>
  <c r="D147" i="6" s="1"/>
  <c r="E145" i="6"/>
  <c r="E147" i="6" s="1"/>
  <c r="G126" i="11"/>
  <c r="F71" i="8" s="1"/>
  <c r="I71" i="8" s="1"/>
  <c r="N861" i="7"/>
  <c r="AQ861" i="7" s="1"/>
  <c r="K126" i="11"/>
  <c r="P71" i="8" s="1"/>
  <c r="S71" i="8" s="1"/>
  <c r="X71" i="8" s="1"/>
  <c r="AC71" i="8" s="1"/>
  <c r="AG71" i="8" s="1"/>
  <c r="AK71" i="8"/>
  <c r="AN71" i="8" s="1"/>
  <c r="AS71" i="8" s="1"/>
  <c r="H124" i="11"/>
  <c r="D124" i="11"/>
  <c r="K122" i="11"/>
  <c r="AL142" i="8"/>
  <c r="H120" i="11"/>
  <c r="D120" i="11"/>
  <c r="K118" i="11"/>
  <c r="AK141" i="8"/>
  <c r="H116" i="11"/>
  <c r="D116" i="11"/>
  <c r="G114" i="11"/>
  <c r="D113" i="11"/>
  <c r="K114" i="11"/>
  <c r="H113" i="11"/>
  <c r="E106" i="6"/>
  <c r="G110" i="11"/>
  <c r="D108" i="11"/>
  <c r="K110" i="11"/>
  <c r="AK74" i="8"/>
  <c r="AN74" i="8" s="1"/>
  <c r="K103" i="11"/>
  <c r="V40" i="8" s="1"/>
  <c r="W40" i="8" s="1"/>
  <c r="AQ40" i="8"/>
  <c r="AR40" i="8" s="1"/>
  <c r="K101" i="11"/>
  <c r="AQ38" i="8"/>
  <c r="AR38" i="8" s="1"/>
  <c r="V38" i="8"/>
  <c r="W38" i="8" s="1"/>
  <c r="G99" i="11"/>
  <c r="D98" i="11"/>
  <c r="K99" i="11"/>
  <c r="H98" i="11"/>
  <c r="AQ37" i="8"/>
  <c r="AR37" i="8" s="1"/>
  <c r="AR36" i="8" s="1"/>
  <c r="H92" i="11"/>
  <c r="AK41" i="8" s="1"/>
  <c r="AN41" i="8" s="1"/>
  <c r="AS41" i="8" s="1"/>
  <c r="D92" i="11"/>
  <c r="M1303" i="7"/>
  <c r="F40" i="8"/>
  <c r="I40" i="8" s="1"/>
  <c r="K90" i="11"/>
  <c r="AK40" i="8"/>
  <c r="AN40" i="8" s="1"/>
  <c r="AS40" i="8" s="1"/>
  <c r="AA1303" i="7"/>
  <c r="G82" i="11"/>
  <c r="G81" i="11" s="1"/>
  <c r="D81" i="11"/>
  <c r="K82" i="11"/>
  <c r="K81" i="11" s="1"/>
  <c r="H81" i="11"/>
  <c r="F22" i="8"/>
  <c r="I22" i="8" s="1"/>
  <c r="K77" i="11"/>
  <c r="P22" i="8" s="1"/>
  <c r="S22" i="8" s="1"/>
  <c r="X22" i="8" s="1"/>
  <c r="AK22" i="8"/>
  <c r="AN22" i="8" s="1"/>
  <c r="AS22" i="8" s="1"/>
  <c r="V24" i="8"/>
  <c r="W24" i="8" s="1"/>
  <c r="W23" i="8" s="1"/>
  <c r="F554" i="7"/>
  <c r="L21" i="8"/>
  <c r="M21" i="8" s="1"/>
  <c r="AA21" i="8" s="1"/>
  <c r="AE21" i="8" s="1"/>
  <c r="AO389" i="7"/>
  <c r="AO382" i="7" s="1"/>
  <c r="K75" i="11"/>
  <c r="D40" i="6" s="1"/>
  <c r="D42" i="6" s="1"/>
  <c r="E40" i="6"/>
  <c r="E42" i="6" s="1"/>
  <c r="AQ21" i="8" s="1"/>
  <c r="AR21" i="8" s="1"/>
  <c r="AR13" i="8" s="1"/>
  <c r="V20" i="8"/>
  <c r="W20" i="8" s="1"/>
  <c r="X20" i="8" s="1"/>
  <c r="AC20" i="8" s="1"/>
  <c r="AG20" i="8" s="1"/>
  <c r="AK443" i="7"/>
  <c r="AK436" i="7" s="1"/>
  <c r="L11" i="8"/>
  <c r="M11" i="8" s="1"/>
  <c r="AA11" i="8" s="1"/>
  <c r="AE11" i="8" s="1"/>
  <c r="AH288" i="7"/>
  <c r="AH283" i="7" s="1"/>
  <c r="K73" i="11"/>
  <c r="AQ11" i="8"/>
  <c r="AR11" i="8" s="1"/>
  <c r="V16" i="8"/>
  <c r="W16" i="8" s="1"/>
  <c r="R443" i="7"/>
  <c r="G71" i="11"/>
  <c r="D70" i="11"/>
  <c r="K71" i="11"/>
  <c r="H70" i="11"/>
  <c r="E25" i="6"/>
  <c r="E27" i="6" s="1"/>
  <c r="AQ7" i="8" s="1"/>
  <c r="AR7" i="8" s="1"/>
  <c r="AR5" i="8" s="1"/>
  <c r="AR4" i="8" s="1"/>
  <c r="AR3" i="8" s="1"/>
  <c r="G66" i="11"/>
  <c r="J18" i="8" s="1"/>
  <c r="K18" i="8" s="1"/>
  <c r="AA18" i="8" s="1"/>
  <c r="AE18" i="8" s="1"/>
  <c r="AB371" i="7"/>
  <c r="AB378" i="7" s="1"/>
  <c r="K66" i="11"/>
  <c r="T18" i="8" s="1"/>
  <c r="U18" i="8" s="1"/>
  <c r="AO18" i="8"/>
  <c r="AP18" i="8" s="1"/>
  <c r="AB425" i="7"/>
  <c r="AB432" i="7" s="1"/>
  <c r="G62" i="11"/>
  <c r="J16" i="8" s="1"/>
  <c r="K16" i="8" s="1"/>
  <c r="AA16" i="8" s="1"/>
  <c r="AE16" i="8" s="1"/>
  <c r="R371" i="7"/>
  <c r="R378" i="7" s="1"/>
  <c r="K62" i="11"/>
  <c r="T16" i="8" s="1"/>
  <c r="U16" i="8" s="1"/>
  <c r="AO16" i="8"/>
  <c r="AP16" i="8" s="1"/>
  <c r="R425" i="7"/>
  <c r="R432" i="7" s="1"/>
  <c r="G58" i="11"/>
  <c r="J10" i="8" s="1"/>
  <c r="K10" i="8" s="1"/>
  <c r="AA10" i="8" s="1"/>
  <c r="AE10" i="8" s="1"/>
  <c r="AC275" i="7"/>
  <c r="AC280" i="7" s="1"/>
  <c r="K58" i="11"/>
  <c r="T10" i="8" s="1"/>
  <c r="U10" i="8" s="1"/>
  <c r="AC312" i="7"/>
  <c r="AC317" i="7" s="1"/>
  <c r="AO10" i="8"/>
  <c r="AP10" i="8" s="1"/>
  <c r="G55" i="11"/>
  <c r="J8" i="8" s="1"/>
  <c r="K8" i="8" s="1"/>
  <c r="AA8" i="8" s="1"/>
  <c r="AE8" i="8" s="1"/>
  <c r="T275" i="7"/>
  <c r="T280" i="7" s="1"/>
  <c r="K55" i="11"/>
  <c r="T8" i="8" s="1"/>
  <c r="U8" i="8" s="1"/>
  <c r="T312" i="7"/>
  <c r="T317" i="7" s="1"/>
  <c r="AO8" i="8"/>
  <c r="AP8" i="8" s="1"/>
  <c r="G53" i="11"/>
  <c r="J6" i="8" s="1"/>
  <c r="K6" i="8" s="1"/>
  <c r="L275" i="7"/>
  <c r="K53" i="11"/>
  <c r="T6" i="8" s="1"/>
  <c r="U6" i="8" s="1"/>
  <c r="L312" i="7"/>
  <c r="AO6" i="8"/>
  <c r="AP6" i="8" s="1"/>
  <c r="H50" i="11"/>
  <c r="D50" i="11"/>
  <c r="G30" i="8"/>
  <c r="I30" i="8" s="1"/>
  <c r="AC487" i="7"/>
  <c r="K48" i="11"/>
  <c r="D21" i="6" s="1"/>
  <c r="D22" i="6" s="1"/>
  <c r="E21" i="6"/>
  <c r="E22" i="6" s="1"/>
  <c r="AL30" i="8" s="1"/>
  <c r="AN30" i="8" s="1"/>
  <c r="AS30" i="8" s="1"/>
  <c r="Q29" i="8"/>
  <c r="S29" i="8" s="1"/>
  <c r="X29" i="8" s="1"/>
  <c r="Y543" i="7"/>
  <c r="G27" i="8"/>
  <c r="I27" i="8" s="1"/>
  <c r="Q487" i="7"/>
  <c r="K46" i="11"/>
  <c r="D12" i="6" s="1"/>
  <c r="D13" i="6" s="1"/>
  <c r="E12" i="6"/>
  <c r="E13" i="6" s="1"/>
  <c r="AL27" i="8" s="1"/>
  <c r="AN27" i="8" s="1"/>
  <c r="AS27" i="8" s="1"/>
  <c r="K44" i="11"/>
  <c r="D8" i="6" s="1"/>
  <c r="D9" i="6" s="1"/>
  <c r="E8" i="6"/>
  <c r="E9" i="6" s="1"/>
  <c r="AL24" i="8" s="1"/>
  <c r="Q24" i="8"/>
  <c r="F543" i="7"/>
  <c r="G42" i="11"/>
  <c r="F487" i="7" s="1"/>
  <c r="D41" i="11"/>
  <c r="K42" i="11"/>
  <c r="H41" i="11"/>
  <c r="AK24" i="8"/>
  <c r="P34" i="8"/>
  <c r="S34" i="8" s="1"/>
  <c r="X34" i="8" s="1"/>
  <c r="AC34" i="8" s="1"/>
  <c r="AG34" i="8" s="1"/>
  <c r="AS543" i="7"/>
  <c r="AS562" i="7" s="1"/>
  <c r="G38" i="11"/>
  <c r="F21" i="8" s="1"/>
  <c r="I21" i="8" s="1"/>
  <c r="AO360" i="7"/>
  <c r="K38" i="11"/>
  <c r="P21" i="8" s="1"/>
  <c r="S21" i="8" s="1"/>
  <c r="AK21" i="8"/>
  <c r="AN21" i="8" s="1"/>
  <c r="AS21" i="8" s="1"/>
  <c r="AO414" i="7"/>
  <c r="AM304" i="7"/>
  <c r="H35" i="11"/>
  <c r="D35" i="11"/>
  <c r="F33" i="8"/>
  <c r="I33" i="8" s="1"/>
  <c r="AO487" i="7"/>
  <c r="AO506" i="7" s="1"/>
  <c r="K33" i="11"/>
  <c r="AK33" i="8"/>
  <c r="AN33" i="8" s="1"/>
  <c r="AS33" i="8" s="1"/>
  <c r="G31" i="11"/>
  <c r="D29" i="11"/>
  <c r="AH267" i="7"/>
  <c r="K31" i="11"/>
  <c r="AH304" i="7"/>
  <c r="AK11" i="8"/>
  <c r="AN11" i="8" s="1"/>
  <c r="AS11" i="8" s="1"/>
  <c r="G26" i="11"/>
  <c r="D25" i="11"/>
  <c r="H360" i="7"/>
  <c r="K26" i="11"/>
  <c r="H25" i="11"/>
  <c r="AK14" i="8"/>
  <c r="AN14" i="8" s="1"/>
  <c r="H414" i="7"/>
  <c r="P19" i="8"/>
  <c r="S19" i="8" s="1"/>
  <c r="X19" i="8" s="1"/>
  <c r="G21" i="11"/>
  <c r="F18" i="8" s="1"/>
  <c r="I18" i="8" s="1"/>
  <c r="AB360" i="7"/>
  <c r="K21" i="11"/>
  <c r="P18" i="8" s="1"/>
  <c r="S18" i="8" s="1"/>
  <c r="X18" i="8" s="1"/>
  <c r="AC18" i="8" s="1"/>
  <c r="AG18" i="8" s="1"/>
  <c r="AB414" i="7"/>
  <c r="AK18" i="8"/>
  <c r="AN18" i="8" s="1"/>
  <c r="AS18" i="8" s="1"/>
  <c r="G17" i="11"/>
  <c r="F16" i="8" s="1"/>
  <c r="I16" i="8" s="1"/>
  <c r="R360" i="7"/>
  <c r="K17" i="11"/>
  <c r="P16" i="8" s="1"/>
  <c r="S16" i="8" s="1"/>
  <c r="AK16" i="8"/>
  <c r="AN16" i="8" s="1"/>
  <c r="AS16" i="8" s="1"/>
  <c r="R414" i="7"/>
  <c r="G13" i="11"/>
  <c r="F10" i="8" s="1"/>
  <c r="I10" i="8" s="1"/>
  <c r="AC267" i="7"/>
  <c r="K13" i="11"/>
  <c r="P10" i="8" s="1"/>
  <c r="S10" i="8" s="1"/>
  <c r="X10" i="8" s="1"/>
  <c r="AK10" i="8"/>
  <c r="AN10" i="8" s="1"/>
  <c r="AS10" i="8" s="1"/>
  <c r="AC304" i="7"/>
  <c r="X9" i="8"/>
  <c r="AC9" i="8" s="1"/>
  <c r="AG9" i="8" s="1"/>
  <c r="G10" i="11"/>
  <c r="F8" i="8" s="1"/>
  <c r="I8" i="8" s="1"/>
  <c r="T267" i="7"/>
  <c r="K10" i="11"/>
  <c r="P8" i="8" s="1"/>
  <c r="S8" i="8" s="1"/>
  <c r="X8" i="8" s="1"/>
  <c r="AK8" i="8"/>
  <c r="AN8" i="8" s="1"/>
  <c r="T304" i="7"/>
  <c r="G8" i="11"/>
  <c r="F6" i="8" s="1"/>
  <c r="I6" i="8" s="1"/>
  <c r="L267" i="7"/>
  <c r="K8" i="11"/>
  <c r="P6" i="8" s="1"/>
  <c r="S6" i="8" s="1"/>
  <c r="AK6" i="8"/>
  <c r="AN6" i="8" s="1"/>
  <c r="L304" i="7"/>
  <c r="G6" i="11"/>
  <c r="D5" i="11"/>
  <c r="K6" i="11"/>
  <c r="K5" i="11" s="1"/>
  <c r="H5" i="11"/>
  <c r="AP2" i="8"/>
  <c r="U2" i="8"/>
  <c r="K2" i="8"/>
  <c r="BE6" i="17" s="1"/>
  <c r="BE6" i="18" s="1"/>
  <c r="AQ4" i="22"/>
  <c r="BW24" i="22" s="1"/>
  <c r="BW5" i="23" s="1"/>
  <c r="AQ4" i="21"/>
  <c r="AQ4" i="20"/>
  <c r="AQ4" i="19"/>
  <c r="F197" i="10"/>
  <c r="F179" i="10"/>
  <c r="F178" i="10" s="1"/>
  <c r="F107" i="10"/>
  <c r="F111" i="10" s="1"/>
  <c r="F102" i="10"/>
  <c r="F112" i="10" s="1"/>
  <c r="F232" i="10"/>
  <c r="F235" i="10" s="1"/>
  <c r="F239" i="10" s="1"/>
  <c r="F240" i="10" s="1"/>
  <c r="GS17" i="24"/>
  <c r="GH17" i="24"/>
  <c r="FW17" i="24"/>
  <c r="FL17" i="24"/>
  <c r="FA17" i="24"/>
  <c r="EP17" i="24"/>
  <c r="GC17" i="24"/>
  <c r="FG17" i="24"/>
  <c r="FR17" i="24"/>
  <c r="GN17" i="24"/>
  <c r="EV17" i="24"/>
  <c r="GN6" i="24"/>
  <c r="GC6" i="24"/>
  <c r="FR6" i="24"/>
  <c r="FG6" i="24"/>
  <c r="EV6" i="24"/>
  <c r="GS6" i="24"/>
  <c r="FW6" i="24"/>
  <c r="FA6" i="24"/>
  <c r="GH6" i="24"/>
  <c r="EP6" i="24"/>
  <c r="FL6" i="24"/>
  <c r="C46" i="10"/>
  <c r="AB105" i="8"/>
  <c r="AF105" i="8" s="1"/>
  <c r="AB79" i="8"/>
  <c r="AF79" i="8" s="1"/>
  <c r="AF963" i="7"/>
  <c r="DD15" i="22"/>
  <c r="CS15" i="22"/>
  <c r="CH15" i="22"/>
  <c r="BW15" i="22"/>
  <c r="BL15" i="22"/>
  <c r="BA15" i="22"/>
  <c r="CN15" i="22"/>
  <c r="BR15" i="22"/>
  <c r="CY15" i="22"/>
  <c r="BG15" i="22"/>
  <c r="CC15" i="22"/>
  <c r="CY14" i="22"/>
  <c r="CN14" i="22"/>
  <c r="CC14" i="22"/>
  <c r="BR14" i="22"/>
  <c r="BG14" i="22"/>
  <c r="DD14" i="22"/>
  <c r="CH14" i="22"/>
  <c r="BL14" i="22"/>
  <c r="CS14" i="22"/>
  <c r="BA14" i="22"/>
  <c r="BW14" i="22"/>
  <c r="DD34" i="21"/>
  <c r="CS34" i="21"/>
  <c r="CH34" i="21"/>
  <c r="BW34" i="21"/>
  <c r="BL34" i="21"/>
  <c r="BA34" i="21"/>
  <c r="CY34" i="21"/>
  <c r="CC34" i="21"/>
  <c r="BG34" i="21"/>
  <c r="CN34" i="21"/>
  <c r="BR34" i="21"/>
  <c r="AB58" i="8"/>
  <c r="AF58" i="8" s="1"/>
  <c r="AI816" i="7"/>
  <c r="P816" i="7" s="1"/>
  <c r="AB53" i="8"/>
  <c r="AF53" i="8" s="1"/>
  <c r="AI811" i="7"/>
  <c r="P811" i="7" s="1"/>
  <c r="DD21" i="20"/>
  <c r="CS21" i="20"/>
  <c r="CH21" i="20"/>
  <c r="BW21" i="20"/>
  <c r="BL21" i="20"/>
  <c r="BA21" i="20"/>
  <c r="CY21" i="20"/>
  <c r="CN21" i="20"/>
  <c r="CC21" i="20"/>
  <c r="BR21" i="20"/>
  <c r="BG21" i="20"/>
  <c r="CY19" i="20"/>
  <c r="CN19" i="20"/>
  <c r="CC19" i="20"/>
  <c r="BR19" i="20"/>
  <c r="BG19" i="20"/>
  <c r="DD19" i="20"/>
  <c r="CS19" i="20"/>
  <c r="CH19" i="20"/>
  <c r="BW19" i="20"/>
  <c r="BL19" i="20"/>
  <c r="BA19" i="20"/>
  <c r="AI809" i="7"/>
  <c r="P809" i="7" s="1"/>
  <c r="AB51" i="8"/>
  <c r="AF51" i="8" s="1"/>
  <c r="GS16" i="20"/>
  <c r="GH16" i="20"/>
  <c r="FW16" i="20"/>
  <c r="FL16" i="20"/>
  <c r="FA16" i="20"/>
  <c r="EP16" i="20"/>
  <c r="GN16" i="20"/>
  <c r="GC16" i="20"/>
  <c r="FR16" i="20"/>
  <c r="FG16" i="20"/>
  <c r="EV16" i="20"/>
  <c r="DD9" i="20"/>
  <c r="CS9" i="20"/>
  <c r="CH9" i="20"/>
  <c r="BW9" i="20"/>
  <c r="BL9" i="20"/>
  <c r="BA9" i="20"/>
  <c r="CY9" i="20"/>
  <c r="CN9" i="20"/>
  <c r="CC9" i="20"/>
  <c r="BR9" i="20"/>
  <c r="BG9" i="20"/>
  <c r="AI804" i="7"/>
  <c r="P804" i="7" s="1"/>
  <c r="AB46" i="8"/>
  <c r="AF46" i="8" s="1"/>
  <c r="AC28" i="8"/>
  <c r="AG28" i="8" s="1"/>
  <c r="N647" i="7"/>
  <c r="FO25" i="18"/>
  <c r="FD25" i="18"/>
  <c r="ES25" i="18"/>
  <c r="EH25" i="18"/>
  <c r="DW25" i="18"/>
  <c r="DL25" i="18"/>
  <c r="FJ25" i="18"/>
  <c r="EY25" i="18"/>
  <c r="EN25" i="18"/>
  <c r="EC25" i="18"/>
  <c r="DR25" i="18"/>
  <c r="H350" i="11"/>
  <c r="V164" i="8"/>
  <c r="K271" i="11"/>
  <c r="V162" i="8" s="1"/>
  <c r="X162" i="8" s="1"/>
  <c r="V160" i="8"/>
  <c r="X160" i="8" s="1"/>
  <c r="AG160" i="8" s="1"/>
  <c r="GS8" i="23"/>
  <c r="GH8" i="23"/>
  <c r="FW8" i="23"/>
  <c r="FL8" i="23"/>
  <c r="FA8" i="23"/>
  <c r="EP8" i="23"/>
  <c r="GC8" i="23"/>
  <c r="FG8" i="23"/>
  <c r="GN8" i="23"/>
  <c r="FR8" i="23"/>
  <c r="EV8" i="23"/>
  <c r="P39" i="8"/>
  <c r="S39" i="8" s="1"/>
  <c r="X39" i="8" s="1"/>
  <c r="T1302" i="7"/>
  <c r="AO1302" i="7" s="1"/>
  <c r="H86" i="11"/>
  <c r="P37" i="8"/>
  <c r="S37" i="8" s="1"/>
  <c r="H60" i="11"/>
  <c r="X17" i="8"/>
  <c r="AC17" i="8" s="1"/>
  <c r="AG17" i="8" s="1"/>
  <c r="H15" i="11"/>
  <c r="P309" i="7"/>
  <c r="D350" i="11"/>
  <c r="G318" i="11"/>
  <c r="C211" i="6" s="1"/>
  <c r="C212" i="6" s="1"/>
  <c r="L198" i="8" s="1"/>
  <c r="N198" i="8" s="1"/>
  <c r="G87" i="11"/>
  <c r="EC19" i="25"/>
  <c r="DR19" i="25"/>
  <c r="DF19" i="25"/>
  <c r="CU19" i="25"/>
  <c r="CJ19" i="25"/>
  <c r="EH19" i="25"/>
  <c r="DL19" i="25"/>
  <c r="CP19" i="25"/>
  <c r="DA19" i="25"/>
  <c r="DW19" i="25"/>
  <c r="CE19" i="25"/>
  <c r="AS175" i="8"/>
  <c r="GN32" i="24"/>
  <c r="GC32" i="24"/>
  <c r="FR32" i="24"/>
  <c r="FG32" i="24"/>
  <c r="EV32" i="24"/>
  <c r="GS32" i="24"/>
  <c r="FW32" i="24"/>
  <c r="FA32" i="24"/>
  <c r="GH32" i="24"/>
  <c r="EP32" i="24"/>
  <c r="FL32" i="24"/>
  <c r="EH30" i="24"/>
  <c r="DW30" i="24"/>
  <c r="DL30" i="24"/>
  <c r="DA30" i="24"/>
  <c r="CP30" i="24"/>
  <c r="CE30" i="24"/>
  <c r="DR30" i="24"/>
  <c r="CU30" i="24"/>
  <c r="EC30" i="24"/>
  <c r="CJ30" i="24"/>
  <c r="DF30" i="24"/>
  <c r="GS9" i="24"/>
  <c r="GH9" i="24"/>
  <c r="FW9" i="24"/>
  <c r="FL9" i="24"/>
  <c r="FA9" i="24"/>
  <c r="EP9" i="24"/>
  <c r="GN9" i="24"/>
  <c r="FR9" i="24"/>
  <c r="EV9" i="24"/>
  <c r="FG9" i="24"/>
  <c r="GC9" i="24"/>
  <c r="EH6" i="24"/>
  <c r="DW6" i="24"/>
  <c r="DL6" i="24"/>
  <c r="DA6" i="24"/>
  <c r="CP6" i="24"/>
  <c r="CE6" i="24"/>
  <c r="EC6" i="24"/>
  <c r="DF6" i="24"/>
  <c r="CJ6" i="24"/>
  <c r="CU6" i="24"/>
  <c r="DR6" i="24"/>
  <c r="FO11" i="20"/>
  <c r="FD11" i="20"/>
  <c r="ES11" i="20"/>
  <c r="EH11" i="20"/>
  <c r="DW11" i="20"/>
  <c r="DL11" i="20"/>
  <c r="FJ11" i="20"/>
  <c r="EY11" i="20"/>
  <c r="EN11" i="20"/>
  <c r="EC11" i="20"/>
  <c r="DR11" i="20"/>
  <c r="DD10" i="20"/>
  <c r="CS10" i="20"/>
  <c r="CH10" i="20"/>
  <c r="BW10" i="20"/>
  <c r="BL10" i="20"/>
  <c r="BA10" i="20"/>
  <c r="CY10" i="20"/>
  <c r="CN10" i="20"/>
  <c r="CC10" i="20"/>
  <c r="BR10" i="20"/>
  <c r="BG10" i="20"/>
  <c r="FO7" i="20"/>
  <c r="FD7" i="20"/>
  <c r="ES7" i="20"/>
  <c r="EH7" i="20"/>
  <c r="DW7" i="20"/>
  <c r="DL7" i="20"/>
  <c r="FJ7" i="20"/>
  <c r="EY7" i="20"/>
  <c r="EN7" i="20"/>
  <c r="EC7" i="20"/>
  <c r="DR7" i="20"/>
  <c r="DD9" i="19"/>
  <c r="CS9" i="19"/>
  <c r="CH9" i="19"/>
  <c r="BW9" i="19"/>
  <c r="BL9" i="19"/>
  <c r="BA9" i="19"/>
  <c r="CY9" i="19"/>
  <c r="CN9" i="19"/>
  <c r="CC9" i="19"/>
  <c r="BR9" i="19"/>
  <c r="BG9" i="19"/>
  <c r="CY25" i="18"/>
  <c r="CN25" i="18"/>
  <c r="CC25" i="18"/>
  <c r="BR25" i="18"/>
  <c r="BG25" i="18"/>
  <c r="DD25" i="18"/>
  <c r="CS25" i="18"/>
  <c r="CH25" i="18"/>
  <c r="BW25" i="18"/>
  <c r="BL25" i="18"/>
  <c r="BA25" i="18"/>
  <c r="M378" i="7"/>
  <c r="AT378" i="7" s="1"/>
  <c r="AT371" i="7"/>
  <c r="L123" i="6"/>
  <c r="Z60" i="8"/>
  <c r="AD60" i="8" s="1"/>
  <c r="N60" i="8"/>
  <c r="K339" i="11"/>
  <c r="V206" i="8"/>
  <c r="X206" i="8" s="1"/>
  <c r="AG198" i="8"/>
  <c r="X197" i="8"/>
  <c r="L106" i="6"/>
  <c r="G248" i="11"/>
  <c r="G231" i="11"/>
  <c r="F101" i="8" s="1"/>
  <c r="I101" i="8" s="1"/>
  <c r="N101" i="8" s="1"/>
  <c r="AB101" i="8" s="1"/>
  <c r="AF101" i="8" s="1"/>
  <c r="AP1618" i="7"/>
  <c r="AP1614" i="7"/>
  <c r="G209" i="11"/>
  <c r="G163" i="11"/>
  <c r="D60" i="11"/>
  <c r="P280" i="7"/>
  <c r="G32" i="11"/>
  <c r="F20" i="8" s="1"/>
  <c r="I20" i="8" s="1"/>
  <c r="G20" i="11"/>
  <c r="F17" i="8" s="1"/>
  <c r="I17" i="8" s="1"/>
  <c r="D46" i="10"/>
  <c r="AC105" i="8"/>
  <c r="AG105" i="8" s="1"/>
  <c r="GN16" i="22"/>
  <c r="GC16" i="22"/>
  <c r="FR16" i="22"/>
  <c r="FG16" i="22"/>
  <c r="EV16" i="22"/>
  <c r="GS16" i="22"/>
  <c r="FW16" i="22"/>
  <c r="FA16" i="22"/>
  <c r="GH16" i="22"/>
  <c r="EP16" i="22"/>
  <c r="FL16" i="22"/>
  <c r="GN10" i="19"/>
  <c r="GC10" i="19"/>
  <c r="FR10" i="19"/>
  <c r="FG10" i="19"/>
  <c r="EV10" i="19"/>
  <c r="GS10" i="19"/>
  <c r="GH10" i="19"/>
  <c r="FW10" i="19"/>
  <c r="FL10" i="19"/>
  <c r="FA10" i="19"/>
  <c r="EP10" i="19"/>
  <c r="GN20" i="22"/>
  <c r="GC20" i="22"/>
  <c r="FR20" i="22"/>
  <c r="FG20" i="22"/>
  <c r="EV20" i="22"/>
  <c r="GS20" i="22"/>
  <c r="FW20" i="22"/>
  <c r="FA20" i="22"/>
  <c r="GH20" i="22"/>
  <c r="FL20" i="22"/>
  <c r="EP20" i="22"/>
  <c r="GS8" i="20"/>
  <c r="GH8" i="20"/>
  <c r="FW8" i="20"/>
  <c r="FL8" i="20"/>
  <c r="FA8" i="20"/>
  <c r="EP8" i="20"/>
  <c r="GN8" i="20"/>
  <c r="GC8" i="20"/>
  <c r="FR8" i="20"/>
  <c r="FG8" i="20"/>
  <c r="EV8" i="20"/>
  <c r="GS22" i="22"/>
  <c r="GH22" i="22"/>
  <c r="FW22" i="22"/>
  <c r="FL22" i="22"/>
  <c r="FA22" i="22"/>
  <c r="EP22" i="22"/>
  <c r="GN22" i="22"/>
  <c r="FR22" i="22"/>
  <c r="EV22" i="22"/>
  <c r="GC22" i="22"/>
  <c r="FG22" i="22"/>
  <c r="F403" i="11"/>
  <c r="F388" i="11"/>
  <c r="G409" i="11"/>
  <c r="G407" i="11"/>
  <c r="K405" i="11"/>
  <c r="K403" i="11" s="1"/>
  <c r="H403" i="11"/>
  <c r="G405" i="11"/>
  <c r="D403" i="11"/>
  <c r="K400" i="11"/>
  <c r="K399" i="11" s="1"/>
  <c r="H399" i="11"/>
  <c r="G400" i="11"/>
  <c r="G399" i="11" s="1"/>
  <c r="D399" i="11"/>
  <c r="G396" i="11"/>
  <c r="L191" i="8" s="1"/>
  <c r="N191" i="8" s="1"/>
  <c r="AF191" i="8" s="1"/>
  <c r="AS480" i="7"/>
  <c r="AS502" i="7" s="1"/>
  <c r="K394" i="11"/>
  <c r="D216" i="6" s="1"/>
  <c r="D217" i="6" s="1"/>
  <c r="V180" i="8" s="1"/>
  <c r="X180" i="8" s="1"/>
  <c r="E216" i="6"/>
  <c r="E217" i="6" s="1"/>
  <c r="AQ180" i="8" s="1"/>
  <c r="AS180" i="8" s="1"/>
  <c r="AS179" i="8" s="1"/>
  <c r="AS177" i="8" s="1"/>
  <c r="AS203" i="8" s="1"/>
  <c r="G394" i="11"/>
  <c r="C216" i="6" s="1"/>
  <c r="C217" i="6" s="1"/>
  <c r="L180" i="8" s="1"/>
  <c r="N180" i="8" s="1"/>
  <c r="BD19" i="9"/>
  <c r="AG190" i="8"/>
  <c r="AO1326" i="7"/>
  <c r="G392" i="11"/>
  <c r="L190" i="8" s="1"/>
  <c r="N190" i="8" s="1"/>
  <c r="K390" i="11"/>
  <c r="H388" i="11"/>
  <c r="G390" i="11"/>
  <c r="D388" i="11"/>
  <c r="AO480" i="7"/>
  <c r="AO502" i="7" s="1"/>
  <c r="G385" i="11"/>
  <c r="D64" i="10"/>
  <c r="AG157" i="8"/>
  <c r="G383" i="11"/>
  <c r="K381" i="11"/>
  <c r="K380" i="11" s="1"/>
  <c r="H380" i="11"/>
  <c r="G381" i="11"/>
  <c r="D380" i="11"/>
  <c r="G377" i="11"/>
  <c r="G375" i="11"/>
  <c r="K373" i="11"/>
  <c r="H371" i="11"/>
  <c r="G373" i="11"/>
  <c r="D371" i="11"/>
  <c r="G368" i="11"/>
  <c r="E289" i="11"/>
  <c r="E278" i="11"/>
  <c r="E271" i="11"/>
  <c r="E263" i="11"/>
  <c r="K421" i="11"/>
  <c r="K420" i="11" s="1"/>
  <c r="H420" i="11"/>
  <c r="G421" i="11"/>
  <c r="G420" i="11" s="1"/>
  <c r="D420" i="11"/>
  <c r="K417" i="11"/>
  <c r="K416" i="11" s="1"/>
  <c r="H416" i="11"/>
  <c r="G417" i="11"/>
  <c r="G416" i="11" s="1"/>
  <c r="D416" i="11"/>
  <c r="K412" i="11"/>
  <c r="K411" i="11" s="1"/>
  <c r="H411" i="11"/>
  <c r="I403" i="11"/>
  <c r="I388" i="11"/>
  <c r="I380" i="11"/>
  <c r="I371" i="11"/>
  <c r="I349" i="11" s="1"/>
  <c r="G8" i="4" s="1"/>
  <c r="E306" i="11"/>
  <c r="E246" i="11"/>
  <c r="F364" i="11"/>
  <c r="H364" i="11"/>
  <c r="F357" i="11"/>
  <c r="F349" i="11" s="1"/>
  <c r="H8" i="3" s="1"/>
  <c r="J357" i="11"/>
  <c r="J349" i="11" s="1"/>
  <c r="H8" i="4" s="1"/>
  <c r="H357" i="11"/>
  <c r="G340" i="11"/>
  <c r="F331" i="11"/>
  <c r="J331" i="11"/>
  <c r="H331" i="11"/>
  <c r="F315" i="11"/>
  <c r="J315" i="11"/>
  <c r="H315" i="11"/>
  <c r="F306" i="11"/>
  <c r="J306" i="11"/>
  <c r="F295" i="11"/>
  <c r="F262" i="11" s="1"/>
  <c r="H7" i="3" s="1"/>
  <c r="J295" i="11"/>
  <c r="J262" i="11" s="1"/>
  <c r="H7" i="4" s="1"/>
  <c r="H295" i="11"/>
  <c r="G291" i="11"/>
  <c r="G289" i="11" s="1"/>
  <c r="L168" i="8" s="1"/>
  <c r="N168" i="8" s="1"/>
  <c r="K256" i="11"/>
  <c r="L139" i="6"/>
  <c r="G257" i="11"/>
  <c r="K254" i="11"/>
  <c r="L204" i="6" s="1"/>
  <c r="L206" i="6" s="1"/>
  <c r="M204" i="6"/>
  <c r="M206" i="6" s="1"/>
  <c r="K251" i="11"/>
  <c r="L179" i="6" s="1"/>
  <c r="L184" i="6" s="1"/>
  <c r="M179" i="6"/>
  <c r="M184" i="6" s="1"/>
  <c r="G251" i="11"/>
  <c r="K179" i="6" s="1"/>
  <c r="K184" i="6" s="1"/>
  <c r="K247" i="11"/>
  <c r="H246" i="11"/>
  <c r="M165" i="6"/>
  <c r="M168" i="6" s="1"/>
  <c r="AL130" i="8" s="1"/>
  <c r="G247" i="11"/>
  <c r="D246" i="11"/>
  <c r="E238" i="11"/>
  <c r="E214" i="11"/>
  <c r="E213" i="11" s="1"/>
  <c r="G6" i="3" s="1"/>
  <c r="AB1607" i="7"/>
  <c r="E196" i="11"/>
  <c r="E170" i="11"/>
  <c r="E148" i="11"/>
  <c r="E50" i="11"/>
  <c r="AG364" i="7"/>
  <c r="AG367" i="7" s="1"/>
  <c r="AG397" i="7" s="1"/>
  <c r="E15" i="11"/>
  <c r="M364" i="7"/>
  <c r="AT364" i="7" s="1"/>
  <c r="AT269" i="7"/>
  <c r="K350" i="11"/>
  <c r="I225" i="11"/>
  <c r="AB1678" i="7"/>
  <c r="I214" i="11"/>
  <c r="I213" i="11" s="1"/>
  <c r="G6" i="4" s="1"/>
  <c r="AB1677" i="7"/>
  <c r="J213" i="11"/>
  <c r="H6" i="4" s="1"/>
  <c r="E108" i="11"/>
  <c r="E107" i="11" s="1"/>
  <c r="G4" i="3" s="1"/>
  <c r="E98" i="11"/>
  <c r="E70" i="11"/>
  <c r="E29" i="11"/>
  <c r="E25" i="11"/>
  <c r="E177" i="10"/>
  <c r="E94" i="10"/>
  <c r="E55" i="10"/>
  <c r="E229" i="10"/>
  <c r="E218" i="10"/>
  <c r="E161" i="10"/>
  <c r="E117" i="10"/>
  <c r="F3" i="10"/>
  <c r="H238" i="11"/>
  <c r="D238" i="11"/>
  <c r="G234" i="11"/>
  <c r="G233" i="11" s="1"/>
  <c r="D233" i="11"/>
  <c r="K234" i="11"/>
  <c r="K233" i="11" s="1"/>
  <c r="H233" i="11"/>
  <c r="G230" i="11"/>
  <c r="F100" i="8" s="1"/>
  <c r="I100" i="8" s="1"/>
  <c r="N100" i="8" s="1"/>
  <c r="M1628" i="7"/>
  <c r="AP1628" i="7" s="1"/>
  <c r="K230" i="11"/>
  <c r="P100" i="8" s="1"/>
  <c r="S100" i="8" s="1"/>
  <c r="X100" i="8" s="1"/>
  <c r="AK100" i="8"/>
  <c r="AN100" i="8" s="1"/>
  <c r="AS100" i="8" s="1"/>
  <c r="AS99" i="8" s="1"/>
  <c r="M1690" i="7"/>
  <c r="AP1690" i="7" s="1"/>
  <c r="G228" i="11"/>
  <c r="F93" i="8" s="1"/>
  <c r="I93" i="8" s="1"/>
  <c r="N93" i="8" s="1"/>
  <c r="M1617" i="7"/>
  <c r="AP1617" i="7" s="1"/>
  <c r="K228" i="11"/>
  <c r="P93" i="8" s="1"/>
  <c r="S93" i="8" s="1"/>
  <c r="X93" i="8" s="1"/>
  <c r="AK93" i="8"/>
  <c r="AN93" i="8" s="1"/>
  <c r="AS93" i="8" s="1"/>
  <c r="AS92" i="8" s="1"/>
  <c r="M1679" i="7"/>
  <c r="AP1679" i="7" s="1"/>
  <c r="G226" i="11"/>
  <c r="D225" i="11"/>
  <c r="M1616" i="7"/>
  <c r="AP1616" i="7" s="1"/>
  <c r="K226" i="11"/>
  <c r="H225" i="11"/>
  <c r="H213" i="11" s="1"/>
  <c r="F6" i="4" s="1"/>
  <c r="M1678" i="7"/>
  <c r="AP1678" i="7" s="1"/>
  <c r="M149" i="6"/>
  <c r="M150" i="6" s="1"/>
  <c r="AL90" i="8" s="1"/>
  <c r="GS29" i="22"/>
  <c r="GH29" i="22"/>
  <c r="FW29" i="22"/>
  <c r="FL29" i="22"/>
  <c r="FA29" i="22"/>
  <c r="EP29" i="22"/>
  <c r="GC29" i="22"/>
  <c r="FG29" i="22"/>
  <c r="GN29" i="22"/>
  <c r="FR29" i="22"/>
  <c r="EV29" i="22"/>
  <c r="G222" i="11"/>
  <c r="F90" i="8" s="1"/>
  <c r="M1615" i="7"/>
  <c r="AP1615" i="7" s="1"/>
  <c r="K222" i="11"/>
  <c r="P90" i="8" s="1"/>
  <c r="AK90" i="8"/>
  <c r="AN90" i="8" s="1"/>
  <c r="AS90" i="8" s="1"/>
  <c r="AS89" i="8" s="1"/>
  <c r="M1677" i="7"/>
  <c r="G220" i="11"/>
  <c r="F98" i="8" s="1"/>
  <c r="I98" i="8" s="1"/>
  <c r="N98" i="8" s="1"/>
  <c r="AB98" i="8" s="1"/>
  <c r="AF98" i="8" s="1"/>
  <c r="M1624" i="7"/>
  <c r="AP1624" i="7" s="1"/>
  <c r="K220" i="11"/>
  <c r="P98" i="8" s="1"/>
  <c r="S98" i="8" s="1"/>
  <c r="X98" i="8" s="1"/>
  <c r="AC98" i="8" s="1"/>
  <c r="AG98" i="8" s="1"/>
  <c r="M1686" i="7"/>
  <c r="AP1686" i="7" s="1"/>
  <c r="AK98" i="8"/>
  <c r="AN98" i="8" s="1"/>
  <c r="AS98" i="8" s="1"/>
  <c r="GN11" i="23"/>
  <c r="GC11" i="23"/>
  <c r="FR11" i="23"/>
  <c r="FG11" i="23"/>
  <c r="EV11" i="23"/>
  <c r="GS11" i="23"/>
  <c r="FW11" i="23"/>
  <c r="FA11" i="23"/>
  <c r="GH11" i="23"/>
  <c r="FL11" i="23"/>
  <c r="EP11" i="23"/>
  <c r="G218" i="11"/>
  <c r="F96" i="8" s="1"/>
  <c r="I96" i="8" s="1"/>
  <c r="N96" i="8" s="1"/>
  <c r="M1619" i="7"/>
  <c r="AP1619" i="7" s="1"/>
  <c r="K218" i="11"/>
  <c r="P96" i="8" s="1"/>
  <c r="S96" i="8" s="1"/>
  <c r="X96" i="8" s="1"/>
  <c r="AK96" i="8"/>
  <c r="AN96" i="8" s="1"/>
  <c r="AS96" i="8" s="1"/>
  <c r="AS95" i="8" s="1"/>
  <c r="M1681" i="7"/>
  <c r="AP1681" i="7" s="1"/>
  <c r="G216" i="11"/>
  <c r="F87" i="8" s="1"/>
  <c r="I87" i="8" s="1"/>
  <c r="N87" i="8" s="1"/>
  <c r="M1613" i="7"/>
  <c r="AP1613" i="7" s="1"/>
  <c r="K216" i="11"/>
  <c r="P87" i="8" s="1"/>
  <c r="S87" i="8" s="1"/>
  <c r="X87" i="8" s="1"/>
  <c r="AK87" i="8"/>
  <c r="AN87" i="8" s="1"/>
  <c r="AS87" i="8" s="1"/>
  <c r="M1675" i="7"/>
  <c r="AP1675" i="7" s="1"/>
  <c r="G210" i="11"/>
  <c r="K210" i="11"/>
  <c r="P132" i="8" s="1"/>
  <c r="AK132" i="8"/>
  <c r="G208" i="11"/>
  <c r="D207" i="11"/>
  <c r="K208" i="11"/>
  <c r="H207" i="11"/>
  <c r="M59" i="6"/>
  <c r="M68" i="6" s="1"/>
  <c r="G200" i="11"/>
  <c r="C193" i="6" s="1"/>
  <c r="C195" i="6" s="1"/>
  <c r="G147" i="8" s="1"/>
  <c r="I147" i="8" s="1"/>
  <c r="N147" i="8" s="1"/>
  <c r="K200" i="11"/>
  <c r="D193" i="6" s="1"/>
  <c r="D195" i="6" s="1"/>
  <c r="Q147" i="8" s="1"/>
  <c r="S147" i="8" s="1"/>
  <c r="X147" i="8" s="1"/>
  <c r="E193" i="6"/>
  <c r="E195" i="6" s="1"/>
  <c r="AL147" i="8" s="1"/>
  <c r="AN147" i="8" s="1"/>
  <c r="AS147" i="8" s="1"/>
  <c r="AS143" i="8" s="1"/>
  <c r="K196" i="11"/>
  <c r="L47" i="6"/>
  <c r="L49" i="6" s="1"/>
  <c r="Q78" i="8" s="1"/>
  <c r="S78" i="8" s="1"/>
  <c r="G197" i="11"/>
  <c r="G192" i="11"/>
  <c r="C185" i="6" s="1"/>
  <c r="C187" i="6" s="1"/>
  <c r="G136" i="8" s="1"/>
  <c r="I136" i="8" s="1"/>
  <c r="N136" i="8" s="1"/>
  <c r="AB136" i="8" s="1"/>
  <c r="AF136" i="8" s="1"/>
  <c r="K192" i="11"/>
  <c r="D185" i="6" s="1"/>
  <c r="D187" i="6" s="1"/>
  <c r="Q136" i="8" s="1"/>
  <c r="S136" i="8" s="1"/>
  <c r="X136" i="8" s="1"/>
  <c r="AC136" i="8" s="1"/>
  <c r="AG136" i="8" s="1"/>
  <c r="E185" i="6"/>
  <c r="E187" i="6" s="1"/>
  <c r="AL136" i="8" s="1"/>
  <c r="AN136" i="8" s="1"/>
  <c r="AS136" i="8" s="1"/>
  <c r="GN22" i="21"/>
  <c r="GC22" i="21"/>
  <c r="FR22" i="21"/>
  <c r="FG22" i="21"/>
  <c r="EV22" i="21"/>
  <c r="GH22" i="21"/>
  <c r="FL22" i="21"/>
  <c r="EP22" i="21"/>
  <c r="GS22" i="21"/>
  <c r="FW22" i="21"/>
  <c r="FA22" i="21"/>
  <c r="G190" i="11"/>
  <c r="K34" i="6" s="1"/>
  <c r="K36" i="6" s="1"/>
  <c r="K190" i="11"/>
  <c r="L34" i="6" s="1"/>
  <c r="L36" i="6" s="1"/>
  <c r="M34" i="6"/>
  <c r="M36" i="6" s="1"/>
  <c r="G188" i="11"/>
  <c r="K130" i="6" s="1"/>
  <c r="K188" i="11"/>
  <c r="L130" i="6" s="1"/>
  <c r="M130" i="6"/>
  <c r="G186" i="11"/>
  <c r="D185" i="11"/>
  <c r="K186" i="11"/>
  <c r="H185" i="11"/>
  <c r="M26" i="6"/>
  <c r="M28" i="6" s="1"/>
  <c r="G182" i="11"/>
  <c r="K182" i="11"/>
  <c r="G180" i="11"/>
  <c r="K180" i="11"/>
  <c r="G178" i="11"/>
  <c r="D177" i="11"/>
  <c r="K178" i="11"/>
  <c r="H177" i="11"/>
  <c r="E94" i="6"/>
  <c r="E95" i="6" s="1"/>
  <c r="AK130" i="8" s="1"/>
  <c r="AN130" i="8" s="1"/>
  <c r="AS130" i="8" s="1"/>
  <c r="G174" i="11"/>
  <c r="K18" i="6" s="1"/>
  <c r="K20" i="6" s="1"/>
  <c r="G63" i="8" s="1"/>
  <c r="I63" i="8" s="1"/>
  <c r="K174" i="11"/>
  <c r="L18" i="6" s="1"/>
  <c r="L20" i="6" s="1"/>
  <c r="M18" i="6"/>
  <c r="M20" i="6" s="1"/>
  <c r="AL63" i="8" s="1"/>
  <c r="AN63" i="8" s="1"/>
  <c r="AS63" i="8" s="1"/>
  <c r="Q63" i="8"/>
  <c r="S63" i="8" s="1"/>
  <c r="X63" i="8" s="1"/>
  <c r="AC63" i="8" s="1"/>
  <c r="AG63" i="8" s="1"/>
  <c r="G172" i="11"/>
  <c r="G170" i="11" s="1"/>
  <c r="M1611" i="7"/>
  <c r="K172" i="11"/>
  <c r="K170" i="11" s="1"/>
  <c r="AK86" i="8"/>
  <c r="AN86" i="8" s="1"/>
  <c r="AS86" i="8" s="1"/>
  <c r="M1673" i="7"/>
  <c r="H170" i="11"/>
  <c r="D170" i="11"/>
  <c r="G168" i="11"/>
  <c r="K126" i="6" s="1"/>
  <c r="K168" i="11"/>
  <c r="L126" i="6" s="1"/>
  <c r="M126" i="6"/>
  <c r="G166" i="11"/>
  <c r="K118" i="6" s="1"/>
  <c r="K166" i="11"/>
  <c r="L118" i="6" s="1"/>
  <c r="M118" i="6"/>
  <c r="G164" i="11"/>
  <c r="K110" i="6" s="1"/>
  <c r="K164" i="11"/>
  <c r="L110" i="6" s="1"/>
  <c r="M110" i="6"/>
  <c r="G160" i="11"/>
  <c r="C120" i="6" s="1"/>
  <c r="K160" i="11"/>
  <c r="D120" i="6" s="1"/>
  <c r="E120" i="6"/>
  <c r="G158" i="11"/>
  <c r="K158" i="11"/>
  <c r="G154" i="11"/>
  <c r="C176" i="6" s="1"/>
  <c r="C177" i="6" s="1"/>
  <c r="K154" i="11"/>
  <c r="D176" i="6" s="1"/>
  <c r="D177" i="6" s="1"/>
  <c r="E176" i="6"/>
  <c r="E177" i="6" s="1"/>
  <c r="G152" i="11"/>
  <c r="C166" i="6" s="1"/>
  <c r="C167" i="6" s="1"/>
  <c r="K152" i="11"/>
  <c r="D166" i="6" s="1"/>
  <c r="D167" i="6" s="1"/>
  <c r="E166" i="6"/>
  <c r="E167" i="6" s="1"/>
  <c r="G150" i="11"/>
  <c r="C157" i="6" s="1"/>
  <c r="C158" i="6" s="1"/>
  <c r="K150" i="11"/>
  <c r="D157" i="6" s="1"/>
  <c r="D158" i="6" s="1"/>
  <c r="E157" i="6"/>
  <c r="E158" i="6" s="1"/>
  <c r="G146" i="11"/>
  <c r="K96" i="6" s="1"/>
  <c r="K100" i="6" s="1"/>
  <c r="K146" i="11"/>
  <c r="L96" i="6" s="1"/>
  <c r="L100" i="6" s="1"/>
  <c r="M96" i="6"/>
  <c r="M100" i="6" s="1"/>
  <c r="F141" i="11"/>
  <c r="F140" i="11" s="1"/>
  <c r="H5" i="3" s="1"/>
  <c r="J141" i="11"/>
  <c r="J140" i="11" s="1"/>
  <c r="H5" i="4" s="1"/>
  <c r="K136" i="11"/>
  <c r="D72" i="6"/>
  <c r="D73" i="6" s="1"/>
  <c r="V69" i="8" s="1"/>
  <c r="W69" i="8" s="1"/>
  <c r="W68" i="8" s="1"/>
  <c r="G137" i="11"/>
  <c r="K124" i="11"/>
  <c r="D56" i="6"/>
  <c r="D57" i="6" s="1"/>
  <c r="Q69" i="8" s="1"/>
  <c r="S69" i="8" s="1"/>
  <c r="G125" i="11"/>
  <c r="K120" i="11"/>
  <c r="Q142" i="8"/>
  <c r="G121" i="11"/>
  <c r="K116" i="11"/>
  <c r="P141" i="8"/>
  <c r="S141" i="8" s="1"/>
  <c r="X141" i="8" s="1"/>
  <c r="G117" i="11"/>
  <c r="F107" i="11"/>
  <c r="H4" i="3" s="1"/>
  <c r="J107" i="11"/>
  <c r="H4" i="4" s="1"/>
  <c r="H108" i="11"/>
  <c r="H107" i="11" s="1"/>
  <c r="F4" i="4" s="1"/>
  <c r="F98" i="11"/>
  <c r="J98" i="11"/>
  <c r="K92" i="11"/>
  <c r="P41" i="8" s="1"/>
  <c r="S41" i="8" s="1"/>
  <c r="X41" i="8" s="1"/>
  <c r="G93" i="11"/>
  <c r="G92" i="11" s="1"/>
  <c r="F41" i="8" s="1"/>
  <c r="I41" i="8" s="1"/>
  <c r="F81" i="11"/>
  <c r="F80" i="11" s="1"/>
  <c r="H3" i="3" s="1"/>
  <c r="J81" i="11"/>
  <c r="J80" i="11" s="1"/>
  <c r="H3" i="4" s="1"/>
  <c r="F70" i="11"/>
  <c r="J70" i="11"/>
  <c r="G68" i="11"/>
  <c r="J19" i="8" s="1"/>
  <c r="K19" i="8" s="1"/>
  <c r="AA19" i="8" s="1"/>
  <c r="AE19" i="8" s="1"/>
  <c r="G65" i="11"/>
  <c r="J17" i="8" s="1"/>
  <c r="K17" i="8" s="1"/>
  <c r="AA17" i="8" s="1"/>
  <c r="AE17" i="8" s="1"/>
  <c r="AT429" i="7"/>
  <c r="G56" i="11"/>
  <c r="J9" i="8" s="1"/>
  <c r="K9" i="8" s="1"/>
  <c r="AA9" i="8" s="1"/>
  <c r="AE9" i="8" s="1"/>
  <c r="AT277" i="7"/>
  <c r="AT314" i="7"/>
  <c r="K50" i="11"/>
  <c r="G52" i="11"/>
  <c r="F41" i="11"/>
  <c r="J41" i="11"/>
  <c r="G39" i="11"/>
  <c r="AO419" i="7"/>
  <c r="AM307" i="7"/>
  <c r="GN26" i="17"/>
  <c r="GC26" i="17"/>
  <c r="FR26" i="17"/>
  <c r="FG26" i="17"/>
  <c r="EV26" i="17"/>
  <c r="GS26" i="17"/>
  <c r="GH26" i="17"/>
  <c r="FW26" i="17"/>
  <c r="FL26" i="17"/>
  <c r="FA26" i="17"/>
  <c r="EP26" i="17"/>
  <c r="G37" i="11"/>
  <c r="F29" i="11"/>
  <c r="AH270" i="7"/>
  <c r="J29" i="11"/>
  <c r="AH307" i="7"/>
  <c r="H29" i="11"/>
  <c r="F25" i="11"/>
  <c r="H365" i="7"/>
  <c r="AT365" i="7" s="1"/>
  <c r="J25" i="11"/>
  <c r="H419" i="7"/>
  <c r="AT419" i="7" s="1"/>
  <c r="G23" i="11"/>
  <c r="F19" i="8" s="1"/>
  <c r="I19" i="8" s="1"/>
  <c r="G11" i="11"/>
  <c r="F9" i="8" s="1"/>
  <c r="I9" i="8" s="1"/>
  <c r="AT270" i="7"/>
  <c r="AT307" i="7"/>
  <c r="F5" i="11"/>
  <c r="J5" i="11"/>
  <c r="J4" i="11" s="1"/>
  <c r="H2" i="4" s="1"/>
  <c r="AS2" i="8"/>
  <c r="X2" i="8"/>
  <c r="N2" i="8"/>
  <c r="AN148" i="8"/>
  <c r="S148" i="8"/>
  <c r="S1" i="8"/>
  <c r="AN1" i="8"/>
  <c r="EH29" i="25"/>
  <c r="DW29" i="25"/>
  <c r="DL29" i="25"/>
  <c r="DA29" i="25"/>
  <c r="CP29" i="25"/>
  <c r="CE29" i="25"/>
  <c r="EC29" i="25"/>
  <c r="DF29" i="25"/>
  <c r="CJ29" i="25"/>
  <c r="DR29" i="25"/>
  <c r="CU29" i="25"/>
  <c r="GS15" i="24"/>
  <c r="GH15" i="24"/>
  <c r="FW15" i="24"/>
  <c r="FL15" i="24"/>
  <c r="FA15" i="24"/>
  <c r="EP15" i="24"/>
  <c r="GN15" i="24"/>
  <c r="FR15" i="24"/>
  <c r="EV15" i="24"/>
  <c r="FG15" i="24"/>
  <c r="GC15" i="24"/>
  <c r="F199" i="10"/>
  <c r="F152" i="10"/>
  <c r="F158" i="10" s="1"/>
  <c r="F150" i="10"/>
  <c r="F142" i="10"/>
  <c r="F204" i="10" s="1"/>
  <c r="F141" i="10"/>
  <c r="F219" i="10"/>
  <c r="F151" i="10"/>
  <c r="F149" i="10"/>
  <c r="F196" i="10" s="1"/>
  <c r="GS19" i="25"/>
  <c r="GH19" i="25"/>
  <c r="FW19" i="25"/>
  <c r="FL19" i="25"/>
  <c r="FA19" i="25"/>
  <c r="EP19" i="25"/>
  <c r="GC19" i="25"/>
  <c r="FG19" i="25"/>
  <c r="GN19" i="25"/>
  <c r="EV19" i="25"/>
  <c r="FR19" i="25"/>
  <c r="GN30" i="24"/>
  <c r="GC30" i="24"/>
  <c r="FR30" i="24"/>
  <c r="FG30" i="24"/>
  <c r="EV30" i="24"/>
  <c r="GH30" i="24"/>
  <c r="FL30" i="24"/>
  <c r="EP30" i="24"/>
  <c r="FW30" i="24"/>
  <c r="GS30" i="24"/>
  <c r="FA30" i="24"/>
  <c r="EC9" i="24"/>
  <c r="DR9" i="24"/>
  <c r="DF9" i="24"/>
  <c r="CU9" i="24"/>
  <c r="CJ9" i="24"/>
  <c r="DW9" i="24"/>
  <c r="DA9" i="24"/>
  <c r="CE9" i="24"/>
  <c r="DL9" i="24"/>
  <c r="EH9" i="24"/>
  <c r="CP9" i="24"/>
  <c r="EC20" i="23"/>
  <c r="DR20" i="23"/>
  <c r="DF20" i="23"/>
  <c r="CU20" i="23"/>
  <c r="CJ20" i="23"/>
  <c r="EH20" i="23"/>
  <c r="DL20" i="23"/>
  <c r="CP20" i="23"/>
  <c r="DW20" i="23"/>
  <c r="DA20" i="23"/>
  <c r="CE20" i="23"/>
  <c r="AK84" i="8"/>
  <c r="AN84" i="8" s="1"/>
  <c r="AS84" i="8" s="1"/>
  <c r="DD19" i="22"/>
  <c r="CS19" i="22"/>
  <c r="CH19" i="22"/>
  <c r="BW19" i="22"/>
  <c r="BL19" i="22"/>
  <c r="BA19" i="22"/>
  <c r="CY19" i="22"/>
  <c r="CC19" i="22"/>
  <c r="BG19" i="22"/>
  <c r="CN19" i="22"/>
  <c r="BR19" i="22"/>
  <c r="AB77" i="8"/>
  <c r="AF77" i="8" s="1"/>
  <c r="AF956" i="7"/>
  <c r="DD8" i="22"/>
  <c r="CS8" i="22"/>
  <c r="CH8" i="22"/>
  <c r="BW8" i="22"/>
  <c r="BL8" i="22"/>
  <c r="BA8" i="22"/>
  <c r="CY8" i="22"/>
  <c r="CC8" i="22"/>
  <c r="BG8" i="22"/>
  <c r="CN8" i="22"/>
  <c r="BR8" i="22"/>
  <c r="AB52" i="8"/>
  <c r="AF52" i="8" s="1"/>
  <c r="AI810" i="7"/>
  <c r="P810" i="7" s="1"/>
  <c r="GS20" i="20"/>
  <c r="GH20" i="20"/>
  <c r="FW20" i="20"/>
  <c r="FL20" i="20"/>
  <c r="FA20" i="20"/>
  <c r="EP20" i="20"/>
  <c r="GN20" i="20"/>
  <c r="GC20" i="20"/>
  <c r="FR20" i="20"/>
  <c r="FG20" i="20"/>
  <c r="EV20" i="20"/>
  <c r="CY15" i="20"/>
  <c r="CN15" i="20"/>
  <c r="CC15" i="20"/>
  <c r="BR15" i="20"/>
  <c r="BG15" i="20"/>
  <c r="DD15" i="20"/>
  <c r="CS15" i="20"/>
  <c r="CH15" i="20"/>
  <c r="BW15" i="20"/>
  <c r="BL15" i="20"/>
  <c r="BA15" i="20"/>
  <c r="AI807" i="7"/>
  <c r="P807" i="7" s="1"/>
  <c r="AB49" i="8"/>
  <c r="AF49" i="8" s="1"/>
  <c r="GN10" i="20"/>
  <c r="GC10" i="20"/>
  <c r="FR10" i="20"/>
  <c r="FG10" i="20"/>
  <c r="EV10" i="20"/>
  <c r="GS10" i="20"/>
  <c r="GH10" i="20"/>
  <c r="FW10" i="20"/>
  <c r="FL10" i="20"/>
  <c r="FA10" i="20"/>
  <c r="EP10" i="20"/>
  <c r="CY33" i="19"/>
  <c r="CN33" i="19"/>
  <c r="CC33" i="19"/>
  <c r="BR33" i="19"/>
  <c r="BG33" i="19"/>
  <c r="DD33" i="19"/>
  <c r="CS33" i="19"/>
  <c r="CH33" i="19"/>
  <c r="BW33" i="19"/>
  <c r="BL33" i="19"/>
  <c r="BA33" i="19"/>
  <c r="CY29" i="18"/>
  <c r="CN29" i="18"/>
  <c r="CC29" i="18"/>
  <c r="BR29" i="18"/>
  <c r="BG29" i="18"/>
  <c r="DD29" i="18"/>
  <c r="CS29" i="18"/>
  <c r="CH29" i="18"/>
  <c r="BW29" i="18"/>
  <c r="BL29" i="18"/>
  <c r="BA29" i="18"/>
  <c r="AB28" i="8"/>
  <c r="AF28" i="8" s="1"/>
  <c r="AQ647" i="7"/>
  <c r="C18" i="10"/>
  <c r="AB25" i="8"/>
  <c r="AF25" i="8" s="1"/>
  <c r="AS7" i="8"/>
  <c r="AA1300" i="7"/>
  <c r="AK447" i="7"/>
  <c r="AK421" i="7"/>
  <c r="AK451" i="7" s="1"/>
  <c r="W393" i="7"/>
  <c r="W367" i="7"/>
  <c r="W397" i="7" s="1"/>
  <c r="P272" i="7"/>
  <c r="M115" i="6"/>
  <c r="P114" i="6"/>
  <c r="M116" i="6" s="1"/>
  <c r="M107" i="6"/>
  <c r="P106" i="6"/>
  <c r="M108" i="6"/>
  <c r="AL67" i="8"/>
  <c r="AN67" i="8" s="1"/>
  <c r="AS67" i="8" s="1"/>
  <c r="V152" i="8"/>
  <c r="X152" i="8" s="1"/>
  <c r="AO1342" i="7"/>
  <c r="H278" i="11"/>
  <c r="H271" i="11"/>
  <c r="H263" i="11"/>
  <c r="AG1126" i="7"/>
  <c r="P116" i="8"/>
  <c r="S116" i="8" s="1"/>
  <c r="X116" i="8" s="1"/>
  <c r="AC116" i="8" s="1"/>
  <c r="AG116" i="8" s="1"/>
  <c r="GN15" i="23"/>
  <c r="GC15" i="23"/>
  <c r="FR15" i="23"/>
  <c r="FG15" i="23"/>
  <c r="EV15" i="23"/>
  <c r="GS15" i="23"/>
  <c r="FW15" i="23"/>
  <c r="FA15" i="23"/>
  <c r="GH15" i="23"/>
  <c r="FL15" i="23"/>
  <c r="EP15" i="23"/>
  <c r="K214" i="11"/>
  <c r="P84" i="8"/>
  <c r="S84" i="8" s="1"/>
  <c r="X84" i="8" s="1"/>
  <c r="AC145" i="8"/>
  <c r="AG145" i="8" s="1"/>
  <c r="AO1190" i="7"/>
  <c r="K86" i="11"/>
  <c r="T1300" i="7"/>
  <c r="P38" i="8"/>
  <c r="S38" i="8" s="1"/>
  <c r="X38" i="8" s="1"/>
  <c r="AK37" i="8"/>
  <c r="AN37" i="8" s="1"/>
  <c r="M432" i="7"/>
  <c r="AT432" i="7" s="1"/>
  <c r="AT425" i="7"/>
  <c r="K60" i="11"/>
  <c r="T15" i="8"/>
  <c r="U15" i="8" s="1"/>
  <c r="U13" i="8" s="1"/>
  <c r="W421" i="7"/>
  <c r="W451" i="7" s="1"/>
  <c r="W447" i="7"/>
  <c r="M421" i="7"/>
  <c r="M451" i="7" s="1"/>
  <c r="M447" i="7"/>
  <c r="K15" i="11"/>
  <c r="P15" i="8"/>
  <c r="S15" i="8" s="1"/>
  <c r="X15" i="8" s="1"/>
  <c r="G352" i="11"/>
  <c r="D86" i="11"/>
  <c r="K35" i="11"/>
  <c r="C79" i="10"/>
  <c r="DD13" i="21"/>
  <c r="CS13" i="21"/>
  <c r="CH13" i="21"/>
  <c r="BW13" i="21"/>
  <c r="BL13" i="21"/>
  <c r="BA13" i="21"/>
  <c r="CY13" i="21"/>
  <c r="CC13" i="21"/>
  <c r="BG13" i="21"/>
  <c r="CN13" i="21"/>
  <c r="BR13" i="21"/>
  <c r="DD7" i="21"/>
  <c r="CS7" i="21"/>
  <c r="CH7" i="21"/>
  <c r="BW7" i="21"/>
  <c r="BL7" i="21"/>
  <c r="BA7" i="21"/>
  <c r="CY7" i="21"/>
  <c r="CN7" i="21"/>
  <c r="CC7" i="21"/>
  <c r="BR7" i="21"/>
  <c r="BG7" i="21"/>
  <c r="AI806" i="7"/>
  <c r="P806" i="7" s="1"/>
  <c r="AB48" i="8"/>
  <c r="AF48" i="8" s="1"/>
  <c r="AA44" i="8"/>
  <c r="AE44" i="8" s="1"/>
  <c r="K43" i="8"/>
  <c r="AA43" i="8" s="1"/>
  <c r="AE43" i="8" s="1"/>
  <c r="N44" i="8"/>
  <c r="CY29" i="19"/>
  <c r="CN29" i="19"/>
  <c r="CC29" i="19"/>
  <c r="BR29" i="19"/>
  <c r="BG29" i="19"/>
  <c r="DD29" i="19"/>
  <c r="CS29" i="19"/>
  <c r="CH29" i="19"/>
  <c r="BW29" i="19"/>
  <c r="BL29" i="19"/>
  <c r="BA29" i="19"/>
  <c r="AB32" i="8"/>
  <c r="AF32" i="8" s="1"/>
  <c r="AQ650" i="7"/>
  <c r="AQ632" i="7" s="1"/>
  <c r="CY7" i="19"/>
  <c r="CN7" i="19"/>
  <c r="CC7" i="19"/>
  <c r="BR7" i="19"/>
  <c r="BG7" i="19"/>
  <c r="DD7" i="19"/>
  <c r="CS7" i="19"/>
  <c r="CH7" i="19"/>
  <c r="BW7" i="19"/>
  <c r="BL7" i="19"/>
  <c r="BA7" i="19"/>
  <c r="GS8" i="19"/>
  <c r="GH8" i="19"/>
  <c r="FW8" i="19"/>
  <c r="FL8" i="19"/>
  <c r="FA8" i="19"/>
  <c r="EP8" i="19"/>
  <c r="GN8" i="19"/>
  <c r="GC8" i="19"/>
  <c r="FR8" i="19"/>
  <c r="FG8" i="19"/>
  <c r="EV8" i="19"/>
  <c r="GN24" i="18"/>
  <c r="GC24" i="18"/>
  <c r="FR24" i="18"/>
  <c r="FG24" i="18"/>
  <c r="EV24" i="18"/>
  <c r="GS24" i="18"/>
  <c r="GH24" i="18"/>
  <c r="FW24" i="18"/>
  <c r="FL24" i="18"/>
  <c r="FA24" i="18"/>
  <c r="EP24" i="18"/>
  <c r="CE6" i="27"/>
  <c r="CE6" i="26"/>
  <c r="AP1607" i="7"/>
  <c r="M393" i="7"/>
  <c r="M367" i="7"/>
  <c r="M397" i="7" s="1"/>
  <c r="P122" i="6"/>
  <c r="M123" i="6" s="1"/>
  <c r="EC15" i="24"/>
  <c r="DR15" i="24"/>
  <c r="DF15" i="24"/>
  <c r="CU15" i="24"/>
  <c r="CJ15" i="24"/>
  <c r="DW15" i="24"/>
  <c r="DA15" i="24"/>
  <c r="CE15" i="24"/>
  <c r="DL15" i="24"/>
  <c r="CP15" i="24"/>
  <c r="EH15" i="24"/>
  <c r="H339" i="11"/>
  <c r="H162" i="11"/>
  <c r="AK133" i="8"/>
  <c r="AN133" i="8" s="1"/>
  <c r="AS133" i="8" s="1"/>
  <c r="K156" i="11"/>
  <c r="P133" i="8"/>
  <c r="S133" i="8" s="1"/>
  <c r="X133" i="8" s="1"/>
  <c r="AC133" i="8" s="1"/>
  <c r="AG133" i="8" s="1"/>
  <c r="AL126" i="8"/>
  <c r="AN126" i="8" s="1"/>
  <c r="AS126" i="8" s="1"/>
  <c r="AS125" i="8" s="1"/>
  <c r="K148" i="11"/>
  <c r="D149" i="6"/>
  <c r="D153" i="6" s="1"/>
  <c r="Q126" i="8" s="1"/>
  <c r="S126" i="8" s="1"/>
  <c r="X126" i="8" s="1"/>
  <c r="D278" i="11"/>
  <c r="D271" i="11"/>
  <c r="D263" i="11"/>
  <c r="D262" i="11" s="1"/>
  <c r="F7" i="3" s="1"/>
  <c r="AP1630" i="7"/>
  <c r="G229" i="11"/>
  <c r="F94" i="8" s="1"/>
  <c r="I94" i="8" s="1"/>
  <c r="N94" i="8" s="1"/>
  <c r="AB94" i="8" s="1"/>
  <c r="AF94" i="8" s="1"/>
  <c r="G217" i="11"/>
  <c r="F88" i="8" s="1"/>
  <c r="I88" i="8" s="1"/>
  <c r="N88" i="8" s="1"/>
  <c r="AB88" i="8" s="1"/>
  <c r="AF88" i="8" s="1"/>
  <c r="D214" i="11"/>
  <c r="D213" i="11" s="1"/>
  <c r="F6" i="3" s="1"/>
  <c r="D162" i="11"/>
  <c r="G157" i="11"/>
  <c r="D148" i="11"/>
  <c r="G61" i="11"/>
  <c r="G54" i="11"/>
  <c r="J7" i="8" s="1"/>
  <c r="K7" i="8" s="1"/>
  <c r="AK367" i="7"/>
  <c r="AK397" i="7" s="1"/>
  <c r="AK393" i="7"/>
  <c r="D15" i="11"/>
  <c r="G9" i="11"/>
  <c r="F7" i="8" s="1"/>
  <c r="I7" i="8" s="1"/>
  <c r="GS20" i="23"/>
  <c r="GH20" i="23"/>
  <c r="FW20" i="23"/>
  <c r="FL20" i="23"/>
  <c r="FA20" i="23"/>
  <c r="EP20" i="23"/>
  <c r="GC20" i="23"/>
  <c r="FG20" i="23"/>
  <c r="GN20" i="23"/>
  <c r="FR20" i="23"/>
  <c r="EV20" i="23"/>
  <c r="N638" i="7"/>
  <c r="AK38" i="8"/>
  <c r="AN38" i="8" s="1"/>
  <c r="AS38" i="8" s="1"/>
  <c r="X44" i="8"/>
  <c r="Z63" i="8" l="1"/>
  <c r="AD63" i="8" s="1"/>
  <c r="N63" i="8"/>
  <c r="EC22" i="26"/>
  <c r="DR22" i="26"/>
  <c r="DF22" i="26"/>
  <c r="CU22" i="26"/>
  <c r="CJ22" i="26"/>
  <c r="DW22" i="26"/>
  <c r="DA22" i="26"/>
  <c r="CE22" i="26"/>
  <c r="DL22" i="26"/>
  <c r="EH22" i="26"/>
  <c r="CP22" i="26"/>
  <c r="F506" i="7"/>
  <c r="F480" i="7"/>
  <c r="Z30" i="8"/>
  <c r="AD30" i="8" s="1"/>
  <c r="N30" i="8"/>
  <c r="EC8" i="23"/>
  <c r="DR8" i="23"/>
  <c r="DF8" i="23"/>
  <c r="CU8" i="23"/>
  <c r="CJ8" i="23"/>
  <c r="EH8" i="23"/>
  <c r="DL8" i="23"/>
  <c r="CP8" i="23"/>
  <c r="DW8" i="23"/>
  <c r="DA8" i="23"/>
  <c r="CE8" i="23"/>
  <c r="GS19" i="24"/>
  <c r="GH19" i="24"/>
  <c r="FW19" i="24"/>
  <c r="FL19" i="24"/>
  <c r="FA19" i="24"/>
  <c r="EP19" i="24"/>
  <c r="GN19" i="24"/>
  <c r="FR19" i="24"/>
  <c r="EV19" i="24"/>
  <c r="GC19" i="24"/>
  <c r="FG19" i="24"/>
  <c r="C28" i="10"/>
  <c r="AB44" i="8"/>
  <c r="AF44" i="8" s="1"/>
  <c r="D23" i="10"/>
  <c r="AC38" i="8"/>
  <c r="AG38" i="8" s="1"/>
  <c r="H262" i="11"/>
  <c r="F7" i="4" s="1"/>
  <c r="FO29" i="18"/>
  <c r="FD29" i="18"/>
  <c r="ES29" i="18"/>
  <c r="EH29" i="18"/>
  <c r="DW29" i="18"/>
  <c r="DL29" i="18"/>
  <c r="FJ29" i="18"/>
  <c r="EY29" i="18"/>
  <c r="EN29" i="18"/>
  <c r="EC29" i="18"/>
  <c r="DR29" i="18"/>
  <c r="FO15" i="20"/>
  <c r="FD15" i="20"/>
  <c r="ES15" i="20"/>
  <c r="EH15" i="20"/>
  <c r="DW15" i="20"/>
  <c r="DL15" i="20"/>
  <c r="FJ15" i="20"/>
  <c r="EY15" i="20"/>
  <c r="EN15" i="20"/>
  <c r="EC15" i="20"/>
  <c r="DR15" i="20"/>
  <c r="H9" i="4"/>
  <c r="Z9" i="8"/>
  <c r="AD9" i="8" s="1"/>
  <c r="N9" i="8"/>
  <c r="AB9" i="8" s="1"/>
  <c r="AF9" i="8" s="1"/>
  <c r="G50" i="11"/>
  <c r="CY20" i="17"/>
  <c r="CN20" i="17"/>
  <c r="CC20" i="17"/>
  <c r="BR20" i="17"/>
  <c r="BG20" i="17"/>
  <c r="DD20" i="17"/>
  <c r="CS20" i="17"/>
  <c r="CH20" i="17"/>
  <c r="BW20" i="17"/>
  <c r="BL20" i="17"/>
  <c r="BA20" i="17"/>
  <c r="DD8" i="18"/>
  <c r="CS8" i="18"/>
  <c r="CH8" i="18"/>
  <c r="BW8" i="18"/>
  <c r="BL8" i="18"/>
  <c r="BA8" i="18"/>
  <c r="CY8" i="18"/>
  <c r="CN8" i="18"/>
  <c r="CC8" i="18"/>
  <c r="BR8" i="18"/>
  <c r="BG8" i="18"/>
  <c r="Z41" i="8"/>
  <c r="AD41" i="8" s="1"/>
  <c r="N41" i="8"/>
  <c r="D51" i="10"/>
  <c r="D49" i="10" s="1"/>
  <c r="AC141" i="8"/>
  <c r="AG141" i="8" s="1"/>
  <c r="AQ1156" i="7"/>
  <c r="G120" i="11"/>
  <c r="G142" i="8"/>
  <c r="X69" i="8"/>
  <c r="S68" i="8"/>
  <c r="G136" i="11"/>
  <c r="C72" i="6"/>
  <c r="C73" i="6" s="1"/>
  <c r="L69" i="8" s="1"/>
  <c r="M69" i="8" s="1"/>
  <c r="D124" i="6"/>
  <c r="D126" i="6" s="1"/>
  <c r="Q134" i="8" s="1"/>
  <c r="S134" i="8" s="1"/>
  <c r="X134" i="8" s="1"/>
  <c r="AC134" i="8" s="1"/>
  <c r="AG134" i="8" s="1"/>
  <c r="G120" i="6"/>
  <c r="D121" i="6"/>
  <c r="D123" i="6" s="1"/>
  <c r="Q64" i="8" s="1"/>
  <c r="S64" i="8" s="1"/>
  <c r="X64" i="8" s="1"/>
  <c r="AC64" i="8" s="1"/>
  <c r="AG64" i="8" s="1"/>
  <c r="M111" i="6"/>
  <c r="M112" i="6"/>
  <c r="P110" i="6"/>
  <c r="K111" i="6"/>
  <c r="N110" i="6"/>
  <c r="K112" i="6" s="1"/>
  <c r="O118" i="6"/>
  <c r="L120" i="6" s="1"/>
  <c r="P126" i="6"/>
  <c r="M127" i="6" s="1"/>
  <c r="N126" i="6"/>
  <c r="K127" i="6" s="1"/>
  <c r="GS16" i="21"/>
  <c r="GH16" i="21"/>
  <c r="FW16" i="21"/>
  <c r="FL16" i="21"/>
  <c r="FA16" i="21"/>
  <c r="EP16" i="21"/>
  <c r="GC16" i="21"/>
  <c r="FG16" i="21"/>
  <c r="GN16" i="21"/>
  <c r="FR16" i="21"/>
  <c r="EV16" i="21"/>
  <c r="K177" i="11"/>
  <c r="D94" i="6"/>
  <c r="D95" i="6" s="1"/>
  <c r="P130" i="8" s="1"/>
  <c r="S130" i="8" s="1"/>
  <c r="X130" i="8" s="1"/>
  <c r="AC130" i="8" s="1"/>
  <c r="AG130" i="8" s="1"/>
  <c r="G177" i="11"/>
  <c r="C94" i="6"/>
  <c r="C95" i="6" s="1"/>
  <c r="F130" i="8" s="1"/>
  <c r="M131" i="6"/>
  <c r="P130" i="6"/>
  <c r="M135" i="6" s="1"/>
  <c r="N130" i="6"/>
  <c r="K135" i="6" s="1"/>
  <c r="K136" i="6" s="1"/>
  <c r="G118" i="8" s="1"/>
  <c r="I118" i="8" s="1"/>
  <c r="N118" i="8" s="1"/>
  <c r="AB118" i="8" s="1"/>
  <c r="AF118" i="8" s="1"/>
  <c r="GN22" i="24"/>
  <c r="GC22" i="24"/>
  <c r="FR22" i="24"/>
  <c r="FG22" i="24"/>
  <c r="EV22" i="24"/>
  <c r="GH22" i="24"/>
  <c r="FL22" i="24"/>
  <c r="EP22" i="24"/>
  <c r="FW22" i="24"/>
  <c r="GS22" i="24"/>
  <c r="FA22" i="24"/>
  <c r="G196" i="11"/>
  <c r="K47" i="6"/>
  <c r="K49" i="6" s="1"/>
  <c r="G78" i="8" s="1"/>
  <c r="I78" i="8" s="1"/>
  <c r="AC147" i="8"/>
  <c r="AG147" i="8" s="1"/>
  <c r="AO1198" i="7"/>
  <c r="X143" i="8"/>
  <c r="K207" i="11"/>
  <c r="L59" i="6"/>
  <c r="L68" i="6" s="1"/>
  <c r="V57" i="8" s="1"/>
  <c r="W57" i="8" s="1"/>
  <c r="W56" i="8" s="1"/>
  <c r="W55" i="8" s="1"/>
  <c r="G207" i="11"/>
  <c r="K59" i="6"/>
  <c r="K68" i="6" s="1"/>
  <c r="L57" i="8" s="1"/>
  <c r="M57" i="8" s="1"/>
  <c r="D39" i="10"/>
  <c r="AC87" i="8"/>
  <c r="AG87" i="8" s="1"/>
  <c r="C39" i="10"/>
  <c r="AB87" i="8"/>
  <c r="AF87" i="8" s="1"/>
  <c r="K225" i="11"/>
  <c r="K213" i="11" s="1"/>
  <c r="I6" i="4" s="1"/>
  <c r="L149" i="6"/>
  <c r="L150" i="6" s="1"/>
  <c r="Q90" i="8" s="1"/>
  <c r="X92" i="8"/>
  <c r="AC93" i="8"/>
  <c r="AG93" i="8" s="1"/>
  <c r="AB93" i="8"/>
  <c r="AF93" i="8" s="1"/>
  <c r="N92" i="8"/>
  <c r="F229" i="10"/>
  <c r="F218" i="10"/>
  <c r="F161" i="10"/>
  <c r="F117" i="10"/>
  <c r="F177" i="10"/>
  <c r="F55" i="10"/>
  <c r="F94" i="10"/>
  <c r="K246" i="11"/>
  <c r="L165" i="6"/>
  <c r="L168" i="6" s="1"/>
  <c r="Q130" i="8" s="1"/>
  <c r="G256" i="11"/>
  <c r="K139" i="6"/>
  <c r="L157" i="8"/>
  <c r="N157" i="8" s="1"/>
  <c r="L178" i="8"/>
  <c r="N178" i="8" s="1"/>
  <c r="G388" i="11"/>
  <c r="V178" i="8"/>
  <c r="X178" i="8" s="1"/>
  <c r="K388" i="11"/>
  <c r="GN19" i="23"/>
  <c r="GC19" i="23"/>
  <c r="FR19" i="23"/>
  <c r="FG19" i="23"/>
  <c r="EV19" i="23"/>
  <c r="GS19" i="23"/>
  <c r="FW19" i="23"/>
  <c r="FA19" i="23"/>
  <c r="GH19" i="23"/>
  <c r="FL19" i="23"/>
  <c r="EP19" i="23"/>
  <c r="N17" i="8"/>
  <c r="AB17" i="8" s="1"/>
  <c r="AF17" i="8" s="1"/>
  <c r="Z17" i="8"/>
  <c r="AD17" i="8" s="1"/>
  <c r="G162" i="11"/>
  <c r="K106" i="6"/>
  <c r="EH15" i="23"/>
  <c r="DW15" i="23"/>
  <c r="DL15" i="23"/>
  <c r="DA15" i="23"/>
  <c r="CP15" i="23"/>
  <c r="CE15" i="23"/>
  <c r="EC15" i="23"/>
  <c r="DF15" i="23"/>
  <c r="CJ15" i="23"/>
  <c r="DR15" i="23"/>
  <c r="CU15" i="23"/>
  <c r="L108" i="6"/>
  <c r="L107" i="6"/>
  <c r="O106" i="6"/>
  <c r="D82" i="10"/>
  <c r="BH17" i="9"/>
  <c r="BD17" i="9"/>
  <c r="BD39" i="9"/>
  <c r="AG197" i="8"/>
  <c r="AG206" i="8"/>
  <c r="X205" i="8"/>
  <c r="AB60" i="8"/>
  <c r="AF60" i="8" s="1"/>
  <c r="AI818" i="7"/>
  <c r="P818" i="7" s="1"/>
  <c r="AS204" i="8"/>
  <c r="AS209" i="8" s="1"/>
  <c r="G86" i="11"/>
  <c r="F38" i="8"/>
  <c r="I38" i="8" s="1"/>
  <c r="M1300" i="7"/>
  <c r="D349" i="11"/>
  <c r="F8" i="3" s="1"/>
  <c r="GN8" i="18"/>
  <c r="GC8" i="18"/>
  <c r="FR8" i="18"/>
  <c r="FG8" i="18"/>
  <c r="EV8" i="18"/>
  <c r="GS8" i="18"/>
  <c r="GH8" i="18"/>
  <c r="FW8" i="18"/>
  <c r="FL8" i="18"/>
  <c r="FA8" i="18"/>
  <c r="EP8" i="18"/>
  <c r="GN18" i="25"/>
  <c r="GC18" i="25"/>
  <c r="FR18" i="25"/>
  <c r="FG18" i="25"/>
  <c r="EV18" i="25"/>
  <c r="GS18" i="25"/>
  <c r="FW18" i="25"/>
  <c r="FA18" i="25"/>
  <c r="GH18" i="25"/>
  <c r="EP18" i="25"/>
  <c r="FL18" i="25"/>
  <c r="X164" i="8"/>
  <c r="V163" i="8"/>
  <c r="K35" i="8"/>
  <c r="FO23" i="20"/>
  <c r="FD23" i="20"/>
  <c r="ES23" i="20"/>
  <c r="EH23" i="20"/>
  <c r="DW23" i="20"/>
  <c r="DL23" i="20"/>
  <c r="FJ23" i="20"/>
  <c r="EY23" i="20"/>
  <c r="EN23" i="20"/>
  <c r="EC23" i="20"/>
  <c r="DR23" i="20"/>
  <c r="FJ33" i="20"/>
  <c r="EY33" i="20"/>
  <c r="EN33" i="20"/>
  <c r="EC33" i="20"/>
  <c r="DR33" i="20"/>
  <c r="FO33" i="20"/>
  <c r="FD33" i="20"/>
  <c r="ES33" i="20"/>
  <c r="EH33" i="20"/>
  <c r="DW33" i="20"/>
  <c r="DL33" i="20"/>
  <c r="EH19" i="23"/>
  <c r="DW19" i="23"/>
  <c r="DL19" i="23"/>
  <c r="DA19" i="23"/>
  <c r="CP19" i="23"/>
  <c r="CE19" i="23"/>
  <c r="EC19" i="23"/>
  <c r="DF19" i="23"/>
  <c r="CJ19" i="23"/>
  <c r="DR19" i="23"/>
  <c r="CU19" i="23"/>
  <c r="BE6" i="22"/>
  <c r="BE6" i="21"/>
  <c r="BE6" i="20"/>
  <c r="BE6" i="19"/>
  <c r="G5" i="11"/>
  <c r="AN5" i="8"/>
  <c r="AS6" i="8"/>
  <c r="AT267" i="7"/>
  <c r="L291" i="7"/>
  <c r="L272" i="7"/>
  <c r="T328" i="7"/>
  <c r="T309" i="7"/>
  <c r="T330" i="7" s="1"/>
  <c r="D8" i="10"/>
  <c r="AC8" i="8"/>
  <c r="AG8" i="8" s="1"/>
  <c r="Z8" i="8"/>
  <c r="AD8" i="8" s="1"/>
  <c r="N8" i="8"/>
  <c r="AC328" i="7"/>
  <c r="AC309" i="7"/>
  <c r="AC330" i="7" s="1"/>
  <c r="D9" i="10"/>
  <c r="AC10" i="8"/>
  <c r="AG10" i="8" s="1"/>
  <c r="Z10" i="8"/>
  <c r="AD10" i="8" s="1"/>
  <c r="N10" i="8"/>
  <c r="R367" i="7"/>
  <c r="R397" i="7" s="1"/>
  <c r="GS10" i="18"/>
  <c r="GH10" i="18"/>
  <c r="FW10" i="18"/>
  <c r="FL10" i="18"/>
  <c r="FA10" i="18"/>
  <c r="EP10" i="18"/>
  <c r="GN10" i="18"/>
  <c r="GC10" i="18"/>
  <c r="FR10" i="18"/>
  <c r="FG10" i="18"/>
  <c r="EV10" i="18"/>
  <c r="N18" i="8"/>
  <c r="AB18" i="8" s="1"/>
  <c r="AF18" i="8" s="1"/>
  <c r="Z18" i="8"/>
  <c r="AD18" i="8" s="1"/>
  <c r="H447" i="7"/>
  <c r="H421" i="7"/>
  <c r="AT414" i="7"/>
  <c r="H367" i="7"/>
  <c r="AT360" i="7"/>
  <c r="H393" i="7"/>
  <c r="G25" i="11"/>
  <c r="F14" i="8"/>
  <c r="I14" i="8" s="1"/>
  <c r="AH309" i="7"/>
  <c r="AH291" i="7"/>
  <c r="AH272" i="7"/>
  <c r="AH293" i="7" s="1"/>
  <c r="F11" i="8"/>
  <c r="I11" i="8" s="1"/>
  <c r="G29" i="11"/>
  <c r="P33" i="8"/>
  <c r="S33" i="8" s="1"/>
  <c r="X33" i="8" s="1"/>
  <c r="AC33" i="8" s="1"/>
  <c r="AG33" i="8" s="1"/>
  <c r="AO543" i="7"/>
  <c r="AO562" i="7" s="1"/>
  <c r="Z33" i="8"/>
  <c r="AD33" i="8" s="1"/>
  <c r="N33" i="8"/>
  <c r="AO421" i="7"/>
  <c r="Z21" i="8"/>
  <c r="AD21" i="8" s="1"/>
  <c r="N21" i="8"/>
  <c r="AB21" i="8" s="1"/>
  <c r="AF21" i="8" s="1"/>
  <c r="GN14" i="19"/>
  <c r="GC14" i="19"/>
  <c r="FR14" i="19"/>
  <c r="FG14" i="19"/>
  <c r="EV14" i="19"/>
  <c r="GS14" i="19"/>
  <c r="GH14" i="19"/>
  <c r="FW14" i="19"/>
  <c r="FL14" i="19"/>
  <c r="FA14" i="19"/>
  <c r="EP14" i="19"/>
  <c r="F562" i="7"/>
  <c r="AW543" i="7"/>
  <c r="F536" i="7"/>
  <c r="Q27" i="8"/>
  <c r="S27" i="8" s="1"/>
  <c r="X27" i="8" s="1"/>
  <c r="Q543" i="7"/>
  <c r="Z27" i="8"/>
  <c r="AD27" i="8" s="1"/>
  <c r="N27" i="8"/>
  <c r="N649" i="7"/>
  <c r="AC29" i="8"/>
  <c r="AG29" i="8" s="1"/>
  <c r="Q30" i="8"/>
  <c r="S30" i="8" s="1"/>
  <c r="X30" i="8" s="1"/>
  <c r="AC30" i="8" s="1"/>
  <c r="AG30" i="8" s="1"/>
  <c r="AC543" i="7"/>
  <c r="AT312" i="7"/>
  <c r="L317" i="7"/>
  <c r="AT317" i="7" s="1"/>
  <c r="L280" i="7"/>
  <c r="AT280" i="7" s="1"/>
  <c r="AT275" i="7"/>
  <c r="DD18" i="17"/>
  <c r="CS18" i="17"/>
  <c r="CH18" i="17"/>
  <c r="BW18" i="17"/>
  <c r="BL18" i="17"/>
  <c r="BA18" i="17"/>
  <c r="CY18" i="17"/>
  <c r="CN18" i="17"/>
  <c r="CC18" i="17"/>
  <c r="BR18" i="17"/>
  <c r="BG18" i="17"/>
  <c r="DD34" i="17"/>
  <c r="CS34" i="17"/>
  <c r="CH34" i="17"/>
  <c r="BW34" i="17"/>
  <c r="BL34" i="17"/>
  <c r="BA34" i="17"/>
  <c r="CY34" i="17"/>
  <c r="CN34" i="17"/>
  <c r="CC34" i="17"/>
  <c r="BR34" i="17"/>
  <c r="BG34" i="17"/>
  <c r="K70" i="11"/>
  <c r="D25" i="6"/>
  <c r="D27" i="6" s="1"/>
  <c r="G70" i="11"/>
  <c r="C25" i="6"/>
  <c r="C27" i="6" s="1"/>
  <c r="V11" i="8"/>
  <c r="W11" i="8" s="1"/>
  <c r="AH325" i="7"/>
  <c r="AH320" i="7" s="1"/>
  <c r="AH328" i="7" s="1"/>
  <c r="CY24" i="17"/>
  <c r="CN24" i="17"/>
  <c r="CC24" i="17"/>
  <c r="BR24" i="17"/>
  <c r="BG24" i="17"/>
  <c r="DD24" i="17"/>
  <c r="CS24" i="17"/>
  <c r="CH24" i="17"/>
  <c r="BW24" i="17"/>
  <c r="BL24" i="17"/>
  <c r="BA24" i="17"/>
  <c r="GS14" i="18"/>
  <c r="GH14" i="18"/>
  <c r="FW14" i="18"/>
  <c r="FL14" i="18"/>
  <c r="FA14" i="18"/>
  <c r="EP14" i="18"/>
  <c r="GN14" i="18"/>
  <c r="GC14" i="18"/>
  <c r="FR14" i="18"/>
  <c r="FG14" i="18"/>
  <c r="EV14" i="18"/>
  <c r="AO443" i="7"/>
  <c r="AO436" i="7" s="1"/>
  <c r="AO447" i="7" s="1"/>
  <c r="V21" i="8"/>
  <c r="W21" i="8" s="1"/>
  <c r="W13" i="8" s="1"/>
  <c r="DD16" i="18"/>
  <c r="CS16" i="18"/>
  <c r="CH16" i="18"/>
  <c r="BW16" i="18"/>
  <c r="BL16" i="18"/>
  <c r="BA16" i="18"/>
  <c r="CY16" i="18"/>
  <c r="CN16" i="18"/>
  <c r="CC16" i="18"/>
  <c r="BR16" i="18"/>
  <c r="BG16" i="18"/>
  <c r="BD14" i="9"/>
  <c r="AC22" i="8"/>
  <c r="AG22" i="8" s="1"/>
  <c r="H80" i="11"/>
  <c r="F3" i="4" s="1"/>
  <c r="D80" i="11"/>
  <c r="F3" i="3" s="1"/>
  <c r="AO1303" i="7"/>
  <c r="T1303" i="7"/>
  <c r="P40" i="8"/>
  <c r="S40" i="8" s="1"/>
  <c r="X40" i="8" s="1"/>
  <c r="AC40" i="8" s="1"/>
  <c r="AG40" i="8" s="1"/>
  <c r="AH1303" i="7"/>
  <c r="P74" i="8"/>
  <c r="S74" i="8" s="1"/>
  <c r="K108" i="11"/>
  <c r="F74" i="8"/>
  <c r="I74" i="8" s="1"/>
  <c r="G108" i="11"/>
  <c r="AS69" i="8"/>
  <c r="AS68" i="8" s="1"/>
  <c r="AN68" i="8"/>
  <c r="AL57" i="8"/>
  <c r="AN57" i="8" s="1"/>
  <c r="K141" i="11"/>
  <c r="D78" i="6"/>
  <c r="D82" i="6" s="1"/>
  <c r="Q57" i="8" s="1"/>
  <c r="S57" i="8" s="1"/>
  <c r="G141" i="11"/>
  <c r="C78" i="6"/>
  <c r="C82" i="6" s="1"/>
  <c r="G57" i="8" s="1"/>
  <c r="I57" i="8" s="1"/>
  <c r="EC23" i="24"/>
  <c r="DR23" i="24"/>
  <c r="DF23" i="24"/>
  <c r="CU23" i="24"/>
  <c r="CJ23" i="24"/>
  <c r="DW23" i="24"/>
  <c r="DA23" i="24"/>
  <c r="CE23" i="24"/>
  <c r="EH23" i="24"/>
  <c r="CP23" i="24"/>
  <c r="DL23" i="24"/>
  <c r="AC139" i="8"/>
  <c r="AG139" i="8" s="1"/>
  <c r="X138" i="8"/>
  <c r="AW1055" i="7"/>
  <c r="G243" i="11"/>
  <c r="K161" i="6"/>
  <c r="K163" i="6" s="1"/>
  <c r="G141" i="8" s="1"/>
  <c r="E174" i="10"/>
  <c r="E164" i="10"/>
  <c r="E162" i="10"/>
  <c r="E163" i="10"/>
  <c r="E139" i="10"/>
  <c r="E230" i="10"/>
  <c r="E232" i="10" s="1"/>
  <c r="E235" i="10" s="1"/>
  <c r="E165" i="10"/>
  <c r="E188" i="10" s="1"/>
  <c r="E96" i="10"/>
  <c r="E4" i="11"/>
  <c r="G2" i="3" s="1"/>
  <c r="E80" i="11"/>
  <c r="G3" i="3" s="1"/>
  <c r="I142" i="8"/>
  <c r="N142" i="8" s="1"/>
  <c r="S142" i="8"/>
  <c r="X142" i="8" s="1"/>
  <c r="AL132" i="8"/>
  <c r="V158" i="8"/>
  <c r="EH24" i="25"/>
  <c r="DW24" i="25"/>
  <c r="DL24" i="25"/>
  <c r="DA24" i="25"/>
  <c r="CP24" i="25"/>
  <c r="CE24" i="25"/>
  <c r="DR24" i="25"/>
  <c r="CU24" i="25"/>
  <c r="EC24" i="25"/>
  <c r="CJ24" i="25"/>
  <c r="DF24" i="25"/>
  <c r="X193" i="8"/>
  <c r="EH31" i="26"/>
  <c r="DW31" i="26"/>
  <c r="DL31" i="26"/>
  <c r="DA31" i="26"/>
  <c r="CP31" i="26"/>
  <c r="CE31" i="26"/>
  <c r="DR31" i="26"/>
  <c r="CU31" i="26"/>
  <c r="EC31" i="26"/>
  <c r="CJ31" i="26"/>
  <c r="DF31" i="26"/>
  <c r="D83" i="10"/>
  <c r="AG202" i="8"/>
  <c r="D60" i="10"/>
  <c r="AG153" i="8"/>
  <c r="C60" i="10"/>
  <c r="AF153" i="8"/>
  <c r="X151" i="8"/>
  <c r="C61" i="10"/>
  <c r="AF154" i="8"/>
  <c r="G364" i="11"/>
  <c r="L155" i="8" s="1"/>
  <c r="N155" i="8" s="1"/>
  <c r="GN19" i="26"/>
  <c r="GC19" i="26"/>
  <c r="FR19" i="26"/>
  <c r="FG19" i="26"/>
  <c r="EV19" i="26"/>
  <c r="GS19" i="26"/>
  <c r="FW19" i="26"/>
  <c r="FA19" i="26"/>
  <c r="GH19" i="26"/>
  <c r="EP19" i="26"/>
  <c r="FL19" i="26"/>
  <c r="GS14" i="26"/>
  <c r="GH14" i="26"/>
  <c r="FW14" i="26"/>
  <c r="FL14" i="26"/>
  <c r="FA14" i="26"/>
  <c r="EP14" i="26"/>
  <c r="GN14" i="26"/>
  <c r="FR14" i="26"/>
  <c r="EV14" i="26"/>
  <c r="FG14" i="26"/>
  <c r="GC14" i="26"/>
  <c r="Z15" i="8"/>
  <c r="AD15" i="8" s="1"/>
  <c r="R382" i="7"/>
  <c r="AT382" i="7" s="1"/>
  <c r="AT389" i="7"/>
  <c r="M23" i="8"/>
  <c r="AA23" i="8" s="1"/>
  <c r="AE23" i="8" s="1"/>
  <c r="AA24" i="8"/>
  <c r="AE24" i="8" s="1"/>
  <c r="AH1302" i="7"/>
  <c r="FJ33" i="21"/>
  <c r="EY33" i="21"/>
  <c r="EN33" i="21"/>
  <c r="EC33" i="21"/>
  <c r="DR33" i="21"/>
  <c r="FD33" i="21"/>
  <c r="EH33" i="21"/>
  <c r="DL33" i="21"/>
  <c r="FO33" i="21"/>
  <c r="ES33" i="21"/>
  <c r="DW33" i="21"/>
  <c r="G148" i="11"/>
  <c r="AB80" i="8"/>
  <c r="AF80" i="8" s="1"/>
  <c r="AF967" i="7"/>
  <c r="AB84" i="8"/>
  <c r="AF84" i="8" s="1"/>
  <c r="AP1055" i="7"/>
  <c r="AB139" i="8"/>
  <c r="AF139" i="8" s="1"/>
  <c r="N138" i="8"/>
  <c r="GS13" i="25"/>
  <c r="GH13" i="25"/>
  <c r="FW13" i="25"/>
  <c r="FL13" i="25"/>
  <c r="FA13" i="25"/>
  <c r="EP13" i="25"/>
  <c r="GN13" i="25"/>
  <c r="FR13" i="25"/>
  <c r="EV13" i="25"/>
  <c r="FG13" i="25"/>
  <c r="GC13" i="25"/>
  <c r="EC32" i="26"/>
  <c r="DR32" i="26"/>
  <c r="DF32" i="26"/>
  <c r="CU32" i="26"/>
  <c r="CJ32" i="26"/>
  <c r="DW32" i="26"/>
  <c r="DA32" i="26"/>
  <c r="CE32" i="26"/>
  <c r="EH32" i="26"/>
  <c r="CP32" i="26"/>
  <c r="DL32" i="26"/>
  <c r="EH19" i="26"/>
  <c r="DW19" i="26"/>
  <c r="DL19" i="26"/>
  <c r="DA19" i="26"/>
  <c r="CP19" i="26"/>
  <c r="CE19" i="26"/>
  <c r="EC19" i="26"/>
  <c r="DF19" i="26"/>
  <c r="CJ19" i="26"/>
  <c r="CU19" i="26"/>
  <c r="DR19" i="26"/>
  <c r="EC14" i="26"/>
  <c r="DR14" i="26"/>
  <c r="DF14" i="26"/>
  <c r="CU14" i="26"/>
  <c r="CJ14" i="26"/>
  <c r="DW14" i="26"/>
  <c r="DA14" i="26"/>
  <c r="CE14" i="26"/>
  <c r="DL14" i="26"/>
  <c r="EH14" i="26"/>
  <c r="CP14" i="26"/>
  <c r="Y480" i="7"/>
  <c r="Y502" i="7" s="1"/>
  <c r="Y506" i="7"/>
  <c r="GN26" i="25"/>
  <c r="GC26" i="25"/>
  <c r="FR26" i="25"/>
  <c r="FG26" i="25"/>
  <c r="EV26" i="25"/>
  <c r="GS26" i="25"/>
  <c r="FW26" i="25"/>
  <c r="FA26" i="25"/>
  <c r="GH26" i="25"/>
  <c r="EP26" i="25"/>
  <c r="FL26" i="25"/>
  <c r="GN12" i="25"/>
  <c r="GC12" i="25"/>
  <c r="FR12" i="25"/>
  <c r="FG12" i="25"/>
  <c r="EV12" i="25"/>
  <c r="GH12" i="25"/>
  <c r="FL12" i="25"/>
  <c r="EP12" i="25"/>
  <c r="GS12" i="25"/>
  <c r="FA12" i="25"/>
  <c r="FW12" i="25"/>
  <c r="EH18" i="25"/>
  <c r="DW18" i="25"/>
  <c r="DL18" i="25"/>
  <c r="DA18" i="25"/>
  <c r="CP18" i="25"/>
  <c r="CE18" i="25"/>
  <c r="EC18" i="25"/>
  <c r="DF18" i="25"/>
  <c r="CJ18" i="25"/>
  <c r="CU18" i="25"/>
  <c r="DR18" i="25"/>
  <c r="EH20" i="25"/>
  <c r="DW20" i="25"/>
  <c r="DL20" i="25"/>
  <c r="DA20" i="25"/>
  <c r="CP20" i="25"/>
  <c r="CE20" i="25"/>
  <c r="DR20" i="25"/>
  <c r="CU20" i="25"/>
  <c r="DF20" i="25"/>
  <c r="EC20" i="25"/>
  <c r="CJ20" i="25"/>
  <c r="G60" i="11"/>
  <c r="J15" i="8"/>
  <c r="K15" i="8" s="1"/>
  <c r="G156" i="11"/>
  <c r="F133" i="8"/>
  <c r="I133" i="8" s="1"/>
  <c r="N133" i="8" s="1"/>
  <c r="AB133" i="8" s="1"/>
  <c r="AF133" i="8" s="1"/>
  <c r="M124" i="6"/>
  <c r="FJ9" i="19"/>
  <c r="EY9" i="19"/>
  <c r="EN9" i="19"/>
  <c r="EC9" i="19"/>
  <c r="DR9" i="19"/>
  <c r="FO9" i="19"/>
  <c r="FD9" i="19"/>
  <c r="ES9" i="19"/>
  <c r="EH9" i="19"/>
  <c r="DW9" i="19"/>
  <c r="DL9" i="19"/>
  <c r="CY34" i="19"/>
  <c r="CN34" i="19"/>
  <c r="CC34" i="19"/>
  <c r="BR34" i="19"/>
  <c r="BG34" i="19"/>
  <c r="DD34" i="19"/>
  <c r="CS34" i="19"/>
  <c r="CH34" i="19"/>
  <c r="BW34" i="19"/>
  <c r="BL34" i="19"/>
  <c r="BA34" i="19"/>
  <c r="GS31" i="24"/>
  <c r="GH31" i="24"/>
  <c r="FW31" i="24"/>
  <c r="FL31" i="24"/>
  <c r="FA31" i="24"/>
  <c r="EP31" i="24"/>
  <c r="GN31" i="24"/>
  <c r="FR31" i="24"/>
  <c r="EV31" i="24"/>
  <c r="GC31" i="24"/>
  <c r="FG31" i="24"/>
  <c r="GS30" i="23"/>
  <c r="GH30" i="23"/>
  <c r="FW30" i="23"/>
  <c r="FL30" i="23"/>
  <c r="FA30" i="23"/>
  <c r="EP30" i="23"/>
  <c r="GN30" i="23"/>
  <c r="FR30" i="23"/>
  <c r="EV30" i="23"/>
  <c r="GC30" i="23"/>
  <c r="FG30" i="23"/>
  <c r="D59" i="10"/>
  <c r="D78" i="10" s="1"/>
  <c r="AG152" i="8"/>
  <c r="D28" i="10"/>
  <c r="AC44" i="8"/>
  <c r="AG44" i="8" s="1"/>
  <c r="Z7" i="8"/>
  <c r="AD7" i="8" s="1"/>
  <c r="EH32" i="22"/>
  <c r="DW32" i="22"/>
  <c r="DL32" i="22"/>
  <c r="DA32" i="22"/>
  <c r="CP32" i="22"/>
  <c r="CE32" i="22"/>
  <c r="EC32" i="22"/>
  <c r="DF32" i="22"/>
  <c r="CJ32" i="22"/>
  <c r="DR32" i="22"/>
  <c r="CU32" i="22"/>
  <c r="AC126" i="8"/>
  <c r="AG126" i="8" s="1"/>
  <c r="X125" i="8"/>
  <c r="DD32" i="19"/>
  <c r="CS32" i="19"/>
  <c r="CH32" i="19"/>
  <c r="BW32" i="19"/>
  <c r="BL32" i="19"/>
  <c r="BA32" i="19"/>
  <c r="CY32" i="19"/>
  <c r="CN32" i="19"/>
  <c r="CC32" i="19"/>
  <c r="BR32" i="19"/>
  <c r="BG32" i="19"/>
  <c r="FJ13" i="20"/>
  <c r="EY13" i="20"/>
  <c r="EN13" i="20"/>
  <c r="EC13" i="20"/>
  <c r="DR13" i="20"/>
  <c r="FO13" i="20"/>
  <c r="FD13" i="20"/>
  <c r="ES13" i="20"/>
  <c r="EH13" i="20"/>
  <c r="DW13" i="20"/>
  <c r="DL13" i="20"/>
  <c r="L152" i="8"/>
  <c r="N152" i="8" s="1"/>
  <c r="AF1342" i="7"/>
  <c r="G350" i="11"/>
  <c r="D13" i="10"/>
  <c r="AC15" i="8"/>
  <c r="AG15" i="8" s="1"/>
  <c r="AS37" i="8"/>
  <c r="AS36" i="8" s="1"/>
  <c r="AN36" i="8"/>
  <c r="T1304" i="7"/>
  <c r="AC84" i="8"/>
  <c r="AG84" i="8" s="1"/>
  <c r="AA1304" i="7"/>
  <c r="AO1300" i="7"/>
  <c r="FJ23" i="18"/>
  <c r="EY23" i="18"/>
  <c r="EN23" i="18"/>
  <c r="EC23" i="18"/>
  <c r="DR23" i="18"/>
  <c r="FO23" i="18"/>
  <c r="FD23" i="18"/>
  <c r="ES23" i="18"/>
  <c r="EH23" i="18"/>
  <c r="DW23" i="18"/>
  <c r="DL23" i="18"/>
  <c r="FJ21" i="20"/>
  <c r="EY21" i="20"/>
  <c r="EN21" i="20"/>
  <c r="EC21" i="20"/>
  <c r="DR21" i="20"/>
  <c r="FO21" i="20"/>
  <c r="FD21" i="20"/>
  <c r="ES21" i="20"/>
  <c r="EH21" i="20"/>
  <c r="DW21" i="20"/>
  <c r="DL21" i="20"/>
  <c r="FJ15" i="22"/>
  <c r="EY15" i="22"/>
  <c r="EN15" i="22"/>
  <c r="EC15" i="22"/>
  <c r="DR15" i="22"/>
  <c r="FD15" i="22"/>
  <c r="EH15" i="22"/>
  <c r="DL15" i="22"/>
  <c r="ES15" i="22"/>
  <c r="FO15" i="22"/>
  <c r="DW15" i="22"/>
  <c r="AS83" i="8"/>
  <c r="FC6" i="17"/>
  <c r="FC6" i="18" s="1"/>
  <c r="DJ5" i="17"/>
  <c r="DJ5" i="18" s="1"/>
  <c r="F4" i="11"/>
  <c r="H2" i="3" s="1"/>
  <c r="H9" i="3" s="1"/>
  <c r="N19" i="8"/>
  <c r="Z19" i="8"/>
  <c r="AD19" i="8" s="1"/>
  <c r="F12" i="8"/>
  <c r="I12" i="8" s="1"/>
  <c r="G35" i="11"/>
  <c r="F34" i="8"/>
  <c r="I34" i="8" s="1"/>
  <c r="AS487" i="7"/>
  <c r="AS506" i="7" s="1"/>
  <c r="DD12" i="18"/>
  <c r="CS12" i="18"/>
  <c r="CH12" i="18"/>
  <c r="BW12" i="18"/>
  <c r="BL12" i="18"/>
  <c r="BA12" i="18"/>
  <c r="CY12" i="18"/>
  <c r="CN12" i="18"/>
  <c r="CC12" i="18"/>
  <c r="BR12" i="18"/>
  <c r="BG12" i="18"/>
  <c r="D25" i="10"/>
  <c r="AC41" i="8"/>
  <c r="AG41" i="8" s="1"/>
  <c r="G116" i="11"/>
  <c r="F141" i="8"/>
  <c r="I141" i="8" s="1"/>
  <c r="N141" i="8" s="1"/>
  <c r="G124" i="11"/>
  <c r="C56" i="6"/>
  <c r="C57" i="6" s="1"/>
  <c r="G69" i="8" s="1"/>
  <c r="I69" i="8" s="1"/>
  <c r="E121" i="6"/>
  <c r="E123" i="6" s="1"/>
  <c r="AL64" i="8" s="1"/>
  <c r="AN64" i="8" s="1"/>
  <c r="AS64" i="8" s="1"/>
  <c r="H120" i="6"/>
  <c r="E124" i="6" s="1"/>
  <c r="E126" i="6" s="1"/>
  <c r="AL134" i="8" s="1"/>
  <c r="AN134" i="8" s="1"/>
  <c r="AS134" i="8" s="1"/>
  <c r="C121" i="6"/>
  <c r="C123" i="6" s="1"/>
  <c r="G64" i="8" s="1"/>
  <c r="I64" i="8" s="1"/>
  <c r="F120" i="6"/>
  <c r="C124" i="6"/>
  <c r="C126" i="6" s="1"/>
  <c r="G134" i="8" s="1"/>
  <c r="I134" i="8" s="1"/>
  <c r="N134" i="8" s="1"/>
  <c r="AB134" i="8" s="1"/>
  <c r="AF134" i="8" s="1"/>
  <c r="O110" i="6"/>
  <c r="L112" i="6" s="1"/>
  <c r="L111" i="6"/>
  <c r="M119" i="6"/>
  <c r="AL65" i="8" s="1"/>
  <c r="AN65" i="8" s="1"/>
  <c r="AS65" i="8" s="1"/>
  <c r="P118" i="6"/>
  <c r="M120" i="6" s="1"/>
  <c r="K120" i="6"/>
  <c r="N118" i="6"/>
  <c r="K119" i="6" s="1"/>
  <c r="L128" i="6"/>
  <c r="O126" i="6"/>
  <c r="L127" i="6"/>
  <c r="P86" i="8"/>
  <c r="S86" i="8" s="1"/>
  <c r="X86" i="8" s="1"/>
  <c r="AC86" i="8" s="1"/>
  <c r="AG86" i="8" s="1"/>
  <c r="AP1673" i="7"/>
  <c r="AP1611" i="7"/>
  <c r="F86" i="8"/>
  <c r="I86" i="8" s="1"/>
  <c r="N86" i="8" s="1"/>
  <c r="AB86" i="8" s="1"/>
  <c r="AF86" i="8" s="1"/>
  <c r="K185" i="11"/>
  <c r="L26" i="6"/>
  <c r="L28" i="6" s="1"/>
  <c r="Q67" i="8" s="1"/>
  <c r="S67" i="8" s="1"/>
  <c r="X67" i="8" s="1"/>
  <c r="AC67" i="8" s="1"/>
  <c r="AG67" i="8" s="1"/>
  <c r="G185" i="11"/>
  <c r="K26" i="6"/>
  <c r="K28" i="6" s="1"/>
  <c r="G67" i="8" s="1"/>
  <c r="I67" i="8" s="1"/>
  <c r="O130" i="6"/>
  <c r="L135" i="6"/>
  <c r="L131" i="6"/>
  <c r="EH22" i="24"/>
  <c r="DW22" i="24"/>
  <c r="DL22" i="24"/>
  <c r="DA22" i="24"/>
  <c r="CP22" i="24"/>
  <c r="CE22" i="24"/>
  <c r="DR22" i="24"/>
  <c r="CU22" i="24"/>
  <c r="EC22" i="24"/>
  <c r="CJ22" i="24"/>
  <c r="DF22" i="24"/>
  <c r="X78" i="8"/>
  <c r="S76" i="8"/>
  <c r="AB147" i="8"/>
  <c r="AF147" i="8" s="1"/>
  <c r="AF1198" i="7"/>
  <c r="AN132" i="8"/>
  <c r="AS132" i="8" s="1"/>
  <c r="F132" i="8"/>
  <c r="I132" i="8" s="1"/>
  <c r="N132" i="8" s="1"/>
  <c r="AB132" i="8" s="1"/>
  <c r="AF132" i="8" s="1"/>
  <c r="AC96" i="8"/>
  <c r="AG96" i="8" s="1"/>
  <c r="X95" i="8"/>
  <c r="AC95" i="8" s="1"/>
  <c r="AG95" i="8" s="1"/>
  <c r="AB96" i="8"/>
  <c r="AF96" i="8" s="1"/>
  <c r="N95" i="8"/>
  <c r="AB95" i="8" s="1"/>
  <c r="AF95" i="8" s="1"/>
  <c r="GS12" i="23"/>
  <c r="GH12" i="23"/>
  <c r="FW12" i="23"/>
  <c r="FL12" i="23"/>
  <c r="FA12" i="23"/>
  <c r="EP12" i="23"/>
  <c r="GC12" i="23"/>
  <c r="FG12" i="23"/>
  <c r="GN12" i="23"/>
  <c r="FR12" i="23"/>
  <c r="EV12" i="23"/>
  <c r="EC12" i="23"/>
  <c r="DR12" i="23"/>
  <c r="DF12" i="23"/>
  <c r="CU12" i="23"/>
  <c r="CJ12" i="23"/>
  <c r="EH12" i="23"/>
  <c r="DL12" i="23"/>
  <c r="CP12" i="23"/>
  <c r="DW12" i="23"/>
  <c r="DA12" i="23"/>
  <c r="CE12" i="23"/>
  <c r="AP1677" i="7"/>
  <c r="S90" i="8"/>
  <c r="X90" i="8" s="1"/>
  <c r="G225" i="11"/>
  <c r="K149" i="6"/>
  <c r="K150" i="6" s="1"/>
  <c r="G90" i="8" s="1"/>
  <c r="I90" i="8" s="1"/>
  <c r="N90" i="8" s="1"/>
  <c r="X99" i="8"/>
  <c r="AC100" i="8"/>
  <c r="AG100" i="8" s="1"/>
  <c r="AB100" i="8"/>
  <c r="AF100" i="8" s="1"/>
  <c r="N99" i="8"/>
  <c r="G9" i="4"/>
  <c r="G246" i="11"/>
  <c r="K165" i="6"/>
  <c r="K168" i="6" s="1"/>
  <c r="G130" i="8" s="1"/>
  <c r="O139" i="6"/>
  <c r="L141" i="6" s="1"/>
  <c r="Q119" i="8" s="1"/>
  <c r="S119" i="8" s="1"/>
  <c r="X119" i="8" s="1"/>
  <c r="C71" i="10"/>
  <c r="AF168" i="8"/>
  <c r="G339" i="11"/>
  <c r="L206" i="8"/>
  <c r="N206" i="8" s="1"/>
  <c r="E262" i="11"/>
  <c r="G7" i="3" s="1"/>
  <c r="L156" i="8"/>
  <c r="N156" i="8" s="1"/>
  <c r="AF1346" i="7"/>
  <c r="G371" i="11"/>
  <c r="V156" i="8"/>
  <c r="X156" i="8" s="1"/>
  <c r="AO1346" i="7"/>
  <c r="K371" i="11"/>
  <c r="K349" i="11" s="1"/>
  <c r="I8" i="4" s="1"/>
  <c r="I10" i="4" s="1"/>
  <c r="G380" i="11"/>
  <c r="GS15" i="25"/>
  <c r="GH15" i="25"/>
  <c r="FW15" i="25"/>
  <c r="FL15" i="25"/>
  <c r="FA15" i="25"/>
  <c r="EP15" i="25"/>
  <c r="GC15" i="25"/>
  <c r="FG15" i="25"/>
  <c r="FR15" i="25"/>
  <c r="GN15" i="25"/>
  <c r="EV15" i="25"/>
  <c r="AI19" i="9"/>
  <c r="AI117" i="9" s="1"/>
  <c r="BB117" i="9" s="1"/>
  <c r="AF190" i="8"/>
  <c r="BB19" i="9"/>
  <c r="AF1326" i="7"/>
  <c r="GN21" i="26"/>
  <c r="GC21" i="26"/>
  <c r="FR21" i="26"/>
  <c r="FG21" i="26"/>
  <c r="EV21" i="26"/>
  <c r="GH21" i="26"/>
  <c r="FL21" i="26"/>
  <c r="EP21" i="26"/>
  <c r="GS21" i="26"/>
  <c r="FA21" i="26"/>
  <c r="FW21" i="26"/>
  <c r="AF180" i="8"/>
  <c r="N179" i="8"/>
  <c r="AG180" i="8"/>
  <c r="X179" i="8"/>
  <c r="G403" i="11"/>
  <c r="N20" i="8"/>
  <c r="AB20" i="8" s="1"/>
  <c r="AF20" i="8" s="1"/>
  <c r="Z20" i="8"/>
  <c r="AD20" i="8" s="1"/>
  <c r="F116" i="8"/>
  <c r="I116" i="8" s="1"/>
  <c r="N116" i="8" s="1"/>
  <c r="T1126" i="7"/>
  <c r="K162" i="11"/>
  <c r="GN29" i="26"/>
  <c r="GC29" i="26"/>
  <c r="FR29" i="26"/>
  <c r="FG29" i="26"/>
  <c r="EV29" i="26"/>
  <c r="GS29" i="26"/>
  <c r="FW29" i="26"/>
  <c r="FA29" i="26"/>
  <c r="FL29" i="26"/>
  <c r="EP29" i="26"/>
  <c r="GH29" i="26"/>
  <c r="DD9" i="21"/>
  <c r="CS9" i="21"/>
  <c r="CH9" i="21"/>
  <c r="BW9" i="21"/>
  <c r="BL9" i="21"/>
  <c r="BA9" i="21"/>
  <c r="CN9" i="21"/>
  <c r="BR9" i="21"/>
  <c r="CY9" i="21"/>
  <c r="CC9" i="21"/>
  <c r="BG9" i="21"/>
  <c r="AF198" i="8"/>
  <c r="N197" i="8"/>
  <c r="D24" i="10"/>
  <c r="AC39" i="8"/>
  <c r="AG39" i="8" s="1"/>
  <c r="AG162" i="8"/>
  <c r="D68" i="10"/>
  <c r="D79" i="10" s="1"/>
  <c r="AO1359" i="7"/>
  <c r="H349" i="11"/>
  <c r="F8" i="4" s="1"/>
  <c r="GS30" i="18"/>
  <c r="GH30" i="18"/>
  <c r="FW30" i="18"/>
  <c r="FL30" i="18"/>
  <c r="FA30" i="18"/>
  <c r="EP30" i="18"/>
  <c r="GN30" i="18"/>
  <c r="GC30" i="18"/>
  <c r="FR30" i="18"/>
  <c r="FG30" i="18"/>
  <c r="EV30" i="18"/>
  <c r="FJ9" i="20"/>
  <c r="EY9" i="20"/>
  <c r="EN9" i="20"/>
  <c r="EC9" i="20"/>
  <c r="DR9" i="20"/>
  <c r="FO9" i="20"/>
  <c r="FD9" i="20"/>
  <c r="ES9" i="20"/>
  <c r="EH9" i="20"/>
  <c r="DW9" i="20"/>
  <c r="DL9" i="20"/>
  <c r="FO19" i="20"/>
  <c r="FD19" i="20"/>
  <c r="ES19" i="20"/>
  <c r="EH19" i="20"/>
  <c r="DW19" i="20"/>
  <c r="DL19" i="20"/>
  <c r="FJ19" i="20"/>
  <c r="EY19" i="20"/>
  <c r="EN19" i="20"/>
  <c r="EC19" i="20"/>
  <c r="DR19" i="20"/>
  <c r="FJ19" i="22"/>
  <c r="EY19" i="22"/>
  <c r="EN19" i="22"/>
  <c r="EC19" i="22"/>
  <c r="DR19" i="22"/>
  <c r="FO19" i="22"/>
  <c r="ES19" i="22"/>
  <c r="DW19" i="22"/>
  <c r="EH19" i="22"/>
  <c r="FD19" i="22"/>
  <c r="DL19" i="22"/>
  <c r="F195" i="10"/>
  <c r="F194" i="10"/>
  <c r="BW5" i="27"/>
  <c r="BW5" i="26"/>
  <c r="BW5" i="24"/>
  <c r="BW5" i="25"/>
  <c r="H4" i="11"/>
  <c r="F2" i="4" s="1"/>
  <c r="D4" i="11"/>
  <c r="F2" i="3" s="1"/>
  <c r="L328" i="7"/>
  <c r="L309" i="7"/>
  <c r="AT304" i="7"/>
  <c r="X6" i="8"/>
  <c r="I5" i="8"/>
  <c r="N6" i="8"/>
  <c r="Z6" i="8"/>
  <c r="AD6" i="8" s="1"/>
  <c r="AS8" i="8"/>
  <c r="T291" i="7"/>
  <c r="T272" i="7"/>
  <c r="T293" i="7" s="1"/>
  <c r="GS20" i="17"/>
  <c r="GH20" i="17"/>
  <c r="FW20" i="17"/>
  <c r="FL20" i="17"/>
  <c r="FA20" i="17"/>
  <c r="EP20" i="17"/>
  <c r="GN20" i="17"/>
  <c r="GC20" i="17"/>
  <c r="FR20" i="17"/>
  <c r="FG20" i="17"/>
  <c r="EV20" i="17"/>
  <c r="AC291" i="7"/>
  <c r="AC272" i="7"/>
  <c r="AC293" i="7" s="1"/>
  <c r="R421" i="7"/>
  <c r="R451" i="7" s="1"/>
  <c r="X16" i="8"/>
  <c r="Z16" i="8"/>
  <c r="AD16" i="8" s="1"/>
  <c r="N16" i="8"/>
  <c r="AB447" i="7"/>
  <c r="AB421" i="7"/>
  <c r="AB451" i="7" s="1"/>
  <c r="AB367" i="7"/>
  <c r="AB397" i="7" s="1"/>
  <c r="AB393" i="7"/>
  <c r="D15" i="10"/>
  <c r="AC19" i="8"/>
  <c r="AG19" i="8" s="1"/>
  <c r="AS14" i="8"/>
  <c r="AS13" i="8" s="1"/>
  <c r="AN13" i="8"/>
  <c r="K25" i="11"/>
  <c r="K4" i="11" s="1"/>
  <c r="I2" i="4" s="1"/>
  <c r="P14" i="8"/>
  <c r="S14" i="8" s="1"/>
  <c r="P11" i="8"/>
  <c r="S11" i="8" s="1"/>
  <c r="X11" i="8" s="1"/>
  <c r="K29" i="11"/>
  <c r="AM328" i="7"/>
  <c r="AM309" i="7"/>
  <c r="AM330" i="7" s="1"/>
  <c r="AO393" i="7"/>
  <c r="AO367" i="7"/>
  <c r="AO397" i="7" s="1"/>
  <c r="AN24" i="8"/>
  <c r="K41" i="11"/>
  <c r="P24" i="8"/>
  <c r="S24" i="8" s="1"/>
  <c r="G41" i="11"/>
  <c r="F24" i="8"/>
  <c r="I24" i="8" s="1"/>
  <c r="Q506" i="7"/>
  <c r="Q480" i="7"/>
  <c r="Q502" i="7" s="1"/>
  <c r="Y562" i="7"/>
  <c r="Y536" i="7"/>
  <c r="Y558" i="7" s="1"/>
  <c r="AC506" i="7"/>
  <c r="AC480" i="7"/>
  <c r="AC502" i="7" s="1"/>
  <c r="AP5" i="8"/>
  <c r="U5" i="8"/>
  <c r="U4" i="8" s="1"/>
  <c r="U3" i="8" s="1"/>
  <c r="AA6" i="8"/>
  <c r="AE6" i="8" s="1"/>
  <c r="K5" i="8"/>
  <c r="DD22" i="17"/>
  <c r="CS22" i="17"/>
  <c r="CH22" i="17"/>
  <c r="BW22" i="17"/>
  <c r="BL22" i="17"/>
  <c r="BA22" i="17"/>
  <c r="CY22" i="17"/>
  <c r="CN22" i="17"/>
  <c r="CC22" i="17"/>
  <c r="BR22" i="17"/>
  <c r="BG22" i="17"/>
  <c r="AP13" i="8"/>
  <c r="CY10" i="18"/>
  <c r="CN10" i="18"/>
  <c r="CC10" i="18"/>
  <c r="BR10" i="18"/>
  <c r="BG10" i="18"/>
  <c r="DD10" i="18"/>
  <c r="CS10" i="18"/>
  <c r="CH10" i="18"/>
  <c r="BW10" i="18"/>
  <c r="BL10" i="18"/>
  <c r="BA10" i="18"/>
  <c r="R436" i="7"/>
  <c r="AT436" i="7" s="1"/>
  <c r="AT443" i="7"/>
  <c r="AW554" i="7"/>
  <c r="F547" i="7"/>
  <c r="AW547" i="7" s="1"/>
  <c r="Z22" i="8"/>
  <c r="AD22" i="8" s="1"/>
  <c r="N22" i="8"/>
  <c r="N40" i="8"/>
  <c r="AB40" i="8" s="1"/>
  <c r="AF40" i="8" s="1"/>
  <c r="Z40" i="8"/>
  <c r="AD40" i="8" s="1"/>
  <c r="K98" i="11"/>
  <c r="K80" i="11" s="1"/>
  <c r="I3" i="4" s="1"/>
  <c r="V37" i="8"/>
  <c r="W37" i="8" s="1"/>
  <c r="W36" i="8" s="1"/>
  <c r="G98" i="11"/>
  <c r="G80" i="11" s="1"/>
  <c r="I3" i="3" s="1"/>
  <c r="L37" i="8"/>
  <c r="M37" i="8" s="1"/>
  <c r="AS74" i="8"/>
  <c r="D107" i="11"/>
  <c r="F4" i="3" s="1"/>
  <c r="E109" i="6"/>
  <c r="AL75" i="8" s="1"/>
  <c r="H106" i="6"/>
  <c r="E110" i="6" s="1"/>
  <c r="AL141" i="8" s="1"/>
  <c r="AN141" i="8" s="1"/>
  <c r="AS141" i="8" s="1"/>
  <c r="BD99" i="9" s="1"/>
  <c r="E107" i="6"/>
  <c r="K113" i="11"/>
  <c r="D106" i="6"/>
  <c r="G113" i="11"/>
  <c r="C106" i="6"/>
  <c r="GS32" i="21"/>
  <c r="GH32" i="21"/>
  <c r="FW32" i="21"/>
  <c r="FL32" i="21"/>
  <c r="FA32" i="21"/>
  <c r="EP32" i="21"/>
  <c r="GC32" i="21"/>
  <c r="FG32" i="21"/>
  <c r="GN32" i="21"/>
  <c r="FR32" i="21"/>
  <c r="EV32" i="21"/>
  <c r="Z71" i="8"/>
  <c r="AD71" i="8" s="1"/>
  <c r="N71" i="8"/>
  <c r="AB71" i="8" s="1"/>
  <c r="AF71" i="8" s="1"/>
  <c r="AN75" i="8"/>
  <c r="AS75" i="8" s="1"/>
  <c r="K133" i="11"/>
  <c r="P75" i="8"/>
  <c r="AG850" i="7"/>
  <c r="G133" i="11"/>
  <c r="F75" i="8"/>
  <c r="T850" i="7"/>
  <c r="H140" i="11"/>
  <c r="F5" i="4" s="1"/>
  <c r="D140" i="11"/>
  <c r="F5" i="3" s="1"/>
  <c r="D32" i="10"/>
  <c r="AC61" i="8"/>
  <c r="AG61" i="8" s="1"/>
  <c r="GS23" i="24"/>
  <c r="GH23" i="24"/>
  <c r="FW23" i="24"/>
  <c r="FL23" i="24"/>
  <c r="FA23" i="24"/>
  <c r="EP23" i="24"/>
  <c r="GN23" i="24"/>
  <c r="FR23" i="24"/>
  <c r="EV23" i="24"/>
  <c r="GC23" i="24"/>
  <c r="FG23" i="24"/>
  <c r="AS78" i="8"/>
  <c r="AS76" i="8" s="1"/>
  <c r="AN76" i="8"/>
  <c r="EH11" i="23"/>
  <c r="DW11" i="23"/>
  <c r="DL11" i="23"/>
  <c r="DA11" i="23"/>
  <c r="CP11" i="23"/>
  <c r="CE11" i="23"/>
  <c r="EC11" i="23"/>
  <c r="DF11" i="23"/>
  <c r="CJ11" i="23"/>
  <c r="DR11" i="23"/>
  <c r="CU11" i="23"/>
  <c r="EC29" i="22"/>
  <c r="DR29" i="22"/>
  <c r="DF29" i="22"/>
  <c r="CU29" i="22"/>
  <c r="CJ29" i="22"/>
  <c r="EH29" i="22"/>
  <c r="DL29" i="22"/>
  <c r="CP29" i="22"/>
  <c r="DW29" i="22"/>
  <c r="DA29" i="22"/>
  <c r="CE29" i="22"/>
  <c r="E140" i="11"/>
  <c r="G5" i="3" s="1"/>
  <c r="EH26" i="24"/>
  <c r="DW26" i="24"/>
  <c r="DL26" i="24"/>
  <c r="DA26" i="24"/>
  <c r="CP26" i="24"/>
  <c r="CE26" i="24"/>
  <c r="DR26" i="24"/>
  <c r="CU26" i="24"/>
  <c r="DF26" i="24"/>
  <c r="EC26" i="24"/>
  <c r="CJ26" i="24"/>
  <c r="GN26" i="24"/>
  <c r="GC26" i="24"/>
  <c r="FR26" i="24"/>
  <c r="FG26" i="24"/>
  <c r="EV26" i="24"/>
  <c r="GH26" i="24"/>
  <c r="FL26" i="24"/>
  <c r="EP26" i="24"/>
  <c r="GS26" i="24"/>
  <c r="FA26" i="24"/>
  <c r="FW26" i="24"/>
  <c r="AK142" i="8"/>
  <c r="AN142" i="8" s="1"/>
  <c r="AS142" i="8" s="1"/>
  <c r="Q132" i="8"/>
  <c r="S132" i="8" s="1"/>
  <c r="X132" i="8" s="1"/>
  <c r="AC132" i="8" s="1"/>
  <c r="AG132" i="8" s="1"/>
  <c r="D66" i="10"/>
  <c r="AG159" i="8"/>
  <c r="C66" i="10"/>
  <c r="AF159" i="8"/>
  <c r="GN24" i="25"/>
  <c r="GC24" i="25"/>
  <c r="FR24" i="25"/>
  <c r="FG24" i="25"/>
  <c r="EV24" i="25"/>
  <c r="GH24" i="25"/>
  <c r="FL24" i="25"/>
  <c r="EP24" i="25"/>
  <c r="FW24" i="25"/>
  <c r="GS24" i="25"/>
  <c r="FA24" i="25"/>
  <c r="D73" i="10"/>
  <c r="AG172" i="8"/>
  <c r="L172" i="8"/>
  <c r="N172" i="8" s="1"/>
  <c r="G295" i="11"/>
  <c r="D74" i="10"/>
  <c r="AG174" i="8"/>
  <c r="C74" i="10"/>
  <c r="AF174" i="8"/>
  <c r="K306" i="11"/>
  <c r="K262" i="11" s="1"/>
  <c r="I7" i="4" s="1"/>
  <c r="V170" i="8"/>
  <c r="X170" i="8" s="1"/>
  <c r="G306" i="11"/>
  <c r="L170" i="8"/>
  <c r="N170" i="8" s="1"/>
  <c r="GN25" i="26"/>
  <c r="GC25" i="26"/>
  <c r="FR25" i="26"/>
  <c r="FG25" i="26"/>
  <c r="EV25" i="26"/>
  <c r="GS25" i="26"/>
  <c r="FW25" i="26"/>
  <c r="FA25" i="26"/>
  <c r="GH25" i="26"/>
  <c r="EP25" i="26"/>
  <c r="FL25" i="26"/>
  <c r="L194" i="8"/>
  <c r="N194" i="8" s="1"/>
  <c r="G315" i="11"/>
  <c r="GN31" i="26"/>
  <c r="GC31" i="26"/>
  <c r="FR31" i="26"/>
  <c r="FG31" i="26"/>
  <c r="EV31" i="26"/>
  <c r="GH31" i="26"/>
  <c r="FL31" i="26"/>
  <c r="EP31" i="26"/>
  <c r="FW31" i="26"/>
  <c r="FA31" i="26"/>
  <c r="GS31" i="26"/>
  <c r="GS32" i="26"/>
  <c r="GH32" i="26"/>
  <c r="FW32" i="26"/>
  <c r="FL32" i="26"/>
  <c r="FA32" i="26"/>
  <c r="EP32" i="26"/>
  <c r="GN32" i="26"/>
  <c r="FR32" i="26"/>
  <c r="EV32" i="26"/>
  <c r="GC32" i="26"/>
  <c r="FG32" i="26"/>
  <c r="C83" i="10"/>
  <c r="AF202" i="8"/>
  <c r="BD38" i="9"/>
  <c r="BH18" i="9"/>
  <c r="BD18" i="9"/>
  <c r="AG187" i="8"/>
  <c r="GS22" i="26"/>
  <c r="GH22" i="26"/>
  <c r="FW22" i="26"/>
  <c r="GC22" i="26"/>
  <c r="FL22" i="26"/>
  <c r="FA22" i="26"/>
  <c r="EP22" i="26"/>
  <c r="FR22" i="26"/>
  <c r="EV22" i="26"/>
  <c r="FG22" i="26"/>
  <c r="GN22" i="26"/>
  <c r="GN15" i="26"/>
  <c r="GC15" i="26"/>
  <c r="FR15" i="26"/>
  <c r="FG15" i="26"/>
  <c r="EV15" i="26"/>
  <c r="GS15" i="26"/>
  <c r="FW15" i="26"/>
  <c r="FA15" i="26"/>
  <c r="FL15" i="26"/>
  <c r="GH15" i="26"/>
  <c r="EP15" i="26"/>
  <c r="G15" i="11"/>
  <c r="M13" i="8"/>
  <c r="AW498" i="7"/>
  <c r="F491" i="7"/>
  <c r="AW491" i="7" s="1"/>
  <c r="CY19" i="19"/>
  <c r="CN19" i="19"/>
  <c r="CC19" i="19"/>
  <c r="BR19" i="19"/>
  <c r="BG19" i="19"/>
  <c r="DD19" i="19"/>
  <c r="CS19" i="19"/>
  <c r="CH19" i="19"/>
  <c r="BW19" i="19"/>
  <c r="BL19" i="19"/>
  <c r="BA19" i="19"/>
  <c r="Z39" i="8"/>
  <c r="AD39" i="8" s="1"/>
  <c r="N39" i="8"/>
  <c r="DD33" i="21"/>
  <c r="CS33" i="21"/>
  <c r="CH33" i="21"/>
  <c r="BW33" i="21"/>
  <c r="BL33" i="21"/>
  <c r="BA33" i="21"/>
  <c r="CN33" i="21"/>
  <c r="BR33" i="21"/>
  <c r="CY33" i="21"/>
  <c r="CC33" i="21"/>
  <c r="BG33" i="21"/>
  <c r="G126" i="8"/>
  <c r="I126" i="8" s="1"/>
  <c r="N126" i="8" s="1"/>
  <c r="Z61" i="8"/>
  <c r="AD61" i="8" s="1"/>
  <c r="N61" i="8"/>
  <c r="CY21" i="22"/>
  <c r="CN21" i="22"/>
  <c r="CC21" i="22"/>
  <c r="BR21" i="22"/>
  <c r="BG21" i="22"/>
  <c r="DD21" i="22"/>
  <c r="CH21" i="22"/>
  <c r="BL21" i="22"/>
  <c r="CS21" i="22"/>
  <c r="BW21" i="22"/>
  <c r="BA21" i="22"/>
  <c r="G214" i="11"/>
  <c r="G238" i="11"/>
  <c r="BF18" i="9"/>
  <c r="BB18" i="9" s="1"/>
  <c r="AI18" i="9" s="1"/>
  <c r="AF187" i="8"/>
  <c r="EH15" i="26"/>
  <c r="DW15" i="26"/>
  <c r="DL15" i="26"/>
  <c r="DA15" i="26"/>
  <c r="CP15" i="26"/>
  <c r="CE15" i="26"/>
  <c r="EC15" i="26"/>
  <c r="DF15" i="26"/>
  <c r="CJ15" i="26"/>
  <c r="DR15" i="26"/>
  <c r="CU15" i="26"/>
  <c r="Z29" i="8"/>
  <c r="AD29" i="8" s="1"/>
  <c r="N29" i="8"/>
  <c r="CY14" i="18"/>
  <c r="CN14" i="18"/>
  <c r="CC14" i="18"/>
  <c r="BR14" i="18"/>
  <c r="BG14" i="18"/>
  <c r="DD14" i="18"/>
  <c r="CS14" i="18"/>
  <c r="CH14" i="18"/>
  <c r="BW14" i="18"/>
  <c r="BL14" i="18"/>
  <c r="BA14" i="18"/>
  <c r="N143" i="8"/>
  <c r="EC31" i="24"/>
  <c r="DR31" i="24"/>
  <c r="DF31" i="24"/>
  <c r="CU31" i="24"/>
  <c r="CJ31" i="24"/>
  <c r="DW31" i="24"/>
  <c r="DA31" i="24"/>
  <c r="CE31" i="24"/>
  <c r="EH31" i="24"/>
  <c r="CP31" i="24"/>
  <c r="DL31" i="24"/>
  <c r="G262" i="11"/>
  <c r="I7" i="3" s="1"/>
  <c r="N164" i="8"/>
  <c r="L163" i="8"/>
  <c r="L158" i="8" s="1"/>
  <c r="N151" i="8"/>
  <c r="L150" i="8"/>
  <c r="GN18" i="24" l="1"/>
  <c r="GC18" i="24"/>
  <c r="FR18" i="24"/>
  <c r="FG18" i="24"/>
  <c r="EV18" i="24"/>
  <c r="GH18" i="24"/>
  <c r="FL18" i="24"/>
  <c r="EP18" i="24"/>
  <c r="FW18" i="24"/>
  <c r="FA18" i="24"/>
  <c r="GS18" i="24"/>
  <c r="AC119" i="8"/>
  <c r="AG119" i="8" s="1"/>
  <c r="X104" i="8"/>
  <c r="AB90" i="8"/>
  <c r="AF90" i="8" s="1"/>
  <c r="N89" i="8"/>
  <c r="EC32" i="23"/>
  <c r="DR32" i="23"/>
  <c r="DF32" i="23"/>
  <c r="CU32" i="23"/>
  <c r="CJ32" i="23"/>
  <c r="DW32" i="23"/>
  <c r="DA32" i="23"/>
  <c r="CE32" i="23"/>
  <c r="DL32" i="23"/>
  <c r="EH32" i="23"/>
  <c r="CP32" i="23"/>
  <c r="C58" i="10"/>
  <c r="AF151" i="8"/>
  <c r="N150" i="8"/>
  <c r="N149" i="8"/>
  <c r="N176" i="8"/>
  <c r="AF176" i="8" s="1"/>
  <c r="DD31" i="18"/>
  <c r="CS31" i="18"/>
  <c r="CH31" i="18"/>
  <c r="BW31" i="18"/>
  <c r="BL31" i="18"/>
  <c r="BA31" i="18"/>
  <c r="CY31" i="18"/>
  <c r="CN31" i="18"/>
  <c r="CC31" i="18"/>
  <c r="BR31" i="18"/>
  <c r="BG31" i="18"/>
  <c r="CY23" i="19"/>
  <c r="CN23" i="19"/>
  <c r="CC23" i="19"/>
  <c r="BR23" i="19"/>
  <c r="BG23" i="19"/>
  <c r="DD23" i="19"/>
  <c r="CH23" i="19"/>
  <c r="BL23" i="19"/>
  <c r="CS23" i="19"/>
  <c r="BW23" i="19"/>
  <c r="BA23" i="19"/>
  <c r="C53" i="10"/>
  <c r="AB143" i="8"/>
  <c r="AF143" i="8" s="1"/>
  <c r="AB29" i="8"/>
  <c r="AF29" i="8" s="1"/>
  <c r="AQ649" i="7"/>
  <c r="G213" i="11"/>
  <c r="I6" i="3" s="1"/>
  <c r="C32" i="10"/>
  <c r="AB61" i="8"/>
  <c r="AF61" i="8" s="1"/>
  <c r="AI819" i="7"/>
  <c r="P819" i="7" s="1"/>
  <c r="AB126" i="8"/>
  <c r="AF126" i="8" s="1"/>
  <c r="N125" i="8"/>
  <c r="C24" i="10"/>
  <c r="AB39" i="8"/>
  <c r="AF39" i="8" s="1"/>
  <c r="AF194" i="8"/>
  <c r="N193" i="8"/>
  <c r="AI10" i="9"/>
  <c r="AF170" i="8"/>
  <c r="N169" i="8"/>
  <c r="BB10" i="9"/>
  <c r="BD10" i="9"/>
  <c r="AG170" i="8"/>
  <c r="X169" i="8"/>
  <c r="EC32" i="25"/>
  <c r="DR32" i="25"/>
  <c r="DF32" i="25"/>
  <c r="CU32" i="25"/>
  <c r="CJ32" i="25"/>
  <c r="DW32" i="25"/>
  <c r="DA32" i="25"/>
  <c r="CE32" i="25"/>
  <c r="EH32" i="25"/>
  <c r="CP32" i="25"/>
  <c r="DL32" i="25"/>
  <c r="GS32" i="25"/>
  <c r="GH32" i="25"/>
  <c r="FW32" i="25"/>
  <c r="FL32" i="25"/>
  <c r="FA32" i="25"/>
  <c r="EP32" i="25"/>
  <c r="GN32" i="25"/>
  <c r="FR32" i="25"/>
  <c r="EV32" i="25"/>
  <c r="GC32" i="25"/>
  <c r="FG32" i="25"/>
  <c r="GS30" i="25"/>
  <c r="GH30" i="25"/>
  <c r="FW30" i="25"/>
  <c r="FL30" i="25"/>
  <c r="FA30" i="25"/>
  <c r="EP30" i="25"/>
  <c r="GC30" i="25"/>
  <c r="FG30" i="25"/>
  <c r="FR30" i="25"/>
  <c r="GN30" i="25"/>
  <c r="EV30" i="25"/>
  <c r="EC17" i="25"/>
  <c r="DR17" i="25"/>
  <c r="DF17" i="25"/>
  <c r="CU17" i="25"/>
  <c r="CJ17" i="25"/>
  <c r="DW17" i="25"/>
  <c r="DA17" i="25"/>
  <c r="CE17" i="25"/>
  <c r="EH17" i="25"/>
  <c r="CP17" i="25"/>
  <c r="DL17" i="25"/>
  <c r="GS17" i="25"/>
  <c r="GH17" i="25"/>
  <c r="FW17" i="25"/>
  <c r="FL17" i="25"/>
  <c r="FA17" i="25"/>
  <c r="EP17" i="25"/>
  <c r="GN17" i="25"/>
  <c r="FR17" i="25"/>
  <c r="EV17" i="25"/>
  <c r="GC17" i="25"/>
  <c r="FG17" i="25"/>
  <c r="FO31" i="21"/>
  <c r="FD31" i="21"/>
  <c r="ES31" i="21"/>
  <c r="EH31" i="21"/>
  <c r="DW31" i="21"/>
  <c r="DL31" i="21"/>
  <c r="FJ31" i="21"/>
  <c r="EN31" i="21"/>
  <c r="DR31" i="21"/>
  <c r="EY31" i="21"/>
  <c r="EC31" i="21"/>
  <c r="AN73" i="8"/>
  <c r="AA37" i="8"/>
  <c r="AE37" i="8" s="1"/>
  <c r="M36" i="8"/>
  <c r="N37" i="8"/>
  <c r="DD25" i="19"/>
  <c r="CS25" i="19"/>
  <c r="CH25" i="19"/>
  <c r="BW25" i="19"/>
  <c r="BL25" i="19"/>
  <c r="BA25" i="19"/>
  <c r="CY25" i="19"/>
  <c r="CC25" i="19"/>
  <c r="BG25" i="19"/>
  <c r="CN25" i="19"/>
  <c r="BR25" i="19"/>
  <c r="BB14" i="9"/>
  <c r="AI14" i="9"/>
  <c r="AB22" i="8"/>
  <c r="AF22" i="8" s="1"/>
  <c r="DD14" i="17"/>
  <c r="CS14" i="17"/>
  <c r="CH14" i="17"/>
  <c r="BW14" i="17"/>
  <c r="BL14" i="17"/>
  <c r="BA14" i="17"/>
  <c r="CY14" i="17"/>
  <c r="CN14" i="17"/>
  <c r="CC14" i="17"/>
  <c r="BR14" i="17"/>
  <c r="BG14" i="17"/>
  <c r="AP4" i="8"/>
  <c r="AP3" i="8" s="1"/>
  <c r="X14" i="8"/>
  <c r="S13" i="8"/>
  <c r="GN12" i="18"/>
  <c r="GC12" i="18"/>
  <c r="FR12" i="18"/>
  <c r="FG12" i="18"/>
  <c r="EV12" i="18"/>
  <c r="GS12" i="18"/>
  <c r="GH12" i="18"/>
  <c r="FW12" i="18"/>
  <c r="FL12" i="18"/>
  <c r="FA12" i="18"/>
  <c r="EP12" i="18"/>
  <c r="C14" i="10"/>
  <c r="AB16" i="8"/>
  <c r="AF16" i="8" s="1"/>
  <c r="D14" i="10"/>
  <c r="AC16" i="8"/>
  <c r="AG16" i="8" s="1"/>
  <c r="R447" i="7"/>
  <c r="AB6" i="8"/>
  <c r="AF6" i="8" s="1"/>
  <c r="S5" i="8"/>
  <c r="F9" i="4"/>
  <c r="GN20" i="25"/>
  <c r="GC20" i="25"/>
  <c r="FR20" i="25"/>
  <c r="FG20" i="25"/>
  <c r="EV20" i="25"/>
  <c r="GH20" i="25"/>
  <c r="FL20" i="25"/>
  <c r="EP20" i="25"/>
  <c r="GS20" i="25"/>
  <c r="FA20" i="25"/>
  <c r="FW20" i="25"/>
  <c r="EH29" i="26"/>
  <c r="DW29" i="26"/>
  <c r="DL29" i="26"/>
  <c r="DA29" i="26"/>
  <c r="CP29" i="26"/>
  <c r="CE29" i="26"/>
  <c r="EC29" i="26"/>
  <c r="DF29" i="26"/>
  <c r="CJ29" i="26"/>
  <c r="DR29" i="26"/>
  <c r="CU29" i="26"/>
  <c r="CY13" i="18"/>
  <c r="CN13" i="18"/>
  <c r="CC13" i="18"/>
  <c r="BR13" i="18"/>
  <c r="BG13" i="18"/>
  <c r="DD13" i="18"/>
  <c r="CS13" i="18"/>
  <c r="CH13" i="18"/>
  <c r="BW13" i="18"/>
  <c r="BL13" i="18"/>
  <c r="BA13" i="18"/>
  <c r="BD40" i="9"/>
  <c r="BD16" i="9"/>
  <c r="AG179" i="8"/>
  <c r="AI40" i="9"/>
  <c r="BB16" i="9"/>
  <c r="AF179" i="8"/>
  <c r="BB40" i="9"/>
  <c r="AI16" i="9"/>
  <c r="C63" i="10"/>
  <c r="AF156" i="8"/>
  <c r="AF206" i="8"/>
  <c r="N205" i="8"/>
  <c r="EH26" i="25"/>
  <c r="DW26" i="25"/>
  <c r="DL26" i="25"/>
  <c r="DA26" i="25"/>
  <c r="CP26" i="25"/>
  <c r="CE26" i="25"/>
  <c r="EC26" i="25"/>
  <c r="DF26" i="25"/>
  <c r="CJ26" i="25"/>
  <c r="CU26" i="25"/>
  <c r="DR26" i="25"/>
  <c r="L140" i="6"/>
  <c r="Q54" i="8" s="1"/>
  <c r="S54" i="8" s="1"/>
  <c r="C41" i="10"/>
  <c r="AB99" i="8"/>
  <c r="AF99" i="8" s="1"/>
  <c r="GS14" i="23"/>
  <c r="GH14" i="23"/>
  <c r="FW14" i="23"/>
  <c r="FL14" i="23"/>
  <c r="FA14" i="23"/>
  <c r="EP14" i="23"/>
  <c r="GN14" i="23"/>
  <c r="FR14" i="23"/>
  <c r="EV14" i="23"/>
  <c r="GC14" i="23"/>
  <c r="FG14" i="23"/>
  <c r="EC10" i="23"/>
  <c r="DR10" i="23"/>
  <c r="DF10" i="23"/>
  <c r="CU10" i="23"/>
  <c r="CJ10" i="23"/>
  <c r="DW10" i="23"/>
  <c r="DA10" i="23"/>
  <c r="CE10" i="23"/>
  <c r="EH10" i="23"/>
  <c r="DL10" i="23"/>
  <c r="CP10" i="23"/>
  <c r="GS10" i="23"/>
  <c r="GH10" i="23"/>
  <c r="FW10" i="23"/>
  <c r="FL10" i="23"/>
  <c r="FA10" i="23"/>
  <c r="EP10" i="23"/>
  <c r="GN10" i="23"/>
  <c r="FR10" i="23"/>
  <c r="EV10" i="23"/>
  <c r="GC10" i="23"/>
  <c r="FG10" i="23"/>
  <c r="EC33" i="24"/>
  <c r="DR33" i="24"/>
  <c r="DF33" i="24"/>
  <c r="CU33" i="24"/>
  <c r="CJ33" i="24"/>
  <c r="EH33" i="24"/>
  <c r="DL33" i="24"/>
  <c r="CP33" i="24"/>
  <c r="DA33" i="24"/>
  <c r="DW33" i="24"/>
  <c r="CE33" i="24"/>
  <c r="AO959" i="7"/>
  <c r="AC78" i="8"/>
  <c r="AG78" i="8" s="1"/>
  <c r="X76" i="8"/>
  <c r="GN30" i="22"/>
  <c r="GC30" i="22"/>
  <c r="FR30" i="22"/>
  <c r="FG30" i="22"/>
  <c r="EV30" i="22"/>
  <c r="GH30" i="22"/>
  <c r="FL30" i="22"/>
  <c r="EP30" i="22"/>
  <c r="GS30" i="22"/>
  <c r="FW30" i="22"/>
  <c r="FA30" i="22"/>
  <c r="DD11" i="18"/>
  <c r="CS11" i="18"/>
  <c r="CH11" i="18"/>
  <c r="BW11" i="18"/>
  <c r="BL11" i="18"/>
  <c r="BA11" i="18"/>
  <c r="CY11" i="18"/>
  <c r="CN11" i="18"/>
  <c r="CC11" i="18"/>
  <c r="BR11" i="18"/>
  <c r="BG11" i="18"/>
  <c r="FC6" i="22"/>
  <c r="FC6" i="21"/>
  <c r="FC6" i="20"/>
  <c r="FC6" i="19"/>
  <c r="AO1304" i="7"/>
  <c r="AO1309" i="7" s="1"/>
  <c r="GN28" i="22"/>
  <c r="GC28" i="22"/>
  <c r="FR28" i="22"/>
  <c r="FG28" i="22"/>
  <c r="EV28" i="22"/>
  <c r="GS28" i="22"/>
  <c r="FW28" i="22"/>
  <c r="FA28" i="22"/>
  <c r="GH28" i="22"/>
  <c r="FL28" i="22"/>
  <c r="EP28" i="22"/>
  <c r="GS32" i="17"/>
  <c r="GH32" i="17"/>
  <c r="FW32" i="17"/>
  <c r="FL32" i="17"/>
  <c r="FA32" i="17"/>
  <c r="EP32" i="17"/>
  <c r="GN32" i="17"/>
  <c r="GC32" i="17"/>
  <c r="FR32" i="17"/>
  <c r="FG32" i="17"/>
  <c r="EV32" i="17"/>
  <c r="G349" i="11"/>
  <c r="I8" i="3" s="1"/>
  <c r="I10" i="3" s="1"/>
  <c r="C59" i="10"/>
  <c r="AF152" i="8"/>
  <c r="D48" i="10"/>
  <c r="AC125" i="8"/>
  <c r="AG125" i="8" s="1"/>
  <c r="EC19" i="24"/>
  <c r="DR19" i="24"/>
  <c r="DF19" i="24"/>
  <c r="CU19" i="24"/>
  <c r="CJ19" i="24"/>
  <c r="DW19" i="24"/>
  <c r="DA19" i="24"/>
  <c r="CE19" i="24"/>
  <c r="EH19" i="24"/>
  <c r="CP19" i="24"/>
  <c r="DL19" i="24"/>
  <c r="AA15" i="8"/>
  <c r="AE15" i="8" s="1"/>
  <c r="K13" i="8"/>
  <c r="AA13" i="8" s="1"/>
  <c r="AE13" i="8" s="1"/>
  <c r="EC25" i="24"/>
  <c r="DR25" i="24"/>
  <c r="DF25" i="24"/>
  <c r="CU25" i="24"/>
  <c r="CJ25" i="24"/>
  <c r="EH25" i="24"/>
  <c r="DL25" i="24"/>
  <c r="CP25" i="24"/>
  <c r="DA25" i="24"/>
  <c r="DW25" i="24"/>
  <c r="CE25" i="24"/>
  <c r="N83" i="8"/>
  <c r="DD20" i="18"/>
  <c r="CS20" i="18"/>
  <c r="CH20" i="18"/>
  <c r="BW20" i="18"/>
  <c r="BL20" i="18"/>
  <c r="BA20" i="18"/>
  <c r="CY20" i="18"/>
  <c r="CN20" i="18"/>
  <c r="CC20" i="18"/>
  <c r="BR20" i="18"/>
  <c r="BG20" i="18"/>
  <c r="CY31" i="17"/>
  <c r="CN31" i="17"/>
  <c r="CC31" i="17"/>
  <c r="BR31" i="17"/>
  <c r="BG31" i="17"/>
  <c r="DD31" i="17"/>
  <c r="CS31" i="17"/>
  <c r="CH31" i="17"/>
  <c r="BW31" i="17"/>
  <c r="BL31" i="17"/>
  <c r="BA31" i="17"/>
  <c r="EH12" i="25"/>
  <c r="DW12" i="25"/>
  <c r="DL12" i="25"/>
  <c r="DA12" i="25"/>
  <c r="CP12" i="25"/>
  <c r="CE12" i="25"/>
  <c r="DR12" i="25"/>
  <c r="CU12" i="25"/>
  <c r="DF12" i="25"/>
  <c r="EC12" i="25"/>
  <c r="CJ12" i="25"/>
  <c r="V150" i="8"/>
  <c r="EC11" i="25"/>
  <c r="DR11" i="25"/>
  <c r="DF11" i="25"/>
  <c r="CU11" i="25"/>
  <c r="CJ11" i="25"/>
  <c r="EH11" i="25"/>
  <c r="DL11" i="25"/>
  <c r="CP11" i="25"/>
  <c r="DA11" i="25"/>
  <c r="DW11" i="25"/>
  <c r="CE11" i="25"/>
  <c r="GS11" i="25"/>
  <c r="GH11" i="25"/>
  <c r="FW11" i="25"/>
  <c r="FL11" i="25"/>
  <c r="FA11" i="25"/>
  <c r="EP11" i="25"/>
  <c r="GC11" i="25"/>
  <c r="FG11" i="25"/>
  <c r="GN11" i="25"/>
  <c r="EV11" i="25"/>
  <c r="FR11" i="25"/>
  <c r="GS33" i="26"/>
  <c r="GH33" i="26"/>
  <c r="GC33" i="26"/>
  <c r="FR33" i="26"/>
  <c r="FG33" i="26"/>
  <c r="EV33" i="26"/>
  <c r="FW33" i="26"/>
  <c r="FA33" i="26"/>
  <c r="GN33" i="26"/>
  <c r="EP33" i="26"/>
  <c r="FL33" i="26"/>
  <c r="C52" i="10"/>
  <c r="AB142" i="8"/>
  <c r="AF142" i="8" s="1"/>
  <c r="AI1179" i="7"/>
  <c r="G9" i="3"/>
  <c r="E219" i="10"/>
  <c r="E151" i="10"/>
  <c r="E152" i="10"/>
  <c r="E158" i="10" s="1"/>
  <c r="E142" i="10"/>
  <c r="E141" i="10"/>
  <c r="E207" i="10"/>
  <c r="E150" i="10"/>
  <c r="E149" i="10"/>
  <c r="E196" i="10" s="1"/>
  <c r="E197" i="10"/>
  <c r="E179" i="10"/>
  <c r="AC138" i="8"/>
  <c r="AG138" i="8" s="1"/>
  <c r="AW1054" i="7"/>
  <c r="BD13" i="9"/>
  <c r="D44" i="10"/>
  <c r="N57" i="8"/>
  <c r="I56" i="8"/>
  <c r="Z57" i="8"/>
  <c r="AD57" i="8" s="1"/>
  <c r="X57" i="8"/>
  <c r="S56" i="8"/>
  <c r="AS57" i="8"/>
  <c r="AS56" i="8" s="1"/>
  <c r="AS55" i="8" s="1"/>
  <c r="AN56" i="8"/>
  <c r="AN55" i="8" s="1"/>
  <c r="AN35" i="8" s="1"/>
  <c r="G107" i="11"/>
  <c r="I4" i="3" s="1"/>
  <c r="K107" i="11"/>
  <c r="I4" i="4" s="1"/>
  <c r="I9" i="4" s="1"/>
  <c r="GS18" i="18"/>
  <c r="GH18" i="18"/>
  <c r="FW18" i="18"/>
  <c r="FL18" i="18"/>
  <c r="FA18" i="18"/>
  <c r="EP18" i="18"/>
  <c r="GN18" i="18"/>
  <c r="GC18" i="18"/>
  <c r="FR18" i="18"/>
  <c r="FG18" i="18"/>
  <c r="EV18" i="18"/>
  <c r="P288" i="7"/>
  <c r="L7" i="8"/>
  <c r="M7" i="8" s="1"/>
  <c r="V7" i="8"/>
  <c r="W7" i="8" s="1"/>
  <c r="P325" i="7"/>
  <c r="AC562" i="7"/>
  <c r="AW562" i="7" s="1"/>
  <c r="AC536" i="7"/>
  <c r="AC558" i="7" s="1"/>
  <c r="GN32" i="18"/>
  <c r="GC32" i="18"/>
  <c r="FR32" i="18"/>
  <c r="FG32" i="18"/>
  <c r="EV32" i="18"/>
  <c r="GS32" i="18"/>
  <c r="GH32" i="18"/>
  <c r="FW32" i="18"/>
  <c r="FL32" i="18"/>
  <c r="FA32" i="18"/>
  <c r="EP32" i="18"/>
  <c r="AB27" i="8"/>
  <c r="AF27" i="8" s="1"/>
  <c r="AQ646" i="7"/>
  <c r="AQ653" i="7" s="1"/>
  <c r="Q562" i="7"/>
  <c r="Q536" i="7"/>
  <c r="Q558" i="7" s="1"/>
  <c r="F558" i="7"/>
  <c r="AW536" i="7"/>
  <c r="FJ15" i="18"/>
  <c r="EY15" i="18"/>
  <c r="EN15" i="18"/>
  <c r="EC15" i="18"/>
  <c r="DR15" i="18"/>
  <c r="FO15" i="18"/>
  <c r="FD15" i="18"/>
  <c r="ES15" i="18"/>
  <c r="EH15" i="18"/>
  <c r="DW15" i="18"/>
  <c r="DL15" i="18"/>
  <c r="X21" i="8"/>
  <c r="AC21" i="8" s="1"/>
  <c r="AG21" i="8" s="1"/>
  <c r="AO451" i="7"/>
  <c r="CY11" i="19"/>
  <c r="CN11" i="19"/>
  <c r="CC11" i="19"/>
  <c r="BR11" i="19"/>
  <c r="BG11" i="19"/>
  <c r="DD11" i="19"/>
  <c r="CS11" i="19"/>
  <c r="CH11" i="19"/>
  <c r="BW11" i="19"/>
  <c r="BL11" i="19"/>
  <c r="BA11" i="19"/>
  <c r="GS12" i="19"/>
  <c r="GH12" i="19"/>
  <c r="FW12" i="19"/>
  <c r="FL12" i="19"/>
  <c r="FA12" i="19"/>
  <c r="EP12" i="19"/>
  <c r="GN12" i="19"/>
  <c r="GC12" i="19"/>
  <c r="FR12" i="19"/>
  <c r="FG12" i="19"/>
  <c r="EV12" i="19"/>
  <c r="N11" i="8"/>
  <c r="Z11" i="8"/>
  <c r="AD11" i="8" s="1"/>
  <c r="AH330" i="7"/>
  <c r="AT393" i="7"/>
  <c r="AT447" i="7"/>
  <c r="FO9" i="18"/>
  <c r="FD9" i="18"/>
  <c r="ES9" i="18"/>
  <c r="EH9" i="18"/>
  <c r="DW9" i="18"/>
  <c r="DL9" i="18"/>
  <c r="FJ9" i="18"/>
  <c r="EY9" i="18"/>
  <c r="EN9" i="18"/>
  <c r="EC9" i="18"/>
  <c r="DR9" i="18"/>
  <c r="R393" i="7"/>
  <c r="C9" i="10"/>
  <c r="AB10" i="8"/>
  <c r="AF10" i="8" s="1"/>
  <c r="GN22" i="17"/>
  <c r="GC22" i="17"/>
  <c r="FR22" i="17"/>
  <c r="FG22" i="17"/>
  <c r="EV22" i="17"/>
  <c r="GS22" i="17"/>
  <c r="GH22" i="17"/>
  <c r="FW22" i="17"/>
  <c r="FL22" i="17"/>
  <c r="FA22" i="17"/>
  <c r="EP22" i="17"/>
  <c r="C8" i="10"/>
  <c r="AB8" i="8"/>
  <c r="AF8" i="8" s="1"/>
  <c r="GN18" i="17"/>
  <c r="GC18" i="17"/>
  <c r="FR18" i="17"/>
  <c r="FG18" i="17"/>
  <c r="EV18" i="17"/>
  <c r="GS18" i="17"/>
  <c r="GH18" i="17"/>
  <c r="FW18" i="17"/>
  <c r="FL18" i="17"/>
  <c r="FA18" i="17"/>
  <c r="EP18" i="17"/>
  <c r="AT272" i="7"/>
  <c r="L293" i="7"/>
  <c r="AG164" i="8"/>
  <c r="D70" i="10"/>
  <c r="X163" i="8"/>
  <c r="S36" i="8"/>
  <c r="N38" i="8"/>
  <c r="Z38" i="8"/>
  <c r="AD38" i="8" s="1"/>
  <c r="I36" i="8"/>
  <c r="FJ9" i="21"/>
  <c r="EY9" i="21"/>
  <c r="EN9" i="21"/>
  <c r="EC9" i="21"/>
  <c r="DR9" i="21"/>
  <c r="FD9" i="21"/>
  <c r="EH9" i="21"/>
  <c r="DL9" i="21"/>
  <c r="FO9" i="21"/>
  <c r="ES9" i="21"/>
  <c r="DW9" i="21"/>
  <c r="GN10" i="27"/>
  <c r="GC10" i="27"/>
  <c r="FR10" i="27"/>
  <c r="FG10" i="27"/>
  <c r="EV10" i="27"/>
  <c r="GS10" i="27"/>
  <c r="FW10" i="27"/>
  <c r="FA10" i="27"/>
  <c r="FL10" i="27"/>
  <c r="GH10" i="27"/>
  <c r="EP10" i="27"/>
  <c r="Q135" i="8"/>
  <c r="S135" i="8" s="1"/>
  <c r="X135" i="8" s="1"/>
  <c r="AC135" i="8" s="1"/>
  <c r="AG135" i="8" s="1"/>
  <c r="K107" i="6"/>
  <c r="G65" i="8" s="1"/>
  <c r="I65" i="8" s="1"/>
  <c r="N106" i="6"/>
  <c r="K108" i="6"/>
  <c r="DD7" i="18"/>
  <c r="CS7" i="18"/>
  <c r="CH7" i="18"/>
  <c r="BW7" i="18"/>
  <c r="BL7" i="18"/>
  <c r="BA7" i="18"/>
  <c r="CY7" i="18"/>
  <c r="CN7" i="18"/>
  <c r="CC7" i="18"/>
  <c r="BR7" i="18"/>
  <c r="BG7" i="18"/>
  <c r="AG178" i="8"/>
  <c r="X177" i="8"/>
  <c r="AF178" i="8"/>
  <c r="N177" i="8"/>
  <c r="K140" i="6"/>
  <c r="G54" i="8" s="1"/>
  <c r="I54" i="8" s="1"/>
  <c r="N139" i="6"/>
  <c r="K141" i="6"/>
  <c r="G119" i="8" s="1"/>
  <c r="I119" i="8" s="1"/>
  <c r="N119" i="8" s="1"/>
  <c r="AB119" i="8" s="1"/>
  <c r="AF119" i="8" s="1"/>
  <c r="C40" i="10"/>
  <c r="AB92" i="8"/>
  <c r="AF92" i="8" s="1"/>
  <c r="GN7" i="23"/>
  <c r="GC7" i="23"/>
  <c r="FR7" i="23"/>
  <c r="FG7" i="23"/>
  <c r="EV7" i="23"/>
  <c r="GS7" i="23"/>
  <c r="FW7" i="23"/>
  <c r="FA7" i="23"/>
  <c r="GH7" i="23"/>
  <c r="FL7" i="23"/>
  <c r="EP7" i="23"/>
  <c r="EC31" i="22"/>
  <c r="DR31" i="22"/>
  <c r="DF31" i="22"/>
  <c r="CU31" i="22"/>
  <c r="CJ31" i="22"/>
  <c r="DW31" i="22"/>
  <c r="DA31" i="22"/>
  <c r="CE31" i="22"/>
  <c r="EH31" i="22"/>
  <c r="DL31" i="22"/>
  <c r="CP31" i="22"/>
  <c r="GS31" i="22"/>
  <c r="GH31" i="22"/>
  <c r="FW31" i="22"/>
  <c r="FL31" i="22"/>
  <c r="FA31" i="22"/>
  <c r="EP31" i="22"/>
  <c r="GN31" i="22"/>
  <c r="FR31" i="22"/>
  <c r="EV31" i="22"/>
  <c r="GC31" i="22"/>
  <c r="FG31" i="22"/>
  <c r="Z78" i="8"/>
  <c r="AD78" i="8" s="1"/>
  <c r="N78" i="8"/>
  <c r="I76" i="8"/>
  <c r="Z76" i="8" s="1"/>
  <c r="AD76" i="8" s="1"/>
  <c r="K131" i="6"/>
  <c r="K133" i="6" s="1"/>
  <c r="G66" i="8" s="1"/>
  <c r="I66" i="8" s="1"/>
  <c r="K128" i="6"/>
  <c r="M128" i="6"/>
  <c r="AL135" i="8" s="1"/>
  <c r="AN135" i="8" s="1"/>
  <c r="AS135" i="8" s="1"/>
  <c r="AS124" i="8" s="1"/>
  <c r="AS103" i="8" s="1"/>
  <c r="L119" i="6"/>
  <c r="M68" i="8"/>
  <c r="AA68" i="8" s="1"/>
  <c r="AE68" i="8" s="1"/>
  <c r="AA69" i="8"/>
  <c r="AE69" i="8" s="1"/>
  <c r="E110" i="10"/>
  <c r="C25" i="10"/>
  <c r="AB41" i="8"/>
  <c r="AF41" i="8" s="1"/>
  <c r="CY19" i="17"/>
  <c r="CN19" i="17"/>
  <c r="CC19" i="17"/>
  <c r="BR19" i="17"/>
  <c r="BG19" i="17"/>
  <c r="DD19" i="17"/>
  <c r="CS19" i="17"/>
  <c r="CH19" i="17"/>
  <c r="BW19" i="17"/>
  <c r="BL19" i="17"/>
  <c r="BA19" i="17"/>
  <c r="FO33" i="19"/>
  <c r="FD33" i="19"/>
  <c r="ES33" i="19"/>
  <c r="EH33" i="19"/>
  <c r="DW33" i="19"/>
  <c r="DL33" i="19"/>
  <c r="FJ33" i="19"/>
  <c r="EY33" i="19"/>
  <c r="EN33" i="19"/>
  <c r="EC33" i="19"/>
  <c r="DR33" i="19"/>
  <c r="AB30" i="8"/>
  <c r="AF30" i="8" s="1"/>
  <c r="AP593" i="7"/>
  <c r="F502" i="7"/>
  <c r="AW502" i="7" s="1"/>
  <c r="AW480" i="7"/>
  <c r="AW506" i="7"/>
  <c r="AB63" i="8"/>
  <c r="AF63" i="8" s="1"/>
  <c r="AI821" i="7"/>
  <c r="P821" i="7" s="1"/>
  <c r="C70" i="10"/>
  <c r="AF164" i="8"/>
  <c r="N163" i="8"/>
  <c r="EC18" i="26"/>
  <c r="DR18" i="26"/>
  <c r="DF18" i="26"/>
  <c r="CU18" i="26"/>
  <c r="CJ18" i="26"/>
  <c r="DW18" i="26"/>
  <c r="DA18" i="26"/>
  <c r="CE18" i="26"/>
  <c r="EH18" i="26"/>
  <c r="CP18" i="26"/>
  <c r="DL18" i="26"/>
  <c r="CY11" i="21"/>
  <c r="CN11" i="21"/>
  <c r="CC11" i="21"/>
  <c r="BR11" i="21"/>
  <c r="BG11" i="21"/>
  <c r="DD11" i="21"/>
  <c r="CH11" i="21"/>
  <c r="BL11" i="21"/>
  <c r="CS11" i="21"/>
  <c r="BW11" i="21"/>
  <c r="BA11" i="21"/>
  <c r="GS18" i="26"/>
  <c r="GH18" i="26"/>
  <c r="FW18" i="26"/>
  <c r="FL18" i="26"/>
  <c r="FA18" i="26"/>
  <c r="EP18" i="26"/>
  <c r="GN18" i="26"/>
  <c r="FR18" i="26"/>
  <c r="EV18" i="26"/>
  <c r="GC18" i="26"/>
  <c r="FG18" i="26"/>
  <c r="EH33" i="26"/>
  <c r="DW33" i="26"/>
  <c r="DL33" i="26"/>
  <c r="DA33" i="26"/>
  <c r="CP33" i="26"/>
  <c r="CE33" i="26"/>
  <c r="EC33" i="26"/>
  <c r="DF33" i="26"/>
  <c r="CJ33" i="26"/>
  <c r="CU33" i="26"/>
  <c r="DR33" i="26"/>
  <c r="C73" i="10"/>
  <c r="AF172" i="8"/>
  <c r="GS12" i="21"/>
  <c r="GH12" i="21"/>
  <c r="FW12" i="21"/>
  <c r="FL12" i="21"/>
  <c r="FA12" i="21"/>
  <c r="EP12" i="21"/>
  <c r="GN12" i="21"/>
  <c r="FR12" i="21"/>
  <c r="EV12" i="21"/>
  <c r="GC12" i="21"/>
  <c r="FG12" i="21"/>
  <c r="S75" i="8"/>
  <c r="X75" i="8" s="1"/>
  <c r="CY31" i="21"/>
  <c r="CN31" i="21"/>
  <c r="CC31" i="21"/>
  <c r="BR31" i="21"/>
  <c r="BG31" i="21"/>
  <c r="CS31" i="21"/>
  <c r="BW31" i="21"/>
  <c r="BA31" i="21"/>
  <c r="DD31" i="21"/>
  <c r="CH31" i="21"/>
  <c r="BL31" i="21"/>
  <c r="C109" i="6"/>
  <c r="G75" i="8" s="1"/>
  <c r="I75" i="8" s="1"/>
  <c r="F106" i="6"/>
  <c r="C107" i="6"/>
  <c r="D107" i="6"/>
  <c r="G106" i="6"/>
  <c r="D109" i="6"/>
  <c r="Q75" i="8" s="1"/>
  <c r="AS73" i="8"/>
  <c r="BD115" i="9" s="1"/>
  <c r="FJ25" i="19"/>
  <c r="EY25" i="19"/>
  <c r="EN25" i="19"/>
  <c r="EC25" i="19"/>
  <c r="DR25" i="19"/>
  <c r="FO25" i="19"/>
  <c r="ES25" i="19"/>
  <c r="DW25" i="19"/>
  <c r="FD25" i="19"/>
  <c r="EH25" i="19"/>
  <c r="DL25" i="19"/>
  <c r="CY17" i="18"/>
  <c r="CN17" i="18"/>
  <c r="CC17" i="18"/>
  <c r="BR17" i="18"/>
  <c r="BG17" i="18"/>
  <c r="DD17" i="18"/>
  <c r="CS17" i="18"/>
  <c r="CH17" i="18"/>
  <c r="BW17" i="18"/>
  <c r="BL17" i="18"/>
  <c r="BA17" i="18"/>
  <c r="K4" i="8"/>
  <c r="Z24" i="8"/>
  <c r="AD24" i="8" s="1"/>
  <c r="N24" i="8"/>
  <c r="I23" i="8"/>
  <c r="Z23" i="8" s="1"/>
  <c r="AD23" i="8" s="1"/>
  <c r="X24" i="8"/>
  <c r="S23" i="8"/>
  <c r="AS24" i="8"/>
  <c r="AS23" i="8" s="1"/>
  <c r="AN23" i="8"/>
  <c r="AN4" i="8" s="1"/>
  <c r="AN3" i="8" s="1"/>
  <c r="D10" i="10"/>
  <c r="AC11" i="8"/>
  <c r="AG11" i="8" s="1"/>
  <c r="DD33" i="17"/>
  <c r="CS33" i="17"/>
  <c r="CH33" i="17"/>
  <c r="BW33" i="17"/>
  <c r="BL33" i="17"/>
  <c r="BA33" i="17"/>
  <c r="CY33" i="17"/>
  <c r="CN33" i="17"/>
  <c r="CC33" i="17"/>
  <c r="BR33" i="17"/>
  <c r="BG33" i="17"/>
  <c r="DD13" i="17"/>
  <c r="CS13" i="17"/>
  <c r="CH13" i="17"/>
  <c r="BW13" i="17"/>
  <c r="BL13" i="17"/>
  <c r="BA13" i="17"/>
  <c r="CY13" i="17"/>
  <c r="CN13" i="17"/>
  <c r="CC13" i="17"/>
  <c r="BR13" i="17"/>
  <c r="BG13" i="17"/>
  <c r="Z5" i="8"/>
  <c r="AD5" i="8" s="1"/>
  <c r="AC6" i="8"/>
  <c r="AG6" i="8" s="1"/>
  <c r="L330" i="7"/>
  <c r="AT309" i="7"/>
  <c r="F9" i="3"/>
  <c r="GS24" i="19"/>
  <c r="GH24" i="19"/>
  <c r="FW24" i="19"/>
  <c r="FL24" i="19"/>
  <c r="FA24" i="19"/>
  <c r="EP24" i="19"/>
  <c r="GN24" i="19"/>
  <c r="FR24" i="19"/>
  <c r="EV24" i="19"/>
  <c r="GC24" i="19"/>
  <c r="FG24" i="19"/>
  <c r="C82" i="10"/>
  <c r="AF197" i="8"/>
  <c r="BF17" i="9"/>
  <c r="BB17" i="9" s="1"/>
  <c r="AI17" i="9" s="1"/>
  <c r="AB116" i="8"/>
  <c r="AF116" i="8" s="1"/>
  <c r="N104" i="8"/>
  <c r="FO13" i="18"/>
  <c r="FD13" i="18"/>
  <c r="ES13" i="18"/>
  <c r="EH13" i="18"/>
  <c r="DW13" i="18"/>
  <c r="DL13" i="18"/>
  <c r="FJ13" i="18"/>
  <c r="EY13" i="18"/>
  <c r="EN13" i="18"/>
  <c r="EC13" i="18"/>
  <c r="DR13" i="18"/>
  <c r="GN11" i="26"/>
  <c r="GC11" i="26"/>
  <c r="FR11" i="26"/>
  <c r="FG11" i="26"/>
  <c r="EV11" i="26"/>
  <c r="GS11" i="26"/>
  <c r="FW11" i="26"/>
  <c r="FA11" i="26"/>
  <c r="GH11" i="26"/>
  <c r="EP11" i="26"/>
  <c r="FL11" i="26"/>
  <c r="EH11" i="26"/>
  <c r="DW11" i="26"/>
  <c r="DL11" i="26"/>
  <c r="DA11" i="26"/>
  <c r="CP11" i="26"/>
  <c r="CE11" i="26"/>
  <c r="EC11" i="26"/>
  <c r="DF11" i="26"/>
  <c r="CJ11" i="26"/>
  <c r="CU11" i="26"/>
  <c r="DR11" i="26"/>
  <c r="EH21" i="26"/>
  <c r="DW21" i="26"/>
  <c r="DL21" i="26"/>
  <c r="DA21" i="26"/>
  <c r="CP21" i="26"/>
  <c r="CE21" i="26"/>
  <c r="DR21" i="26"/>
  <c r="CU21" i="26"/>
  <c r="DF21" i="26"/>
  <c r="EC21" i="26"/>
  <c r="CJ21" i="26"/>
  <c r="D63" i="10"/>
  <c r="AG156" i="8"/>
  <c r="EC14" i="23"/>
  <c r="DR14" i="23"/>
  <c r="DF14" i="23"/>
  <c r="CU14" i="23"/>
  <c r="CJ14" i="23"/>
  <c r="DW14" i="23"/>
  <c r="DA14" i="23"/>
  <c r="CE14" i="23"/>
  <c r="EH14" i="23"/>
  <c r="DL14" i="23"/>
  <c r="CP14" i="23"/>
  <c r="D41" i="10"/>
  <c r="AC99" i="8"/>
  <c r="AG99" i="8" s="1"/>
  <c r="X89" i="8"/>
  <c r="AC90" i="8"/>
  <c r="AG90" i="8" s="1"/>
  <c r="EH9" i="23"/>
  <c r="DW9" i="23"/>
  <c r="DL9" i="23"/>
  <c r="DA9" i="23"/>
  <c r="CP9" i="23"/>
  <c r="CE9" i="23"/>
  <c r="DR9" i="23"/>
  <c r="CU9" i="23"/>
  <c r="EC9" i="23"/>
  <c r="DF9" i="23"/>
  <c r="CJ9" i="23"/>
  <c r="GN9" i="23"/>
  <c r="GC9" i="23"/>
  <c r="FR9" i="23"/>
  <c r="FG9" i="23"/>
  <c r="EV9" i="23"/>
  <c r="GH9" i="23"/>
  <c r="FL9" i="23"/>
  <c r="EP9" i="23"/>
  <c r="GS9" i="23"/>
  <c r="FW9" i="23"/>
  <c r="FA9" i="23"/>
  <c r="EH18" i="24"/>
  <c r="DW18" i="24"/>
  <c r="DL18" i="24"/>
  <c r="DA18" i="24"/>
  <c r="CP18" i="24"/>
  <c r="CE18" i="24"/>
  <c r="DR18" i="24"/>
  <c r="CU18" i="24"/>
  <c r="EC18" i="24"/>
  <c r="CJ18" i="24"/>
  <c r="DF18" i="24"/>
  <c r="N67" i="8"/>
  <c r="Z67" i="8"/>
  <c r="AD67" i="8" s="1"/>
  <c r="GS24" i="21"/>
  <c r="GH24" i="21"/>
  <c r="FW24" i="21"/>
  <c r="FL24" i="21"/>
  <c r="FA24" i="21"/>
  <c r="EP24" i="21"/>
  <c r="GC24" i="21"/>
  <c r="FG24" i="21"/>
  <c r="GN24" i="21"/>
  <c r="FR24" i="21"/>
  <c r="EV24" i="21"/>
  <c r="EH30" i="22"/>
  <c r="DW30" i="22"/>
  <c r="DL30" i="22"/>
  <c r="DA30" i="22"/>
  <c r="CP30" i="22"/>
  <c r="CE30" i="22"/>
  <c r="DR30" i="22"/>
  <c r="CU30" i="22"/>
  <c r="EC30" i="22"/>
  <c r="DF30" i="22"/>
  <c r="CJ30" i="22"/>
  <c r="EH20" i="24"/>
  <c r="DW20" i="24"/>
  <c r="DL20" i="24"/>
  <c r="DA20" i="24"/>
  <c r="CP20" i="24"/>
  <c r="CE20" i="24"/>
  <c r="EC20" i="24"/>
  <c r="DF20" i="24"/>
  <c r="CJ20" i="24"/>
  <c r="CU20" i="24"/>
  <c r="DR20" i="24"/>
  <c r="N64" i="8"/>
  <c r="Z64" i="8"/>
  <c r="AD64" i="8" s="1"/>
  <c r="N69" i="8"/>
  <c r="I68" i="8"/>
  <c r="Z68" i="8" s="1"/>
  <c r="AD68" i="8" s="1"/>
  <c r="Z69" i="8"/>
  <c r="AD69" i="8" s="1"/>
  <c r="C51" i="10"/>
  <c r="C49" i="10" s="1"/>
  <c r="D110" i="10" s="1"/>
  <c r="AI99" i="9"/>
  <c r="BB99" i="9"/>
  <c r="AB141" i="8"/>
  <c r="AF141" i="8" s="1"/>
  <c r="AI1156" i="7"/>
  <c r="GN28" i="19"/>
  <c r="GC28" i="19"/>
  <c r="FR28" i="19"/>
  <c r="FG28" i="19"/>
  <c r="EV28" i="19"/>
  <c r="GS28" i="19"/>
  <c r="GH28" i="19"/>
  <c r="FW28" i="19"/>
  <c r="FL28" i="19"/>
  <c r="FA28" i="19"/>
  <c r="EP28" i="19"/>
  <c r="N34" i="8"/>
  <c r="AB34" i="8" s="1"/>
  <c r="AF34" i="8" s="1"/>
  <c r="Z34" i="8"/>
  <c r="AD34" i="8" s="1"/>
  <c r="Z12" i="8"/>
  <c r="AD12" i="8" s="1"/>
  <c r="N12" i="8"/>
  <c r="AB12" i="8" s="1"/>
  <c r="AF12" i="8" s="1"/>
  <c r="C15" i="10"/>
  <c r="AB19" i="8"/>
  <c r="AF19" i="8" s="1"/>
  <c r="DJ5" i="22"/>
  <c r="DJ5" i="20"/>
  <c r="DJ5" i="21"/>
  <c r="DJ5" i="19"/>
  <c r="X83" i="8"/>
  <c r="AS35" i="8"/>
  <c r="GN12" i="24"/>
  <c r="GC12" i="24"/>
  <c r="FR12" i="24"/>
  <c r="FG12" i="24"/>
  <c r="EV12" i="24"/>
  <c r="GS12" i="24"/>
  <c r="FW12" i="24"/>
  <c r="FA12" i="24"/>
  <c r="GH12" i="24"/>
  <c r="EP12" i="24"/>
  <c r="FL12" i="24"/>
  <c r="CY15" i="17"/>
  <c r="CN15" i="17"/>
  <c r="CC15" i="17"/>
  <c r="BR15" i="17"/>
  <c r="BG15" i="17"/>
  <c r="DD15" i="17"/>
  <c r="CS15" i="17"/>
  <c r="CH15" i="17"/>
  <c r="BW15" i="17"/>
  <c r="BL15" i="17"/>
  <c r="BA15" i="17"/>
  <c r="GS34" i="19"/>
  <c r="GH34" i="19"/>
  <c r="FW34" i="19"/>
  <c r="FL34" i="19"/>
  <c r="FA34" i="19"/>
  <c r="EP34" i="19"/>
  <c r="GN34" i="19"/>
  <c r="GC34" i="19"/>
  <c r="FR34" i="19"/>
  <c r="FG34" i="19"/>
  <c r="EV34" i="19"/>
  <c r="GN10" i="25"/>
  <c r="GC10" i="25"/>
  <c r="FR10" i="25"/>
  <c r="FG10" i="25"/>
  <c r="EV10" i="25"/>
  <c r="GS10" i="25"/>
  <c r="FW10" i="25"/>
  <c r="FA10" i="25"/>
  <c r="GH10" i="25"/>
  <c r="EP10" i="25"/>
  <c r="FL10" i="25"/>
  <c r="AB138" i="8"/>
  <c r="AF138" i="8" s="1"/>
  <c r="AP1054" i="7"/>
  <c r="C44" i="10"/>
  <c r="EH28" i="22"/>
  <c r="DW28" i="22"/>
  <c r="DL28" i="22"/>
  <c r="DA28" i="22"/>
  <c r="CP28" i="22"/>
  <c r="CE28" i="22"/>
  <c r="EC28" i="22"/>
  <c r="DF28" i="22"/>
  <c r="CJ28" i="22"/>
  <c r="DR28" i="22"/>
  <c r="CU28" i="22"/>
  <c r="FO21" i="22"/>
  <c r="FD21" i="22"/>
  <c r="ES21" i="22"/>
  <c r="EH21" i="22"/>
  <c r="DW21" i="22"/>
  <c r="DL21" i="22"/>
  <c r="EY21" i="22"/>
  <c r="EC21" i="22"/>
  <c r="FJ21" i="22"/>
  <c r="EN21" i="22"/>
  <c r="DR21" i="22"/>
  <c r="CY22" i="18"/>
  <c r="CN22" i="18"/>
  <c r="CC22" i="18"/>
  <c r="BR22" i="18"/>
  <c r="BG22" i="18"/>
  <c r="DD22" i="18"/>
  <c r="CS22" i="18"/>
  <c r="CH22" i="18"/>
  <c r="BW22" i="18"/>
  <c r="BL22" i="18"/>
  <c r="BA22" i="18"/>
  <c r="N15" i="8"/>
  <c r="C62" i="10"/>
  <c r="AF155" i="8"/>
  <c r="D58" i="10"/>
  <c r="X176" i="8"/>
  <c r="AG176" i="8" s="1"/>
  <c r="X150" i="8"/>
  <c r="AG151" i="8"/>
  <c r="X149" i="8"/>
  <c r="AG193" i="8"/>
  <c r="D81" i="10"/>
  <c r="AO1375" i="7"/>
  <c r="D52" i="10"/>
  <c r="AQ1179" i="7"/>
  <c r="AC142" i="8"/>
  <c r="AG142" i="8" s="1"/>
  <c r="E189" i="10"/>
  <c r="E186" i="10" s="1"/>
  <c r="E181" i="10"/>
  <c r="E200" i="10"/>
  <c r="E199" i="10" s="1"/>
  <c r="E182" i="10"/>
  <c r="GS25" i="24"/>
  <c r="GH25" i="24"/>
  <c r="FW25" i="24"/>
  <c r="FL25" i="24"/>
  <c r="FA25" i="24"/>
  <c r="EP25" i="24"/>
  <c r="GC25" i="24"/>
  <c r="FG25" i="24"/>
  <c r="GN25" i="24"/>
  <c r="EV25" i="24"/>
  <c r="FR25" i="24"/>
  <c r="G140" i="11"/>
  <c r="I5" i="3" s="1"/>
  <c r="K140" i="11"/>
  <c r="I5" i="4" s="1"/>
  <c r="Z74" i="8"/>
  <c r="AD74" i="8" s="1"/>
  <c r="N74" i="8"/>
  <c r="X74" i="8"/>
  <c r="S73" i="8"/>
  <c r="GS26" i="19"/>
  <c r="GH26" i="19"/>
  <c r="FW26" i="19"/>
  <c r="GN26" i="19"/>
  <c r="GC26" i="19"/>
  <c r="FR26" i="19"/>
  <c r="FG26" i="19"/>
  <c r="EV26" i="19"/>
  <c r="FL26" i="19"/>
  <c r="EP26" i="19"/>
  <c r="FA26" i="19"/>
  <c r="GS34" i="18"/>
  <c r="GH34" i="18"/>
  <c r="FW34" i="18"/>
  <c r="FL34" i="18"/>
  <c r="FA34" i="18"/>
  <c r="EP34" i="18"/>
  <c r="GN34" i="18"/>
  <c r="GC34" i="18"/>
  <c r="FR34" i="18"/>
  <c r="FG34" i="18"/>
  <c r="EV34" i="18"/>
  <c r="DD27" i="18"/>
  <c r="CS27" i="18"/>
  <c r="CH27" i="18"/>
  <c r="BW27" i="18"/>
  <c r="BL27" i="18"/>
  <c r="BA27" i="18"/>
  <c r="CY27" i="18"/>
  <c r="CN27" i="18"/>
  <c r="CC27" i="18"/>
  <c r="BR27" i="18"/>
  <c r="BG27" i="18"/>
  <c r="N646" i="7"/>
  <c r="N653" i="7" s="1"/>
  <c r="AC27" i="8"/>
  <c r="AG27" i="8" s="1"/>
  <c r="DD15" i="18"/>
  <c r="CS15" i="18"/>
  <c r="CH15" i="18"/>
  <c r="BW15" i="18"/>
  <c r="BL15" i="18"/>
  <c r="BA15" i="18"/>
  <c r="CY15" i="18"/>
  <c r="CN15" i="18"/>
  <c r="CC15" i="18"/>
  <c r="BR15" i="18"/>
  <c r="BG15" i="18"/>
  <c r="AB33" i="8"/>
  <c r="AF33" i="8" s="1"/>
  <c r="AP597" i="7"/>
  <c r="Z14" i="8"/>
  <c r="AD14" i="8" s="1"/>
  <c r="N14" i="8"/>
  <c r="I13" i="8"/>
  <c r="Z13" i="8" s="1"/>
  <c r="AD13" i="8" s="1"/>
  <c r="H397" i="7"/>
  <c r="AT397" i="7" s="1"/>
  <c r="AT367" i="7"/>
  <c r="AT421" i="7"/>
  <c r="H451" i="7"/>
  <c r="CY9" i="18"/>
  <c r="CN9" i="18"/>
  <c r="CC9" i="18"/>
  <c r="BR9" i="18"/>
  <c r="BG9" i="18"/>
  <c r="DD9" i="18"/>
  <c r="CS9" i="18"/>
  <c r="CH9" i="18"/>
  <c r="BW9" i="18"/>
  <c r="BL9" i="18"/>
  <c r="BA9" i="18"/>
  <c r="DD21" i="17"/>
  <c r="CS21" i="17"/>
  <c r="CH21" i="17"/>
  <c r="BW21" i="17"/>
  <c r="BL21" i="17"/>
  <c r="BA21" i="17"/>
  <c r="CY21" i="17"/>
  <c r="CN21" i="17"/>
  <c r="CC21" i="17"/>
  <c r="BR21" i="17"/>
  <c r="BG21" i="17"/>
  <c r="DD17" i="17"/>
  <c r="CS17" i="17"/>
  <c r="CH17" i="17"/>
  <c r="BW17" i="17"/>
  <c r="BL17" i="17"/>
  <c r="BA17" i="17"/>
  <c r="CY17" i="17"/>
  <c r="CN17" i="17"/>
  <c r="CC17" i="17"/>
  <c r="BR17" i="17"/>
  <c r="BG17" i="17"/>
  <c r="AS5" i="8"/>
  <c r="AS4" i="8" s="1"/>
  <c r="AS3" i="8" s="1"/>
  <c r="G4" i="11"/>
  <c r="I2" i="3" s="1"/>
  <c r="X37" i="8"/>
  <c r="M1304" i="7"/>
  <c r="AH1304" i="7" s="1"/>
  <c r="AH1309" i="7" s="1"/>
  <c r="AH1300" i="7"/>
  <c r="BD43" i="9"/>
  <c r="AG205" i="8"/>
  <c r="D88" i="10"/>
  <c r="GS28" i="26"/>
  <c r="GH28" i="26"/>
  <c r="FW28" i="26"/>
  <c r="FL28" i="26"/>
  <c r="FA28" i="26"/>
  <c r="EP28" i="26"/>
  <c r="GN28" i="26"/>
  <c r="FR28" i="26"/>
  <c r="EV28" i="26"/>
  <c r="FG28" i="26"/>
  <c r="GC28" i="26"/>
  <c r="Q65" i="8"/>
  <c r="S65" i="8" s="1"/>
  <c r="X65" i="8" s="1"/>
  <c r="AC65" i="8" s="1"/>
  <c r="AG65" i="8" s="1"/>
  <c r="FJ7" i="18"/>
  <c r="EY7" i="18"/>
  <c r="EN7" i="18"/>
  <c r="EC7" i="18"/>
  <c r="DR7" i="18"/>
  <c r="FO7" i="18"/>
  <c r="FD7" i="18"/>
  <c r="ES7" i="18"/>
  <c r="EH7" i="18"/>
  <c r="DW7" i="18"/>
  <c r="DL7" i="18"/>
  <c r="C64" i="10"/>
  <c r="AF157" i="8"/>
  <c r="EH7" i="23"/>
  <c r="DW7" i="23"/>
  <c r="DL7" i="23"/>
  <c r="DA7" i="23"/>
  <c r="CP7" i="23"/>
  <c r="CE7" i="23"/>
  <c r="EC7" i="23"/>
  <c r="DF7" i="23"/>
  <c r="CJ7" i="23"/>
  <c r="DR7" i="23"/>
  <c r="CU7" i="23"/>
  <c r="D40" i="10"/>
  <c r="AC92" i="8"/>
  <c r="AG92" i="8" s="1"/>
  <c r="M56" i="8"/>
  <c r="AA57" i="8"/>
  <c r="AE57" i="8" s="1"/>
  <c r="D53" i="10"/>
  <c r="AC143" i="8"/>
  <c r="AG143" i="8" s="1"/>
  <c r="GS33" i="24"/>
  <c r="GH33" i="24"/>
  <c r="FW33" i="24"/>
  <c r="FL33" i="24"/>
  <c r="FA33" i="24"/>
  <c r="EP33" i="24"/>
  <c r="GC33" i="24"/>
  <c r="FG33" i="24"/>
  <c r="GN33" i="24"/>
  <c r="EV33" i="24"/>
  <c r="FR33" i="24"/>
  <c r="I130" i="8"/>
  <c r="N130" i="8" s="1"/>
  <c r="AB130" i="8" s="1"/>
  <c r="AF130" i="8" s="1"/>
  <c r="GN16" i="24"/>
  <c r="GC16" i="24"/>
  <c r="FR16" i="24"/>
  <c r="FG16" i="24"/>
  <c r="EV16" i="24"/>
  <c r="GS16" i="24"/>
  <c r="FW16" i="24"/>
  <c r="FA16" i="24"/>
  <c r="FL16" i="24"/>
  <c r="EP16" i="24"/>
  <c r="GH16" i="24"/>
  <c r="GN18" i="21"/>
  <c r="GC18" i="21"/>
  <c r="FR18" i="21"/>
  <c r="FG18" i="21"/>
  <c r="EV18" i="21"/>
  <c r="GS18" i="21"/>
  <c r="FW18" i="21"/>
  <c r="FA18" i="21"/>
  <c r="GH18" i="21"/>
  <c r="FL18" i="21"/>
  <c r="EP18" i="21"/>
  <c r="GN20" i="24"/>
  <c r="GC20" i="24"/>
  <c r="FR20" i="24"/>
  <c r="FG20" i="24"/>
  <c r="EV20" i="24"/>
  <c r="GS20" i="24"/>
  <c r="FW20" i="24"/>
  <c r="FA20" i="24"/>
  <c r="GH20" i="24"/>
  <c r="EP20" i="24"/>
  <c r="FL20" i="24"/>
  <c r="AC69" i="8"/>
  <c r="AG69" i="8" s="1"/>
  <c r="X68" i="8"/>
  <c r="GS27" i="24"/>
  <c r="GH27" i="24"/>
  <c r="FW27" i="24"/>
  <c r="FL27" i="24"/>
  <c r="FA27" i="24"/>
  <c r="EP27" i="24"/>
  <c r="GN27" i="24"/>
  <c r="FR27" i="24"/>
  <c r="EV27" i="24"/>
  <c r="FG27" i="24"/>
  <c r="GC27" i="24"/>
  <c r="DD27" i="19"/>
  <c r="CS27" i="19"/>
  <c r="CH27" i="19"/>
  <c r="BW27" i="19"/>
  <c r="BL27" i="19"/>
  <c r="BA27" i="19"/>
  <c r="CY27" i="19"/>
  <c r="CN27" i="19"/>
  <c r="CC27" i="19"/>
  <c r="BR27" i="19"/>
  <c r="BG27" i="19"/>
  <c r="FO19" i="17"/>
  <c r="FD19" i="17"/>
  <c r="ES19" i="17"/>
  <c r="EH19" i="17"/>
  <c r="DW19" i="17"/>
  <c r="DL19" i="17"/>
  <c r="FJ19" i="17"/>
  <c r="EY19" i="17"/>
  <c r="EN19" i="17"/>
  <c r="EC19" i="17"/>
  <c r="DR19" i="17"/>
  <c r="GN22" i="19"/>
  <c r="GC22" i="19"/>
  <c r="FR22" i="19"/>
  <c r="FG22" i="19"/>
  <c r="EV22" i="19"/>
  <c r="GS22" i="19"/>
  <c r="FW22" i="19"/>
  <c r="FA22" i="19"/>
  <c r="GH22" i="19"/>
  <c r="FL22" i="19"/>
  <c r="EP22" i="19"/>
  <c r="CY33" i="18"/>
  <c r="CN33" i="18"/>
  <c r="CC33" i="18"/>
  <c r="BR33" i="18"/>
  <c r="BG33" i="18"/>
  <c r="DD33" i="18"/>
  <c r="CS33" i="18"/>
  <c r="CH33" i="18"/>
  <c r="BW33" i="18"/>
  <c r="BL33" i="18"/>
  <c r="BA33" i="18"/>
  <c r="AW487" i="7"/>
  <c r="CY15" i="21"/>
  <c r="CN15" i="21"/>
  <c r="CC15" i="21"/>
  <c r="BR15" i="21"/>
  <c r="BG15" i="21"/>
  <c r="CS15" i="21"/>
  <c r="BW15" i="21"/>
  <c r="BA15" i="21"/>
  <c r="DD15" i="21"/>
  <c r="CH15" i="21"/>
  <c r="BL15" i="21"/>
  <c r="Z75" i="8" l="1"/>
  <c r="AD75" i="8" s="1"/>
  <c r="N75" i="8"/>
  <c r="I73" i="8"/>
  <c r="Z73" i="8" s="1"/>
  <c r="AD73" i="8" s="1"/>
  <c r="GS28" i="21"/>
  <c r="GH28" i="21"/>
  <c r="FW28" i="21"/>
  <c r="FL28" i="21"/>
  <c r="FA28" i="21"/>
  <c r="EP28" i="21"/>
  <c r="GN28" i="21"/>
  <c r="FR28" i="21"/>
  <c r="EV28" i="21"/>
  <c r="GC28" i="21"/>
  <c r="FG28" i="21"/>
  <c r="EH16" i="24"/>
  <c r="DW16" i="24"/>
  <c r="DL16" i="24"/>
  <c r="DA16" i="24"/>
  <c r="CP16" i="24"/>
  <c r="CE16" i="24"/>
  <c r="EC16" i="24"/>
  <c r="DF16" i="24"/>
  <c r="CJ16" i="24"/>
  <c r="DR16" i="24"/>
  <c r="CU16" i="24"/>
  <c r="GS29" i="24"/>
  <c r="GH29" i="24"/>
  <c r="FW29" i="24"/>
  <c r="FL29" i="24"/>
  <c r="FA29" i="24"/>
  <c r="EP29" i="24"/>
  <c r="GC29" i="24"/>
  <c r="FG29" i="24"/>
  <c r="FR29" i="24"/>
  <c r="GN29" i="24"/>
  <c r="EV29" i="24"/>
  <c r="CY32" i="20"/>
  <c r="CN32" i="20"/>
  <c r="CC32" i="20"/>
  <c r="BR32" i="20"/>
  <c r="BG32" i="20"/>
  <c r="DD32" i="20"/>
  <c r="CS32" i="20"/>
  <c r="CH32" i="20"/>
  <c r="BW32" i="20"/>
  <c r="BL32" i="20"/>
  <c r="BA32" i="20"/>
  <c r="BD27" i="9"/>
  <c r="AC68" i="8"/>
  <c r="AG68" i="8" s="1"/>
  <c r="M55" i="8"/>
  <c r="AA55" i="8" s="1"/>
  <c r="AE55" i="8" s="1"/>
  <c r="AA56" i="8"/>
  <c r="AE56" i="8" s="1"/>
  <c r="EC15" i="25"/>
  <c r="DR15" i="25"/>
  <c r="DF15" i="25"/>
  <c r="CU15" i="25"/>
  <c r="CJ15" i="25"/>
  <c r="EH15" i="25"/>
  <c r="DL15" i="25"/>
  <c r="CP15" i="25"/>
  <c r="DW15" i="25"/>
  <c r="CE15" i="25"/>
  <c r="DA15" i="25"/>
  <c r="I9" i="3"/>
  <c r="CY27" i="17"/>
  <c r="CN27" i="17"/>
  <c r="CC27" i="17"/>
  <c r="BR27" i="17"/>
  <c r="BG27" i="17"/>
  <c r="DD27" i="17"/>
  <c r="CS27" i="17"/>
  <c r="CH27" i="17"/>
  <c r="BW27" i="17"/>
  <c r="BL27" i="17"/>
  <c r="BA27" i="17"/>
  <c r="DD29" i="17"/>
  <c r="CS29" i="17"/>
  <c r="CH29" i="17"/>
  <c r="BW29" i="17"/>
  <c r="BL29" i="17"/>
  <c r="BA29" i="17"/>
  <c r="CY29" i="17"/>
  <c r="CN29" i="17"/>
  <c r="CC29" i="17"/>
  <c r="BR29" i="17"/>
  <c r="BG29" i="17"/>
  <c r="FO11" i="19"/>
  <c r="FD11" i="19"/>
  <c r="ES11" i="19"/>
  <c r="EH11" i="19"/>
  <c r="DW11" i="19"/>
  <c r="DL11" i="19"/>
  <c r="FJ11" i="19"/>
  <c r="EY11" i="19"/>
  <c r="EN11" i="19"/>
  <c r="EC11" i="19"/>
  <c r="DR11" i="19"/>
  <c r="GN28" i="18"/>
  <c r="GC28" i="18"/>
  <c r="FR28" i="18"/>
  <c r="FG28" i="18"/>
  <c r="EV28" i="18"/>
  <c r="GS28" i="18"/>
  <c r="GH28" i="18"/>
  <c r="FW28" i="18"/>
  <c r="FL28" i="18"/>
  <c r="FA28" i="18"/>
  <c r="EP28" i="18"/>
  <c r="X73" i="8"/>
  <c r="D34" i="10" s="1"/>
  <c r="AG847" i="7"/>
  <c r="AC74" i="8"/>
  <c r="AG74" i="8" s="1"/>
  <c r="AB74" i="8"/>
  <c r="AF74" i="8" s="1"/>
  <c r="N73" i="8"/>
  <c r="T847" i="7"/>
  <c r="GN28" i="24"/>
  <c r="GC28" i="24"/>
  <c r="FR28" i="24"/>
  <c r="FG28" i="24"/>
  <c r="EV28" i="24"/>
  <c r="GS28" i="24"/>
  <c r="FW28" i="24"/>
  <c r="FA28" i="24"/>
  <c r="FL28" i="24"/>
  <c r="GH28" i="24"/>
  <c r="EP28" i="24"/>
  <c r="D56" i="10"/>
  <c r="AG149" i="8"/>
  <c r="AO1349" i="7"/>
  <c r="X34" i="7"/>
  <c r="D57" i="10"/>
  <c r="AG150" i="8"/>
  <c r="AO1321" i="7"/>
  <c r="AO1348" i="7"/>
  <c r="BF1347" i="7"/>
  <c r="AO1347" i="7" s="1"/>
  <c r="D198" i="10"/>
  <c r="D170" i="10"/>
  <c r="D76" i="10"/>
  <c r="D169" i="10" s="1"/>
  <c r="D77" i="10"/>
  <c r="DD25" i="17"/>
  <c r="CS25" i="17"/>
  <c r="CH25" i="17"/>
  <c r="BW25" i="17"/>
  <c r="BL25" i="17"/>
  <c r="BA25" i="17"/>
  <c r="CY25" i="17"/>
  <c r="CN25" i="17"/>
  <c r="CC25" i="17"/>
  <c r="BR25" i="17"/>
  <c r="BG25" i="17"/>
  <c r="FJ13" i="19"/>
  <c r="EY13" i="19"/>
  <c r="EN13" i="19"/>
  <c r="EC13" i="19"/>
  <c r="DR13" i="19"/>
  <c r="FO13" i="19"/>
  <c r="FD13" i="19"/>
  <c r="ES13" i="19"/>
  <c r="EH13" i="19"/>
  <c r="DW13" i="19"/>
  <c r="DL13" i="19"/>
  <c r="DD25" i="21"/>
  <c r="CS25" i="21"/>
  <c r="CH25" i="21"/>
  <c r="BW25" i="21"/>
  <c r="BL25" i="21"/>
  <c r="BA25" i="21"/>
  <c r="CN25" i="21"/>
  <c r="BR25" i="21"/>
  <c r="CY25" i="21"/>
  <c r="CC25" i="21"/>
  <c r="BG25" i="21"/>
  <c r="DD17" i="21"/>
  <c r="CS17" i="21"/>
  <c r="CH17" i="21"/>
  <c r="BW17" i="21"/>
  <c r="BL17" i="21"/>
  <c r="BA17" i="21"/>
  <c r="CN17" i="21"/>
  <c r="BR17" i="21"/>
  <c r="CY17" i="21"/>
  <c r="CC17" i="21"/>
  <c r="BG17" i="21"/>
  <c r="AI825" i="7"/>
  <c r="P825" i="7" s="1"/>
  <c r="AB67" i="8"/>
  <c r="AF67" i="8" s="1"/>
  <c r="GN34" i="22"/>
  <c r="GC34" i="22"/>
  <c r="FR34" i="22"/>
  <c r="FG34" i="22"/>
  <c r="EV34" i="22"/>
  <c r="GH34" i="22"/>
  <c r="FL34" i="22"/>
  <c r="EP34" i="22"/>
  <c r="GS34" i="22"/>
  <c r="FW34" i="22"/>
  <c r="FA34" i="22"/>
  <c r="GN13" i="23"/>
  <c r="GC13" i="23"/>
  <c r="FR13" i="23"/>
  <c r="FG13" i="23"/>
  <c r="EV13" i="23"/>
  <c r="GH13" i="23"/>
  <c r="FL13" i="23"/>
  <c r="EP13" i="23"/>
  <c r="GS13" i="23"/>
  <c r="FW13" i="23"/>
  <c r="FA13" i="23"/>
  <c r="EC30" i="23"/>
  <c r="DR30" i="23"/>
  <c r="DF30" i="23"/>
  <c r="CU30" i="23"/>
  <c r="CJ30" i="23"/>
  <c r="DW30" i="23"/>
  <c r="DA30" i="23"/>
  <c r="CE30" i="23"/>
  <c r="EH30" i="23"/>
  <c r="DL30" i="23"/>
  <c r="CP30" i="23"/>
  <c r="EC28" i="26"/>
  <c r="DR28" i="26"/>
  <c r="DF28" i="26"/>
  <c r="CU28" i="26"/>
  <c r="CJ28" i="26"/>
  <c r="DW28" i="26"/>
  <c r="DA28" i="26"/>
  <c r="CE28" i="26"/>
  <c r="DL28" i="26"/>
  <c r="CP28" i="26"/>
  <c r="EH28" i="26"/>
  <c r="I4" i="8"/>
  <c r="GS24" i="17"/>
  <c r="GH24" i="17"/>
  <c r="FW24" i="17"/>
  <c r="FL24" i="17"/>
  <c r="FA24" i="17"/>
  <c r="EP24" i="17"/>
  <c r="GN24" i="17"/>
  <c r="GC24" i="17"/>
  <c r="FR24" i="17"/>
  <c r="FG24" i="17"/>
  <c r="EV24" i="17"/>
  <c r="DD19" i="18"/>
  <c r="CS19" i="18"/>
  <c r="CH19" i="18"/>
  <c r="BW19" i="18"/>
  <c r="BL19" i="18"/>
  <c r="BA19" i="18"/>
  <c r="CY19" i="18"/>
  <c r="CN19" i="18"/>
  <c r="CC19" i="18"/>
  <c r="BR19" i="18"/>
  <c r="BG19" i="18"/>
  <c r="CY21" i="18"/>
  <c r="CN21" i="18"/>
  <c r="CC21" i="18"/>
  <c r="BR21" i="18"/>
  <c r="BG21" i="18"/>
  <c r="DD21" i="18"/>
  <c r="CS21" i="18"/>
  <c r="CH21" i="18"/>
  <c r="BW21" i="18"/>
  <c r="BL21" i="18"/>
  <c r="BA21" i="18"/>
  <c r="K3" i="8"/>
  <c r="EH22" i="25"/>
  <c r="DW22" i="25"/>
  <c r="DL22" i="25"/>
  <c r="DA22" i="25"/>
  <c r="CP22" i="25"/>
  <c r="CE22" i="25"/>
  <c r="EC22" i="25"/>
  <c r="DF22" i="25"/>
  <c r="CJ22" i="25"/>
  <c r="DR22" i="25"/>
  <c r="CU22" i="25"/>
  <c r="FO33" i="18"/>
  <c r="FD33" i="18"/>
  <c r="ES33" i="18"/>
  <c r="EH33" i="18"/>
  <c r="DW33" i="18"/>
  <c r="DL33" i="18"/>
  <c r="FJ33" i="18"/>
  <c r="EY33" i="18"/>
  <c r="EN33" i="18"/>
  <c r="EC33" i="18"/>
  <c r="DR33" i="18"/>
  <c r="DD26" i="21"/>
  <c r="CS26" i="21"/>
  <c r="CH26" i="21"/>
  <c r="BW26" i="21"/>
  <c r="BL26" i="21"/>
  <c r="BA26" i="21"/>
  <c r="CY26" i="21"/>
  <c r="CC26" i="21"/>
  <c r="BG26" i="21"/>
  <c r="CN26" i="21"/>
  <c r="BR26" i="21"/>
  <c r="Z66" i="8"/>
  <c r="AD66" i="8" s="1"/>
  <c r="N66" i="8"/>
  <c r="AB78" i="8"/>
  <c r="AF78" i="8" s="1"/>
  <c r="AF959" i="7"/>
  <c r="N76" i="8"/>
  <c r="C80" i="10"/>
  <c r="N203" i="8"/>
  <c r="AF203" i="8" s="1"/>
  <c r="AF177" i="8"/>
  <c r="D80" i="10"/>
  <c r="D84" i="10" s="1"/>
  <c r="X203" i="8"/>
  <c r="AG203" i="8" s="1"/>
  <c r="AG177" i="8"/>
  <c r="GS21" i="24"/>
  <c r="GH21" i="24"/>
  <c r="FW21" i="24"/>
  <c r="FL21" i="24"/>
  <c r="FA21" i="24"/>
  <c r="EP21" i="24"/>
  <c r="GC21" i="24"/>
  <c r="FG21" i="24"/>
  <c r="FR21" i="24"/>
  <c r="GN21" i="24"/>
  <c r="EV21" i="24"/>
  <c r="DD21" i="19"/>
  <c r="CS21" i="19"/>
  <c r="CH21" i="19"/>
  <c r="BW21" i="19"/>
  <c r="BL21" i="19"/>
  <c r="BA21" i="19"/>
  <c r="CY21" i="19"/>
  <c r="CN21" i="19"/>
  <c r="CC21" i="19"/>
  <c r="BR21" i="19"/>
  <c r="BG21" i="19"/>
  <c r="FJ21" i="17"/>
  <c r="EY21" i="17"/>
  <c r="EN21" i="17"/>
  <c r="EC21" i="17"/>
  <c r="DR21" i="17"/>
  <c r="FO21" i="17"/>
  <c r="FD21" i="17"/>
  <c r="ES21" i="17"/>
  <c r="EH21" i="17"/>
  <c r="DW21" i="17"/>
  <c r="DL21" i="17"/>
  <c r="C10" i="10"/>
  <c r="AB11" i="8"/>
  <c r="AF11" i="8" s="1"/>
  <c r="GN16" i="18"/>
  <c r="GC16" i="18"/>
  <c r="FR16" i="18"/>
  <c r="FG16" i="18"/>
  <c r="EV16" i="18"/>
  <c r="GS16" i="18"/>
  <c r="GH16" i="18"/>
  <c r="FW16" i="18"/>
  <c r="FL16" i="18"/>
  <c r="FA16" i="18"/>
  <c r="EP16" i="18"/>
  <c r="AW558" i="7"/>
  <c r="FJ27" i="18"/>
  <c r="EY27" i="18"/>
  <c r="EN27" i="18"/>
  <c r="EC27" i="18"/>
  <c r="DR27" i="18"/>
  <c r="FO27" i="18"/>
  <c r="FD27" i="18"/>
  <c r="ES27" i="18"/>
  <c r="EH27" i="18"/>
  <c r="DW27" i="18"/>
  <c r="DL27" i="18"/>
  <c r="P320" i="7"/>
  <c r="AT325" i="7"/>
  <c r="P330" i="7"/>
  <c r="M5" i="8"/>
  <c r="AA7" i="8"/>
  <c r="AE7" i="8" s="1"/>
  <c r="N7" i="8"/>
  <c r="AC57" i="8"/>
  <c r="AG57" i="8" s="1"/>
  <c r="X56" i="8"/>
  <c r="Z56" i="8"/>
  <c r="AD56" i="8" s="1"/>
  <c r="I55" i="8"/>
  <c r="Z55" i="8" s="1"/>
  <c r="AD55" i="8" s="1"/>
  <c r="E178" i="10"/>
  <c r="E204" i="10"/>
  <c r="E185" i="10"/>
  <c r="EH28" i="24"/>
  <c r="DW28" i="24"/>
  <c r="DL28" i="24"/>
  <c r="DA28" i="24"/>
  <c r="CP28" i="24"/>
  <c r="CE28" i="24"/>
  <c r="EC28" i="24"/>
  <c r="DF28" i="24"/>
  <c r="CJ28" i="24"/>
  <c r="DR28" i="24"/>
  <c r="CU28" i="24"/>
  <c r="CY32" i="17"/>
  <c r="CN32" i="17"/>
  <c r="CC32" i="17"/>
  <c r="BR32" i="17"/>
  <c r="BG32" i="17"/>
  <c r="DD32" i="17"/>
  <c r="CS32" i="17"/>
  <c r="CH32" i="17"/>
  <c r="BW32" i="17"/>
  <c r="BL32" i="17"/>
  <c r="BA32" i="17"/>
  <c r="GS11" i="24"/>
  <c r="GH11" i="24"/>
  <c r="FW11" i="24"/>
  <c r="FL11" i="24"/>
  <c r="FA11" i="24"/>
  <c r="EP11" i="24"/>
  <c r="GN11" i="24"/>
  <c r="FR11" i="24"/>
  <c r="EV11" i="24"/>
  <c r="GC11" i="24"/>
  <c r="FG11" i="24"/>
  <c r="C78" i="10"/>
  <c r="BD15" i="9"/>
  <c r="D35" i="10"/>
  <c r="AC76" i="8"/>
  <c r="AG76" i="8" s="1"/>
  <c r="EH10" i="27"/>
  <c r="DW10" i="27"/>
  <c r="DL10" i="27"/>
  <c r="DA10" i="27"/>
  <c r="CP10" i="27"/>
  <c r="CE10" i="27"/>
  <c r="EC10" i="27"/>
  <c r="DF10" i="27"/>
  <c r="CJ10" i="27"/>
  <c r="DR10" i="27"/>
  <c r="CU10" i="27"/>
  <c r="GS10" i="26"/>
  <c r="GH10" i="26"/>
  <c r="FW10" i="26"/>
  <c r="FL10" i="26"/>
  <c r="FA10" i="26"/>
  <c r="EP10" i="26"/>
  <c r="GN10" i="26"/>
  <c r="FR10" i="26"/>
  <c r="EV10" i="26"/>
  <c r="GC10" i="26"/>
  <c r="FG10" i="26"/>
  <c r="S4" i="8"/>
  <c r="FJ13" i="17"/>
  <c r="EY13" i="17"/>
  <c r="EN13" i="17"/>
  <c r="EC13" i="17"/>
  <c r="DR13" i="17"/>
  <c r="FO13" i="17"/>
  <c r="FD13" i="17"/>
  <c r="ES13" i="17"/>
  <c r="EH13" i="17"/>
  <c r="DW13" i="17"/>
  <c r="DL13" i="17"/>
  <c r="GN34" i="17"/>
  <c r="GC34" i="17"/>
  <c r="FR34" i="17"/>
  <c r="FG34" i="17"/>
  <c r="EV34" i="17"/>
  <c r="GS34" i="17"/>
  <c r="GH34" i="17"/>
  <c r="FW34" i="17"/>
  <c r="FL34" i="17"/>
  <c r="FA34" i="17"/>
  <c r="EP34" i="17"/>
  <c r="FJ33" i="17"/>
  <c r="EY33" i="17"/>
  <c r="EN33" i="17"/>
  <c r="EC33" i="17"/>
  <c r="DR33" i="17"/>
  <c r="FO33" i="17"/>
  <c r="FD33" i="17"/>
  <c r="ES33" i="17"/>
  <c r="EH33" i="17"/>
  <c r="DW33" i="17"/>
  <c r="DL33" i="17"/>
  <c r="D12" i="10"/>
  <c r="X13" i="8"/>
  <c r="AC14" i="8"/>
  <c r="AG14" i="8" s="1"/>
  <c r="M35" i="8"/>
  <c r="AA35" i="8" s="1"/>
  <c r="AE35" i="8" s="1"/>
  <c r="AA36" i="8"/>
  <c r="AE36" i="8" s="1"/>
  <c r="D72" i="10"/>
  <c r="AG169" i="8"/>
  <c r="BD9" i="9"/>
  <c r="C72" i="10"/>
  <c r="C233" i="10" s="1"/>
  <c r="AF169" i="8"/>
  <c r="EH25" i="26"/>
  <c r="DW25" i="26"/>
  <c r="DL25" i="26"/>
  <c r="DA25" i="26"/>
  <c r="CP25" i="26"/>
  <c r="CE25" i="26"/>
  <c r="EC25" i="26"/>
  <c r="DF25" i="26"/>
  <c r="CJ25" i="26"/>
  <c r="CU25" i="26"/>
  <c r="DR25" i="26"/>
  <c r="EH12" i="24"/>
  <c r="DW12" i="24"/>
  <c r="DL12" i="24"/>
  <c r="DA12" i="24"/>
  <c r="CP12" i="24"/>
  <c r="CE12" i="24"/>
  <c r="EC12" i="24"/>
  <c r="DF12" i="24"/>
  <c r="CJ12" i="24"/>
  <c r="CU12" i="24"/>
  <c r="DR12" i="24"/>
  <c r="FO11" i="21"/>
  <c r="FD11" i="21"/>
  <c r="ES11" i="21"/>
  <c r="EH11" i="21"/>
  <c r="DW11" i="21"/>
  <c r="DL11" i="21"/>
  <c r="EY11" i="21"/>
  <c r="EC11" i="21"/>
  <c r="FJ11" i="21"/>
  <c r="EN11" i="21"/>
  <c r="DR11" i="21"/>
  <c r="FJ31" i="18"/>
  <c r="EY31" i="18"/>
  <c r="EN31" i="18"/>
  <c r="EC31" i="18"/>
  <c r="DR31" i="18"/>
  <c r="FO31" i="18"/>
  <c r="FD31" i="18"/>
  <c r="ES31" i="18"/>
  <c r="EH31" i="18"/>
  <c r="DW31" i="18"/>
  <c r="DL31" i="18"/>
  <c r="C56" i="10"/>
  <c r="AF149" i="8"/>
  <c r="AF1349" i="7"/>
  <c r="J34" i="7"/>
  <c r="EC9" i="25"/>
  <c r="DR9" i="25"/>
  <c r="DF9" i="25"/>
  <c r="CU9" i="25"/>
  <c r="CJ9" i="25"/>
  <c r="DW9" i="25"/>
  <c r="DA9" i="25"/>
  <c r="CE9" i="25"/>
  <c r="EH9" i="25"/>
  <c r="CP9" i="25"/>
  <c r="DL9" i="25"/>
  <c r="EH34" i="22"/>
  <c r="DW34" i="22"/>
  <c r="DL34" i="22"/>
  <c r="DA34" i="22"/>
  <c r="CP34" i="22"/>
  <c r="CE34" i="22"/>
  <c r="DR34" i="22"/>
  <c r="CU34" i="22"/>
  <c r="EC34" i="22"/>
  <c r="DF34" i="22"/>
  <c r="CJ34" i="22"/>
  <c r="GN33" i="23"/>
  <c r="GC33" i="23"/>
  <c r="FR33" i="23"/>
  <c r="FG33" i="23"/>
  <c r="EV33" i="23"/>
  <c r="GS33" i="23"/>
  <c r="FW33" i="23"/>
  <c r="FA33" i="23"/>
  <c r="FL33" i="23"/>
  <c r="GH33" i="23"/>
  <c r="EP33" i="23"/>
  <c r="GS6" i="23"/>
  <c r="GH6" i="23"/>
  <c r="FW6" i="23"/>
  <c r="FL6" i="23"/>
  <c r="FA6" i="23"/>
  <c r="EP6" i="23"/>
  <c r="GN6" i="23"/>
  <c r="FR6" i="23"/>
  <c r="EV6" i="23"/>
  <c r="GC6" i="23"/>
  <c r="FG6" i="23"/>
  <c r="GS20" i="21"/>
  <c r="GH20" i="21"/>
  <c r="FW20" i="21"/>
  <c r="FL20" i="21"/>
  <c r="FA20" i="21"/>
  <c r="EP20" i="21"/>
  <c r="GN20" i="21"/>
  <c r="FR20" i="21"/>
  <c r="EV20" i="21"/>
  <c r="GC20" i="21"/>
  <c r="FG20" i="21"/>
  <c r="GS9" i="27"/>
  <c r="GH9" i="27"/>
  <c r="FW9" i="27"/>
  <c r="FL9" i="27"/>
  <c r="FA9" i="27"/>
  <c r="EP9" i="27"/>
  <c r="GN9" i="27"/>
  <c r="FR9" i="27"/>
  <c r="EV9" i="27"/>
  <c r="FG9" i="27"/>
  <c r="GC9" i="27"/>
  <c r="D22" i="10"/>
  <c r="X36" i="8"/>
  <c r="AC37" i="8"/>
  <c r="AG37" i="8" s="1"/>
  <c r="AS102" i="8"/>
  <c r="AS82" i="8" s="1"/>
  <c r="AS81" i="8" s="1"/>
  <c r="C12" i="10"/>
  <c r="AB14" i="8"/>
  <c r="AF14" i="8" s="1"/>
  <c r="N13" i="8"/>
  <c r="CY9" i="22"/>
  <c r="CN9" i="22"/>
  <c r="CC9" i="22"/>
  <c r="BR9" i="22"/>
  <c r="BG9" i="22"/>
  <c r="DD9" i="22"/>
  <c r="CH9" i="22"/>
  <c r="BL9" i="22"/>
  <c r="CS9" i="22"/>
  <c r="BA9" i="22"/>
  <c r="BW9" i="22"/>
  <c r="GS24" i="26"/>
  <c r="GH24" i="26"/>
  <c r="FW24" i="26"/>
  <c r="FL24" i="26"/>
  <c r="FA24" i="26"/>
  <c r="EP24" i="26"/>
  <c r="GN24" i="26"/>
  <c r="FR24" i="26"/>
  <c r="EV24" i="26"/>
  <c r="GC24" i="26"/>
  <c r="FG24" i="26"/>
  <c r="GS9" i="25"/>
  <c r="GH9" i="25"/>
  <c r="FW9" i="25"/>
  <c r="FL9" i="25"/>
  <c r="FA9" i="25"/>
  <c r="EP9" i="25"/>
  <c r="GN9" i="25"/>
  <c r="FR9" i="25"/>
  <c r="EV9" i="25"/>
  <c r="GC9" i="25"/>
  <c r="FG9" i="25"/>
  <c r="GN7" i="26"/>
  <c r="GC7" i="26"/>
  <c r="FR7" i="26"/>
  <c r="FG7" i="26"/>
  <c r="EV7" i="26"/>
  <c r="GS7" i="26"/>
  <c r="FW7" i="26"/>
  <c r="FA7" i="26"/>
  <c r="FL7" i="26"/>
  <c r="GH7" i="26"/>
  <c r="EP7" i="26"/>
  <c r="EC13" i="25"/>
  <c r="DR13" i="25"/>
  <c r="DF13" i="25"/>
  <c r="CU13" i="25"/>
  <c r="CJ13" i="25"/>
  <c r="DW13" i="25"/>
  <c r="DA13" i="25"/>
  <c r="CE13" i="25"/>
  <c r="DL13" i="25"/>
  <c r="EH13" i="25"/>
  <c r="CP13" i="25"/>
  <c r="C13" i="10"/>
  <c r="AB15" i="8"/>
  <c r="AF15" i="8" s="1"/>
  <c r="EH24" i="24"/>
  <c r="DW24" i="24"/>
  <c r="DL24" i="24"/>
  <c r="DA24" i="24"/>
  <c r="CP24" i="24"/>
  <c r="CE24" i="24"/>
  <c r="EC24" i="24"/>
  <c r="DF24" i="24"/>
  <c r="CJ24" i="24"/>
  <c r="CU24" i="24"/>
  <c r="DR24" i="24"/>
  <c r="D38" i="10"/>
  <c r="AC83" i="8"/>
  <c r="AG83" i="8" s="1"/>
  <c r="FJ11" i="18"/>
  <c r="EY11" i="18"/>
  <c r="EN11" i="18"/>
  <c r="EC11" i="18"/>
  <c r="DR11" i="18"/>
  <c r="FO11" i="18"/>
  <c r="FD11" i="18"/>
  <c r="ES11" i="18"/>
  <c r="EH11" i="18"/>
  <c r="DW11" i="18"/>
  <c r="DL11" i="18"/>
  <c r="FJ25" i="17"/>
  <c r="EY25" i="17"/>
  <c r="EN25" i="17"/>
  <c r="EC25" i="17"/>
  <c r="DR25" i="17"/>
  <c r="FO25" i="17"/>
  <c r="FD25" i="17"/>
  <c r="ES25" i="17"/>
  <c r="EH25" i="17"/>
  <c r="DW25" i="17"/>
  <c r="DL25" i="17"/>
  <c r="DD13" i="19"/>
  <c r="CS13" i="19"/>
  <c r="CH13" i="19"/>
  <c r="BW13" i="19"/>
  <c r="BL13" i="19"/>
  <c r="BA13" i="19"/>
  <c r="CY13" i="19"/>
  <c r="CN13" i="19"/>
  <c r="CC13" i="19"/>
  <c r="BR13" i="19"/>
  <c r="BG13" i="19"/>
  <c r="EC27" i="24"/>
  <c r="DR27" i="24"/>
  <c r="DF27" i="24"/>
  <c r="CU27" i="24"/>
  <c r="CJ27" i="24"/>
  <c r="DW27" i="24"/>
  <c r="DA27" i="24"/>
  <c r="CE27" i="24"/>
  <c r="DL27" i="24"/>
  <c r="EH27" i="24"/>
  <c r="CP27" i="24"/>
  <c r="CY27" i="21"/>
  <c r="CN27" i="21"/>
  <c r="CC27" i="21"/>
  <c r="BR27" i="21"/>
  <c r="BG27" i="21"/>
  <c r="DD27" i="21"/>
  <c r="CH27" i="21"/>
  <c r="BL27" i="21"/>
  <c r="CS27" i="21"/>
  <c r="BW27" i="21"/>
  <c r="BA27" i="21"/>
  <c r="AB69" i="8"/>
  <c r="AF69" i="8" s="1"/>
  <c r="N68" i="8"/>
  <c r="AB64" i="8"/>
  <c r="AF64" i="8" s="1"/>
  <c r="AI822" i="7"/>
  <c r="P822" i="7" s="1"/>
  <c r="CY23" i="21"/>
  <c r="CN23" i="21"/>
  <c r="CC23" i="21"/>
  <c r="BR23" i="21"/>
  <c r="BG23" i="21"/>
  <c r="CS23" i="21"/>
  <c r="BW23" i="21"/>
  <c r="BA23" i="21"/>
  <c r="DD23" i="21"/>
  <c r="CH23" i="21"/>
  <c r="BL23" i="21"/>
  <c r="BD107" i="9"/>
  <c r="AC89" i="8"/>
  <c r="AG89" i="8" s="1"/>
  <c r="GN14" i="25"/>
  <c r="GC14" i="25"/>
  <c r="FR14" i="25"/>
  <c r="FG14" i="25"/>
  <c r="EV14" i="25"/>
  <c r="GS14" i="25"/>
  <c r="FW14" i="25"/>
  <c r="FA14" i="25"/>
  <c r="FL14" i="25"/>
  <c r="GH14" i="25"/>
  <c r="EP14" i="25"/>
  <c r="C45" i="10"/>
  <c r="BB104" i="9"/>
  <c r="BB96" i="9" s="1"/>
  <c r="AI104" i="9"/>
  <c r="AI96" i="9" s="1"/>
  <c r="AB104" i="8"/>
  <c r="AF104" i="8" s="1"/>
  <c r="T1074" i="7"/>
  <c r="T1077" i="7" s="1"/>
  <c r="AT330" i="7"/>
  <c r="GN14" i="17"/>
  <c r="GC14" i="17"/>
  <c r="FR14" i="17"/>
  <c r="FG14" i="17"/>
  <c r="EV14" i="17"/>
  <c r="GS14" i="17"/>
  <c r="GH14" i="17"/>
  <c r="FW14" i="17"/>
  <c r="FL14" i="17"/>
  <c r="FA14" i="17"/>
  <c r="EP14" i="17"/>
  <c r="CY11" i="17"/>
  <c r="CN11" i="17"/>
  <c r="CC11" i="17"/>
  <c r="BR11" i="17"/>
  <c r="BG11" i="17"/>
  <c r="DD11" i="17"/>
  <c r="CS11" i="17"/>
  <c r="CH11" i="17"/>
  <c r="BW11" i="17"/>
  <c r="BL11" i="17"/>
  <c r="BA11" i="17"/>
  <c r="D17" i="10"/>
  <c r="X23" i="8"/>
  <c r="AC24" i="8"/>
  <c r="AG24" i="8" s="1"/>
  <c r="C17" i="10"/>
  <c r="AB24" i="8"/>
  <c r="AF24" i="8" s="1"/>
  <c r="N23" i="8"/>
  <c r="AP585" i="7"/>
  <c r="AG848" i="7"/>
  <c r="AC75" i="8"/>
  <c r="AG75" i="8" s="1"/>
  <c r="EC30" i="25"/>
  <c r="DR30" i="25"/>
  <c r="DF30" i="25"/>
  <c r="CU30" i="25"/>
  <c r="CJ30" i="25"/>
  <c r="EH30" i="25"/>
  <c r="DL30" i="25"/>
  <c r="CP30" i="25"/>
  <c r="DW30" i="25"/>
  <c r="CE30" i="25"/>
  <c r="DA30" i="25"/>
  <c r="C69" i="10"/>
  <c r="AF163" i="8"/>
  <c r="N158" i="8"/>
  <c r="FO15" i="21"/>
  <c r="FD15" i="21"/>
  <c r="ES15" i="21"/>
  <c r="EH15" i="21"/>
  <c r="DW15" i="21"/>
  <c r="DL15" i="21"/>
  <c r="FJ15" i="21"/>
  <c r="EN15" i="21"/>
  <c r="DR15" i="21"/>
  <c r="EY15" i="21"/>
  <c r="EC15" i="21"/>
  <c r="FJ27" i="19"/>
  <c r="EY27" i="19"/>
  <c r="EN27" i="19"/>
  <c r="EC27" i="19"/>
  <c r="DR27" i="19"/>
  <c r="FO27" i="19"/>
  <c r="FD27" i="19"/>
  <c r="ES27" i="19"/>
  <c r="EH27" i="19"/>
  <c r="DW27" i="19"/>
  <c r="DL27" i="19"/>
  <c r="CY28" i="21"/>
  <c r="CN28" i="21"/>
  <c r="CC28" i="21"/>
  <c r="BR28" i="21"/>
  <c r="BG28" i="21"/>
  <c r="CS28" i="21"/>
  <c r="BW28" i="21"/>
  <c r="BA28" i="21"/>
  <c r="DD28" i="21"/>
  <c r="CH28" i="21"/>
  <c r="BL28" i="21"/>
  <c r="CY13" i="22"/>
  <c r="CN13" i="22"/>
  <c r="CC13" i="22"/>
  <c r="BR13" i="22"/>
  <c r="BG13" i="22"/>
  <c r="CS13" i="22"/>
  <c r="BW13" i="22"/>
  <c r="BA13" i="22"/>
  <c r="CH13" i="22"/>
  <c r="DD13" i="22"/>
  <c r="BL13" i="22"/>
  <c r="CY17" i="22"/>
  <c r="CN17" i="22"/>
  <c r="CC17" i="22"/>
  <c r="BR17" i="22"/>
  <c r="BG17" i="22"/>
  <c r="DD17" i="22"/>
  <c r="CH17" i="22"/>
  <c r="BL17" i="22"/>
  <c r="BW17" i="22"/>
  <c r="CS17" i="22"/>
  <c r="BA17" i="22"/>
  <c r="EC6" i="23"/>
  <c r="DR6" i="23"/>
  <c r="DF6" i="23"/>
  <c r="CU6" i="23"/>
  <c r="CJ6" i="23"/>
  <c r="DW6" i="23"/>
  <c r="DA6" i="23"/>
  <c r="CE6" i="23"/>
  <c r="EH6" i="23"/>
  <c r="DL6" i="23"/>
  <c r="CP6" i="23"/>
  <c r="EH33" i="23"/>
  <c r="DW33" i="23"/>
  <c r="DL33" i="23"/>
  <c r="DA33" i="23"/>
  <c r="CP33" i="23"/>
  <c r="CE33" i="23"/>
  <c r="EC33" i="23"/>
  <c r="DF33" i="23"/>
  <c r="CJ33" i="23"/>
  <c r="DR33" i="23"/>
  <c r="CU33" i="23"/>
  <c r="Z54" i="8"/>
  <c r="AD54" i="8" s="1"/>
  <c r="N54" i="8"/>
  <c r="I43" i="8"/>
  <c r="Z43" i="8" s="1"/>
  <c r="AD43" i="8" s="1"/>
  <c r="EH9" i="26"/>
  <c r="DW9" i="26"/>
  <c r="DL9" i="26"/>
  <c r="DA9" i="26"/>
  <c r="CP9" i="26"/>
  <c r="CE9" i="26"/>
  <c r="DR9" i="26"/>
  <c r="CU9" i="26"/>
  <c r="EC9" i="26"/>
  <c r="CJ9" i="26"/>
  <c r="DF9" i="26"/>
  <c r="GN9" i="26"/>
  <c r="GC9" i="26"/>
  <c r="FR9" i="26"/>
  <c r="FG9" i="26"/>
  <c r="EV9" i="26"/>
  <c r="GH9" i="26"/>
  <c r="FL9" i="26"/>
  <c r="EP9" i="26"/>
  <c r="FW9" i="26"/>
  <c r="GS9" i="26"/>
  <c r="FA9" i="26"/>
  <c r="G135" i="8"/>
  <c r="I135" i="8" s="1"/>
  <c r="N135" i="8" s="1"/>
  <c r="AB135" i="8" s="1"/>
  <c r="AF135" i="8" s="1"/>
  <c r="Z65" i="8"/>
  <c r="AD65" i="8" s="1"/>
  <c r="N65" i="8"/>
  <c r="I35" i="8"/>
  <c r="Z35" i="8" s="1"/>
  <c r="AD35" i="8" s="1"/>
  <c r="Z36" i="8"/>
  <c r="AD36" i="8" s="1"/>
  <c r="C23" i="10"/>
  <c r="AB38" i="8"/>
  <c r="AF38" i="8" s="1"/>
  <c r="D69" i="10"/>
  <c r="D173" i="10" s="1"/>
  <c r="AG163" i="8"/>
  <c r="X158" i="8"/>
  <c r="X175" i="8" s="1"/>
  <c r="GN22" i="25"/>
  <c r="GC22" i="25"/>
  <c r="FR22" i="25"/>
  <c r="FG22" i="25"/>
  <c r="EV22" i="25"/>
  <c r="GS22" i="25"/>
  <c r="FW22" i="25"/>
  <c r="FA22" i="25"/>
  <c r="FL22" i="25"/>
  <c r="GH22" i="25"/>
  <c r="EP22" i="25"/>
  <c r="FJ17" i="17"/>
  <c r="EY17" i="17"/>
  <c r="EN17" i="17"/>
  <c r="EC17" i="17"/>
  <c r="DR17" i="17"/>
  <c r="FO17" i="17"/>
  <c r="FD17" i="17"/>
  <c r="ES17" i="17"/>
  <c r="EH17" i="17"/>
  <c r="DW17" i="17"/>
  <c r="DL17" i="17"/>
  <c r="CY23" i="17"/>
  <c r="CN23" i="17"/>
  <c r="CC23" i="17"/>
  <c r="BR23" i="17"/>
  <c r="BG23" i="17"/>
  <c r="DD23" i="17"/>
  <c r="CS23" i="17"/>
  <c r="CH23" i="17"/>
  <c r="BW23" i="17"/>
  <c r="BL23" i="17"/>
  <c r="BA23" i="17"/>
  <c r="W5" i="8"/>
  <c r="W4" i="8" s="1"/>
  <c r="W3" i="8" s="1"/>
  <c r="X7" i="8"/>
  <c r="P283" i="7"/>
  <c r="AT288" i="7"/>
  <c r="P293" i="7"/>
  <c r="AT293" i="7" s="1"/>
  <c r="S55" i="8"/>
  <c r="CY31" i="20"/>
  <c r="CN31" i="20"/>
  <c r="CC31" i="20"/>
  <c r="BR31" i="20"/>
  <c r="BG31" i="20"/>
  <c r="DD31" i="20"/>
  <c r="CS31" i="20"/>
  <c r="CH31" i="20"/>
  <c r="BW31" i="20"/>
  <c r="BL31" i="20"/>
  <c r="BA31" i="20"/>
  <c r="AB57" i="8"/>
  <c r="AF57" i="8" s="1"/>
  <c r="N56" i="8"/>
  <c r="AI815" i="7"/>
  <c r="P815" i="7" s="1"/>
  <c r="GN24" i="24"/>
  <c r="GC24" i="24"/>
  <c r="FR24" i="24"/>
  <c r="FG24" i="24"/>
  <c r="EV24" i="24"/>
  <c r="GS24" i="24"/>
  <c r="FW24" i="24"/>
  <c r="FA24" i="24"/>
  <c r="GH24" i="24"/>
  <c r="EP24" i="24"/>
  <c r="FL24" i="24"/>
  <c r="E195" i="10"/>
  <c r="E194" i="10"/>
  <c r="C38" i="10"/>
  <c r="AB83" i="8"/>
  <c r="AF83" i="8" s="1"/>
  <c r="CY28" i="17"/>
  <c r="CN28" i="17"/>
  <c r="CC28" i="17"/>
  <c r="BR28" i="17"/>
  <c r="BG28" i="17"/>
  <c r="DD28" i="17"/>
  <c r="CS28" i="17"/>
  <c r="CH28" i="17"/>
  <c r="BW28" i="17"/>
  <c r="BL28" i="17"/>
  <c r="BA28" i="17"/>
  <c r="X124" i="8"/>
  <c r="EH10" i="25"/>
  <c r="DW10" i="25"/>
  <c r="DL10" i="25"/>
  <c r="DA10" i="25"/>
  <c r="CP10" i="25"/>
  <c r="CE10" i="25"/>
  <c r="EC10" i="25"/>
  <c r="DF10" i="25"/>
  <c r="CJ10" i="25"/>
  <c r="CU10" i="25"/>
  <c r="DR10" i="25"/>
  <c r="GS18" i="22"/>
  <c r="GH18" i="22"/>
  <c r="FW18" i="22"/>
  <c r="FL18" i="22"/>
  <c r="FA18" i="22"/>
  <c r="EP18" i="22"/>
  <c r="GN18" i="22"/>
  <c r="FR18" i="22"/>
  <c r="EV18" i="22"/>
  <c r="FG18" i="22"/>
  <c r="GC18" i="22"/>
  <c r="EH13" i="23"/>
  <c r="DW13" i="23"/>
  <c r="DL13" i="23"/>
  <c r="DA13" i="23"/>
  <c r="CP13" i="23"/>
  <c r="CE13" i="23"/>
  <c r="DR13" i="23"/>
  <c r="CU13" i="23"/>
  <c r="EC13" i="23"/>
  <c r="DF13" i="23"/>
  <c r="CJ13" i="23"/>
  <c r="X54" i="8"/>
  <c r="S43" i="8"/>
  <c r="S35" i="8" s="1"/>
  <c r="C88" i="10"/>
  <c r="AI43" i="9"/>
  <c r="BB43" i="9"/>
  <c r="AF205" i="8"/>
  <c r="EH14" i="25"/>
  <c r="DW14" i="25"/>
  <c r="DL14" i="25"/>
  <c r="DA14" i="25"/>
  <c r="CP14" i="25"/>
  <c r="CE14" i="25"/>
  <c r="EC14" i="25"/>
  <c r="DF14" i="25"/>
  <c r="CJ14" i="25"/>
  <c r="DR14" i="25"/>
  <c r="CU14" i="25"/>
  <c r="EC10" i="26"/>
  <c r="DR10" i="26"/>
  <c r="DF10" i="26"/>
  <c r="CU10" i="26"/>
  <c r="CJ10" i="26"/>
  <c r="DW10" i="26"/>
  <c r="DA10" i="26"/>
  <c r="CE10" i="26"/>
  <c r="EH10" i="26"/>
  <c r="CP10" i="26"/>
  <c r="DL10" i="26"/>
  <c r="FO17" i="18"/>
  <c r="FD17" i="18"/>
  <c r="ES17" i="18"/>
  <c r="EH17" i="18"/>
  <c r="DW17" i="18"/>
  <c r="DL17" i="18"/>
  <c r="FJ17" i="18"/>
  <c r="EY17" i="18"/>
  <c r="EN17" i="18"/>
  <c r="EC17" i="18"/>
  <c r="DR17" i="18"/>
  <c r="C22" i="10"/>
  <c r="AB37" i="8"/>
  <c r="AF37" i="8" s="1"/>
  <c r="N36" i="8"/>
  <c r="CY20" i="19"/>
  <c r="CN20" i="19"/>
  <c r="CC20" i="19"/>
  <c r="BR20" i="19"/>
  <c r="BG20" i="19"/>
  <c r="DD20" i="19"/>
  <c r="CS20" i="19"/>
  <c r="CH20" i="19"/>
  <c r="BW20" i="19"/>
  <c r="BL20" i="19"/>
  <c r="BA20" i="19"/>
  <c r="GS28" i="25"/>
  <c r="GH28" i="25"/>
  <c r="FW28" i="25"/>
  <c r="FL28" i="25"/>
  <c r="FA28" i="25"/>
  <c r="EP28" i="25"/>
  <c r="GN28" i="25"/>
  <c r="FR28" i="25"/>
  <c r="EV28" i="25"/>
  <c r="FG28" i="25"/>
  <c r="GC28" i="25"/>
  <c r="EC28" i="25"/>
  <c r="DR28" i="25"/>
  <c r="DF28" i="25"/>
  <c r="CU28" i="25"/>
  <c r="CJ28" i="25"/>
  <c r="DW28" i="25"/>
  <c r="DA28" i="25"/>
  <c r="CE28" i="25"/>
  <c r="DL28" i="25"/>
  <c r="EH28" i="25"/>
  <c r="CP28" i="25"/>
  <c r="C81" i="10"/>
  <c r="AF193" i="8"/>
  <c r="AF1375" i="7"/>
  <c r="FO23" i="19"/>
  <c r="FD23" i="19"/>
  <c r="ES23" i="19"/>
  <c r="EH23" i="19"/>
  <c r="DW23" i="19"/>
  <c r="DL23" i="19"/>
  <c r="EY23" i="19"/>
  <c r="EC23" i="19"/>
  <c r="FJ23" i="19"/>
  <c r="EN23" i="19"/>
  <c r="DR23" i="19"/>
  <c r="C48" i="10"/>
  <c r="AB125" i="8"/>
  <c r="AF125" i="8" s="1"/>
  <c r="N124" i="8"/>
  <c r="EC29" i="24"/>
  <c r="DR29" i="24"/>
  <c r="DF29" i="24"/>
  <c r="CU29" i="24"/>
  <c r="CJ29" i="24"/>
  <c r="EH29" i="24"/>
  <c r="DL29" i="24"/>
  <c r="CP29" i="24"/>
  <c r="DW29" i="24"/>
  <c r="CE29" i="24"/>
  <c r="DA29" i="24"/>
  <c r="EH7" i="26"/>
  <c r="DW7" i="26"/>
  <c r="DL7" i="26"/>
  <c r="DA7" i="26"/>
  <c r="CP7" i="26"/>
  <c r="CE7" i="26"/>
  <c r="EC7" i="26"/>
  <c r="DF7" i="26"/>
  <c r="CJ7" i="26"/>
  <c r="DR7" i="26"/>
  <c r="CU7" i="26"/>
  <c r="C57" i="10"/>
  <c r="N175" i="8"/>
  <c r="AF150" i="8"/>
  <c r="BF1349" i="7"/>
  <c r="AF1347" i="7" s="1"/>
  <c r="AF1348" i="7"/>
  <c r="AF1321" i="7"/>
  <c r="C170" i="10"/>
  <c r="F127" i="10"/>
  <c r="E126" i="10"/>
  <c r="C77" i="10"/>
  <c r="C76" i="10"/>
  <c r="C169" i="10" s="1"/>
  <c r="C198" i="10"/>
  <c r="E127" i="10"/>
  <c r="F126" i="10"/>
  <c r="AB89" i="8"/>
  <c r="AF89" i="8" s="1"/>
  <c r="BD104" i="9"/>
  <c r="BD96" i="9" s="1"/>
  <c r="BD113" i="9" s="1"/>
  <c r="D45" i="10"/>
  <c r="X103" i="8"/>
  <c r="AC104" i="8"/>
  <c r="AG104" i="8" s="1"/>
  <c r="AG1074" i="7"/>
  <c r="AG1077" i="7" s="1"/>
  <c r="X204" i="8" l="1"/>
  <c r="AG175" i="8"/>
  <c r="D113" i="10"/>
  <c r="E95" i="10"/>
  <c r="E114" i="10" s="1"/>
  <c r="D43" i="10"/>
  <c r="AC103" i="8"/>
  <c r="AG103" i="8" s="1"/>
  <c r="N204" i="8"/>
  <c r="AF175" i="8"/>
  <c r="GS18" i="23"/>
  <c r="GH18" i="23"/>
  <c r="FW18" i="23"/>
  <c r="FL18" i="23"/>
  <c r="FA18" i="23"/>
  <c r="EP18" i="23"/>
  <c r="GN18" i="23"/>
  <c r="FR18" i="23"/>
  <c r="EV18" i="23"/>
  <c r="GC18" i="23"/>
  <c r="FG18" i="23"/>
  <c r="D109" i="10"/>
  <c r="E109" i="10"/>
  <c r="EC33" i="22"/>
  <c r="DR33" i="22"/>
  <c r="DF33" i="22"/>
  <c r="CU33" i="22"/>
  <c r="CJ33" i="22"/>
  <c r="EH33" i="22"/>
  <c r="DL33" i="22"/>
  <c r="CP33" i="22"/>
  <c r="DW33" i="22"/>
  <c r="DA33" i="22"/>
  <c r="CE33" i="22"/>
  <c r="EH8" i="25"/>
  <c r="DW8" i="25"/>
  <c r="DL8" i="25"/>
  <c r="DA8" i="25"/>
  <c r="CP8" i="25"/>
  <c r="CE8" i="25"/>
  <c r="DR8" i="25"/>
  <c r="CU8" i="25"/>
  <c r="EC8" i="25"/>
  <c r="CJ8" i="25"/>
  <c r="DF8" i="25"/>
  <c r="C166" i="10"/>
  <c r="C90" i="10"/>
  <c r="EC11" i="24"/>
  <c r="DR11" i="24"/>
  <c r="DF11" i="24"/>
  <c r="CU11" i="24"/>
  <c r="CJ11" i="24"/>
  <c r="DW11" i="24"/>
  <c r="DA11" i="24"/>
  <c r="CE11" i="24"/>
  <c r="EH11" i="24"/>
  <c r="CP11" i="24"/>
  <c r="DL11" i="24"/>
  <c r="EC24" i="26"/>
  <c r="DR24" i="26"/>
  <c r="DF24" i="26"/>
  <c r="CU24" i="26"/>
  <c r="CJ24" i="26"/>
  <c r="DW24" i="26"/>
  <c r="DA24" i="26"/>
  <c r="CE24" i="26"/>
  <c r="EH24" i="26"/>
  <c r="CP24" i="26"/>
  <c r="DL24" i="26"/>
  <c r="C21" i="10"/>
  <c r="BB26" i="9"/>
  <c r="AI26" i="9"/>
  <c r="AB36" i="8"/>
  <c r="AF36" i="8" s="1"/>
  <c r="EC9" i="27"/>
  <c r="DR9" i="27"/>
  <c r="DF9" i="27"/>
  <c r="CU9" i="27"/>
  <c r="CJ9" i="27"/>
  <c r="DW9" i="27"/>
  <c r="DA9" i="27"/>
  <c r="CE9" i="27"/>
  <c r="DL9" i="27"/>
  <c r="EH9" i="27"/>
  <c r="CP9" i="27"/>
  <c r="EC27" i="22"/>
  <c r="DR27" i="22"/>
  <c r="DF27" i="22"/>
  <c r="CU27" i="22"/>
  <c r="CJ27" i="22"/>
  <c r="DW27" i="22"/>
  <c r="DA27" i="22"/>
  <c r="CE27" i="22"/>
  <c r="EH27" i="22"/>
  <c r="DL27" i="22"/>
  <c r="CP27" i="22"/>
  <c r="FO31" i="20"/>
  <c r="FD31" i="20"/>
  <c r="ES31" i="20"/>
  <c r="EH31" i="20"/>
  <c r="DW31" i="20"/>
  <c r="DL31" i="20"/>
  <c r="FJ31" i="20"/>
  <c r="EY31" i="20"/>
  <c r="EN31" i="20"/>
  <c r="EC31" i="20"/>
  <c r="DR31" i="20"/>
  <c r="D7" i="10"/>
  <c r="AC7" i="8"/>
  <c r="AG7" i="8" s="1"/>
  <c r="X5" i="8"/>
  <c r="GS21" i="25"/>
  <c r="GH21" i="25"/>
  <c r="FW21" i="25"/>
  <c r="FL21" i="25"/>
  <c r="FA21" i="25"/>
  <c r="EP21" i="25"/>
  <c r="GN21" i="25"/>
  <c r="FR21" i="25"/>
  <c r="EV21" i="25"/>
  <c r="FG21" i="25"/>
  <c r="GC21" i="25"/>
  <c r="FJ21" i="19"/>
  <c r="EY21" i="19"/>
  <c r="EN21" i="19"/>
  <c r="EC21" i="19"/>
  <c r="DR21" i="19"/>
  <c r="FD21" i="19"/>
  <c r="EH21" i="19"/>
  <c r="DL21" i="19"/>
  <c r="FO21" i="19"/>
  <c r="ES21" i="19"/>
  <c r="DW21" i="19"/>
  <c r="DD17" i="19"/>
  <c r="CS17" i="19"/>
  <c r="CH17" i="19"/>
  <c r="BW17" i="19"/>
  <c r="BL17" i="19"/>
  <c r="BA17" i="19"/>
  <c r="CY17" i="19"/>
  <c r="CN17" i="19"/>
  <c r="CC17" i="19"/>
  <c r="BR17" i="19"/>
  <c r="BG17" i="19"/>
  <c r="AB65" i="8"/>
  <c r="AF65" i="8" s="1"/>
  <c r="AI823" i="7"/>
  <c r="P823" i="7" s="1"/>
  <c r="P826" i="7" s="1"/>
  <c r="EC21" i="24"/>
  <c r="DR21" i="24"/>
  <c r="DF21" i="24"/>
  <c r="CU21" i="24"/>
  <c r="CJ21" i="24"/>
  <c r="EH21" i="24"/>
  <c r="DL21" i="24"/>
  <c r="CP21" i="24"/>
  <c r="DA21" i="24"/>
  <c r="DW21" i="24"/>
  <c r="CE21" i="24"/>
  <c r="AI812" i="7"/>
  <c r="P812" i="7" s="1"/>
  <c r="AB54" i="8"/>
  <c r="AF54" i="8" s="1"/>
  <c r="N43" i="8"/>
  <c r="EC21" i="25"/>
  <c r="DR21" i="25"/>
  <c r="DF21" i="25"/>
  <c r="CU21" i="25"/>
  <c r="CJ21" i="25"/>
  <c r="DW21" i="25"/>
  <c r="DA21" i="25"/>
  <c r="CE21" i="25"/>
  <c r="DL21" i="25"/>
  <c r="EH21" i="25"/>
  <c r="CP21" i="25"/>
  <c r="C16" i="10"/>
  <c r="AI50" i="9"/>
  <c r="BB50" i="9"/>
  <c r="AP600" i="7"/>
  <c r="AP589" i="7" s="1"/>
  <c r="AB23" i="8"/>
  <c r="AF23" i="8" s="1"/>
  <c r="D16" i="10"/>
  <c r="BD50" i="9"/>
  <c r="AC23" i="8"/>
  <c r="AG23" i="8" s="1"/>
  <c r="EC18" i="23"/>
  <c r="DR18" i="23"/>
  <c r="DF18" i="23"/>
  <c r="CU18" i="23"/>
  <c r="CJ18" i="23"/>
  <c r="DW18" i="23"/>
  <c r="DA18" i="23"/>
  <c r="CE18" i="23"/>
  <c r="EH18" i="23"/>
  <c r="DL18" i="23"/>
  <c r="CP18" i="23"/>
  <c r="C34" i="10"/>
  <c r="AI27" i="9"/>
  <c r="BB27" i="9"/>
  <c r="AB68" i="8"/>
  <c r="AF68" i="8" s="1"/>
  <c r="FO31" i="17"/>
  <c r="FD31" i="17"/>
  <c r="ES31" i="17"/>
  <c r="EH31" i="17"/>
  <c r="DW31" i="17"/>
  <c r="DL31" i="17"/>
  <c r="FJ31" i="17"/>
  <c r="EY31" i="17"/>
  <c r="EN31" i="17"/>
  <c r="EC31" i="17"/>
  <c r="DR31" i="17"/>
  <c r="FJ29" i="17"/>
  <c r="EY29" i="17"/>
  <c r="EN29" i="17"/>
  <c r="EC29" i="17"/>
  <c r="DR29" i="17"/>
  <c r="FO29" i="17"/>
  <c r="FD29" i="17"/>
  <c r="ES29" i="17"/>
  <c r="EH29" i="17"/>
  <c r="DW29" i="17"/>
  <c r="DL29" i="17"/>
  <c r="D21" i="10"/>
  <c r="BD26" i="9"/>
  <c r="AC36" i="8"/>
  <c r="AG36" i="8" s="1"/>
  <c r="EC7" i="25"/>
  <c r="DR7" i="25"/>
  <c r="DF7" i="25"/>
  <c r="CU7" i="25"/>
  <c r="CJ7" i="25"/>
  <c r="EH7" i="25"/>
  <c r="DL7" i="25"/>
  <c r="CP7" i="25"/>
  <c r="DW7" i="25"/>
  <c r="CE7" i="25"/>
  <c r="DA7" i="25"/>
  <c r="GN27" i="25"/>
  <c r="GC27" i="25"/>
  <c r="FR27" i="25"/>
  <c r="GH27" i="25"/>
  <c r="FL27" i="25"/>
  <c r="FA27" i="25"/>
  <c r="EP27" i="25"/>
  <c r="GS27" i="25"/>
  <c r="FG27" i="25"/>
  <c r="FW27" i="25"/>
  <c r="EV27" i="25"/>
  <c r="DD18" i="19"/>
  <c r="CS18" i="19"/>
  <c r="CH18" i="19"/>
  <c r="BW18" i="19"/>
  <c r="BL18" i="19"/>
  <c r="BA18" i="19"/>
  <c r="CY18" i="19"/>
  <c r="CN18" i="19"/>
  <c r="CC18" i="19"/>
  <c r="BR18" i="19"/>
  <c r="BG18" i="19"/>
  <c r="GN30" i="17"/>
  <c r="GC30" i="17"/>
  <c r="FR30" i="17"/>
  <c r="FG30" i="17"/>
  <c r="EV30" i="17"/>
  <c r="GS30" i="17"/>
  <c r="GH30" i="17"/>
  <c r="FW30" i="17"/>
  <c r="FL30" i="17"/>
  <c r="FA30" i="17"/>
  <c r="EP30" i="17"/>
  <c r="S3" i="8"/>
  <c r="E98" i="10"/>
  <c r="DD29" i="20"/>
  <c r="CS29" i="20"/>
  <c r="CH29" i="20"/>
  <c r="BW29" i="20"/>
  <c r="BL29" i="20"/>
  <c r="BA29" i="20"/>
  <c r="CY29" i="20"/>
  <c r="CN29" i="20"/>
  <c r="CC29" i="20"/>
  <c r="BR29" i="20"/>
  <c r="BG29" i="20"/>
  <c r="GS32" i="20"/>
  <c r="GH32" i="20"/>
  <c r="FW32" i="20"/>
  <c r="FL32" i="20"/>
  <c r="FA32" i="20"/>
  <c r="EP32" i="20"/>
  <c r="GN32" i="20"/>
  <c r="GC32" i="20"/>
  <c r="FR32" i="20"/>
  <c r="FG32" i="20"/>
  <c r="EV32" i="20"/>
  <c r="CY16" i="17"/>
  <c r="CN16" i="17"/>
  <c r="CC16" i="17"/>
  <c r="BR16" i="17"/>
  <c r="BG16" i="17"/>
  <c r="DD16" i="17"/>
  <c r="CS16" i="17"/>
  <c r="CH16" i="17"/>
  <c r="BW16" i="17"/>
  <c r="BL16" i="17"/>
  <c r="BA16" i="17"/>
  <c r="AT320" i="7"/>
  <c r="P328" i="7"/>
  <c r="AT328" i="7" s="1"/>
  <c r="FO23" i="17"/>
  <c r="FD23" i="17"/>
  <c r="ES23" i="17"/>
  <c r="EH23" i="17"/>
  <c r="DW23" i="17"/>
  <c r="DL23" i="17"/>
  <c r="FJ23" i="17"/>
  <c r="EY23" i="17"/>
  <c r="EN23" i="17"/>
  <c r="EC23" i="17"/>
  <c r="DR23" i="17"/>
  <c r="GS7" i="27"/>
  <c r="GH7" i="27"/>
  <c r="FW7" i="27"/>
  <c r="FL7" i="27"/>
  <c r="FA7" i="27"/>
  <c r="EP7" i="27"/>
  <c r="GC7" i="27"/>
  <c r="FG7" i="27"/>
  <c r="GN7" i="27"/>
  <c r="EV7" i="27"/>
  <c r="FR7" i="27"/>
  <c r="EC8" i="26"/>
  <c r="DR8" i="26"/>
  <c r="DF8" i="26"/>
  <c r="CU8" i="26"/>
  <c r="CJ8" i="26"/>
  <c r="EH8" i="26"/>
  <c r="DL8" i="26"/>
  <c r="CP8" i="26"/>
  <c r="DW8" i="26"/>
  <c r="CE8" i="26"/>
  <c r="DA8" i="26"/>
  <c r="C84" i="10"/>
  <c r="AB66" i="8"/>
  <c r="AF66" i="8" s="1"/>
  <c r="AI824" i="7"/>
  <c r="P824" i="7" s="1"/>
  <c r="I3" i="8"/>
  <c r="Z3" i="8" s="1"/>
  <c r="AD3" i="8" s="1"/>
  <c r="Z4" i="8"/>
  <c r="AD4" i="8" s="1"/>
  <c r="GS7" i="25"/>
  <c r="GH7" i="25"/>
  <c r="FW7" i="25"/>
  <c r="FL7" i="25"/>
  <c r="FA7" i="25"/>
  <c r="EP7" i="25"/>
  <c r="GC7" i="25"/>
  <c r="FG7" i="25"/>
  <c r="FR7" i="25"/>
  <c r="GN7" i="25"/>
  <c r="EV7" i="25"/>
  <c r="FO9" i="22"/>
  <c r="FD9" i="22"/>
  <c r="ES9" i="22"/>
  <c r="EH9" i="22"/>
  <c r="DW9" i="22"/>
  <c r="DL9" i="22"/>
  <c r="EY9" i="22"/>
  <c r="EC9" i="22"/>
  <c r="EN9" i="22"/>
  <c r="FJ9" i="22"/>
  <c r="DR9" i="22"/>
  <c r="DD30" i="20"/>
  <c r="CS30" i="20"/>
  <c r="CH30" i="20"/>
  <c r="BW30" i="20"/>
  <c r="BL30" i="20"/>
  <c r="BA30" i="20"/>
  <c r="CY30" i="20"/>
  <c r="CN30" i="20"/>
  <c r="CC30" i="20"/>
  <c r="BR30" i="20"/>
  <c r="BG30" i="20"/>
  <c r="GN26" i="21"/>
  <c r="GC26" i="21"/>
  <c r="FR26" i="21"/>
  <c r="FG26" i="21"/>
  <c r="EV26" i="21"/>
  <c r="GS26" i="21"/>
  <c r="FW26" i="21"/>
  <c r="FA26" i="21"/>
  <c r="GH26" i="21"/>
  <c r="FL26" i="21"/>
  <c r="EP26" i="21"/>
  <c r="AB75" i="8"/>
  <c r="AF75" i="8" s="1"/>
  <c r="T848" i="7"/>
  <c r="C47" i="10"/>
  <c r="AI25" i="9"/>
  <c r="BB25" i="9"/>
  <c r="T1079" i="7"/>
  <c r="AB124" i="8"/>
  <c r="AF124" i="8" s="1"/>
  <c r="FO19" i="19"/>
  <c r="FD19" i="19"/>
  <c r="ES19" i="19"/>
  <c r="EH19" i="19"/>
  <c r="DW19" i="19"/>
  <c r="DL19" i="19"/>
  <c r="FJ19" i="19"/>
  <c r="EY19" i="19"/>
  <c r="EN19" i="19"/>
  <c r="EC19" i="19"/>
  <c r="DR19" i="19"/>
  <c r="AC54" i="8"/>
  <c r="AG54" i="8" s="1"/>
  <c r="X43" i="8"/>
  <c r="BD25" i="9"/>
  <c r="D47" i="10"/>
  <c r="AC124" i="8"/>
  <c r="AG124" i="8" s="1"/>
  <c r="AG1079" i="7"/>
  <c r="AG1080" i="7" s="1"/>
  <c r="C31" i="10"/>
  <c r="AB56" i="8"/>
  <c r="AF56" i="8" s="1"/>
  <c r="N55" i="8"/>
  <c r="P291" i="7"/>
  <c r="AT291" i="7" s="1"/>
  <c r="AT283" i="7"/>
  <c r="D65" i="10"/>
  <c r="AG158" i="8"/>
  <c r="CY15" i="19"/>
  <c r="CN15" i="19"/>
  <c r="CC15" i="19"/>
  <c r="BR15" i="19"/>
  <c r="BG15" i="19"/>
  <c r="DD15" i="19"/>
  <c r="CS15" i="19"/>
  <c r="CH15" i="19"/>
  <c r="BW15" i="19"/>
  <c r="BL15" i="19"/>
  <c r="BA15" i="19"/>
  <c r="CY19" i="21"/>
  <c r="CN19" i="21"/>
  <c r="CC19" i="21"/>
  <c r="BR19" i="21"/>
  <c r="BG19" i="21"/>
  <c r="DD19" i="21"/>
  <c r="CH19" i="21"/>
  <c r="BL19" i="21"/>
  <c r="CS19" i="21"/>
  <c r="BW19" i="21"/>
  <c r="BA19" i="21"/>
  <c r="DD31" i="19"/>
  <c r="CS31" i="19"/>
  <c r="CH31" i="19"/>
  <c r="BW31" i="19"/>
  <c r="BL31" i="19"/>
  <c r="BA31" i="19"/>
  <c r="CY31" i="19"/>
  <c r="CN31" i="19"/>
  <c r="CC31" i="19"/>
  <c r="BR31" i="19"/>
  <c r="BG31" i="19"/>
  <c r="DD25" i="20"/>
  <c r="CS25" i="20"/>
  <c r="CH25" i="20"/>
  <c r="BW25" i="20"/>
  <c r="BL25" i="20"/>
  <c r="BA25" i="20"/>
  <c r="CY25" i="20"/>
  <c r="CN25" i="20"/>
  <c r="CC25" i="20"/>
  <c r="BR25" i="20"/>
  <c r="BG25" i="20"/>
  <c r="C65" i="10"/>
  <c r="AF158" i="8"/>
  <c r="C173" i="10"/>
  <c r="GN12" i="22"/>
  <c r="GC12" i="22"/>
  <c r="FR12" i="22"/>
  <c r="FG12" i="22"/>
  <c r="EV12" i="22"/>
  <c r="GH12" i="22"/>
  <c r="FL12" i="22"/>
  <c r="EP12" i="22"/>
  <c r="GS12" i="22"/>
  <c r="FA12" i="22"/>
  <c r="FW12" i="22"/>
  <c r="FO21" i="18"/>
  <c r="FD21" i="18"/>
  <c r="ES21" i="18"/>
  <c r="EH21" i="18"/>
  <c r="DW21" i="18"/>
  <c r="DL21" i="18"/>
  <c r="FJ21" i="18"/>
  <c r="EY21" i="18"/>
  <c r="EN21" i="18"/>
  <c r="EC21" i="18"/>
  <c r="DR21" i="18"/>
  <c r="GS22" i="18"/>
  <c r="GH22" i="18"/>
  <c r="FW22" i="18"/>
  <c r="FL22" i="18"/>
  <c r="FA22" i="18"/>
  <c r="EP22" i="18"/>
  <c r="GN22" i="18"/>
  <c r="GC22" i="18"/>
  <c r="FR22" i="18"/>
  <c r="FG22" i="18"/>
  <c r="EV22" i="18"/>
  <c r="N103" i="8"/>
  <c r="GS33" i="22"/>
  <c r="GH33" i="22"/>
  <c r="FW33" i="22"/>
  <c r="FL33" i="22"/>
  <c r="FA33" i="22"/>
  <c r="EP33" i="22"/>
  <c r="GC33" i="22"/>
  <c r="FG33" i="22"/>
  <c r="GN33" i="22"/>
  <c r="FR33" i="22"/>
  <c r="EV33" i="22"/>
  <c r="FJ17" i="21"/>
  <c r="EY17" i="21"/>
  <c r="EN17" i="21"/>
  <c r="EC17" i="21"/>
  <c r="DR17" i="21"/>
  <c r="FD17" i="21"/>
  <c r="EH17" i="21"/>
  <c r="DL17" i="21"/>
  <c r="FO17" i="21"/>
  <c r="ES17" i="21"/>
  <c r="DW17" i="21"/>
  <c r="FO27" i="21"/>
  <c r="FD27" i="21"/>
  <c r="ES27" i="21"/>
  <c r="EH27" i="21"/>
  <c r="DW27" i="21"/>
  <c r="DL27" i="21"/>
  <c r="EY27" i="21"/>
  <c r="EC27" i="21"/>
  <c r="FJ27" i="21"/>
  <c r="EN27" i="21"/>
  <c r="DR27" i="21"/>
  <c r="GS27" i="22"/>
  <c r="GH27" i="22"/>
  <c r="FW27" i="22"/>
  <c r="FL27" i="22"/>
  <c r="FA27" i="22"/>
  <c r="EP27" i="22"/>
  <c r="GN27" i="22"/>
  <c r="FR27" i="22"/>
  <c r="EV27" i="22"/>
  <c r="GC27" i="22"/>
  <c r="FG27" i="22"/>
  <c r="C11" i="10"/>
  <c r="BB49" i="9"/>
  <c r="AI49" i="9"/>
  <c r="AB13" i="8"/>
  <c r="AF13" i="8" s="1"/>
  <c r="GS20" i="19"/>
  <c r="GH20" i="19"/>
  <c r="FW20" i="19"/>
  <c r="FL20" i="19"/>
  <c r="FA20" i="19"/>
  <c r="EP20" i="19"/>
  <c r="GN20" i="19"/>
  <c r="GC20" i="19"/>
  <c r="FR20" i="19"/>
  <c r="FG20" i="19"/>
  <c r="EV20" i="19"/>
  <c r="C171" i="10"/>
  <c r="EC27" i="25"/>
  <c r="DR27" i="25"/>
  <c r="DF27" i="25"/>
  <c r="CU27" i="25"/>
  <c r="CJ27" i="25"/>
  <c r="EH27" i="25"/>
  <c r="DL27" i="25"/>
  <c r="CP27" i="25"/>
  <c r="DA27" i="25"/>
  <c r="DW27" i="25"/>
  <c r="CE27" i="25"/>
  <c r="D97" i="10"/>
  <c r="D233" i="10"/>
  <c r="CY16" i="19"/>
  <c r="CN16" i="19"/>
  <c r="CC16" i="19"/>
  <c r="BR16" i="19"/>
  <c r="BG16" i="19"/>
  <c r="DD16" i="19"/>
  <c r="CS16" i="19"/>
  <c r="CH16" i="19"/>
  <c r="BW16" i="19"/>
  <c r="BL16" i="19"/>
  <c r="BA16" i="19"/>
  <c r="D11" i="10"/>
  <c r="BD49" i="9"/>
  <c r="AC13" i="8"/>
  <c r="AG13" i="8" s="1"/>
  <c r="AT451" i="7"/>
  <c r="GS14" i="22"/>
  <c r="GH14" i="22"/>
  <c r="FW14" i="22"/>
  <c r="FL14" i="22"/>
  <c r="FA14" i="22"/>
  <c r="EP14" i="22"/>
  <c r="GC14" i="22"/>
  <c r="FG14" i="22"/>
  <c r="FR14" i="22"/>
  <c r="GN14" i="22"/>
  <c r="EV14" i="22"/>
  <c r="CY27" i="20"/>
  <c r="CN27" i="20"/>
  <c r="CC27" i="20"/>
  <c r="BR27" i="20"/>
  <c r="BG27" i="20"/>
  <c r="DD27" i="20"/>
  <c r="CS27" i="20"/>
  <c r="CH27" i="20"/>
  <c r="BW27" i="20"/>
  <c r="BL27" i="20"/>
  <c r="BA27" i="20"/>
  <c r="D31" i="10"/>
  <c r="X55" i="8"/>
  <c r="AC56" i="8"/>
  <c r="AG56" i="8" s="1"/>
  <c r="C7" i="10"/>
  <c r="AB7" i="8"/>
  <c r="AF7" i="8" s="1"/>
  <c r="N5" i="8"/>
  <c r="M4" i="8"/>
  <c r="AA5" i="8"/>
  <c r="AE5" i="8" s="1"/>
  <c r="GS8" i="26"/>
  <c r="GH8" i="26"/>
  <c r="FW8" i="26"/>
  <c r="FL8" i="26"/>
  <c r="FA8" i="26"/>
  <c r="EP8" i="26"/>
  <c r="GC8" i="26"/>
  <c r="FG8" i="26"/>
  <c r="FR8" i="26"/>
  <c r="GN8" i="26"/>
  <c r="EV8" i="26"/>
  <c r="EC7" i="27"/>
  <c r="DR7" i="27"/>
  <c r="DF7" i="27"/>
  <c r="CU7" i="27"/>
  <c r="CJ7" i="27"/>
  <c r="EH7" i="27"/>
  <c r="DL7" i="27"/>
  <c r="CP7" i="27"/>
  <c r="DA7" i="27"/>
  <c r="DW7" i="27"/>
  <c r="CE7" i="27"/>
  <c r="C35" i="10"/>
  <c r="AI15" i="9"/>
  <c r="BB15" i="9"/>
  <c r="BB9" i="9" s="1"/>
  <c r="AB76" i="8"/>
  <c r="AF76" i="8" s="1"/>
  <c r="FO17" i="22"/>
  <c r="FD17" i="22"/>
  <c r="ES17" i="22"/>
  <c r="EH17" i="22"/>
  <c r="DW17" i="22"/>
  <c r="DL17" i="22"/>
  <c r="EY17" i="22"/>
  <c r="EC17" i="22"/>
  <c r="FJ17" i="22"/>
  <c r="DR17" i="22"/>
  <c r="EN17" i="22"/>
  <c r="DD21" i="21"/>
  <c r="CS21" i="21"/>
  <c r="CH21" i="21"/>
  <c r="BW21" i="21"/>
  <c r="BL21" i="21"/>
  <c r="BA21" i="21"/>
  <c r="CY21" i="21"/>
  <c r="CC21" i="21"/>
  <c r="BG21" i="21"/>
  <c r="CN21" i="21"/>
  <c r="BR21" i="21"/>
  <c r="FO23" i="21"/>
  <c r="FD23" i="21"/>
  <c r="ES23" i="21"/>
  <c r="EH23" i="21"/>
  <c r="DW23" i="21"/>
  <c r="DL23" i="21"/>
  <c r="FJ23" i="21"/>
  <c r="EN23" i="21"/>
  <c r="DR23" i="21"/>
  <c r="EY23" i="21"/>
  <c r="EC23" i="21"/>
  <c r="GN8" i="25"/>
  <c r="GC8" i="25"/>
  <c r="FR8" i="25"/>
  <c r="FG8" i="25"/>
  <c r="EV8" i="25"/>
  <c r="GH8" i="25"/>
  <c r="FL8" i="25"/>
  <c r="EP8" i="25"/>
  <c r="FW8" i="25"/>
  <c r="GS8" i="25"/>
  <c r="FA8" i="25"/>
  <c r="D90" i="10"/>
  <c r="D75" i="10"/>
  <c r="D166" i="10"/>
  <c r="D171" i="10"/>
  <c r="AI116" i="9"/>
  <c r="BB116" i="9"/>
  <c r="AB73" i="8"/>
  <c r="AF73" i="8" s="1"/>
  <c r="GS10" i="22"/>
  <c r="GH10" i="22"/>
  <c r="FW10" i="22"/>
  <c r="FL10" i="22"/>
  <c r="FA10" i="22"/>
  <c r="EP10" i="22"/>
  <c r="GN10" i="22"/>
  <c r="FR10" i="22"/>
  <c r="EV10" i="22"/>
  <c r="GC10" i="22"/>
  <c r="FG10" i="22"/>
  <c r="BD116" i="9"/>
  <c r="BB115" i="9"/>
  <c r="AI115" i="9"/>
  <c r="AC73" i="8"/>
  <c r="AG73" i="8" s="1"/>
  <c r="CY28" i="20"/>
  <c r="CN28" i="20"/>
  <c r="CC28" i="20"/>
  <c r="BR28" i="20"/>
  <c r="BG28" i="20"/>
  <c r="DD28" i="20"/>
  <c r="CS28" i="20"/>
  <c r="CH28" i="20"/>
  <c r="BW28" i="20"/>
  <c r="BL28" i="20"/>
  <c r="BA28" i="20"/>
  <c r="DD7" i="22"/>
  <c r="CS7" i="22"/>
  <c r="CH7" i="22"/>
  <c r="BW7" i="22"/>
  <c r="BL7" i="22"/>
  <c r="BA7" i="22"/>
  <c r="CN7" i="22"/>
  <c r="BR7" i="22"/>
  <c r="CC7" i="22"/>
  <c r="CY7" i="22"/>
  <c r="BG7" i="22"/>
  <c r="DD11" i="22"/>
  <c r="CS11" i="22"/>
  <c r="CH11" i="22"/>
  <c r="BW11" i="22"/>
  <c r="BL11" i="22"/>
  <c r="BA11" i="22"/>
  <c r="CY11" i="22"/>
  <c r="CC11" i="22"/>
  <c r="BG11" i="22"/>
  <c r="BR11" i="22"/>
  <c r="CN11" i="22"/>
  <c r="AI118" i="9" l="1"/>
  <c r="AI120" i="9"/>
  <c r="GN8" i="22"/>
  <c r="GC8" i="22"/>
  <c r="FR8" i="22"/>
  <c r="FG8" i="22"/>
  <c r="EV8" i="22"/>
  <c r="GS8" i="22"/>
  <c r="FW8" i="22"/>
  <c r="FA8" i="22"/>
  <c r="FL8" i="22"/>
  <c r="GH8" i="22"/>
  <c r="EP8" i="22"/>
  <c r="BB118" i="9"/>
  <c r="BB120" i="9"/>
  <c r="D168" i="10"/>
  <c r="D87" i="10"/>
  <c r="D89" i="10" s="1"/>
  <c r="FO13" i="22"/>
  <c r="FD13" i="22"/>
  <c r="ES13" i="22"/>
  <c r="EH13" i="22"/>
  <c r="DW13" i="22"/>
  <c r="DL13" i="22"/>
  <c r="FJ13" i="22"/>
  <c r="EN13" i="22"/>
  <c r="DR13" i="22"/>
  <c r="EC13" i="22"/>
  <c r="EY13" i="22"/>
  <c r="CY12" i="17"/>
  <c r="CN12" i="17"/>
  <c r="CC12" i="17"/>
  <c r="BR12" i="17"/>
  <c r="BG12" i="17"/>
  <c r="DD12" i="17"/>
  <c r="CS12" i="17"/>
  <c r="CH12" i="17"/>
  <c r="BW12" i="17"/>
  <c r="BL12" i="17"/>
  <c r="BA12" i="17"/>
  <c r="C6" i="10"/>
  <c r="AI48" i="9"/>
  <c r="AI77" i="9" s="1"/>
  <c r="BB48" i="9"/>
  <c r="BB77" i="9" s="1"/>
  <c r="AB5" i="8"/>
  <c r="AF5" i="8" s="1"/>
  <c r="N4" i="8"/>
  <c r="D30" i="10"/>
  <c r="AC55" i="8"/>
  <c r="AG55" i="8" s="1"/>
  <c r="FO27" i="17"/>
  <c r="FD27" i="17"/>
  <c r="ES27" i="17"/>
  <c r="EH27" i="17"/>
  <c r="DW27" i="17"/>
  <c r="DL27" i="17"/>
  <c r="FJ27" i="17"/>
  <c r="EY27" i="17"/>
  <c r="EN27" i="17"/>
  <c r="EC27" i="17"/>
  <c r="DR27" i="17"/>
  <c r="C43" i="10"/>
  <c r="AB103" i="8"/>
  <c r="AF103" i="8" s="1"/>
  <c r="C91" i="10"/>
  <c r="C167" i="10"/>
  <c r="D167" i="10"/>
  <c r="D91" i="10"/>
  <c r="FJ29" i="20"/>
  <c r="EY29" i="20"/>
  <c r="EN29" i="20"/>
  <c r="EC29" i="20"/>
  <c r="DR29" i="20"/>
  <c r="FO29" i="20"/>
  <c r="FD29" i="20"/>
  <c r="ES29" i="20"/>
  <c r="EH29" i="20"/>
  <c r="DW29" i="20"/>
  <c r="DL29" i="20"/>
  <c r="D100" i="10"/>
  <c r="D120" i="10"/>
  <c r="E100" i="10"/>
  <c r="D128" i="10"/>
  <c r="D27" i="10"/>
  <c r="BD24" i="9"/>
  <c r="BD23" i="9" s="1"/>
  <c r="AC43" i="8"/>
  <c r="AG43" i="8" s="1"/>
  <c r="FJ11" i="22"/>
  <c r="EY11" i="22"/>
  <c r="EN11" i="22"/>
  <c r="EC11" i="22"/>
  <c r="DR11" i="22"/>
  <c r="FO11" i="22"/>
  <c r="ES11" i="22"/>
  <c r="DW11" i="22"/>
  <c r="FD11" i="22"/>
  <c r="DL11" i="22"/>
  <c r="EH11" i="22"/>
  <c r="CY7" i="17"/>
  <c r="CN7" i="17"/>
  <c r="CC7" i="17"/>
  <c r="BR7" i="17"/>
  <c r="BG7" i="17"/>
  <c r="DD7" i="17"/>
  <c r="CS7" i="17"/>
  <c r="CH7" i="17"/>
  <c r="BW7" i="17"/>
  <c r="BL7" i="17"/>
  <c r="BA7" i="17"/>
  <c r="FJ21" i="21"/>
  <c r="EY21" i="21"/>
  <c r="EN21" i="21"/>
  <c r="EC21" i="21"/>
  <c r="DR21" i="21"/>
  <c r="FO21" i="21"/>
  <c r="ES21" i="21"/>
  <c r="DW21" i="21"/>
  <c r="FD21" i="21"/>
  <c r="EH21" i="21"/>
  <c r="DL21" i="21"/>
  <c r="GN18" i="19"/>
  <c r="GC18" i="19"/>
  <c r="FR18" i="19"/>
  <c r="FG18" i="19"/>
  <c r="EV18" i="19"/>
  <c r="GS18" i="19"/>
  <c r="GH18" i="19"/>
  <c r="FW18" i="19"/>
  <c r="FL18" i="19"/>
  <c r="FA18" i="19"/>
  <c r="EP18" i="19"/>
  <c r="D26" i="10"/>
  <c r="E101" i="10"/>
  <c r="D126" i="10"/>
  <c r="D95" i="10"/>
  <c r="GN20" i="18"/>
  <c r="GC20" i="18"/>
  <c r="FR20" i="18"/>
  <c r="FG20" i="18"/>
  <c r="EV20" i="18"/>
  <c r="GS20" i="18"/>
  <c r="GH20" i="18"/>
  <c r="FW20" i="18"/>
  <c r="FL20" i="18"/>
  <c r="FA20" i="18"/>
  <c r="EP20" i="18"/>
  <c r="E105" i="10"/>
  <c r="D19" i="10"/>
  <c r="FJ25" i="20"/>
  <c r="EY25" i="20"/>
  <c r="EN25" i="20"/>
  <c r="EC25" i="20"/>
  <c r="DR25" i="20"/>
  <c r="FO25" i="20"/>
  <c r="FD25" i="20"/>
  <c r="ES25" i="20"/>
  <c r="EH25" i="20"/>
  <c r="DW25" i="20"/>
  <c r="DL25" i="20"/>
  <c r="FO19" i="21"/>
  <c r="FD19" i="21"/>
  <c r="ES19" i="21"/>
  <c r="EH19" i="21"/>
  <c r="DW19" i="21"/>
  <c r="DL19" i="21"/>
  <c r="EY19" i="21"/>
  <c r="EC19" i="21"/>
  <c r="FJ19" i="21"/>
  <c r="EN19" i="21"/>
  <c r="DR19" i="21"/>
  <c r="D6" i="10"/>
  <c r="E103" i="10" s="1"/>
  <c r="BD48" i="9"/>
  <c r="BD77" i="9" s="1"/>
  <c r="X4" i="8"/>
  <c r="AC5" i="8"/>
  <c r="AG5" i="8" s="1"/>
  <c r="FJ17" i="19"/>
  <c r="EY17" i="19"/>
  <c r="EN17" i="19"/>
  <c r="EC17" i="19"/>
  <c r="DR17" i="19"/>
  <c r="FO17" i="19"/>
  <c r="FD17" i="19"/>
  <c r="ES17" i="19"/>
  <c r="EH17" i="19"/>
  <c r="DW17" i="19"/>
  <c r="DL17" i="19"/>
  <c r="C75" i="10"/>
  <c r="C183" i="10"/>
  <c r="AI8" i="9"/>
  <c r="N209" i="8"/>
  <c r="BB8" i="9"/>
  <c r="AF204" i="8"/>
  <c r="D139" i="10"/>
  <c r="GN33" i="25"/>
  <c r="GC33" i="25"/>
  <c r="FR33" i="25"/>
  <c r="FG33" i="25"/>
  <c r="EV33" i="25"/>
  <c r="GS33" i="25"/>
  <c r="FW33" i="25"/>
  <c r="FA33" i="25"/>
  <c r="GH33" i="25"/>
  <c r="EP33" i="25"/>
  <c r="FL33" i="25"/>
  <c r="BD120" i="9"/>
  <c r="BD118" i="9"/>
  <c r="FJ7" i="22"/>
  <c r="EY7" i="22"/>
  <c r="EN7" i="22"/>
  <c r="EC7" i="22"/>
  <c r="DR7" i="22"/>
  <c r="FD7" i="22"/>
  <c r="EH7" i="22"/>
  <c r="DL7" i="22"/>
  <c r="FO7" i="22"/>
  <c r="DW7" i="22"/>
  <c r="ES7" i="22"/>
  <c r="D183" i="10"/>
  <c r="D98" i="10"/>
  <c r="M3" i="8"/>
  <c r="AA3" i="8" s="1"/>
  <c r="AE3" i="8" s="1"/>
  <c r="AA4" i="8"/>
  <c r="AE4" i="8" s="1"/>
  <c r="FO15" i="17"/>
  <c r="FD15" i="17"/>
  <c r="ES15" i="17"/>
  <c r="EH15" i="17"/>
  <c r="DW15" i="17"/>
  <c r="DL15" i="17"/>
  <c r="FJ15" i="17"/>
  <c r="EY15" i="17"/>
  <c r="EN15" i="17"/>
  <c r="EC15" i="17"/>
  <c r="DR15" i="17"/>
  <c r="GN30" i="20"/>
  <c r="GC30" i="20"/>
  <c r="FR30" i="20"/>
  <c r="FG30" i="20"/>
  <c r="EV30" i="20"/>
  <c r="GS30" i="20"/>
  <c r="GH30" i="20"/>
  <c r="FW30" i="20"/>
  <c r="FL30" i="20"/>
  <c r="FA30" i="20"/>
  <c r="EP30" i="20"/>
  <c r="GS28" i="17"/>
  <c r="GH28" i="17"/>
  <c r="FW28" i="17"/>
  <c r="FL28" i="17"/>
  <c r="FA28" i="17"/>
  <c r="EP28" i="17"/>
  <c r="GN28" i="17"/>
  <c r="GC28" i="17"/>
  <c r="FR28" i="17"/>
  <c r="FG28" i="17"/>
  <c r="EV28" i="17"/>
  <c r="E234" i="10"/>
  <c r="D234" i="10"/>
  <c r="E104" i="10"/>
  <c r="D104" i="10"/>
  <c r="EH16" i="25"/>
  <c r="DW16" i="25"/>
  <c r="DL16" i="25"/>
  <c r="DA16" i="25"/>
  <c r="CP16" i="25"/>
  <c r="CE16" i="25"/>
  <c r="DR16" i="25"/>
  <c r="CU16" i="25"/>
  <c r="EC16" i="25"/>
  <c r="CJ16" i="25"/>
  <c r="DF16" i="25"/>
  <c r="GN16" i="25"/>
  <c r="GC16" i="25"/>
  <c r="FR16" i="25"/>
  <c r="FG16" i="25"/>
  <c r="EV16" i="25"/>
  <c r="GH16" i="25"/>
  <c r="FL16" i="25"/>
  <c r="EP16" i="25"/>
  <c r="FW16" i="25"/>
  <c r="GS16" i="25"/>
  <c r="FA16" i="25"/>
  <c r="C30" i="10"/>
  <c r="BB24" i="9"/>
  <c r="BB23" i="9" s="1"/>
  <c r="BB37" i="9" s="1"/>
  <c r="BB42" i="9" s="1"/>
  <c r="BB46" i="9" s="1"/>
  <c r="AI24" i="9"/>
  <c r="AI23" i="9" s="1"/>
  <c r="AI826" i="7"/>
  <c r="AB55" i="8"/>
  <c r="AF55" i="8" s="1"/>
  <c r="GN10" i="24"/>
  <c r="GC10" i="24"/>
  <c r="FR10" i="24"/>
  <c r="FG10" i="24"/>
  <c r="EV10" i="24"/>
  <c r="GH10" i="24"/>
  <c r="FL10" i="24"/>
  <c r="EP10" i="24"/>
  <c r="FW10" i="24"/>
  <c r="GS10" i="24"/>
  <c r="FA10" i="24"/>
  <c r="GN26" i="20"/>
  <c r="GC26" i="20"/>
  <c r="FR26" i="20"/>
  <c r="FG26" i="20"/>
  <c r="EV26" i="20"/>
  <c r="GS26" i="20"/>
  <c r="GH26" i="20"/>
  <c r="FW26" i="20"/>
  <c r="FL26" i="20"/>
  <c r="FA26" i="20"/>
  <c r="EP26" i="20"/>
  <c r="EH10" i="24"/>
  <c r="DW10" i="24"/>
  <c r="DL10" i="24"/>
  <c r="DA10" i="24"/>
  <c r="CP10" i="24"/>
  <c r="CE10" i="24"/>
  <c r="EC10" i="24"/>
  <c r="DF10" i="24"/>
  <c r="CJ10" i="24"/>
  <c r="DR10" i="24"/>
  <c r="CU10" i="24"/>
  <c r="C120" i="10"/>
  <c r="C128" i="10"/>
  <c r="DD9" i="17"/>
  <c r="CS9" i="17"/>
  <c r="CH9" i="17"/>
  <c r="BW9" i="17"/>
  <c r="BL9" i="17"/>
  <c r="BA9" i="17"/>
  <c r="CY9" i="17"/>
  <c r="CN9" i="17"/>
  <c r="CC9" i="17"/>
  <c r="BR9" i="17"/>
  <c r="BG9" i="17"/>
  <c r="X35" i="8"/>
  <c r="AC35" i="8" s="1"/>
  <c r="AG35" i="8" s="1"/>
  <c r="FJ25" i="21"/>
  <c r="EY25" i="21"/>
  <c r="EN25" i="21"/>
  <c r="EC25" i="21"/>
  <c r="DR25" i="21"/>
  <c r="FD25" i="21"/>
  <c r="EH25" i="21"/>
  <c r="DL25" i="21"/>
  <c r="FO25" i="21"/>
  <c r="ES25" i="21"/>
  <c r="DW25" i="21"/>
  <c r="FJ19" i="18"/>
  <c r="EY19" i="18"/>
  <c r="EN19" i="18"/>
  <c r="EC19" i="18"/>
  <c r="DR19" i="18"/>
  <c r="FO19" i="18"/>
  <c r="FD19" i="18"/>
  <c r="ES19" i="18"/>
  <c r="EH19" i="18"/>
  <c r="DW19" i="18"/>
  <c r="DL19" i="18"/>
  <c r="D105" i="10"/>
  <c r="C19" i="10"/>
  <c r="C5" i="10"/>
  <c r="C27" i="10"/>
  <c r="AB43" i="8"/>
  <c r="AF43" i="8" s="1"/>
  <c r="AI813" i="7"/>
  <c r="P813" i="7" s="1"/>
  <c r="GS16" i="17"/>
  <c r="GH16" i="17"/>
  <c r="FW16" i="17"/>
  <c r="FL16" i="17"/>
  <c r="FA16" i="17"/>
  <c r="EP16" i="17"/>
  <c r="GN16" i="17"/>
  <c r="GC16" i="17"/>
  <c r="FR16" i="17"/>
  <c r="FG16" i="17"/>
  <c r="EV16" i="17"/>
  <c r="N35" i="8"/>
  <c r="AB35" i="8" s="1"/>
  <c r="AF35" i="8" s="1"/>
  <c r="D101" i="10"/>
  <c r="C26" i="10"/>
  <c r="C126" i="10"/>
  <c r="EH33" i="25"/>
  <c r="DW33" i="25"/>
  <c r="DL33" i="25"/>
  <c r="DA33" i="25"/>
  <c r="CP33" i="25"/>
  <c r="CE33" i="25"/>
  <c r="EC33" i="25"/>
  <c r="DF33" i="25"/>
  <c r="CJ33" i="25"/>
  <c r="CU33" i="25"/>
  <c r="DR33" i="25"/>
  <c r="GN17" i="23"/>
  <c r="GC17" i="23"/>
  <c r="FR17" i="23"/>
  <c r="FG17" i="23"/>
  <c r="EV17" i="23"/>
  <c r="GH17" i="23"/>
  <c r="FL17" i="23"/>
  <c r="EP17" i="23"/>
  <c r="GS17" i="23"/>
  <c r="FW17" i="23"/>
  <c r="FA17" i="23"/>
  <c r="D114" i="10"/>
  <c r="BD8" i="9"/>
  <c r="X209" i="8"/>
  <c r="AG204" i="8"/>
  <c r="FO15" i="19" l="1"/>
  <c r="FD15" i="19"/>
  <c r="ES15" i="19"/>
  <c r="EH15" i="19"/>
  <c r="DW15" i="19"/>
  <c r="DL15" i="19"/>
  <c r="FJ15" i="19"/>
  <c r="EY15" i="19"/>
  <c r="EN15" i="19"/>
  <c r="EC15" i="19"/>
  <c r="DR15" i="19"/>
  <c r="GN8" i="27"/>
  <c r="GC8" i="27"/>
  <c r="FR8" i="27"/>
  <c r="FG8" i="27"/>
  <c r="EV8" i="27"/>
  <c r="GH8" i="27"/>
  <c r="FL8" i="27"/>
  <c r="EP8" i="27"/>
  <c r="GS8" i="27"/>
  <c r="FA8" i="27"/>
  <c r="FW8" i="27"/>
  <c r="FJ31" i="19"/>
  <c r="EY31" i="19"/>
  <c r="EN31" i="19"/>
  <c r="EC31" i="19"/>
  <c r="DR31" i="19"/>
  <c r="FO31" i="19"/>
  <c r="FD31" i="19"/>
  <c r="ES31" i="19"/>
  <c r="EH31" i="19"/>
  <c r="DW31" i="19"/>
  <c r="DL31" i="19"/>
  <c r="FO27" i="20"/>
  <c r="FD27" i="20"/>
  <c r="ES27" i="20"/>
  <c r="EH27" i="20"/>
  <c r="DW27" i="20"/>
  <c r="DL27" i="20"/>
  <c r="FJ27" i="20"/>
  <c r="EY27" i="20"/>
  <c r="EN27" i="20"/>
  <c r="EC27" i="20"/>
  <c r="DR27" i="20"/>
  <c r="D99" i="10"/>
  <c r="C33" i="10"/>
  <c r="C127" i="10"/>
  <c r="DD10" i="17"/>
  <c r="CS10" i="17"/>
  <c r="CH10" i="17"/>
  <c r="BW10" i="17"/>
  <c r="BL10" i="17"/>
  <c r="BA10" i="17"/>
  <c r="CY10" i="17"/>
  <c r="CN10" i="17"/>
  <c r="CC10" i="17"/>
  <c r="BR10" i="17"/>
  <c r="BG10" i="17"/>
  <c r="EH8" i="27"/>
  <c r="DW8" i="27"/>
  <c r="DL8" i="27"/>
  <c r="DA8" i="27"/>
  <c r="CP8" i="27"/>
  <c r="CE8" i="27"/>
  <c r="DR8" i="27"/>
  <c r="CU8" i="27"/>
  <c r="DF8" i="27"/>
  <c r="CJ8" i="27"/>
  <c r="EC8" i="27"/>
  <c r="AF209" i="8"/>
  <c r="C168" i="10"/>
  <c r="C87" i="10"/>
  <c r="C89" i="10" s="1"/>
  <c r="GS12" i="17"/>
  <c r="GH12" i="17"/>
  <c r="FW12" i="17"/>
  <c r="FL12" i="17"/>
  <c r="FA12" i="17"/>
  <c r="EP12" i="17"/>
  <c r="GN12" i="17"/>
  <c r="GC12" i="17"/>
  <c r="FR12" i="17"/>
  <c r="FG12" i="17"/>
  <c r="EV12" i="17"/>
  <c r="BD114" i="9"/>
  <c r="BD122" i="9" s="1"/>
  <c r="D5" i="10"/>
  <c r="C20" i="10"/>
  <c r="BD37" i="9"/>
  <c r="BD42" i="9" s="1"/>
  <c r="BD46" i="9" s="1"/>
  <c r="EH17" i="23"/>
  <c r="DW17" i="23"/>
  <c r="DL17" i="23"/>
  <c r="DA17" i="23"/>
  <c r="CP17" i="23"/>
  <c r="CE17" i="23"/>
  <c r="DR17" i="23"/>
  <c r="CU17" i="23"/>
  <c r="EC17" i="23"/>
  <c r="DF17" i="23"/>
  <c r="CJ17" i="23"/>
  <c r="E99" i="10"/>
  <c r="E102" i="10" s="1"/>
  <c r="D33" i="10"/>
  <c r="D127" i="10"/>
  <c r="D20" i="10"/>
  <c r="FO11" i="17"/>
  <c r="FD11" i="17"/>
  <c r="ES11" i="17"/>
  <c r="EH11" i="17"/>
  <c r="DW11" i="17"/>
  <c r="DL11" i="17"/>
  <c r="FJ11" i="17"/>
  <c r="EY11" i="17"/>
  <c r="EN11" i="17"/>
  <c r="EC11" i="17"/>
  <c r="DR11" i="17"/>
  <c r="AG209" i="8"/>
  <c r="C145" i="10"/>
  <c r="D108" i="10"/>
  <c r="C29" i="10"/>
  <c r="GS16" i="19"/>
  <c r="GH16" i="19"/>
  <c r="FW16" i="19"/>
  <c r="FL16" i="19"/>
  <c r="FA16" i="19"/>
  <c r="EP16" i="19"/>
  <c r="GN16" i="19"/>
  <c r="GC16" i="19"/>
  <c r="FR16" i="19"/>
  <c r="FG16" i="19"/>
  <c r="EV16" i="19"/>
  <c r="CY8" i="17"/>
  <c r="CN8" i="17"/>
  <c r="CC8" i="17"/>
  <c r="BR8" i="17"/>
  <c r="BG8" i="17"/>
  <c r="DD8" i="17"/>
  <c r="CS8" i="17"/>
  <c r="CH8" i="17"/>
  <c r="BW8" i="17"/>
  <c r="BL8" i="17"/>
  <c r="BA8" i="17"/>
  <c r="AC4" i="8"/>
  <c r="AG4" i="8" s="1"/>
  <c r="X3" i="8"/>
  <c r="E106" i="10"/>
  <c r="GN32" i="19"/>
  <c r="GC32" i="19"/>
  <c r="FR32" i="19"/>
  <c r="FG32" i="19"/>
  <c r="EV32" i="19"/>
  <c r="GS32" i="19"/>
  <c r="GH32" i="19"/>
  <c r="FW32" i="19"/>
  <c r="FL32" i="19"/>
  <c r="FA32" i="19"/>
  <c r="EP32" i="19"/>
  <c r="D145" i="10"/>
  <c r="E108" i="10"/>
  <c r="D29" i="10"/>
  <c r="C201" i="10"/>
  <c r="C139" i="10"/>
  <c r="GS28" i="20"/>
  <c r="GH28" i="20"/>
  <c r="FW28" i="20"/>
  <c r="FL28" i="20"/>
  <c r="FA28" i="20"/>
  <c r="EP28" i="20"/>
  <c r="GN28" i="20"/>
  <c r="GC28" i="20"/>
  <c r="FR28" i="20"/>
  <c r="FG28" i="20"/>
  <c r="EV28" i="20"/>
  <c r="AB4" i="8"/>
  <c r="AF4" i="8" s="1"/>
  <c r="N3" i="8"/>
  <c r="D103" i="10"/>
  <c r="D106" i="10" s="1"/>
  <c r="D230" i="10"/>
  <c r="D232" i="10" s="1"/>
  <c r="D235" i="10" s="1"/>
  <c r="D165" i="10"/>
  <c r="D163" i="10"/>
  <c r="D96" i="10"/>
  <c r="D102" i="10" s="1"/>
  <c r="D174" i="10"/>
  <c r="D164" i="10"/>
  <c r="D162" i="10"/>
  <c r="D141" i="10" l="1"/>
  <c r="D142" i="10"/>
  <c r="D152" i="10"/>
  <c r="D158" i="10" s="1"/>
  <c r="D197" i="10"/>
  <c r="D179" i="10"/>
  <c r="AB3" i="8"/>
  <c r="AF3" i="8" s="1"/>
  <c r="J33" i="7"/>
  <c r="N102" i="8"/>
  <c r="D200" i="10"/>
  <c r="D182" i="10"/>
  <c r="FJ9" i="17"/>
  <c r="EY9" i="17"/>
  <c r="EN9" i="17"/>
  <c r="EC9" i="17"/>
  <c r="DR9" i="17"/>
  <c r="FO9" i="17"/>
  <c r="FD9" i="17"/>
  <c r="ES9" i="17"/>
  <c r="EH9" i="17"/>
  <c r="DW9" i="17"/>
  <c r="DL9" i="17"/>
  <c r="GN10" i="17"/>
  <c r="GC10" i="17"/>
  <c r="FR10" i="17"/>
  <c r="FG10" i="17"/>
  <c r="EV10" i="17"/>
  <c r="GS10" i="17"/>
  <c r="GH10" i="17"/>
  <c r="FW10" i="17"/>
  <c r="FL10" i="17"/>
  <c r="FA10" i="17"/>
  <c r="EP10" i="17"/>
  <c r="EC13" i="27"/>
  <c r="DR13" i="27"/>
  <c r="DF13" i="27"/>
  <c r="CU13" i="27"/>
  <c r="CJ13" i="27"/>
  <c r="DW13" i="27"/>
  <c r="DA13" i="27"/>
  <c r="CE13" i="27"/>
  <c r="EH13" i="27"/>
  <c r="CP13" i="27"/>
  <c r="DL13" i="27"/>
  <c r="X102" i="8"/>
  <c r="X33" i="7"/>
  <c r="AC3" i="8"/>
  <c r="AG3" i="8" s="1"/>
  <c r="GS13" i="27"/>
  <c r="GH13" i="27"/>
  <c r="FW13" i="27"/>
  <c r="FL13" i="27"/>
  <c r="FA13" i="27"/>
  <c r="EP13" i="27"/>
  <c r="GN13" i="27"/>
  <c r="FR13" i="27"/>
  <c r="EV13" i="27"/>
  <c r="GC13" i="27"/>
  <c r="FG13" i="27"/>
  <c r="D123" i="10"/>
  <c r="D4" i="10"/>
  <c r="D209" i="10"/>
  <c r="D119" i="10"/>
  <c r="D118" i="10"/>
  <c r="D201" i="10"/>
  <c r="C123" i="10"/>
  <c r="C118" i="10"/>
  <c r="C4" i="10"/>
  <c r="C209" i="10"/>
  <c r="C119" i="10"/>
  <c r="C174" i="10"/>
  <c r="C164" i="10"/>
  <c r="C162" i="10"/>
  <c r="C230" i="10"/>
  <c r="C232" i="10" s="1"/>
  <c r="C235" i="10" s="1"/>
  <c r="C165" i="10"/>
  <c r="C163" i="10"/>
  <c r="C200" i="10" l="1"/>
  <c r="C182" i="10"/>
  <c r="C149" i="10"/>
  <c r="C196" i="10" s="1"/>
  <c r="C138" i="10"/>
  <c r="C136" i="10"/>
  <c r="C124" i="10"/>
  <c r="C208" i="10"/>
  <c r="C207" i="10"/>
  <c r="C203" i="10"/>
  <c r="C202" i="10"/>
  <c r="C133" i="10"/>
  <c r="C191" i="10"/>
  <c r="C189" i="10"/>
  <c r="C188" i="10"/>
  <c r="C187" i="10"/>
  <c r="C184" i="10"/>
  <c r="C181" i="10"/>
  <c r="C135" i="10"/>
  <c r="C137" i="10"/>
  <c r="C205" i="10"/>
  <c r="C204" i="10" s="1"/>
  <c r="C180" i="10"/>
  <c r="GS8" i="17"/>
  <c r="GH8" i="17"/>
  <c r="FW8" i="17"/>
  <c r="FL8" i="17"/>
  <c r="FA8" i="17"/>
  <c r="EP8" i="17"/>
  <c r="GN8" i="17"/>
  <c r="GC8" i="17"/>
  <c r="FR8" i="17"/>
  <c r="FG8" i="17"/>
  <c r="EV8" i="17"/>
  <c r="C42" i="10"/>
  <c r="AB102" i="8"/>
  <c r="AF102" i="8" s="1"/>
  <c r="AP1632" i="7"/>
  <c r="BG1010" i="7"/>
  <c r="N82" i="8"/>
  <c r="S209" i="8"/>
  <c r="C141" i="10"/>
  <c r="C142" i="10"/>
  <c r="C152" i="10"/>
  <c r="C158" i="10" s="1"/>
  <c r="C197" i="10"/>
  <c r="C179" i="10"/>
  <c r="C178" i="10" s="1"/>
  <c r="D208" i="10"/>
  <c r="D207" i="10"/>
  <c r="D203" i="10"/>
  <c r="D202" i="10"/>
  <c r="D191" i="10"/>
  <c r="D189" i="10"/>
  <c r="D188" i="10"/>
  <c r="D187" i="10"/>
  <c r="D184" i="10"/>
  <c r="D178" i="10" s="1"/>
  <c r="D181" i="10"/>
  <c r="D135" i="10"/>
  <c r="D133" i="10"/>
  <c r="D149" i="10"/>
  <c r="D196" i="10" s="1"/>
  <c r="D136" i="10"/>
  <c r="D138" i="10"/>
  <c r="D124" i="10"/>
  <c r="D205" i="10"/>
  <c r="D137" i="10"/>
  <c r="D180" i="10"/>
  <c r="D199" i="10"/>
  <c r="D42" i="10"/>
  <c r="M1632" i="7"/>
  <c r="AC102" i="8"/>
  <c r="AG102" i="8" s="1"/>
  <c r="AP1694" i="7"/>
  <c r="X82" i="8"/>
  <c r="AI107" i="9"/>
  <c r="AI113" i="9" s="1"/>
  <c r="BB107" i="9"/>
  <c r="BB113" i="9" s="1"/>
  <c r="BB114" i="9" s="1"/>
  <c r="BB122" i="9" s="1"/>
  <c r="AI22" i="9" s="1"/>
  <c r="AI9" i="9" s="1"/>
  <c r="AI37" i="9" s="1"/>
  <c r="AI42" i="9" s="1"/>
  <c r="AI46" i="9" s="1"/>
  <c r="Z209" i="8"/>
  <c r="FO7" i="17"/>
  <c r="FD7" i="17"/>
  <c r="ES7" i="17"/>
  <c r="EH7" i="17"/>
  <c r="DW7" i="17"/>
  <c r="DL7" i="17"/>
  <c r="FJ7" i="17"/>
  <c r="EY7" i="17"/>
  <c r="EN7" i="17"/>
  <c r="EC7" i="17"/>
  <c r="DR7" i="17"/>
  <c r="D194" i="10"/>
  <c r="D195" i="10"/>
  <c r="D37" i="10" l="1"/>
  <c r="AC82" i="8"/>
  <c r="AG82" i="8" s="1"/>
  <c r="X81" i="8"/>
  <c r="AC81" i="8" s="1"/>
  <c r="AG81" i="8" s="1"/>
  <c r="AI1013" i="7"/>
  <c r="AI1014" i="7" s="1"/>
  <c r="AI1029" i="7"/>
  <c r="AI1030" i="7" s="1"/>
  <c r="AI114" i="9"/>
  <c r="AI122" i="9" s="1"/>
  <c r="D204" i="10"/>
  <c r="C194" i="10"/>
  <c r="C195" i="10"/>
  <c r="C37" i="10"/>
  <c r="AB82" i="8"/>
  <c r="AF82" i="8" s="1"/>
  <c r="N81" i="8"/>
  <c r="AB81" i="8" s="1"/>
  <c r="AF81" i="8" s="1"/>
  <c r="GS16" i="23"/>
  <c r="GH16" i="23"/>
  <c r="FW16" i="23"/>
  <c r="FL16" i="23"/>
  <c r="FA16" i="23"/>
  <c r="EP16" i="23"/>
  <c r="GC16" i="23"/>
  <c r="FG16" i="23"/>
  <c r="GN16" i="23"/>
  <c r="FR16" i="23"/>
  <c r="EV16" i="23"/>
  <c r="EC16" i="23"/>
  <c r="DR16" i="23"/>
  <c r="DF16" i="23"/>
  <c r="CU16" i="23"/>
  <c r="CJ16" i="23"/>
  <c r="EH16" i="23"/>
  <c r="DL16" i="23"/>
  <c r="CP16" i="23"/>
  <c r="DW16" i="23"/>
  <c r="DA16" i="23"/>
  <c r="CE16" i="23"/>
  <c r="C199" i="10"/>
  <c r="EH26" i="22" l="1"/>
  <c r="DW26" i="22"/>
  <c r="DL26" i="22"/>
  <c r="DA26" i="22"/>
  <c r="CP26" i="22"/>
  <c r="CE26" i="22"/>
  <c r="DR26" i="22"/>
  <c r="CU26" i="22"/>
  <c r="EC26" i="22"/>
  <c r="DF26" i="22"/>
  <c r="CJ26" i="22"/>
  <c r="EC25" i="22"/>
  <c r="DR25" i="22"/>
  <c r="DF25" i="22"/>
  <c r="CU25" i="22"/>
  <c r="CJ25" i="22"/>
  <c r="EH25" i="22"/>
  <c r="DL25" i="22"/>
  <c r="CP25" i="22"/>
  <c r="DW25" i="22"/>
  <c r="DA25" i="22"/>
  <c r="CE25" i="22"/>
  <c r="C151" i="10"/>
  <c r="C36" i="10"/>
  <c r="C150" i="10"/>
  <c r="C148" i="10"/>
  <c r="C147" i="10"/>
  <c r="C140" i="10"/>
  <c r="C146" i="10"/>
  <c r="C144" i="10"/>
  <c r="C132" i="10"/>
  <c r="C134" i="10"/>
  <c r="C193" i="10"/>
  <c r="GN26" i="22"/>
  <c r="GC26" i="22"/>
  <c r="FR26" i="22"/>
  <c r="FG26" i="22"/>
  <c r="EV26" i="22"/>
  <c r="GH26" i="22"/>
  <c r="FL26" i="22"/>
  <c r="EP26" i="22"/>
  <c r="GS26" i="22"/>
  <c r="FW26" i="22"/>
  <c r="FA26" i="22"/>
  <c r="GS25" i="22"/>
  <c r="GH25" i="22"/>
  <c r="FW25" i="22"/>
  <c r="FL25" i="22"/>
  <c r="FA25" i="22"/>
  <c r="EP25" i="22"/>
  <c r="GC25" i="22"/>
  <c r="FG25" i="22"/>
  <c r="GN25" i="22"/>
  <c r="FR25" i="22"/>
  <c r="EV25" i="22"/>
  <c r="D150" i="10"/>
  <c r="D148" i="10"/>
  <c r="D107" i="10"/>
  <c r="D111" i="10" s="1"/>
  <c r="D112" i="10" s="1"/>
  <c r="D115" i="10" s="1"/>
  <c r="D132" i="10"/>
  <c r="E107" i="10"/>
  <c r="E111" i="10" s="1"/>
  <c r="E112" i="10" s="1"/>
  <c r="D36" i="10"/>
  <c r="D151" i="10"/>
  <c r="D144" i="10"/>
  <c r="D140" i="10"/>
  <c r="D146" i="10"/>
  <c r="D147" i="10"/>
  <c r="D193" i="10"/>
  <c r="D134" i="10"/>
  <c r="D222" i="10" l="1"/>
  <c r="D143" i="10"/>
  <c r="D223" i="10"/>
  <c r="D190" i="10"/>
  <c r="C223" i="10"/>
  <c r="C143" i="10"/>
  <c r="C222" i="10"/>
  <c r="C221" i="10" s="1"/>
  <c r="C190" i="10"/>
  <c r="C237" i="10" l="1"/>
  <c r="C219" i="10"/>
  <c r="D221" i="10"/>
  <c r="C185" i="10"/>
  <c r="C186" i="10"/>
  <c r="D186" i="10"/>
  <c r="D185" i="10"/>
  <c r="D237" i="10" l="1"/>
  <c r="D219" i="10"/>
  <c r="F236" i="10"/>
  <c r="F241" i="10" s="1"/>
  <c r="F243" i="10" s="1"/>
</calcChain>
</file>

<file path=xl/comments1.xml><?xml version="1.0" encoding="utf-8"?>
<comments xmlns="http://schemas.openxmlformats.org/spreadsheetml/2006/main">
  <authors>
    <author/>
  </authors>
  <commentList>
    <comment ref="B5" authorId="0" shapeId="0">
      <text>
        <r>
          <rPr>
            <b/>
            <sz val="9"/>
            <color rgb="FFFF0000"/>
            <rFont val="Tahoma"/>
            <family val="2"/>
            <charset val="238"/>
          </rPr>
          <t>SK NACE je bez bodiek</t>
        </r>
      </text>
    </comment>
  </commentList>
</comments>
</file>

<file path=xl/comments2.xml><?xml version="1.0" encoding="utf-8"?>
<comments xmlns="http://schemas.openxmlformats.org/spreadsheetml/2006/main">
  <authors>
    <author/>
  </authors>
  <commentList>
    <comment ref="E10" authorId="0" shapeId="0">
      <text>
        <r>
          <rPr>
            <b/>
            <sz val="11"/>
            <color rgb="FFFFFFFF"/>
            <rFont val="Tahoma"/>
            <family val="2"/>
            <charset val="238"/>
          </rPr>
          <t>vyberte si slovenský nemecký anglický jazyk</t>
        </r>
      </text>
    </comment>
  </commentList>
</comments>
</file>

<file path=xl/comments3.xml><?xml version="1.0" encoding="utf-8"?>
<comments xmlns="http://schemas.openxmlformats.org/spreadsheetml/2006/main">
  <authors>
    <author/>
  </authors>
  <commentList>
    <comment ref="E10" authorId="0" shapeId="0">
      <text>
        <r>
          <rPr>
            <b/>
            <sz val="11"/>
            <color rgb="FFFFFFFF"/>
            <rFont val="Tahoma"/>
            <family val="2"/>
            <charset val="238"/>
          </rPr>
          <t>vyberte si slovenský nemecký anglický jazyk</t>
        </r>
      </text>
    </comment>
  </commentList>
</comments>
</file>

<file path=xl/comments4.xml><?xml version="1.0" encoding="utf-8"?>
<comments xmlns="http://schemas.openxmlformats.org/spreadsheetml/2006/main">
  <authors>
    <author/>
  </authors>
  <commentList>
    <comment ref="P2" authorId="0" shapeId="0">
      <text>
        <r>
          <rPr>
            <sz val="9"/>
            <color rgb="FF000000"/>
            <rFont val="Tahoma"/>
            <family val="2"/>
            <charset val="238"/>
          </rPr>
          <t xml:space="preserve">Vstupujete len </t>
        </r>
        <r>
          <rPr>
            <b/>
            <sz val="12"/>
            <color rgb="FF0000FF"/>
            <rFont val="Tahoma"/>
            <family val="2"/>
            <charset val="238"/>
          </rPr>
          <t>do modrých polí</t>
        </r>
        <r>
          <rPr>
            <sz val="9"/>
            <color rgb="FF000000"/>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 ref="Q2" authorId="0" shapeId="0">
      <text>
        <r>
          <rPr>
            <sz val="9"/>
            <color rgb="FF000000"/>
            <rFont val="Tahoma"/>
            <family val="2"/>
            <charset val="238"/>
          </rPr>
          <t xml:space="preserve">Vstupujete len </t>
        </r>
        <r>
          <rPr>
            <b/>
            <sz val="12"/>
            <color rgb="FF0000FF"/>
            <rFont val="Tahoma"/>
            <family val="2"/>
            <charset val="238"/>
          </rPr>
          <t>do modrých polí</t>
        </r>
        <r>
          <rPr>
            <sz val="9"/>
            <color rgb="FF000000"/>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authors>
    <author/>
  </authors>
  <commentList>
    <comment ref="A27" authorId="0" shapeId="0">
      <text>
        <r>
          <rPr>
            <sz val="9"/>
            <color rgb="FF000000"/>
            <rFont val="Tahoma"/>
            <family val="2"/>
            <charset val="238"/>
          </rPr>
          <t>pozrite si dátumy</t>
        </r>
      </text>
    </comment>
    <comment ref="P28" authorId="0" shapeId="0">
      <text>
        <r>
          <rPr>
            <sz val="9"/>
            <color rgb="FF000000"/>
            <rFont val="Tahoma"/>
            <family val="2"/>
            <charset val="238"/>
          </rPr>
          <t>pozrite : ano / nie</t>
        </r>
      </text>
    </comment>
    <comment ref="A37" authorId="0" shapeId="0">
      <text>
        <r>
          <rPr>
            <b/>
            <sz val="9"/>
            <color rgb="FF000000"/>
            <rFont val="Tahoma"/>
            <family val="2"/>
            <charset val="238"/>
          </rPr>
          <t>pozrite si dátumy</t>
        </r>
      </text>
    </comment>
    <comment ref="A39" authorId="0" shapeId="0">
      <text>
        <r>
          <rPr>
            <b/>
            <sz val="9"/>
            <color rgb="FF000000"/>
            <rFont val="Tahoma"/>
            <family val="2"/>
            <charset val="238"/>
          </rPr>
          <t>pozrite si dátumy</t>
        </r>
      </text>
    </comment>
    <comment ref="A41" authorId="0" shapeId="0">
      <text>
        <r>
          <rPr>
            <b/>
            <sz val="9"/>
            <color rgb="FF000000"/>
            <rFont val="Tahoma"/>
            <family val="2"/>
            <charset val="238"/>
          </rPr>
          <t>pozrite si dátumy</t>
        </r>
      </text>
    </comment>
    <comment ref="AK64" authorId="0" shapeId="0">
      <text>
        <r>
          <rPr>
            <sz val="9"/>
            <color rgb="FF000000"/>
            <rFont val="Tahoma"/>
            <family val="2"/>
            <charset val="238"/>
          </rPr>
          <t>vyberajte z ponuky ano / nie</t>
        </r>
      </text>
    </comment>
    <comment ref="AB78" authorId="0" shapeId="0">
      <text>
        <r>
          <rPr>
            <sz val="9"/>
            <color rgb="FF000000"/>
            <rFont val="Tahoma"/>
            <family val="2"/>
            <charset val="238"/>
          </rPr>
          <t>vyberajte z ponuky ano / nie</t>
        </r>
      </text>
    </comment>
    <comment ref="AB82" authorId="0" shapeId="0">
      <text>
        <r>
          <rPr>
            <sz val="9"/>
            <color rgb="FF000000"/>
            <rFont val="Tahoma"/>
            <family val="2"/>
            <charset val="238"/>
          </rPr>
          <t>vyberajte z ponuky ano / nie</t>
        </r>
      </text>
    </comment>
    <comment ref="AV130" authorId="0" shapeId="0">
      <text>
        <r>
          <rPr>
            <sz val="9"/>
            <color rgb="FF000000"/>
            <rFont val="Tahoma"/>
            <family val="2"/>
            <charset val="238"/>
          </rPr>
          <t xml:space="preserve">vyberajte z ponuky ano / nie
</t>
        </r>
      </text>
    </comment>
    <comment ref="A199" authorId="0" shapeId="0">
      <text>
        <r>
          <rPr>
            <b/>
            <sz val="9"/>
            <color rgb="FF000000"/>
            <rFont val="Tahoma"/>
            <family val="2"/>
            <charset val="238"/>
          </rPr>
          <t>pozrite si dátumy</t>
        </r>
      </text>
    </comment>
  </commentList>
</comments>
</file>

<file path=xl/comments6.xml><?xml version="1.0" encoding="utf-8"?>
<comments xmlns="http://schemas.openxmlformats.org/spreadsheetml/2006/main">
  <authors>
    <author/>
  </authors>
  <commentList>
    <comment ref="D1" authorId="0" shapeId="0">
      <text>
        <r>
          <rPr>
            <sz val="8"/>
            <color rgb="FF000000"/>
            <rFont val="Arial Narrow"/>
            <family val="2"/>
            <charset val="238"/>
          </rPr>
          <t>Vyberte si jazyk</t>
        </r>
      </text>
    </comment>
  </commentList>
</comments>
</file>

<file path=xl/comments7.xml><?xml version="1.0" encoding="utf-8"?>
<comments xmlns="http://schemas.openxmlformats.org/spreadsheetml/2006/main">
  <authors>
    <author/>
  </authors>
  <commentList>
    <comment ref="B178" authorId="0" shapeId="0">
      <text>
        <r>
          <rPr>
            <sz val="11"/>
            <color rgb="FF000000"/>
            <rFont val="Calibri"/>
            <family val="2"/>
            <charset val="238"/>
          </rPr>
          <t xml:space="preserve"> </t>
        </r>
      </text>
    </comment>
    <comment ref="B185" authorId="0" shapeId="0">
      <text>
        <r>
          <rPr>
            <sz val="9"/>
            <color rgb="FF000000"/>
            <rFont val="Segoe UI"/>
            <family val="2"/>
            <charset val="238"/>
          </rPr>
          <t>Výborný - &gt;2,9%,  Veľmi dobrý - &gt;1,8, Dobrý - &gt;1,2, Špatný - &gt;0% Insolventný &lt;0%</t>
        </r>
      </text>
    </comment>
    <comment ref="B186" authorId="0" shapeId="0">
      <text>
        <r>
          <rPr>
            <sz val="9"/>
            <color rgb="FF000000"/>
            <rFont val="Segoe UI"/>
            <family val="2"/>
            <charset val="238"/>
          </rPr>
          <t>Výborný - &gt;2,9%,  Veľmi dobrý - &gt;1,8, Dobrý - &gt;1,2, Špatný - &gt;0% Insolventný &lt;0%</t>
        </r>
      </text>
    </comment>
    <comment ref="B193" authorId="0" shapeId="0">
      <text>
        <r>
          <rPr>
            <sz val="9"/>
            <color rgb="FF000000"/>
            <rFont val="Segoe UI"/>
            <family val="2"/>
            <charset val="238"/>
          </rPr>
          <t xml:space="preserve">Výborný - &gt;30%,  Veľmi dobrý - &gt;20% Dobrý - &gt;10%, Špatný - &gt;0% Insolventný &lt;0%
</t>
        </r>
      </text>
    </comment>
    <comment ref="B194" authorId="0" shapeId="0">
      <text>
        <r>
          <rPr>
            <sz val="9"/>
            <color rgb="FF000000"/>
            <rFont val="Segoe UI"/>
            <family val="2"/>
            <charset val="238"/>
          </rPr>
          <t>Výborný - &lt; 3 roky, Veľmi dobrý - &lt;5 rokov, dobrý - &lt;12 rokov, špatný - &gt;12 rokov, insolventný - &gt;30 rokov</t>
        </r>
      </text>
    </comment>
    <comment ref="B195" authorId="0" shapeId="0">
      <text>
        <r>
          <rPr>
            <sz val="9"/>
            <color rgb="FF000000"/>
            <rFont val="Segoe UI"/>
            <family val="2"/>
            <charset val="238"/>
          </rPr>
          <t>Výborný - &gt;10%,  Veľmi dobrý - &gt;8% Dobrý - &gt;5%, Špatný - &gt;0% Insolventný &lt;0%</t>
        </r>
      </text>
    </comment>
    <comment ref="B196" authorId="0" shapeId="0">
      <text>
        <r>
          <rPr>
            <sz val="9"/>
            <color rgb="FF000000"/>
            <rFont val="Segoe UI"/>
            <family val="2"/>
            <charset val="238"/>
          </rPr>
          <t>Výborný - &gt;15%,  Veľmi dobrý - &gt;12% Dobrý - &gt;8%, Špatný - &gt;0% Insolventný &lt;0%</t>
        </r>
      </text>
    </comment>
    <comment ref="B199" authorId="0" shapeId="0">
      <text>
        <r>
          <rPr>
            <sz val="9"/>
            <color rgb="FF000000"/>
            <rFont val="Segoe UI"/>
            <family val="2"/>
            <charset val="238"/>
          </rPr>
          <t xml:space="preserve">Výborný - &gt;0,3,  Veľmi dobrý - &gt;0,28, Dobrý - &gt;0,25, Špatný - &gt;2, Insolventný &lt;0,2.
</t>
        </r>
      </text>
    </comment>
    <comment ref="B204" authorId="0" shapeId="0">
      <text>
        <r>
          <rPr>
            <sz val="9"/>
            <color rgb="FF000000"/>
            <rFont val="Segoe UI"/>
            <family val="2"/>
            <charset val="238"/>
          </rPr>
          <t xml:space="preserve">Výborný - &gt;1,77,  Veľmi dobrý - &gt;1,25, Dobrý - &gt;1,0, Špatný - &gt;0,75, Insolventný &lt;0,75.
</t>
        </r>
      </text>
    </comment>
  </commentList>
</comments>
</file>

<file path=xl/sharedStrings.xml><?xml version="1.0" encoding="utf-8"?>
<sst xmlns="http://schemas.openxmlformats.org/spreadsheetml/2006/main" count="9131" uniqueCount="5363">
  <si>
    <t>Poznámky  VUJ 2018</t>
  </si>
  <si>
    <t xml:space="preserve">Hlavička </t>
  </si>
  <si>
    <t>Vložte postupne tieto údaje</t>
  </si>
  <si>
    <t>Daňové identifikačné číslo</t>
  </si>
  <si>
    <t>2020473411</t>
  </si>
  <si>
    <t>IČO</t>
  </si>
  <si>
    <t>00651052</t>
  </si>
  <si>
    <t>SK NACE</t>
  </si>
  <si>
    <t>01500</t>
  </si>
  <si>
    <t>Obchodné meno (názov) účtovnej jednotky</t>
  </si>
  <si>
    <t>Poľnohospodárske družstvo Detvianska Huta, družstvo </t>
  </si>
  <si>
    <t>Sídlo účtovnej jednotky, ulica a číslo</t>
  </si>
  <si>
    <t xml:space="preserve">č. 100 </t>
  </si>
  <si>
    <t>PSČ</t>
  </si>
  <si>
    <t>962 06</t>
  </si>
  <si>
    <t>Obec</t>
  </si>
  <si>
    <t>Detvianska Huta</t>
  </si>
  <si>
    <t>Telefónne číslo</t>
  </si>
  <si>
    <t>045 5376310</t>
  </si>
  <si>
    <t>Faxové číslo</t>
  </si>
  <si>
    <t>E-mailová adresa</t>
  </si>
  <si>
    <t>pdhuta@gmail.com</t>
  </si>
  <si>
    <t>Zostavená dňa:</t>
  </si>
  <si>
    <t>Schválená dňa:</t>
  </si>
  <si>
    <t>Účtovná závierka ku dňu :</t>
  </si>
  <si>
    <t>Označenie obchodného registra a číslo zápisu obchodnej spoločnosti</t>
  </si>
  <si>
    <t>OR OS Banská Bystrica, Oddiel Dr, Vložka č.: 142/S</t>
  </si>
  <si>
    <t>UZPODv14_1</t>
  </si>
  <si>
    <t>Úč POD</t>
  </si>
  <si>
    <t xml:space="preserve">            </t>
  </si>
  <si>
    <t>x</t>
  </si>
  <si>
    <t>0</t>
  </si>
  <si>
    <t>1</t>
  </si>
  <si>
    <t>2</t>
  </si>
  <si>
    <t>)</t>
  </si>
  <si>
    <t>.</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</si>
  <si>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</si>
  <si>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</si>
  <si>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</si>
  <si>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</si>
  <si>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</si>
  <si>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</si>
  <si>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</si>
  <si>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</si>
  <si>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</si>
  <si>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</si>
  <si>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</si>
  <si>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</si>
  <si>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</si>
  <si>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</si>
  <si>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</si>
  <si>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</si>
  <si>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</si>
  <si>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</si>
  <si>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</si>
  <si>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r>
      <rPr>
        <b/>
        <sz val="10"/>
        <color rgb="FFFFFFFF"/>
        <rFont val="Arial CE"/>
        <family val="2"/>
        <charset val="238"/>
      </rPr>
      <t xml:space="preserve">V tomto liste (hk2018) vkladáte údaje za rok 2018 </t>
    </r>
    <r>
      <rPr>
        <b/>
        <sz val="7"/>
        <color rgb="FFFFFFFF"/>
        <rFont val="Arial CE"/>
        <family val="2"/>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HK2017 alebo na ANALYTIKAVUJ </t>
    </r>
  </si>
  <si>
    <t>Hlavnú knihu treba komplet vyplniť, pretože z nej si vyrátame súvahu aktuálny a minulý rok resp. vyplním všetky majetkové tabuľky
POCSTAV</t>
  </si>
  <si>
    <t>Vyplňujete len biele bunky, ostatne excel robí za Vás
ROCNE OBRATY</t>
  </si>
  <si>
    <t>KONECNY STAV</t>
  </si>
  <si>
    <t>SUM</t>
  </si>
  <si>
    <t>013</t>
  </si>
  <si>
    <t>019</t>
  </si>
  <si>
    <t>021</t>
  </si>
  <si>
    <t>022</t>
  </si>
  <si>
    <t>025</t>
  </si>
  <si>
    <t>026</t>
  </si>
  <si>
    <t>042</t>
  </si>
  <si>
    <t>073</t>
  </si>
  <si>
    <t>079</t>
  </si>
  <si>
    <t>081</t>
  </si>
  <si>
    <t>082</t>
  </si>
  <si>
    <t>086</t>
  </si>
  <si>
    <t>111</t>
  </si>
  <si>
    <t>112</t>
  </si>
  <si>
    <t>121</t>
  </si>
  <si>
    <t>123</t>
  </si>
  <si>
    <t>124</t>
  </si>
  <si>
    <t>211</t>
  </si>
  <si>
    <t>213</t>
  </si>
  <si>
    <t>221</t>
  </si>
  <si>
    <t>249</t>
  </si>
  <si>
    <t>261</t>
  </si>
  <si>
    <t>311</t>
  </si>
  <si>
    <t>314</t>
  </si>
  <si>
    <t>315</t>
  </si>
  <si>
    <t>321</t>
  </si>
  <si>
    <t>323</t>
  </si>
  <si>
    <t>325</t>
  </si>
  <si>
    <t>331</t>
  </si>
  <si>
    <t>333</t>
  </si>
  <si>
    <t>335</t>
  </si>
  <si>
    <t>336</t>
  </si>
  <si>
    <t>341</t>
  </si>
  <si>
    <t>342</t>
  </si>
  <si>
    <t>343</t>
  </si>
  <si>
    <t>345</t>
  </si>
  <si>
    <t>346</t>
  </si>
  <si>
    <t>365</t>
  </si>
  <si>
    <t>378</t>
  </si>
  <si>
    <t>379</t>
  </si>
  <si>
    <t>384</t>
  </si>
  <si>
    <t>385</t>
  </si>
  <si>
    <t>395</t>
  </si>
  <si>
    <t>411</t>
  </si>
  <si>
    <t>413</t>
  </si>
  <si>
    <t>421</t>
  </si>
  <si>
    <t>422</t>
  </si>
  <si>
    <t>427</t>
  </si>
  <si>
    <t>429</t>
  </si>
  <si>
    <t>431</t>
  </si>
  <si>
    <t>472</t>
  </si>
  <si>
    <t>479</t>
  </si>
  <si>
    <t>501</t>
  </si>
  <si>
    <t>502</t>
  </si>
  <si>
    <t>511</t>
  </si>
  <si>
    <t>513</t>
  </si>
  <si>
    <t>518</t>
  </si>
  <si>
    <t>521</t>
  </si>
  <si>
    <t>522</t>
  </si>
  <si>
    <t>524</t>
  </si>
  <si>
    <t>525</t>
  </si>
  <si>
    <t>527</t>
  </si>
  <si>
    <t>528</t>
  </si>
  <si>
    <t>532</t>
  </si>
  <si>
    <t>538</t>
  </si>
  <si>
    <t>545</t>
  </si>
  <si>
    <t>548</t>
  </si>
  <si>
    <t>551</t>
  </si>
  <si>
    <t>562</t>
  </si>
  <si>
    <t>568</t>
  </si>
  <si>
    <t>601</t>
  </si>
  <si>
    <t>602</t>
  </si>
  <si>
    <t>611</t>
  </si>
  <si>
    <t>613</t>
  </si>
  <si>
    <t>614</t>
  </si>
  <si>
    <t>624</t>
  </si>
  <si>
    <t>641</t>
  </si>
  <si>
    <t>648</t>
  </si>
  <si>
    <t>800</t>
  </si>
  <si>
    <t>900</t>
  </si>
  <si>
    <t>Anglický jazyk</t>
  </si>
  <si>
    <t>Nemecký jazyk</t>
  </si>
  <si>
    <t>Účtová trieda 0 – Dlhodobý majetok</t>
  </si>
  <si>
    <t>Účtová trieda 1 - Zásoby</t>
  </si>
  <si>
    <t>ROCNE OBRATY</t>
  </si>
  <si>
    <r>
      <rPr>
        <b/>
        <sz val="10"/>
        <color rgb="FFFFFFFF"/>
        <rFont val="Arial CE"/>
        <family val="2"/>
        <charset val="238"/>
      </rPr>
      <t xml:space="preserve">V tomto liste (hk2017) vkladáte údaje za rok 2017 </t>
    </r>
    <r>
      <rPr>
        <b/>
        <sz val="7"/>
        <color rgb="FFFFFFFF"/>
        <rFont val="Arial CE"/>
        <family val="2"/>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</si>
  <si>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t>PS MD</t>
  </si>
  <si>
    <t>PS DAL</t>
  </si>
  <si>
    <t>PS SUM</t>
  </si>
  <si>
    <t>ROK MD</t>
  </si>
  <si>
    <t>ROK DAL</t>
  </si>
  <si>
    <t>383</t>
  </si>
  <si>
    <t>512</t>
  </si>
  <si>
    <t>591</t>
  </si>
  <si>
    <t>599</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</si>
  <si>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</si>
  <si>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</si>
  <si>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</si>
  <si>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</si>
  <si>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</si>
  <si>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</si>
  <si>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</si>
  <si>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</si>
  <si>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</si>
  <si>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</si>
  <si>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</si>
  <si>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</si>
  <si>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</si>
  <si>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</si>
  <si>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</si>
  <si>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</si>
  <si>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</si>
  <si>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</si>
  <si>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</si>
  <si>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</si>
  <si>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Other non-current intangible assets</t>
  </si>
  <si>
    <t xml:space="preserve">Ostatný dlhodobý nehmotný majetok </t>
  </si>
  <si>
    <t>Sonstiges langfristiges immaterielles Eigentum</t>
  </si>
  <si>
    <t>020</t>
  </si>
  <si>
    <t xml:space="preserve">Dlhodobý hmotný majetok - odpisovaný </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</si>
  <si>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</si>
  <si>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</si>
  <si>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</si>
  <si>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</si>
  <si>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</si>
  <si>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</si>
  <si>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</si>
  <si>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</si>
  <si>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Perennial crops</t>
  </si>
  <si>
    <t xml:space="preserve">Pestovateľské celky trvalých porastov </t>
  </si>
  <si>
    <t>Anbaukomplexe der Dauerkulturen</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</si>
  <si>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</si>
  <si>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</si>
  <si>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</si>
  <si>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</si>
  <si>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</si>
  <si>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</si>
  <si>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</si>
  <si>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</si>
  <si>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</si>
  <si>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</si>
  <si>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</si>
  <si>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</si>
  <si>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</si>
  <si>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</si>
  <si>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</si>
  <si>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</si>
  <si>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</si>
  <si>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</si>
  <si>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</si>
  <si>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</si>
  <si>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041</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</si>
  <si>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</si>
  <si>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</si>
  <si>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</si>
  <si>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</si>
  <si>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</si>
  <si>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</si>
  <si>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</si>
  <si>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</si>
  <si>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</si>
  <si>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</si>
  <si>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</si>
  <si>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</si>
  <si>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</si>
  <si>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</si>
  <si>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</si>
  <si>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</si>
  <si>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</si>
  <si>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</si>
  <si>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</si>
  <si>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</si>
  <si>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</si>
  <si>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</si>
  <si>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</si>
  <si>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</si>
  <si>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</si>
  <si>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</si>
  <si>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</si>
  <si>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</si>
  <si>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</si>
  <si>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</si>
  <si>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</si>
  <si>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</si>
  <si>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</si>
  <si>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</si>
  <si>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</si>
  <si>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</si>
  <si>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</si>
  <si>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</si>
  <si>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</si>
  <si>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</si>
  <si>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</si>
  <si>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</si>
  <si>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</si>
  <si>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</si>
  <si>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</si>
  <si>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</si>
  <si>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</si>
  <si>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</si>
  <si>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</si>
  <si>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</si>
  <si>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</si>
  <si>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</si>
  <si>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</si>
  <si>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</si>
  <si>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</si>
  <si>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</si>
  <si>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</si>
  <si>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</si>
  <si>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</si>
  <si>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</si>
  <si>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</si>
  <si>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</si>
  <si>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</si>
  <si>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</si>
  <si>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</si>
  <si>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</si>
  <si>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</si>
  <si>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</si>
  <si>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</si>
  <si>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</si>
  <si>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</si>
  <si>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</si>
  <si>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</si>
  <si>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</si>
  <si>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</si>
  <si>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</si>
  <si>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</si>
  <si>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</si>
  <si>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</si>
  <si>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</si>
  <si>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</si>
  <si>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</si>
  <si>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</si>
  <si>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</si>
  <si>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</si>
  <si>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</si>
  <si>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</si>
  <si>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</si>
  <si>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</si>
  <si>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</si>
  <si>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</si>
  <si>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</si>
  <si>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</si>
  <si>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</si>
  <si>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</si>
  <si>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</si>
  <si>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</si>
  <si>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</si>
  <si>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</si>
  <si>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</si>
  <si>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</si>
  <si>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</si>
  <si>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</si>
  <si>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</si>
  <si>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</si>
  <si>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</si>
  <si>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</si>
  <si>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</si>
  <si>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</si>
  <si>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</si>
  <si>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</si>
  <si>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</si>
  <si>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</si>
  <si>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</si>
  <si>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</si>
  <si>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</si>
  <si>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</si>
  <si>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</si>
  <si>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</si>
  <si>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</si>
  <si>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</si>
  <si>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</si>
  <si>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</si>
  <si>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</si>
  <si>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</si>
  <si>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</si>
  <si>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</si>
  <si>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</si>
  <si>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</si>
  <si>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</si>
  <si>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</si>
  <si>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</si>
  <si>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</si>
  <si>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</si>
  <si>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</si>
  <si>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</si>
  <si>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</si>
  <si>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</si>
  <si>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</si>
  <si>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</si>
  <si>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</si>
  <si>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</si>
  <si>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</si>
  <si>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</si>
  <si>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</si>
  <si>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</si>
  <si>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</si>
  <si>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</si>
  <si>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</si>
  <si>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</si>
  <si>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</si>
  <si>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</si>
  <si>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</si>
  <si>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</si>
  <si>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</si>
  <si>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</si>
  <si>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</si>
  <si>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</si>
  <si>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</si>
  <si>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</si>
  <si>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</si>
  <si>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</si>
  <si>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</si>
  <si>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</si>
  <si>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</si>
  <si>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</si>
  <si>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</si>
  <si>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</si>
  <si>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</si>
  <si>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</si>
  <si>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</si>
  <si>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</si>
  <si>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</si>
  <si>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</si>
  <si>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</si>
  <si>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</si>
  <si>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</si>
  <si>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</si>
  <si>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</si>
  <si>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</si>
  <si>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</si>
  <si>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</si>
  <si>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</si>
  <si>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</si>
  <si>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</si>
  <si>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</si>
  <si>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</si>
  <si>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</si>
  <si>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</si>
  <si>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</si>
  <si>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</si>
  <si>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</si>
  <si>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</si>
  <si>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</si>
  <si>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</si>
  <si>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</si>
  <si>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</si>
  <si>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</si>
  <si>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</si>
  <si>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</si>
  <si>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</si>
  <si>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</si>
  <si>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</si>
  <si>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</si>
  <si>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</si>
  <si>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</si>
  <si>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</si>
  <si>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</si>
  <si>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</si>
  <si>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</si>
  <si>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</si>
  <si>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</si>
  <si>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</si>
  <si>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</si>
  <si>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</si>
  <si>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</si>
  <si>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</si>
  <si>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</si>
  <si>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</si>
  <si>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</si>
  <si>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</si>
  <si>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</si>
  <si>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</si>
  <si>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</si>
  <si>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</si>
  <si>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</si>
  <si>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</si>
  <si>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</si>
  <si>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</si>
  <si>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</si>
  <si>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</si>
  <si>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</si>
  <si>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</si>
  <si>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</si>
  <si>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</si>
  <si>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</si>
  <si>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</si>
  <si>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</si>
  <si>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</si>
  <si>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</si>
  <si>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</si>
  <si>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</si>
  <si>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</si>
  <si>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</si>
  <si>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</si>
  <si>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</si>
  <si>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</si>
  <si>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</si>
  <si>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</si>
  <si>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</si>
  <si>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</si>
  <si>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</si>
  <si>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</si>
  <si>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</si>
  <si>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</si>
  <si>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</si>
  <si>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</si>
  <si>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</si>
  <si>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</si>
  <si>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</si>
  <si>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</si>
  <si>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</si>
  <si>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</si>
  <si>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</si>
  <si>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</si>
  <si>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</si>
  <si>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</si>
  <si>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</si>
  <si>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</si>
  <si>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</si>
  <si>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</si>
  <si>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</si>
  <si>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</si>
  <si>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</si>
  <si>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</si>
  <si>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</si>
  <si>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</si>
  <si>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</si>
  <si>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</si>
  <si>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</si>
  <si>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</si>
  <si>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</si>
  <si>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</si>
  <si>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</si>
  <si>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</si>
  <si>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</si>
  <si>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</si>
  <si>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</si>
  <si>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</si>
  <si>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</si>
  <si>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</si>
  <si>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</si>
  <si>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</si>
  <si>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</si>
  <si>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</si>
  <si>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</si>
  <si>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</si>
  <si>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</si>
  <si>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</si>
  <si>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</si>
  <si>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</si>
  <si>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</si>
  <si>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</si>
  <si>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</si>
  <si>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</si>
  <si>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</si>
  <si>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</si>
  <si>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</si>
  <si>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</si>
  <si>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324</t>
  </si>
  <si>
    <t>Advances received</t>
  </si>
  <si>
    <t xml:space="preserve">Prijaté preddavky </t>
  </si>
  <si>
    <t>Angenommene Anzahlungen</t>
  </si>
  <si>
    <t>Other trade paybles</t>
  </si>
  <si>
    <t xml:space="preserve">Ostatné záväzky </t>
  </si>
  <si>
    <t>326</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</si>
  <si>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</si>
  <si>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</si>
  <si>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</si>
  <si>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</si>
  <si>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</si>
  <si>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</si>
  <si>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</si>
  <si>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</si>
  <si>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</si>
  <si>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</si>
  <si>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</si>
  <si>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</si>
  <si>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</si>
  <si>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</si>
  <si>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</si>
  <si>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</si>
  <si>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</si>
  <si>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</si>
  <si>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</si>
  <si>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</si>
  <si>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</si>
  <si>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</si>
  <si>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</si>
  <si>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</si>
  <si>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</si>
  <si>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</si>
  <si>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</si>
  <si>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</si>
  <si>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</si>
  <si>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</si>
  <si>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</si>
  <si>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</si>
  <si>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</si>
  <si>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</si>
  <si>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</si>
  <si>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</si>
  <si>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</si>
  <si>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</si>
  <si>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</si>
  <si>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</si>
  <si>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</si>
  <si>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</si>
  <si>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</si>
  <si>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</si>
  <si>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</si>
  <si>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</si>
  <si>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</si>
  <si>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</si>
  <si>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</si>
  <si>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</si>
  <si>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</si>
  <si>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</si>
  <si>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</si>
  <si>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</si>
  <si>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</si>
  <si>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</si>
  <si>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</si>
  <si>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</si>
  <si>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</si>
  <si>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</si>
  <si>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</si>
  <si>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</si>
  <si>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</si>
  <si>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</si>
  <si>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</si>
  <si>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</si>
  <si>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</si>
  <si>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</si>
  <si>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</si>
  <si>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</si>
  <si>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</si>
  <si>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</si>
  <si>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</si>
  <si>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</si>
  <si>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</si>
  <si>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</si>
  <si>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</si>
  <si>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</si>
  <si>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</si>
  <si>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</si>
  <si>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</si>
  <si>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</si>
  <si>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</si>
  <si>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</si>
  <si>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</si>
  <si>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</si>
  <si>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</si>
  <si>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</si>
  <si>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</si>
  <si>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</si>
  <si>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</si>
  <si>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</si>
  <si>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</si>
  <si>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</si>
  <si>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</si>
  <si>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</si>
  <si>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</si>
  <si>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</si>
  <si>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</si>
  <si>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</si>
  <si>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</si>
  <si>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</si>
  <si>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</si>
  <si>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</si>
  <si>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</si>
  <si>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</si>
  <si>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</si>
  <si>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</si>
  <si>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</si>
  <si>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</si>
  <si>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</si>
  <si>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</si>
  <si>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</si>
  <si>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</si>
  <si>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</si>
  <si>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</si>
  <si>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</si>
  <si>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</si>
  <si>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</si>
  <si>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</si>
  <si>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</si>
  <si>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</si>
  <si>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</si>
  <si>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381</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</si>
  <si>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</si>
  <si>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</si>
  <si>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</si>
  <si>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</si>
  <si>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</si>
  <si>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</si>
  <si>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</si>
  <si>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</si>
  <si>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Accrued expenses</t>
  </si>
  <si>
    <t xml:space="preserve">Výdavky budúcich období </t>
  </si>
  <si>
    <t>Ausgaben für künftige Abrechnungszeiträume</t>
  </si>
  <si>
    <t>Deferred income</t>
  </si>
  <si>
    <t xml:space="preserve">Výnosy budúcich období </t>
  </si>
  <si>
    <t>Erlöse für künftige Abrechnungszeiträume</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</si>
  <si>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</si>
  <si>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</si>
  <si>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</si>
  <si>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</si>
  <si>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</si>
  <si>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</si>
  <si>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</si>
  <si>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</si>
  <si>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</si>
  <si>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</si>
  <si>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</si>
  <si>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</si>
  <si>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</si>
  <si>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</si>
  <si>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</si>
  <si>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</si>
  <si>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</si>
  <si>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</si>
  <si>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</si>
  <si>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</si>
  <si>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</si>
  <si>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</si>
  <si>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</si>
  <si>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</si>
  <si>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</si>
  <si>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</si>
  <si>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</si>
  <si>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</si>
  <si>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</si>
  <si>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</si>
  <si>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</si>
  <si>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</si>
  <si>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</si>
  <si>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</si>
  <si>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</si>
  <si>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</si>
  <si>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</si>
  <si>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</si>
  <si>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</si>
  <si>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</si>
  <si>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</si>
  <si>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</si>
  <si>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</si>
  <si>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</si>
  <si>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</si>
  <si>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</si>
  <si>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</si>
  <si>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</si>
  <si>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</si>
  <si>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</si>
  <si>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</si>
  <si>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</si>
  <si>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</si>
  <si>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</si>
  <si>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</si>
  <si>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</si>
  <si>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</si>
  <si>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</si>
  <si>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</si>
  <si>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</si>
  <si>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</si>
  <si>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</si>
  <si>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</si>
  <si>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</si>
  <si>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Non-distributable fund</t>
  </si>
  <si>
    <t xml:space="preserve">Nedeliteľný fond </t>
  </si>
  <si>
    <t>Unteilbarer Fonds</t>
  </si>
  <si>
    <t>423</t>
  </si>
  <si>
    <t>Statutory funds</t>
  </si>
  <si>
    <t xml:space="preserve">Štatutárne fondy </t>
  </si>
  <si>
    <t>Statutarische Fonds</t>
  </si>
  <si>
    <t>Other funds</t>
  </si>
  <si>
    <t xml:space="preserve">Ostatné fondy </t>
  </si>
  <si>
    <t>Sonstige Fonds</t>
  </si>
  <si>
    <t>428</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</si>
  <si>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</si>
  <si>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</si>
  <si>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</si>
  <si>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</si>
  <si>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</si>
  <si>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</si>
  <si>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</si>
  <si>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</si>
  <si>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</si>
  <si>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</si>
  <si>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</si>
  <si>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</si>
  <si>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</si>
  <si>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</si>
  <si>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</si>
  <si>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</si>
  <si>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</si>
  <si>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</si>
  <si>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</si>
  <si>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</si>
  <si>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</si>
  <si>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</si>
  <si>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</si>
  <si>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</si>
  <si>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</si>
  <si>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</si>
  <si>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</si>
  <si>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</si>
  <si>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</si>
  <si>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</si>
  <si>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</si>
  <si>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</si>
  <si>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</si>
  <si>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</si>
  <si>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</si>
  <si>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</si>
  <si>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</si>
  <si>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</si>
  <si>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</si>
  <si>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</si>
  <si>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</si>
  <si>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</si>
  <si>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</si>
  <si>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</si>
  <si>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474</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</si>
  <si>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</si>
  <si>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</si>
  <si>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</si>
  <si>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</si>
  <si>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</si>
  <si>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</si>
  <si>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</si>
  <si>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</si>
  <si>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</si>
  <si>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</si>
  <si>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</si>
  <si>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</si>
  <si>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</si>
  <si>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</si>
  <si>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</si>
  <si>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</si>
  <si>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</si>
  <si>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</si>
  <si>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</si>
  <si>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</si>
  <si>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</si>
  <si>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</si>
  <si>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481</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</si>
  <si>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</si>
  <si>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</si>
  <si>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</si>
  <si>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</si>
  <si>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</si>
  <si>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</si>
  <si>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</si>
  <si>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</si>
  <si>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</si>
  <si>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</si>
  <si>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</si>
  <si>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</si>
  <si>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</si>
  <si>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</si>
  <si>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</si>
  <si>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</si>
  <si>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</si>
  <si>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</si>
  <si>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</si>
  <si>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</si>
  <si>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</si>
  <si>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503</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</si>
  <si>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</si>
  <si>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</si>
  <si>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</si>
  <si>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</si>
  <si>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</si>
  <si>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</si>
  <si>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</si>
  <si>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</si>
  <si>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</si>
  <si>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</si>
  <si>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</si>
  <si>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</si>
  <si>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</si>
  <si>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</si>
  <si>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</si>
  <si>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</si>
  <si>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</si>
  <si>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</si>
  <si>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</si>
  <si>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</si>
  <si>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</si>
  <si>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</si>
  <si>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</si>
  <si>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</si>
  <si>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</si>
  <si>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</si>
  <si>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</si>
  <si>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</si>
  <si>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</si>
  <si>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</si>
  <si>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</si>
  <si>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</si>
  <si>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</si>
  <si>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</si>
  <si>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</si>
  <si>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</si>
  <si>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</si>
  <si>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</si>
  <si>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</si>
  <si>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</si>
  <si>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</si>
  <si>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</si>
  <si>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</si>
  <si>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</si>
  <si>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</si>
  <si>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</si>
  <si>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</si>
  <si>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</si>
  <si>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</si>
  <si>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</si>
  <si>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</si>
  <si>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</si>
  <si>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</si>
  <si>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</si>
  <si>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</si>
  <si>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</si>
  <si>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</si>
  <si>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</si>
  <si>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</si>
  <si>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</si>
  <si>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</si>
  <si>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</si>
  <si>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Other social expenses</t>
  </si>
  <si>
    <t xml:space="preserve">Ostatné sociálne náklady </t>
  </si>
  <si>
    <t>Sonstige Sozialkosten</t>
  </si>
  <si>
    <t>530</t>
  </si>
  <si>
    <t xml:space="preserve">Dane a poplatky </t>
  </si>
  <si>
    <t>531</t>
  </si>
  <si>
    <t>Road tax</t>
  </si>
  <si>
    <t xml:space="preserve">Daň z motorových vozidiel </t>
  </si>
  <si>
    <t>Verkehrssteuer</t>
  </si>
  <si>
    <t>Imposta stradale</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</si>
  <si>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</si>
  <si>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</si>
  <si>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</si>
  <si>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</si>
  <si>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</si>
  <si>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</si>
  <si>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</si>
  <si>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</si>
  <si>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541</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</si>
  <si>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</si>
  <si>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</si>
  <si>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</si>
  <si>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</si>
  <si>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</si>
  <si>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</si>
  <si>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</si>
  <si>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</si>
  <si>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543</t>
  </si>
  <si>
    <t>Gifts</t>
  </si>
  <si>
    <t xml:space="preserve">Dary </t>
  </si>
  <si>
    <t>Spenden</t>
  </si>
  <si>
    <t>544</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</si>
  <si>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</si>
  <si>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</si>
  <si>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</si>
  <si>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</si>
  <si>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</si>
  <si>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</si>
  <si>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</si>
  <si>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</si>
  <si>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</si>
  <si>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</si>
  <si>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</si>
  <si>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</si>
  <si>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</si>
  <si>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</si>
  <si>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</si>
  <si>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</si>
  <si>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</si>
  <si>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</si>
  <si>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</si>
  <si>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</si>
  <si>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</si>
  <si>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</si>
  <si>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</si>
  <si>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</si>
  <si>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</si>
  <si>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</si>
  <si>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</si>
  <si>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</si>
  <si>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</si>
  <si>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</si>
  <si>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</si>
  <si>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</si>
  <si>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</si>
  <si>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</si>
  <si>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</si>
  <si>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</si>
  <si>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</si>
  <si>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</si>
  <si>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</si>
  <si>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</si>
  <si>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</si>
  <si>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</si>
  <si>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</si>
  <si>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</si>
  <si>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</si>
  <si>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</si>
  <si>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</si>
  <si>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</si>
  <si>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</si>
  <si>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</si>
  <si>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</si>
  <si>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</si>
  <si>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</si>
  <si>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563</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</si>
  <si>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</si>
  <si>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</si>
  <si>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</si>
  <si>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</si>
  <si>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</si>
  <si>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</si>
  <si>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</si>
  <si>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</si>
  <si>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</si>
  <si>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</si>
  <si>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</si>
  <si>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</si>
  <si>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</si>
  <si>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</si>
  <si>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</si>
  <si>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</si>
  <si>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</si>
  <si>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</si>
  <si>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</si>
  <si>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</si>
  <si>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</si>
  <si>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</si>
  <si>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</si>
  <si>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</si>
  <si>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</si>
  <si>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</si>
  <si>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</si>
  <si>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</si>
  <si>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</si>
  <si>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</si>
  <si>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</si>
  <si>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</si>
  <si>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</si>
  <si>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</si>
  <si>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</si>
  <si>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</si>
  <si>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</si>
  <si>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</si>
  <si>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</si>
  <si>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</si>
  <si>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</si>
  <si>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</si>
  <si>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</si>
  <si>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</si>
  <si>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</si>
  <si>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</si>
  <si>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</si>
  <si>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592</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</si>
  <si>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</si>
  <si>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</si>
  <si>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</si>
  <si>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</si>
  <si>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</si>
  <si>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</si>
  <si>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</si>
  <si>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</si>
  <si>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</si>
  <si>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</si>
  <si>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</si>
  <si>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</si>
  <si>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</si>
  <si>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</si>
  <si>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</si>
  <si>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</si>
  <si>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</si>
  <si>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</si>
  <si>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</si>
  <si>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</si>
  <si>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</si>
  <si>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</si>
  <si>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</si>
  <si>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</si>
  <si>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</si>
  <si>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</si>
  <si>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</si>
  <si>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</si>
  <si>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</si>
  <si>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</si>
  <si>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</si>
  <si>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</si>
  <si>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</si>
  <si>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</si>
  <si>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</si>
  <si>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</si>
  <si>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</si>
  <si>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</si>
  <si>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</si>
  <si>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604</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</si>
  <si>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</si>
  <si>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</si>
  <si>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</si>
  <si>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</si>
  <si>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</si>
  <si>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</si>
  <si>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</si>
  <si>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</si>
  <si>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</si>
  <si>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</si>
  <si>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</si>
  <si>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</si>
  <si>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</si>
  <si>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</si>
  <si>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</si>
  <si>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</si>
  <si>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</si>
  <si>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</si>
  <si>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</si>
  <si>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</si>
  <si>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</si>
  <si>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</si>
  <si>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</si>
  <si>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</si>
  <si>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</si>
  <si>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</si>
  <si>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</si>
  <si>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</si>
  <si>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</si>
  <si>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</si>
  <si>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</si>
  <si>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</si>
  <si>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</si>
  <si>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</si>
  <si>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</si>
  <si>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</si>
  <si>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</si>
  <si>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</si>
  <si>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</si>
  <si>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</si>
  <si>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</si>
  <si>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</si>
  <si>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</si>
  <si>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</si>
  <si>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</si>
  <si>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</si>
  <si>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</si>
  <si>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</si>
  <si>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642</t>
  </si>
  <si>
    <t>Revenue from the sale of raw materials</t>
  </si>
  <si>
    <t xml:space="preserve">Tržby z predaja materiálu </t>
  </si>
  <si>
    <t>Erlöse aus Verkauf von Material</t>
  </si>
  <si>
    <t>Ricavi di vendita del material</t>
  </si>
  <si>
    <t>644</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</si>
  <si>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</si>
  <si>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</si>
  <si>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</si>
  <si>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</si>
  <si>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</si>
  <si>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</si>
  <si>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</si>
  <si>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</si>
  <si>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</si>
  <si>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</si>
  <si>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</si>
  <si>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</si>
  <si>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</si>
  <si>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</si>
  <si>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</si>
  <si>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</si>
  <si>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</si>
  <si>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</si>
  <si>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</si>
  <si>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</si>
  <si>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</si>
  <si>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</si>
  <si>
    <t xml:space="preserve">Tržby z predaja cenných papierov a podielov </t>
  </si>
  <si>
    <t>Erlöse aus Verkauf von Wertpapieren und Anteilen</t>
  </si>
  <si>
    <t>662</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</si>
  <si>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</si>
  <si>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</si>
  <si>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</si>
  <si>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</si>
  <si>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</si>
  <si>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</si>
  <si>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</si>
  <si>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</si>
  <si>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</si>
  <si>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</si>
  <si>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</si>
  <si>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</si>
  <si>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</si>
  <si>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</si>
  <si>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</si>
  <si>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</si>
  <si>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</si>
  <si>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</si>
  <si>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</si>
  <si>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</si>
  <si>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</si>
  <si>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</si>
  <si>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</si>
  <si>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668</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</si>
  <si>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</si>
  <si>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</si>
  <si>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</si>
  <si>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</si>
  <si>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</si>
  <si>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</si>
  <si>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</si>
  <si>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</si>
  <si>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</si>
  <si>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</si>
  <si>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</si>
  <si>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</si>
  <si>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</si>
  <si>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</si>
  <si>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</si>
  <si>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</si>
  <si>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</si>
  <si>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</si>
  <si>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</si>
  <si>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</si>
  <si>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</si>
  <si>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</si>
  <si>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</si>
  <si>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</si>
  <si>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</si>
  <si>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</si>
  <si>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</si>
  <si>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</si>
  <si>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</si>
  <si>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</si>
  <si>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</si>
  <si>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</si>
  <si>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</si>
  <si>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</si>
  <si>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</si>
  <si>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</si>
  <si>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</si>
  <si>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</si>
  <si>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</si>
  <si>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</si>
  <si>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</si>
  <si>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</si>
  <si>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</si>
  <si>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</si>
  <si>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Aktívne analytické účty v súvahe</t>
  </si>
  <si>
    <t>syntetika</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</si>
  <si>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</si>
  <si>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</si>
  <si>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</si>
  <si>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</si>
  <si>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</si>
  <si>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</si>
  <si>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</si>
  <si>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</si>
  <si>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</si>
  <si>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</si>
  <si>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</si>
  <si>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</si>
  <si>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</si>
  <si>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</si>
  <si>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</si>
  <si>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</si>
  <si>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</si>
  <si>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</si>
  <si>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</si>
  <si>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</si>
  <si>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</si>
  <si>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</si>
  <si>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</si>
  <si>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</si>
  <si>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</si>
  <si>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</si>
  <si>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</si>
  <si>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</si>
  <si>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</si>
  <si>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</si>
  <si>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</si>
  <si>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</si>
  <si>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</si>
  <si>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</si>
  <si>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</si>
  <si>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</si>
  <si>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</si>
  <si>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</si>
  <si>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</si>
  <si>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</si>
  <si>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</si>
  <si>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</si>
  <si>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</si>
  <si>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Aktívne / pasívne analytické účty v súvahe</t>
  </si>
  <si>
    <t>30</t>
  </si>
  <si>
    <t>46</t>
  </si>
  <si>
    <t>58</t>
  </si>
  <si>
    <t>107</t>
  </si>
  <si>
    <t>115</t>
  </si>
  <si>
    <t>116</t>
  </si>
  <si>
    <t>52</t>
  </si>
  <si>
    <t>117</t>
  </si>
  <si>
    <t>Pasívne analytické účty v súvahe</t>
  </si>
  <si>
    <t>Analytické účty vo výkaze ZaS</t>
  </si>
  <si>
    <t xml:space="preserve">Poznámky Úč POD 3-01
</t>
  </si>
  <si>
    <t>k :</t>
  </si>
  <si>
    <t>ano</t>
  </si>
  <si>
    <t>ANO</t>
  </si>
  <si>
    <t>A. Informácie o účtovnej jednotke :</t>
  </si>
  <si>
    <t>Dátum zápisu do OR: 10.06.2005</t>
  </si>
  <si>
    <t>nie</t>
  </si>
  <si>
    <t>ne</t>
  </si>
  <si>
    <t>NIE</t>
  </si>
  <si>
    <t xml:space="preserve">Dátum výpisu: </t>
  </si>
  <si>
    <t>Zoznam výpisov: OR OS Banská Bystrica</t>
  </si>
  <si>
    <t>Oddiel : Dr</t>
  </si>
  <si>
    <t>SRO</t>
  </si>
  <si>
    <t>Vložka číslo 10516/S</t>
  </si>
  <si>
    <t>142/S</t>
  </si>
  <si>
    <t>Hlavnými činnosťami spoločnosti sú:</t>
  </si>
  <si>
    <t>1. Informácie k časti A. písm. c) prílohy č. 3 o počte zamestnancov</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</si>
  <si>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</si>
  <si>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</si>
  <si>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</si>
  <si>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</si>
  <si>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</si>
  <si>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</si>
  <si>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</si>
  <si>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</si>
  <si>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</si>
  <si>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Údaje o neobmedzenom ručení</t>
  </si>
  <si>
    <t xml:space="preserve">ÚJ </t>
  </si>
  <si>
    <t>je neobmedzene ručiacim spoločníkom v iných spoločnostiach podľa § 56 ods. 5 Obchodného zákonníka</t>
  </si>
  <si>
    <t>5. Právny dôvod na zostavenie účtovnej závierky</t>
  </si>
  <si>
    <r>
      <rPr>
        <sz val="8"/>
        <rFont val="Arial Narrow"/>
        <family val="2"/>
        <charset val="238"/>
      </rPr>
      <t xml:space="preserve">Účtovná závierka ÚJ k </t>
    </r>
    <r>
      <rPr>
        <b/>
        <sz val="8"/>
        <color rgb="FF0000CC"/>
        <rFont val="Arial Narrow"/>
        <family val="2"/>
        <charset val="238"/>
      </rPr>
      <t>31. decembru 2018</t>
    </r>
    <r>
      <rPr>
        <sz val="8"/>
        <rFont val="Arial Narrow"/>
        <family val="2"/>
        <charset val="238"/>
      </rPr>
      <t xml:space="preserve"> je zostavená ako riadna účtovná závierka podľa § 17 ods. 6 zákona NR SR č. 431/2002 Z. z. o účtovníctve za účtovné obdobie od </t>
    </r>
    <r>
      <rPr>
        <b/>
        <sz val="8"/>
        <color rgb="FF0000CC"/>
        <rFont val="Arial Narrow"/>
        <family val="2"/>
        <charset val="238"/>
      </rPr>
      <t>1. januára 2018 do 31. decembra 2018</t>
    </r>
  </si>
  <si>
    <t>Subjekt verejného záujmu: Spoločnosť</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</si>
  <si>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</si>
  <si>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</si>
  <si>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</si>
  <si>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</si>
  <si>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</si>
  <si>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</si>
  <si>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</si>
  <si>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</si>
  <si>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</si>
  <si>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Dátum schválenia účtovnej závierky za predchádzajúce účtovné obdobie</t>
  </si>
  <si>
    <t>Zverejnenie účtovnej závierky za predchádzajúce účtovné obdobie</t>
  </si>
  <si>
    <t>Schválenie audítora</t>
  </si>
  <si>
    <t>B. Informácie o členoch štatutárnych orgánov, dozorných orgánov a iných orgánov účtovnej jednotky (nepovinný údaj )</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</si>
  <si>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</si>
  <si>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</si>
  <si>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</si>
  <si>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</si>
  <si>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</si>
  <si>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 xml:space="preserve">Iný podiel na ostatných položkách VI ako na ZI v %
</t>
  </si>
  <si>
    <t>absolútne</t>
  </si>
  <si>
    <t>v %</t>
  </si>
  <si>
    <t>a</t>
  </si>
  <si>
    <t>b</t>
  </si>
  <si>
    <t>c</t>
  </si>
  <si>
    <t>d</t>
  </si>
  <si>
    <t>e</t>
  </si>
  <si>
    <t>Spolu</t>
  </si>
  <si>
    <t>Tabuľka č. 2</t>
  </si>
  <si>
    <t>Spoločník, akcionár do dňa zmeny  v štruktúre spoločníkov, akcionárov</t>
  </si>
  <si>
    <t>Iný podiel na ostatných položkách VI ako na ZI
v %</t>
  </si>
  <si>
    <t>Dátum zmeny</t>
  </si>
  <si>
    <t>f</t>
  </si>
  <si>
    <t xml:space="preserve">c,  spoločnosť je členom skupiny
</t>
  </si>
  <si>
    <t>d,  spoločnosť má spriaznené a závislé osoby</t>
  </si>
  <si>
    <t>C. Účasť účtovnej jednotky na konsolidujúcej účtovnej jednotky, ktorá zostavuje konsolidovanú účtovnú závierku</t>
  </si>
  <si>
    <t xml:space="preserve">ÚJ sa </t>
  </si>
  <si>
    <t>zahŕňa do konsolidovanej účtovnej závierky iných spoločností a tiež nezostavuje konsolidovanú účtovnú závierku za iné spoločnosti.</t>
  </si>
  <si>
    <t>Sídlo</t>
  </si>
  <si>
    <t>Miesto uloženia konsolidovanej závierky</t>
  </si>
  <si>
    <t>C.1 Informácie o udelení výlučného práva alebo osobitného práva, ktorým sa udelilo právo poskytovať služby vo verejnom záujme, pričom sa uvádza náhrada za túto činnosť v akejkoľvek forme, a ak sa zároveň vykonávajú aj iné činnosti, uvádzajú sa aj informácie o</t>
  </si>
  <si>
    <t>a,  všetkých formách prijatej náhrady,</t>
  </si>
  <si>
    <t>ak áno</t>
  </si>
  <si>
    <t>Komentár</t>
  </si>
  <si>
    <t>účtovných zásadách použitých pri prideľovaní nákladov a výnosov,</t>
  </si>
  <si>
    <t>všetkých druhoch činností účtovnej jednotky.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</si>
  <si>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</si>
  <si>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</si>
  <si>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</si>
  <si>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</si>
  <si>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</si>
  <si>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</si>
  <si>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</si>
  <si>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</si>
  <si>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</si>
  <si>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</si>
  <si>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</si>
  <si>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</si>
  <si>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</si>
  <si>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</si>
  <si>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</si>
  <si>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</si>
  <si>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</si>
  <si>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</si>
  <si>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</si>
  <si>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</si>
  <si>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</si>
  <si>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</si>
  <si>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</si>
  <si>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</si>
  <si>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 xml:space="preserve">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</si>
  <si>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</si>
  <si>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</si>
  <si>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</si>
  <si>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</si>
  <si>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</si>
  <si>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</si>
  <si>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</si>
  <si>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</si>
  <si>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</si>
  <si>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</si>
  <si>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</si>
  <si>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</si>
  <si>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</si>
  <si>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</si>
  <si>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</si>
  <si>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</si>
  <si>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</si>
  <si>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</si>
  <si>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</si>
  <si>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</si>
  <si>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</si>
  <si>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</si>
  <si>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</si>
  <si>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</si>
  <si>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</si>
  <si>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</si>
  <si>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</si>
  <si>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</si>
  <si>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</si>
  <si>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</si>
  <si>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</si>
  <si>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</si>
  <si>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</si>
  <si>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</si>
  <si>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</si>
  <si>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</si>
  <si>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</si>
  <si>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</si>
  <si>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</si>
  <si>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</si>
  <si>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</si>
  <si>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</si>
  <si>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</si>
  <si>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</si>
  <si>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</si>
  <si>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</si>
  <si>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</si>
  <si>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</si>
  <si>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</si>
  <si>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</si>
  <si>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</si>
  <si>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</si>
  <si>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</si>
  <si>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</si>
  <si>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</si>
  <si>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</si>
  <si>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</si>
  <si>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</si>
  <si>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</si>
  <si>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</si>
  <si>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</si>
  <si>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</si>
  <si>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</si>
  <si>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</si>
  <si>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</si>
  <si>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</si>
  <si>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</si>
  <si>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</si>
  <si>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</si>
  <si>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</si>
  <si>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</si>
  <si>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</si>
  <si>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</si>
  <si>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</si>
  <si>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E.  Prehľad peňažných tokov k 31.12.2018</t>
  </si>
  <si>
    <t>ÚJ nie je povinná zostavovať Prehľad peňažných tokov.</t>
  </si>
  <si>
    <t>je povinná zostavovať Prehľad peňažných tokov.</t>
  </si>
  <si>
    <t>F. Informácie o údajoch na strane aktív súvahy</t>
  </si>
  <si>
    <t>3. Informácie k časti F. prílohy č. 3 o dlhodobom nehmotnom majetku</t>
  </si>
  <si>
    <t>Aktívo-</t>
  </si>
  <si>
    <t>Oceni-</t>
  </si>
  <si>
    <t>Ostat-</t>
  </si>
  <si>
    <t>Obsta-</t>
  </si>
  <si>
    <t>Poskytnuté</t>
  </si>
  <si>
    <t>Dlhodobý nehmotný</t>
  </si>
  <si>
    <t>vané</t>
  </si>
  <si>
    <t>teľné</t>
  </si>
  <si>
    <t>ný</t>
  </si>
  <si>
    <t>rávaný</t>
  </si>
  <si>
    <t>preddavky</t>
  </si>
  <si>
    <t>majetok</t>
  </si>
  <si>
    <t>náklady</t>
  </si>
  <si>
    <t>práva</t>
  </si>
  <si>
    <t>DNM</t>
  </si>
  <si>
    <t>na DNM</t>
  </si>
  <si>
    <t>na vývoj</t>
  </si>
  <si>
    <t>g</t>
  </si>
  <si>
    <t>h</t>
  </si>
  <si>
    <t>i</t>
  </si>
  <si>
    <t>Prvotné ocenenie</t>
  </si>
  <si>
    <t>Stav na začiatku</t>
  </si>
  <si>
    <t>účtovného obdobia</t>
  </si>
  <si>
    <t>Prírastky</t>
  </si>
  <si>
    <t>Úbytky</t>
  </si>
  <si>
    <t>Presuny</t>
  </si>
  <si>
    <t>Stav na konci</t>
  </si>
  <si>
    <t>Oprávky</t>
  </si>
  <si>
    <t>Opravné položky</t>
  </si>
  <si>
    <t>Zostatková hodnota</t>
  </si>
  <si>
    <t>Aktivo-</t>
  </si>
  <si>
    <t xml:space="preserve">Komentár </t>
  </si>
  <si>
    <t xml:space="preserve">4. Informácie k časti F. prílohy č. 3 o dlhodobom nehmotnom majetku </t>
  </si>
  <si>
    <t>Dlhodobý nehmotný majetok</t>
  </si>
  <si>
    <t>Hodnota za bežné účtovné</t>
  </si>
  <si>
    <t>obdobie</t>
  </si>
  <si>
    <t>Dlhodobý nehmotný majetok, na ktorý je zriadené záložné právo</t>
  </si>
  <si>
    <t>Dlhodobý nehmotný majetok, pri ktorom má účtovná jednotka obmedzené právo s ním nakladať</t>
  </si>
  <si>
    <t>5.  Informácie k časti F. prílohy č. 3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</si>
  <si>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</si>
  <si>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</si>
  <si>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</si>
  <si>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</si>
  <si>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</si>
  <si>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</si>
  <si>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</si>
  <si>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</si>
  <si>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</si>
  <si>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</si>
  <si>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</si>
  <si>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</si>
  <si>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</si>
  <si>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</si>
  <si>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</si>
  <si>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</si>
  <si>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</si>
  <si>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</si>
  <si>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</si>
  <si>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</si>
  <si>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</si>
  <si>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</si>
  <si>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</si>
  <si>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</si>
  <si>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</si>
  <si>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</si>
  <si>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</si>
  <si>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</si>
  <si>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</si>
  <si>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</si>
  <si>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</si>
  <si>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</si>
  <si>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</si>
  <si>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</si>
  <si>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</si>
  <si>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</si>
  <si>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</si>
  <si>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 xml:space="preserve">6. Informácie k časti F. prílohy č. 3 o dlhodobom hmotnom majetku </t>
  </si>
  <si>
    <t>Dlhodobý hmotný majetok</t>
  </si>
  <si>
    <t>Dlhodobý hmotný majetok, na ktorý je zriadené záložné právo</t>
  </si>
  <si>
    <t>Dlhodobý hmotný majetok, pri ktorom má účtovná jednotka obmedzené právo s ním nakladať</t>
  </si>
  <si>
    <t>7. Informácie k časti F. prílohy č. 3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</si>
  <si>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</si>
  <si>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</si>
  <si>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</si>
  <si>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</si>
  <si>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</si>
  <si>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</si>
  <si>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</si>
  <si>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</si>
  <si>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</si>
  <si>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</si>
  <si>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</si>
  <si>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</si>
  <si>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</si>
  <si>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</si>
  <si>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</si>
  <si>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</si>
  <si>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</si>
  <si>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</si>
  <si>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</si>
  <si>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</si>
  <si>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</si>
  <si>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</si>
  <si>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</si>
  <si>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 xml:space="preserve">8. Informácie k časti F. prílohy č. 3 o dlhodobom finančnom </t>
  </si>
  <si>
    <t>Dlhodobý finančný majetok</t>
  </si>
  <si>
    <t>Dlhodobý finančný majetok, na ktorý je zriadené záložné právo</t>
  </si>
  <si>
    <t>Dlhodobý finančný majetok, pri ktorom má účtovná jednotka obmedzené právo s ním nakladať</t>
  </si>
  <si>
    <t>9. Informácie k časti F. prílohy č. 3 o štruktúre dlhodobého finančného majetku</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</si>
  <si>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</si>
  <si>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</si>
  <si>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</si>
  <si>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</si>
  <si>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</si>
  <si>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</si>
  <si>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</si>
  <si>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</si>
  <si>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</si>
  <si>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</si>
  <si>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</si>
  <si>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</si>
  <si>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</si>
  <si>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</si>
  <si>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právach</t>
  </si>
  <si>
    <t>DFM</t>
  </si>
  <si>
    <t>V prepojených účtovných jednotkách</t>
  </si>
  <si>
    <t>Okrem v prepojených účtovných jednotkách</t>
  </si>
  <si>
    <t>Obstarávaný DFM na účely vykonania vplyvu v inej ÚJ</t>
  </si>
  <si>
    <t>DFM spolu</t>
  </si>
  <si>
    <t xml:space="preserve">10. Informácie k časti F. prílohy č. 3 o dlhových CP držaných do splatnosti </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</si>
  <si>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</si>
  <si>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</si>
  <si>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</si>
  <si>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</si>
  <si>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</si>
  <si>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</si>
  <si>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</si>
  <si>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</si>
  <si>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</si>
  <si>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</si>
  <si>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</si>
  <si>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</si>
  <si>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</si>
  <si>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</si>
  <si>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</si>
  <si>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</si>
  <si>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</si>
  <si>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</si>
  <si>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</si>
  <si>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</si>
  <si>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</si>
  <si>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</si>
  <si>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</si>
  <si>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</si>
  <si>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</si>
  <si>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</si>
  <si>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11. Informácie k časti F. prílohy č. 3 o poskytnutých dlhodobých pôžičkách</t>
  </si>
  <si>
    <t>pôžičky</t>
  </si>
  <si>
    <t>Dlhodobé pôžičky</t>
  </si>
  <si>
    <t>z účtovníctva v</t>
  </si>
  <si>
    <t>účtovnom</t>
  </si>
  <si>
    <t>Do splatnosti viac ako päť rokov</t>
  </si>
  <si>
    <t>Do splatnosti od troch rokov do piatich rokov vrátane</t>
  </si>
  <si>
    <t>Do splatnosti  od jedného roka do troch rokov vrátane</t>
  </si>
  <si>
    <t>Do splatnosti do jedného roka vrátane</t>
  </si>
  <si>
    <t>Dlhodobé pôžičky spolu</t>
  </si>
  <si>
    <t xml:space="preserve">Pôžičky prepojeným účtovným jednotkám </t>
  </si>
  <si>
    <t>Účty v bankách s dobou viazanosti dlhšou ako jeden rok</t>
  </si>
  <si>
    <t>12. Informácie k časti F. prílohy č. 3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</si>
  <si>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</si>
  <si>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</si>
  <si>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</si>
  <si>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</si>
  <si>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</si>
  <si>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</si>
  <si>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</si>
  <si>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</si>
  <si>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</si>
  <si>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</si>
  <si>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</si>
  <si>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</si>
  <si>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</si>
  <si>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</si>
  <si>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</si>
  <si>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</si>
  <si>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</si>
  <si>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</si>
  <si>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</si>
  <si>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</si>
  <si>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</si>
  <si>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</si>
  <si>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</si>
  <si>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</si>
  <si>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 xml:space="preserve">13. Informácie k časti F. prílohy č. 3 o zásobách, na ktoré je zriadené záložné právo a o zásobách, pri ktorých má účtovná jednotka obmedzené právo s nimi nakladať </t>
  </si>
  <si>
    <t>Hodnota za bežné</t>
  </si>
  <si>
    <t>Zásoby, na ktoré je zriadené záložné právo</t>
  </si>
  <si>
    <t>Zásoby, pri ktorých má účtovná jednotka obmedzené právo s nimi nakladať</t>
  </si>
  <si>
    <t>14. Informácie k časti F. prílohy č. 3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</si>
  <si>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</si>
  <si>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</si>
  <si>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</si>
  <si>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</si>
  <si>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</si>
  <si>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</si>
  <si>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</si>
  <si>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</si>
  <si>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</si>
  <si>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</si>
  <si>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</si>
  <si>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</si>
  <si>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</si>
  <si>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</si>
  <si>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</si>
  <si>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</si>
  <si>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</si>
  <si>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</si>
  <si>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</si>
  <si>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</si>
  <si>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</si>
  <si>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</si>
  <si>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</si>
  <si>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</si>
  <si>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</si>
  <si>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</si>
  <si>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</si>
  <si>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</si>
  <si>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</si>
  <si>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</si>
  <si>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</si>
  <si>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</si>
  <si>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</si>
  <si>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 xml:space="preserve">15. Informácie k časti F. prílohy č. 3 o vývoji opravnej položky  k pohľadávkam </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</si>
  <si>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</si>
  <si>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</si>
  <si>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</si>
  <si>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</si>
  <si>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</si>
  <si>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</si>
  <si>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pohľadávok voči prepojeným ÚJ</t>
  </si>
  <si>
    <t>Pohľadávky voči spoločníkom, členom a združeniu</t>
  </si>
  <si>
    <t>Pohľadávky z derivátových operácií</t>
  </si>
  <si>
    <t>Iné pohľadávky</t>
  </si>
  <si>
    <t>Pohľadávky spolu</t>
  </si>
  <si>
    <t xml:space="preserve">16. Informácie k časti F. prílohy č. 3 o  vekovej štruktúre pohľadávok </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</si>
  <si>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</si>
  <si>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</si>
  <si>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</si>
  <si>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</si>
  <si>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</si>
  <si>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</si>
  <si>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</si>
  <si>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</si>
  <si>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</si>
  <si>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</si>
  <si>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</si>
  <si>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</si>
  <si>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Sociálne poistenie</t>
  </si>
  <si>
    <t>Daňové pohľadávky a dotácie</t>
  </si>
  <si>
    <t>Krátkodobé pohľadávky spolu</t>
  </si>
  <si>
    <t xml:space="preserve">17. Informácie k časti F. prílohy č. 3  o pohľadávkach zabezpečených záložným právom alebo inou formou zabezpečenia   </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</si>
  <si>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</si>
  <si>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</si>
  <si>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</si>
  <si>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</si>
  <si>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</si>
  <si>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</si>
  <si>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</si>
  <si>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Hodnota pohľadávok, pri ktorých je obmedzené právo s nimi nakladať</t>
  </si>
  <si>
    <t xml:space="preserve">18. Informácie k časti F. prílohy č. 3 o krátkodobom finančnom majetku </t>
  </si>
  <si>
    <t>Bezprostredne</t>
  </si>
  <si>
    <t>predchádzajúce účtovné</t>
  </si>
  <si>
    <t>Finančné účty</t>
  </si>
  <si>
    <t>Pokladnica, ceniny</t>
  </si>
  <si>
    <t>Účty v bankách</t>
  </si>
  <si>
    <t>Bankové účty termínované  z toho :</t>
  </si>
  <si>
    <t>Peniaze na ceste</t>
  </si>
  <si>
    <t xml:space="preserve">Stav </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</si>
  <si>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</si>
  <si>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</si>
  <si>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</si>
  <si>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</si>
  <si>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</si>
  <si>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</si>
  <si>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</si>
  <si>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</si>
  <si>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prílohy č. 3 o vývoji opravnej položky ku krátkodobému finančnému majetku</t>
  </si>
  <si>
    <t>zániku</t>
  </si>
  <si>
    <t>opodstatne-</t>
  </si>
  <si>
    <t>majetku z</t>
  </si>
  <si>
    <t>nosti</t>
  </si>
  <si>
    <t xml:space="preserve">20. Informácie k časti F. prílohy č. 3 o krátkodobom finančnom majetku, na ktorý bolo zriadené záložné právo a o krátkodobom finančnom majetku, pri ktorom má účtovná jednotka obmedzené právo s ním nakladať </t>
  </si>
  <si>
    <t>Krátkodobý finančný majetok, na ktorý bolo zriadené záložné právo</t>
  </si>
  <si>
    <t>Krátkodobý  finančný majetok, pri ktorom je obmedzené právo s ním nakladať</t>
  </si>
  <si>
    <t>21. Informácie k prílohe č. 3 časti F.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</si>
  <si>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</si>
  <si>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</si>
  <si>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</si>
  <si>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</si>
  <si>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</si>
  <si>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</si>
  <si>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</si>
  <si>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</si>
  <si>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</si>
  <si>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</si>
  <si>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</si>
  <si>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Emisné kvóty (komodity)</t>
  </si>
  <si>
    <t>Ostatné realizovateľné cenné papiere a podiely</t>
  </si>
  <si>
    <t>Dlhové cenné papiere a ostatný dlhodobý finančný majetok</t>
  </si>
  <si>
    <t>Dlhodobý finančný majetok spolu</t>
  </si>
  <si>
    <t>Krátkodobý finančný majetok v prepojených ÚJ</t>
  </si>
  <si>
    <t>Krátkodobý finančný majetok bez krátkodobého finančného majetku v prepojených ÚJ</t>
  </si>
  <si>
    <t>Vlastné akcie a vlastné obchodné podiely</t>
  </si>
  <si>
    <t>21 a. Informácie k prílohe č. 3 časti F. o vlastných akciách, a to, ku dňu ku ktorému sa zostavuje účtovná závierka reálnou hodnotou</t>
  </si>
  <si>
    <t>o dôvode nadobudnutia vlastných akcií počas účtovného obdobia,</t>
  </si>
  <si>
    <t>a informáciách, ktorými sú</t>
  </si>
  <si>
    <r>
      <rPr>
        <b/>
        <sz val="9"/>
        <color rgb="FF0000CC"/>
        <rFont val="Arial Narrow"/>
        <family val="2"/>
        <charset val="238"/>
      </rPr>
      <t xml:space="preserve">počet a menovitá hodnota nadobudnutých vlastných akcií počas účtovného obdobia a počet a menovitá hodnota prevedených vlastných akcií počas účtovného obdobia, pričom sa uvádza percentuálna hodnota týchto vlastných akcií </t>
    </r>
    <r>
      <rPr>
        <b/>
        <u/>
        <sz val="9"/>
        <color rgb="FF0000CC"/>
        <rFont val="Arial Narrow"/>
        <family val="2"/>
        <charset val="238"/>
      </rPr>
      <t>na upísanom základnom imaní,</t>
    </r>
  </si>
  <si>
    <t>nadobudnuté vlastné akcie
počas účtovného obdobia</t>
  </si>
  <si>
    <t>prevedené vlastné akcie počas účtovného obdobia na upísanom základnom imaní</t>
  </si>
  <si>
    <t>nadobudnuté vlastné akcie</t>
  </si>
  <si>
    <t>počet</t>
  </si>
  <si>
    <t>menovitá hodnota</t>
  </si>
  <si>
    <t>percentuálna hodnota vlastných akcií na upísanom základnom imaní,</t>
  </si>
  <si>
    <r>
      <rPr>
        <b/>
        <sz val="9"/>
        <color rgb="FF0000CC"/>
        <rFont val="Arial Narrow"/>
        <family val="2"/>
        <charset val="238"/>
      </rPr>
      <t xml:space="preserve">počet a hodnota, za ktorú sa vlastné akcie počas účtovného obdobia nadobudli a počet a hodnota, za ktorú sa vlastné akcie počas účtovného obdobia previedli </t>
    </r>
    <r>
      <rPr>
        <b/>
        <u/>
        <sz val="9"/>
        <color rgb="FF0000CC"/>
        <rFont val="Arial Narrow"/>
        <family val="2"/>
        <charset val="238"/>
      </rPr>
      <t>na inú osobu,</t>
    </r>
  </si>
  <si>
    <t>prevedené vlastné akcie počas účtovného obdobia na inú osobu</t>
  </si>
  <si>
    <r>
      <rPr>
        <b/>
        <sz val="9"/>
        <color rgb="FF0000CC"/>
        <rFont val="Arial Narrow"/>
        <family val="2"/>
        <charset val="238"/>
      </rPr>
      <t xml:space="preserve">počte, menovitej hodnote a hodnote, za ktorú sa vlastné akcie nadobudli a ktoré účtovná jednotka </t>
    </r>
    <r>
      <rPr>
        <b/>
        <u/>
        <sz val="9"/>
        <color rgb="FF0000CC"/>
        <rFont val="Arial Narrow"/>
        <family val="2"/>
        <charset val="238"/>
      </rPr>
      <t xml:space="preserve">má v držbe </t>
    </r>
    <r>
      <rPr>
        <b/>
        <sz val="9"/>
        <color rgb="FF0000CC"/>
        <rFont val="Arial Narrow"/>
        <family val="2"/>
        <charset val="238"/>
      </rPr>
      <t>k poslednému dňu účtovného obdobia; uvádza  sa aj ich percentuálny podiel na upísanom základnom imaní.</t>
    </r>
  </si>
  <si>
    <t>prevedené vlastné akcie počas účtovného obdobia do dražby</t>
  </si>
  <si>
    <t>22. Informácie k časti F.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</si>
  <si>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</si>
  <si>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</si>
  <si>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</si>
  <si>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</si>
  <si>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</si>
  <si>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prílohe č. 3 časti F.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</si>
  <si>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</si>
  <si>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</si>
  <si>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</si>
  <si>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</si>
  <si>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</si>
  <si>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</si>
  <si>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</si>
  <si>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</si>
  <si>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</si>
  <si>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</si>
  <si>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</si>
  <si>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</si>
  <si>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 xml:space="preserve">24. Informácie k časti G.  tretiemu bodu prílohy č. 3 o rozdelení účtovného zisku alebo o vysporiadaní účtovnej straty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</si>
  <si>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</si>
  <si>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</si>
  <si>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</si>
  <si>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</si>
  <si>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</si>
  <si>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</si>
  <si>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</si>
  <si>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</si>
  <si>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</si>
  <si>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</si>
  <si>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</si>
  <si>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</si>
  <si>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</si>
  <si>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</si>
  <si>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</si>
  <si>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</si>
  <si>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</si>
  <si>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25. Informácie k prílohe č. 3 časti G.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</si>
  <si>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</si>
  <si>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</si>
  <si>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</si>
  <si>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</si>
  <si>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</si>
  <si>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</si>
  <si>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</si>
  <si>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</si>
  <si>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</si>
  <si>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</si>
  <si>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</si>
  <si>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</si>
  <si>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</si>
  <si>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</si>
  <si>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</si>
  <si>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</si>
  <si>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</si>
  <si>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</si>
  <si>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</si>
  <si>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</si>
  <si>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</si>
  <si>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</si>
  <si>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</si>
  <si>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</si>
  <si>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</si>
  <si>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</si>
  <si>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</si>
  <si>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26. Informácie k časti G. prílohy č. 3 o záväzkoch</t>
  </si>
  <si>
    <t>Dlhodobé záväzky spolu</t>
  </si>
  <si>
    <t>Záväzky so zostatkovou dobou splatnosti</t>
  </si>
  <si>
    <t>nad päť rokov</t>
  </si>
  <si>
    <t>jeden rok až päť rokov</t>
  </si>
  <si>
    <t>Krátkodobé záväzky spolu</t>
  </si>
  <si>
    <t>do jedného roka vrátane</t>
  </si>
  <si>
    <t>Záväzky po lehote splatnosti</t>
  </si>
  <si>
    <t>27. Informácie k časti F.  a časti G. prílohy č. 3 o odloženej daňovej pohľadávke alebo o 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</si>
  <si>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</si>
  <si>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</si>
  <si>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</si>
  <si>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</si>
  <si>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</si>
  <si>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</si>
  <si>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</si>
  <si>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</si>
  <si>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</si>
  <si>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</si>
  <si>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</si>
  <si>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</si>
  <si>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</si>
  <si>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</si>
  <si>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</si>
  <si>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28. Informácie k časti G. prílohy č. 3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</si>
  <si>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</si>
  <si>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</si>
  <si>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</si>
  <si>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</si>
  <si>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</si>
  <si>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</si>
  <si>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</si>
  <si>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29. Informácie k časti G. prílohy č. 3 o vydaných dlhopisoch</t>
  </si>
  <si>
    <t>Názov vydaného</t>
  </si>
  <si>
    <t>Menovitá</t>
  </si>
  <si>
    <t>Počet</t>
  </si>
  <si>
    <t>Emisný kurz</t>
  </si>
  <si>
    <t>Úrok</t>
  </si>
  <si>
    <t>dlhopisu</t>
  </si>
  <si>
    <t>30. Informácie k časti G. prílohy č. 3 o bankových úveroch, pôžičkách a krátkodobých finančných výpomociach</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</si>
  <si>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</si>
  <si>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</si>
  <si>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</si>
  <si>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</si>
  <si>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</si>
  <si>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</si>
  <si>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</si>
  <si>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</si>
  <si>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</si>
  <si>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</si>
  <si>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</si>
  <si>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</si>
  <si>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</si>
  <si>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</si>
  <si>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</si>
  <si>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</si>
  <si>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</si>
  <si>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</si>
  <si>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31. Informácie k časti G. prílohy č. 3 o významných položkách časového rozlíšenia na strane pasív</t>
  </si>
  <si>
    <t>Výdavky budúcich období dlhodobé, z toho:</t>
  </si>
  <si>
    <t>Výdavky budúcich období krátkodobé, z toho:</t>
  </si>
  <si>
    <t>Výnosy budúcich období dlhodobé, z toho:</t>
  </si>
  <si>
    <t>Výnosy budúcich období krátkodobé, z toho:</t>
  </si>
  <si>
    <t>Komentár k tab.31</t>
  </si>
  <si>
    <t>32. Informácie k časti  G. prílohy č. 3 o významných položkách derivátov za bežné účtovné obdobie</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</si>
  <si>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</si>
  <si>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</si>
  <si>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</si>
  <si>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</si>
  <si>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</si>
  <si>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</si>
  <si>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</si>
  <si>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</si>
  <si>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</si>
  <si>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</si>
  <si>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</si>
  <si>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</si>
  <si>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33. Informácie k časti G. prílohy č. 3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</si>
  <si>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</si>
  <si>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</si>
  <si>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</si>
  <si>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</si>
  <si>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</si>
  <si>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</si>
  <si>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</si>
  <si>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</si>
  <si>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34. Informácie k časti G. prílohy č. 3 o majetku prenajatom formou finančného prenájmu</t>
  </si>
  <si>
    <t>Finančný náklad</t>
  </si>
  <si>
    <t>H Informácie o výnosoch</t>
  </si>
  <si>
    <t>35. Informácie k časti H. prílohy č. 3 o tržbách</t>
  </si>
  <si>
    <t>Oblasť odbytu</t>
  </si>
  <si>
    <t>Typ výrobkov, tovarov, služieb  (napríklad A)</t>
  </si>
  <si>
    <t>Typ výrobkov, tovarov, služieb  (napríklad B)</t>
  </si>
  <si>
    <t>Typ výrobkov, tovarov, služieb  (napríklad C)</t>
  </si>
  <si>
    <t>36. Informácie k časti H. prílohy č. 3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</si>
  <si>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</si>
  <si>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</si>
  <si>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</si>
  <si>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</si>
  <si>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</si>
  <si>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</si>
  <si>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</si>
  <si>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</si>
  <si>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</si>
  <si>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</si>
  <si>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</si>
  <si>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</si>
  <si>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</si>
  <si>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</si>
  <si>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</si>
  <si>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37. Informácie k časti H. prílohy č. 3 o výnosoch pri aktivácii nákladov a o výnosoch z hospodárskej činnosti, finančnej činnosti a mimoriadnej činnosti</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</si>
  <si>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</si>
  <si>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</si>
  <si>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</si>
  <si>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</si>
  <si>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</si>
  <si>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</si>
  <si>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38. Informácie k časti H. prílohy č. 3 o čistom obrate</t>
  </si>
  <si>
    <t>Tržby za vlastné výrobky</t>
  </si>
  <si>
    <t>Tržby z predaja služieb</t>
  </si>
  <si>
    <t>Tržby za tovar</t>
  </si>
  <si>
    <t>Výnosy zo zákazky</t>
  </si>
  <si>
    <t>Výnosy z nehnuteľnosti na predaj</t>
  </si>
  <si>
    <t>Iné výnosy súvisiace s bežnou činnosťou</t>
  </si>
  <si>
    <t>Celkové výnosy</t>
  </si>
  <si>
    <t>Čistý obrat (časť účt. tr. 6 podľa zákona)</t>
  </si>
  <si>
    <t>I.  Informácie o nákladoch</t>
  </si>
  <si>
    <t>39. Informácie k časti I. prílohy č. 3 o nákladoch -  voči audítorovi, audítorskej spoločnosti</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</si>
  <si>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</si>
  <si>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</si>
  <si>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</si>
  <si>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</si>
  <si>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</si>
  <si>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</si>
  <si>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</si>
  <si>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</si>
  <si>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</si>
  <si>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</si>
  <si>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</si>
  <si>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</si>
  <si>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</si>
  <si>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</si>
  <si>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40. Informácie k časti J. prílohy č. 3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</si>
  <si>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</si>
  <si>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</si>
  <si>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</si>
  <si>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</si>
  <si>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</si>
  <si>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</si>
  <si>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</si>
  <si>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</si>
  <si>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</si>
  <si>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</si>
  <si>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</si>
  <si>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</si>
  <si>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</si>
  <si>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</si>
  <si>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</si>
  <si>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</si>
  <si>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</si>
  <si>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</si>
  <si>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</si>
  <si>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41. Informácie k časti J. prílohy č. 3 o daniach z príjmov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</si>
  <si>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</si>
  <si>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</si>
  <si>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</si>
  <si>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</si>
  <si>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</si>
  <si>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</si>
  <si>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</si>
  <si>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</si>
  <si>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</si>
  <si>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</si>
  <si>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</si>
  <si>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</si>
  <si>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</si>
  <si>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</si>
  <si>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</si>
  <si>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</si>
  <si>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</si>
  <si>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</si>
  <si>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</si>
  <si>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</si>
  <si>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</si>
  <si>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</si>
  <si>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</si>
  <si>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</si>
  <si>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</si>
  <si>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</si>
  <si>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L. Informácie o iných aktívach a pasívach</t>
  </si>
  <si>
    <t>43. Informácie k časti L. prílohy č. 3 o podmienených záväzkoch</t>
  </si>
  <si>
    <t>1. Podmienené záväzky</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</si>
  <si>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</si>
  <si>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</si>
  <si>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</si>
  <si>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</si>
  <si>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</si>
  <si>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</si>
  <si>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</si>
  <si>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</si>
  <si>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</si>
  <si>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</si>
  <si>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</si>
  <si>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</si>
  <si>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</si>
  <si>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44. Informácie k časti L. prílohy č. 3 o podmienenom majetku</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</si>
  <si>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</si>
  <si>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</si>
  <si>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</si>
  <si>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</si>
  <si>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</si>
  <si>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</si>
  <si>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</si>
  <si>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</si>
  <si>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</si>
  <si>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</si>
  <si>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</si>
  <si>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</si>
  <si>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</si>
  <si>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</si>
  <si>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</si>
  <si>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</si>
  <si>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</si>
  <si>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</si>
  <si>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</si>
  <si>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</si>
  <si>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</si>
  <si>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</si>
  <si>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</si>
  <si>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</si>
  <si>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</si>
  <si>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</si>
  <si>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</si>
  <si>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</si>
  <si>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Dňa 10.1.2016 došlo ku .....</t>
  </si>
  <si>
    <t>N. Informácie o ekonomických vzťahoch medzi účtovnou jednotkou a spriaznenými osobami</t>
  </si>
  <si>
    <t>Členom štatutárnych orgánov neboli vyplatené žiadne odmeny a neboli poskytnuté pôžičky.</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</si>
  <si>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</si>
  <si>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</si>
  <si>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</si>
  <si>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</si>
  <si>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</si>
  <si>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</si>
  <si>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</si>
  <si>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</si>
  <si>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</si>
  <si>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</si>
  <si>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</si>
  <si>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</si>
  <si>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</si>
  <si>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</si>
  <si>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</si>
  <si>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</si>
  <si>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</si>
  <si>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</si>
  <si>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</si>
  <si>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</si>
  <si>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</si>
  <si>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</si>
  <si>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</si>
  <si>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</si>
  <si>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</si>
  <si>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</si>
  <si>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</si>
  <si>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</si>
  <si>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</si>
  <si>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</si>
  <si>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</si>
  <si>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</si>
  <si>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</si>
  <si>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</si>
  <si>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</si>
  <si>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</si>
  <si>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</si>
  <si>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</si>
  <si>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</si>
  <si>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</si>
  <si>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</si>
  <si>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</si>
  <si>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Komentár k tab.47b</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</si>
  <si>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</si>
  <si>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</si>
  <si>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</si>
  <si>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</si>
  <si>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</si>
  <si>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</si>
  <si>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</si>
  <si>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</si>
  <si>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</si>
  <si>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</si>
  <si>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</si>
  <si>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</si>
  <si>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</si>
  <si>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suma :</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</si>
  <si>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</si>
  <si>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</si>
  <si>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</si>
  <si>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</si>
  <si>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</si>
  <si>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(g) pôžičkách poskytnutých členom štatutárneho orgánu, dozorného orgánu a iného orgánu účtovnej jednotky a to</t>
  </si>
  <si>
    <t>(g.1) celková suma poskytnutých pôžičiek k poslednému dňu účtovného obdobia v členení za jednotlivé orgány,</t>
  </si>
  <si>
    <t>(g.2) celková suma splatených pôžičiek k poslednému dňu účtovného obdobia v členení za jednotlivé orgány,</t>
  </si>
  <si>
    <t>(g.3) celková suma odpustených pôžičiek a odpísaných pôžičiek k poslednému dňu účtovného obdobia v členení za jednotlivé orgány</t>
  </si>
  <si>
    <t>(g.4) hlavných podmienkach, na základe ktorých im boli záruky alebo iné zabezpečenie a pôžičky poskytnuté; pri pôžičkách sa uvádzajú úrokové sadzby,</t>
  </si>
  <si>
    <t>úroková sadzba</t>
  </si>
  <si>
    <t>(g.5) celkovej sume použitých finančných prostriedkov alebo iného plnenia na súkromné účely členmi štatutárneho orgánu, dozorného orgánu a iného orgánu účtovnej jednotky, ktoré je potrebné vyúčtovať.</t>
  </si>
  <si>
    <t>T.  Informácie o povinnostiach účtovnej jednotky, a to :</t>
  </si>
  <si>
    <t>(a) celkovej sume finančných povinností, ktoré sa nevykazujú v súvahe, ale sú významné na posúdenie finančnej situácie účtovnej jednotky, napríklad povinnosti nájomcu vyplývajúce z operatívneho prenájmu, z uzatvorených zmlúv na poskytnutie úveru alebo pôžičky, ktoré ešte neboli poskytnuté, finančné povinnosti vyplývajúce z licenčných a koncesionárskych zmlúv s uvedením sumy poplatku za celé zostávajúce obdobie platnosti zmluvy,</t>
  </si>
  <si>
    <t>celková suma :</t>
  </si>
  <si>
    <t>(b) celkovej sume významných podmienených záväzkov, ktorými sa rozumie</t>
  </si>
  <si>
    <t>(b.1) možná povinnosť, ktorá vznikla ako dôsledok minulej udalosti a ktorej existencia závisí od toho, či nastane alebo nenastane jedna alebo viac neistých udalostí v budúcnosti, ktorých vznik nezávisí od účtovnej jednotky, alebo</t>
  </si>
  <si>
    <t>(b.2a) existujúca povinnosť, ktorá vznikla ako dôsledok minulej udalosti, ale ktorá sa nevykazuje v súvahe, pretože - 
nie je pravdepodobné, že na splnenie tejto povinnosti bude potrebný úbytok ekonomických úžitkov</t>
  </si>
  <si>
    <t>(b.2b) výška tejto povinnosti sa nedá spoľahlivo oceniť,</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</si>
  <si>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</si>
  <si>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</si>
  <si>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</si>
  <si>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(f) o organizačnej štruktúre ÚJ a jednotlivých činnostiach</t>
  </si>
  <si>
    <t>(g) o všetkých druhoch činnosti účtovnej jednotky</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</si>
  <si>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</si>
  <si>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</si>
  <si>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</si>
  <si>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</si>
  <si>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</si>
  <si>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</si>
  <si>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</si>
  <si>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</si>
  <si>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</si>
  <si>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</si>
  <si>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</si>
  <si>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</si>
  <si>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</si>
  <si>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</si>
  <si>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</si>
  <si>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</si>
  <si>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</si>
  <si>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</si>
  <si>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</si>
  <si>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</si>
  <si>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</si>
  <si>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</si>
  <si>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</si>
  <si>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</si>
  <si>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</si>
  <si>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</si>
  <si>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</si>
  <si>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</si>
  <si>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</si>
  <si>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</si>
  <si>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</si>
  <si>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</si>
  <si>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</si>
  <si>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</si>
  <si>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</si>
  <si>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</si>
  <si>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</si>
  <si>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</si>
  <si>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</si>
  <si>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</si>
  <si>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</si>
  <si>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</si>
  <si>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</si>
  <si>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</si>
  <si>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</si>
  <si>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</si>
  <si>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</si>
  <si>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</si>
  <si>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</si>
  <si>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</si>
  <si>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</si>
  <si>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</si>
  <si>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</si>
  <si>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</si>
  <si>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</si>
  <si>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</si>
  <si>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</si>
  <si>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</si>
  <si>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</si>
  <si>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</si>
  <si>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</si>
  <si>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</si>
  <si>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</si>
  <si>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</si>
  <si>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</si>
  <si>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</si>
  <si>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</si>
  <si>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82</t>
  </si>
  <si>
    <t>83</t>
  </si>
  <si>
    <t>84</t>
  </si>
  <si>
    <t>85</t>
  </si>
  <si>
    <t xml:space="preserve">A.III. </t>
  </si>
  <si>
    <t>86</t>
  </si>
  <si>
    <t>A.IV.</t>
  </si>
  <si>
    <t>87</t>
  </si>
  <si>
    <t>A.IV.1.</t>
  </si>
  <si>
    <t>88</t>
  </si>
  <si>
    <t>89</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</si>
  <si>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</si>
  <si>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</si>
  <si>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</si>
  <si>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</si>
  <si>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</si>
  <si>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</si>
  <si>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</si>
  <si>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</si>
  <si>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</si>
  <si>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</si>
  <si>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</si>
  <si>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</si>
  <si>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</si>
  <si>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</si>
  <si>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</si>
  <si>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</si>
  <si>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</si>
  <si>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</si>
  <si>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</si>
  <si>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</si>
  <si>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</si>
  <si>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</si>
  <si>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</si>
  <si>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</si>
  <si>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108</t>
  </si>
  <si>
    <t>109</t>
  </si>
  <si>
    <t>113</t>
  </si>
  <si>
    <t>114</t>
  </si>
  <si>
    <t>12.</t>
  </si>
  <si>
    <t>118</t>
  </si>
  <si>
    <t>125</t>
  </si>
  <si>
    <t>126</t>
  </si>
  <si>
    <t>127</t>
  </si>
  <si>
    <t>128</t>
  </si>
  <si>
    <t>129</t>
  </si>
  <si>
    <t>134</t>
  </si>
  <si>
    <t>135</t>
  </si>
  <si>
    <t>136</t>
  </si>
  <si>
    <t>137</t>
  </si>
  <si>
    <t>138</t>
  </si>
  <si>
    <t>B.VI.</t>
  </si>
  <si>
    <t>B.VII.</t>
  </si>
  <si>
    <t>140</t>
  </si>
  <si>
    <t>141</t>
  </si>
  <si>
    <t>142</t>
  </si>
  <si>
    <t>143</t>
  </si>
  <si>
    <t>144</t>
  </si>
  <si>
    <t>145</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</si>
  <si>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</si>
  <si>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</si>
  <si>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</si>
  <si>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</si>
  <si>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</si>
  <si>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</si>
  <si>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</si>
  <si>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</si>
  <si>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</si>
  <si>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</si>
  <si>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</si>
  <si>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</si>
  <si>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</si>
  <si>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</si>
  <si>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</si>
  <si>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</si>
  <si>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</si>
  <si>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</si>
  <si>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</si>
  <si>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</si>
  <si>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</si>
  <si>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</si>
  <si>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</si>
  <si>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</si>
  <si>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</si>
  <si>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</si>
  <si>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</si>
  <si>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</si>
  <si>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</si>
  <si>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</si>
  <si>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</si>
  <si>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</si>
  <si>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</si>
  <si>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</si>
  <si>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</si>
  <si>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</si>
  <si>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</si>
  <si>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</si>
  <si>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</si>
  <si>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</si>
  <si>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Poznámky Uč POD 3 - 01</t>
  </si>
  <si>
    <t>DIČ</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</si>
  <si>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</si>
  <si>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</si>
  <si>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</si>
  <si>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</si>
  <si>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</si>
  <si>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</si>
  <si>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</si>
  <si>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Nepeňažné operácie ovplyvňujúce výsledok hospodárenia 
z bežnej činnosti pred  zdanením daňou z príjmov (+/-), (súčet A. 1. 1. až A. 1. 13.)</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</si>
  <si>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</si>
  <si>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</si>
  <si>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</si>
  <si>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</si>
  <si>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</si>
  <si>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</si>
  <si>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</si>
  <si>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</si>
  <si>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</si>
  <si>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</si>
  <si>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</si>
  <si>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</si>
  <si>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</si>
  <si>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</si>
  <si>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</si>
  <si>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</si>
  <si>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</si>
  <si>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</si>
  <si>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</si>
  <si>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</si>
  <si>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</si>
  <si>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</si>
  <si>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</si>
  <si>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</si>
  <si>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</si>
  <si>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</si>
  <si>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</si>
  <si>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</si>
  <si>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A. 2. 1.</t>
  </si>
  <si>
    <t>Zmena stavu pohľadávok z prevádzkovej činnosti (-/+)</t>
  </si>
  <si>
    <t>A. 2. 2.</t>
  </si>
  <si>
    <t>Zmena stavu záväzkov z prevádzkovej činnosti (+/-)</t>
  </si>
  <si>
    <t>A. 2. 3.</t>
  </si>
  <si>
    <t>Zmena stavu zásob (-/+)</t>
  </si>
  <si>
    <t>A. 2. 4.</t>
  </si>
  <si>
    <t>Zmena stavu krátkodobého finančného majetku, s výnimkou majetku, ktorý je súčasťou peňažných prostriedkov a peňažných ekvivalentov (-/+)</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</si>
  <si>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</si>
  <si>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</si>
  <si>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</si>
  <si>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</si>
  <si>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</si>
  <si>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</si>
  <si>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</si>
  <si>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</si>
  <si>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</si>
  <si>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</si>
  <si>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Peňažné  toky z prevádzkovej činnosti (+/-), (súčet Z/S + A. 1. až A. 6.)</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</si>
  <si>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</si>
  <si>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</si>
  <si>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</si>
  <si>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</si>
  <si>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</si>
  <si>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</si>
  <si>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Čisté peňažné toky z prevádzkovej činnosti (+/-), (súčet Z/S +  A. 1.  až  A. 9.)</t>
  </si>
  <si>
    <t>Peňažné toky z investičnej činnosti</t>
  </si>
  <si>
    <t>B. 1.</t>
  </si>
  <si>
    <t>Výdavky na obstaranie dlhodobého nehmotného majetku (-)</t>
  </si>
  <si>
    <t>B. 2.</t>
  </si>
  <si>
    <t>Výdavky na obstaranie dlhodobého hmotného majetku (-)</t>
  </si>
  <si>
    <t>B. 3.</t>
  </si>
  <si>
    <t>Výdavky na obstaranie dlhodobých cenných papierov a podielov v iných účtovných jednotkách, s výnimkou cenných papierov, ktoré sa považujú za peňažné ekvivalenty a cenných papierov určených na predaj alebo na obchodovanie (-)</t>
  </si>
  <si>
    <t>B. 4.</t>
  </si>
  <si>
    <t>Príjmy z predaja dlhodobého nehmotného majetku (+)</t>
  </si>
  <si>
    <t>B. 5.</t>
  </si>
  <si>
    <t>Príjmy z predaja dlhodobého hmotného majetku (+)</t>
  </si>
  <si>
    <t>B. 6.</t>
  </si>
  <si>
    <t>Príjmy z predaja dlhodobých cenných papierov a podielov v iných účtovných jednotkách, s výnimkou cenných papierov, ktoré sa považujú za peňažné ekvivalenty a cenných papierov určených na predaj alebo na obchodovanie  (+)</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</si>
  <si>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</si>
  <si>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</si>
  <si>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</si>
  <si>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</si>
  <si>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</si>
  <si>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</si>
  <si>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</si>
  <si>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</si>
  <si>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</si>
  <si>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</si>
  <si>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</si>
  <si>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</si>
  <si>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</si>
  <si>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</si>
  <si>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</si>
  <si>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</si>
  <si>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</si>
  <si>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</si>
  <si>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</si>
  <si>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</si>
  <si>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</si>
  <si>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</si>
  <si>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</si>
  <si>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</si>
  <si>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</si>
  <si>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</si>
  <si>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Čisté  peňažné toky z investičnej  činnosti (súčet B. 1. až B. 19.)</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</si>
  <si>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</si>
  <si>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</si>
  <si>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</si>
  <si>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</si>
  <si>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</si>
  <si>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</si>
  <si>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</si>
  <si>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</si>
  <si>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</si>
  <si>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</si>
  <si>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</si>
  <si>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</si>
  <si>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</si>
  <si>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</si>
  <si>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</si>
  <si>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</si>
  <si>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</si>
  <si>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</si>
  <si>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</si>
  <si>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C. 2.</t>
  </si>
  <si>
    <t xml:space="preserve">Peňažné toky vznikajúce z dlhodobých záväzkov  a krátkodobých záväzkov  z finančnej činnosť, (súčet C. 2. 1. až C. 2. 9.) </t>
  </si>
  <si>
    <t>C. 2. 1.</t>
  </si>
  <si>
    <t>Príjmy z emisie dlhových cenných papierov (+)</t>
  </si>
  <si>
    <t>C. 2. 2.</t>
  </si>
  <si>
    <t>Výdavky na úhradu záväzkov z dlhových CP (-)</t>
  </si>
  <si>
    <t>C. 2. 3.</t>
  </si>
  <si>
    <t>Príjmy z úverov, ktoré  účtovnej jednotke poskytla banka alebo pobočka zahraničnej banky, s výnimkou úverov, ktoré boli poskytnuté na zabezpečenie hlavného predmetu činnosti  (+)</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</si>
  <si>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</si>
  <si>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</si>
  <si>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</si>
  <si>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</si>
  <si>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</si>
  <si>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</si>
  <si>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</si>
  <si>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</si>
  <si>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</si>
  <si>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</si>
  <si>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</si>
  <si>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</si>
  <si>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</si>
  <si>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</si>
  <si>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</si>
  <si>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</si>
  <si>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</si>
  <si>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</si>
  <si>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</si>
  <si>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</si>
  <si>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</si>
  <si>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</si>
  <si>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</si>
  <si>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</si>
  <si>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</si>
  <si>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</si>
  <si>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</si>
  <si>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</si>
  <si>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</si>
  <si>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Stav peňažných prostriedkov a peňažných ekvivalentov na začiatku účtovného obdobia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</si>
  <si>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</si>
  <si>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</si>
  <si>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</si>
  <si>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</si>
  <si>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</si>
  <si>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</si>
  <si>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P. č.</t>
  </si>
  <si>
    <t>Položka</t>
  </si>
  <si>
    <t>Súvaha</t>
  </si>
  <si>
    <t>MAJETOK (r.2+10+16)</t>
  </si>
  <si>
    <t>Neobežný majetok (r.3+4+9)</t>
  </si>
  <si>
    <t>z toho: Softvér</t>
  </si>
  <si>
    <t xml:space="preserve">             Oceniteľné práva</t>
  </si>
  <si>
    <t xml:space="preserve">             Ostatný dlhodobý nehmotný majetok</t>
  </si>
  <si>
    <t xml:space="preserve">             Obstarávaný dlhodobý nehm. majetok</t>
  </si>
  <si>
    <t>z toho: Pozemky</t>
  </si>
  <si>
    <t xml:space="preserve">             Budovy a stavby</t>
  </si>
  <si>
    <t xml:space="preserve">             Samostatné hnuteľné veci</t>
  </si>
  <si>
    <t xml:space="preserve">             Ostatný dlhodobý hmotný majetok</t>
  </si>
  <si>
    <t xml:space="preserve">             Podiel.cen.pap. a podiely v ovlád. osobe</t>
  </si>
  <si>
    <t xml:space="preserve">             Podiel.cen.pap. a podiely v spol. s pods.vplyv.</t>
  </si>
  <si>
    <t xml:space="preserve">             Ostatný dlhodobý finančný majetok</t>
  </si>
  <si>
    <t>Obežný majetok (r.10+11+12+13)</t>
  </si>
  <si>
    <t>z toho: Materiál</t>
  </si>
  <si>
    <t xml:space="preserve">             Nedokončená výroba</t>
  </si>
  <si>
    <t xml:space="preserve">             Výrobky</t>
  </si>
  <si>
    <t xml:space="preserve">             Tovar</t>
  </si>
  <si>
    <t xml:space="preserve">             Ostatné zásoby</t>
  </si>
  <si>
    <t xml:space="preserve">             Pohľadávky z obchodného styku</t>
  </si>
  <si>
    <t xml:space="preserve">             Ostatné dlhodobé pohľadávky</t>
  </si>
  <si>
    <t>z toho: Krátkodobé pohľadávky z obch. styku</t>
  </si>
  <si>
    <t xml:space="preserve">             Pohľadávky voči dcérskej a materskej spol.</t>
  </si>
  <si>
    <t xml:space="preserve">             Ostatné pohľadávky</t>
  </si>
  <si>
    <t>Finančný majetok</t>
  </si>
  <si>
    <t>Časové rozlíšenie</t>
  </si>
  <si>
    <t>VLASTNÉ IMANIE A ZÁVÄZKY (r.15+21)</t>
  </si>
  <si>
    <t>Vlastné imanie (r.19 až 23)</t>
  </si>
  <si>
    <t>Základné imanie</t>
  </si>
  <si>
    <t>Kapitálové fondy</t>
  </si>
  <si>
    <t>Fondy zo zisku</t>
  </si>
  <si>
    <t>Výsledok hospodárenia minulých rokov</t>
  </si>
  <si>
    <t>Výsledok hospodárenia za účtovné obdobie</t>
  </si>
  <si>
    <t>Záväzky (r.22+23+24+25)</t>
  </si>
  <si>
    <t>Rezervy</t>
  </si>
  <si>
    <t>Dlhodobé záväzky</t>
  </si>
  <si>
    <t xml:space="preserve">             dlhodob. záväzky z obch. styku</t>
  </si>
  <si>
    <t>Krátkodobé závazky</t>
  </si>
  <si>
    <t>z toho: Krátkodobé záväzky z obch. styku</t>
  </si>
  <si>
    <t>Úvery spolu</t>
  </si>
  <si>
    <t xml:space="preserve">             Dlhodobé úvery</t>
  </si>
  <si>
    <t xml:space="preserve">             Bežné bankové úvery</t>
  </si>
  <si>
    <t xml:space="preserve">             Krátkodobé finančné výpomoci</t>
  </si>
  <si>
    <t>Časové rozlíšenia</t>
  </si>
  <si>
    <t>Výkaz ziskov a strát</t>
  </si>
  <si>
    <t>Čistý obrat</t>
  </si>
  <si>
    <t>Výnosy z hospodárskej činnosti</t>
  </si>
  <si>
    <t>Tržby z predaja vlastných výrobkov a služieb</t>
  </si>
  <si>
    <t>Zmena stavu vnútroorganizačných zásob</t>
  </si>
  <si>
    <t>Aktivácia</t>
  </si>
  <si>
    <t>Tržby z predaja majetku a materiálu</t>
  </si>
  <si>
    <t>Ostatné výnosy z hospodárskej činnosti</t>
  </si>
  <si>
    <t>Náklady na hospodársku činnosť</t>
  </si>
  <si>
    <t>Náklady na tovar</t>
  </si>
  <si>
    <t>Náklady na materiál</t>
  </si>
  <si>
    <t>Náklady na služby</t>
  </si>
  <si>
    <t>Osobné náklady</t>
  </si>
  <si>
    <t xml:space="preserve">             mzdové náklady</t>
  </si>
  <si>
    <t>Dane a poplatky</t>
  </si>
  <si>
    <t>Odpisy</t>
  </si>
  <si>
    <t>Zostatková cena pred. majetku a materiálu</t>
  </si>
  <si>
    <t>Ostatné prevádzkové náklady</t>
  </si>
  <si>
    <t>Prevádzkový hospodársky výsledok (r.35 - 43)</t>
  </si>
  <si>
    <t>Pridaná hodnota</t>
  </si>
  <si>
    <t>Obchodná marža</t>
  </si>
  <si>
    <t>Výroba</t>
  </si>
  <si>
    <t>Výrobná spotreba</t>
  </si>
  <si>
    <t>Výnosy z finančnej činnosti</t>
  </si>
  <si>
    <t>Náklady na finančnú činnosť</t>
  </si>
  <si>
    <t>Nákladové úroky</t>
  </si>
  <si>
    <t>Ostatné finančné náklady</t>
  </si>
  <si>
    <t>HV z finančných operácií (r. 54 - 55)</t>
  </si>
  <si>
    <t>Mimoriadne výnosy</t>
  </si>
  <si>
    <t>Mimoriadne náklady</t>
  </si>
  <si>
    <t>HV pred zdanením (r. 52 + 58)</t>
  </si>
  <si>
    <t>Daň z príjmu</t>
  </si>
  <si>
    <t>HV za účtovné obdobie po zdanení</t>
  </si>
  <si>
    <t>Výnosy celkom</t>
  </si>
  <si>
    <t>Náklady celkom</t>
  </si>
  <si>
    <t>Výkaz cash flow</t>
  </si>
  <si>
    <t>Počiatočný stav finančných prostriedkov</t>
  </si>
  <si>
    <t>CF 1</t>
  </si>
  <si>
    <t>HV za účtovné obdobie</t>
  </si>
  <si>
    <t>CF 2</t>
  </si>
  <si>
    <t>CF 3</t>
  </si>
  <si>
    <t>Zmena časového rozlíšenia</t>
  </si>
  <si>
    <t>CF 4</t>
  </si>
  <si>
    <t>Zmena stavu krátkodobých pohľadávok</t>
  </si>
  <si>
    <t>CF 5</t>
  </si>
  <si>
    <t>Zmena stavu krátkodobých záväzkov</t>
  </si>
  <si>
    <t>CF 6</t>
  </si>
  <si>
    <t>Zmena stavu zásob</t>
  </si>
  <si>
    <t>CF 7</t>
  </si>
  <si>
    <t>Peňažný tok z prevádzkovej činnosti</t>
  </si>
  <si>
    <t>CF 8</t>
  </si>
  <si>
    <t>Zmena dlhodobého nehmotného majetku</t>
  </si>
  <si>
    <t>CF 9</t>
  </si>
  <si>
    <t>Zmena dlhodobého hmotného majetku</t>
  </si>
  <si>
    <t>CF 10</t>
  </si>
  <si>
    <t>Zmena dlhodobého finančného majetku</t>
  </si>
  <si>
    <t>Peňažný tok z investičnej činnosti</t>
  </si>
  <si>
    <t>CF 13</t>
  </si>
  <si>
    <t>Zmena stavu vlastného imania</t>
  </si>
  <si>
    <t>CF 14</t>
  </si>
  <si>
    <t>Zmena stavu dlhodobých pohľadávok</t>
  </si>
  <si>
    <t>CF 15</t>
  </si>
  <si>
    <t>Zmena stavu dlhod. záväzkov a rezerv</t>
  </si>
  <si>
    <t>CF 16</t>
  </si>
  <si>
    <t>Zmena stavu úverov</t>
  </si>
  <si>
    <t>CF 17</t>
  </si>
  <si>
    <t>Peňažný tok z finančnej činnosti</t>
  </si>
  <si>
    <t>CF 19</t>
  </si>
  <si>
    <t>Cash flow v danom období</t>
  </si>
  <si>
    <t>CF 20</t>
  </si>
  <si>
    <t>Konečný stav peňažných prostriedkov</t>
  </si>
  <si>
    <t>CF 21</t>
  </si>
  <si>
    <t>Kontrola</t>
  </si>
  <si>
    <t>Finančná analýza</t>
  </si>
  <si>
    <t>Celková likvidita firmy</t>
  </si>
  <si>
    <t>Bežná likvidita firmy</t>
  </si>
  <si>
    <t>Pohotová likvidita</t>
  </si>
  <si>
    <t>Korigovaná bežná Likvidita</t>
  </si>
  <si>
    <t>Korigovaná celková Likvidita</t>
  </si>
  <si>
    <t>Pracovný kapitál</t>
  </si>
  <si>
    <t>Obrat celkového majetku</t>
  </si>
  <si>
    <t>Doba obratu neobežného majetku</t>
  </si>
  <si>
    <t>Doba obratu zásob</t>
  </si>
  <si>
    <t>Doba obratu pohľadávok</t>
  </si>
  <si>
    <t>Doba obratu záväzkov</t>
  </si>
  <si>
    <t>Obrat majetku (Fixed Assets Turnover)</t>
  </si>
  <si>
    <t>Obrátka neobežného majetku</t>
  </si>
  <si>
    <t>Obrátka zásob (Inventory Turnover)</t>
  </si>
  <si>
    <t>Koeficient samofincovania</t>
  </si>
  <si>
    <t>Celková zadĺženosť</t>
  </si>
  <si>
    <t xml:space="preserve">Finančná páka - Multiplikátor imania akcionárov  </t>
  </si>
  <si>
    <t>Bežná zadlženosť</t>
  </si>
  <si>
    <t>Dlhodobá zadlženosť</t>
  </si>
  <si>
    <t>Krátkodobá zadĺženosť</t>
  </si>
  <si>
    <t>Úverová zadĺženosť</t>
  </si>
  <si>
    <t>Tokové zadĺženie</t>
  </si>
  <si>
    <t xml:space="preserve">Dlh na vlastné imanie ( Debt to Equity) </t>
  </si>
  <si>
    <t>Úrokové zaťaženie</t>
  </si>
  <si>
    <t>Úrokové krytie (EBIT ) EBIT / úroky</t>
  </si>
  <si>
    <t>Celková úverová zaťaženosť</t>
  </si>
  <si>
    <t>Stupeň finan. samostatnosti</t>
  </si>
  <si>
    <t xml:space="preserve">Platobná neschopnosť </t>
  </si>
  <si>
    <t>Stupeň prekapitalizovania</t>
  </si>
  <si>
    <t>Stupeň podkapitalizovania</t>
  </si>
  <si>
    <t>Stupeň finančnej samostatnosti podniku - Pomer VI k záväzkom</t>
  </si>
  <si>
    <t>Rentabilita majetku celkom - ROA</t>
  </si>
  <si>
    <t>Rentabilita vlast. imania - ROE</t>
  </si>
  <si>
    <t>Rentabilita dlhod. zdrojov ROCE</t>
  </si>
  <si>
    <t>Rentabilita tržieb ROS</t>
  </si>
  <si>
    <t>Rentabilita výnosov (ziskovosť) ( Return on revenue (profitability)</t>
  </si>
  <si>
    <t>Rentabilita nákladov - ( Return on costs )</t>
  </si>
  <si>
    <t>Rentabilita miezd - ( Return on wages )</t>
  </si>
  <si>
    <t>( Return on Investment - ROI )</t>
  </si>
  <si>
    <t>Rentabilita cudzích zdrojov   - ( Return On Liabilitiess - ROL )</t>
  </si>
  <si>
    <t>Ukazovateľ nákladovosti</t>
  </si>
  <si>
    <t>Ukazovatele ziskovosti</t>
  </si>
  <si>
    <t>EBIT</t>
  </si>
  <si>
    <t>EBITDA</t>
  </si>
  <si>
    <t>EBT</t>
  </si>
  <si>
    <t>NOPAT</t>
  </si>
  <si>
    <t>Prevádzkový hospodársky výsledok</t>
  </si>
  <si>
    <t>Operatívny zisk po zdanení OEAT</t>
  </si>
  <si>
    <t>Produktivita</t>
  </si>
  <si>
    <t>Cash flow</t>
  </si>
  <si>
    <t>Predikčné modely</t>
  </si>
  <si>
    <r>
      <rPr>
        <b/>
        <sz val="10"/>
        <rFont val="Times New Roman"/>
        <family val="1"/>
        <charset val="238"/>
      </rPr>
      <t xml:space="preserve">Index bonity </t>
    </r>
    <r>
      <rPr>
        <sz val="8"/>
        <rFont val="Times New Roman"/>
        <family val="1"/>
        <charset val="238"/>
      </rPr>
      <t>(1,5*x1+0,08*x2+10*x3+5*x4+0,3*x5+0,1*x6)</t>
    </r>
  </si>
  <si>
    <t>Cash flow / záväzky</t>
  </si>
  <si>
    <t>Majetok celkom / záväzky</t>
  </si>
  <si>
    <t>Zisk pred zdanením / majetok celkom</t>
  </si>
  <si>
    <t>Zisk pred zdanením / celkové výnosy</t>
  </si>
  <si>
    <t>Zásoby / celkové výnosy</t>
  </si>
  <si>
    <t>Celkové výnosy / majetok celkom</t>
  </si>
  <si>
    <r>
      <rPr>
        <b/>
        <sz val="10"/>
        <rFont val="Times New Roman"/>
        <family val="1"/>
        <charset val="238"/>
      </rPr>
      <t>Z-skóre - s obchod. akciami</t>
    </r>
    <r>
      <rPr>
        <b/>
        <sz val="8"/>
        <rFont val="Times New Roman"/>
        <family val="1"/>
        <charset val="238"/>
      </rPr>
      <t xml:space="preserve"> </t>
    </r>
    <r>
      <rPr>
        <sz val="8"/>
        <rFont val="Times New Roman"/>
        <family val="1"/>
        <charset val="238"/>
      </rPr>
      <t>(1,2*x1+1,4*x2+3,3*x3+0,6*x4+1,0*x5)</t>
    </r>
  </si>
  <si>
    <r>
      <rPr>
        <b/>
        <sz val="10"/>
        <rFont val="Times New Roman"/>
        <family val="1"/>
        <charset val="238"/>
      </rPr>
      <t xml:space="preserve">Z-skóre - os. podniky </t>
    </r>
    <r>
      <rPr>
        <sz val="8"/>
        <rFont val="Times New Roman"/>
        <family val="1"/>
        <charset val="238"/>
      </rPr>
      <t>(0,717*x1+0,847*x2+3,107*x3+0,42*x4+0,998*x5)</t>
    </r>
  </si>
  <si>
    <t>Pracovný kapitál / majetok celkom</t>
  </si>
  <si>
    <t>Zisk po zdanení / majetok celkom</t>
  </si>
  <si>
    <t>Zisk pred zdanením a úroky / majetok celkom</t>
  </si>
  <si>
    <t>Trhová hodnota vl. imania / celkové dlhy</t>
  </si>
  <si>
    <t>Celkové tržby / majetok celkom</t>
  </si>
  <si>
    <t>Rýchly test</t>
  </si>
  <si>
    <t>Koef. samofinancovania</t>
  </si>
  <si>
    <t>Doba splácania dlhu z cash flow</t>
  </si>
  <si>
    <t>Cash flow v % tržieb</t>
  </si>
  <si>
    <t>Rentabilita vl. imania a záväzkov (ROA)%</t>
  </si>
  <si>
    <t>Brutto cash flow</t>
  </si>
  <si>
    <t>Tržby 12 mes. obdobie</t>
  </si>
  <si>
    <r>
      <rPr>
        <b/>
        <sz val="10"/>
        <rFont val="Times New Roman"/>
        <family val="1"/>
        <charset val="238"/>
      </rPr>
      <t xml:space="preserve">Taflerov bankrotový index </t>
    </r>
    <r>
      <rPr>
        <sz val="8"/>
        <rFont val="Times New Roman"/>
        <family val="1"/>
        <charset val="238"/>
      </rPr>
      <t>(0,53*x1+0,13*x2+0,18*x3+0,16*x4)</t>
    </r>
  </si>
  <si>
    <t>Zisk pred zdanením / krátkodobé záväzky</t>
  </si>
  <si>
    <t>Obežný majetok / cudze zdroje</t>
  </si>
  <si>
    <t>Krátkodobé záväzky / majetok celkom</t>
  </si>
  <si>
    <t>Tržby celkom / majetok celkom</t>
  </si>
  <si>
    <r>
      <rPr>
        <b/>
        <sz val="10"/>
        <rFont val="Times New Roman"/>
        <family val="1"/>
        <charset val="238"/>
      </rPr>
      <t>IN01 index</t>
    </r>
    <r>
      <rPr>
        <sz val="8"/>
        <rFont val="Times New Roman"/>
        <family val="1"/>
        <charset val="238"/>
      </rPr>
      <t xml:space="preserve"> (V1.A + V2.B + V3.C + V4.D + V5.E + V6.F)</t>
    </r>
  </si>
  <si>
    <t>Majetok / Cudzie zdroje</t>
  </si>
  <si>
    <t>EBIT / Majetok</t>
  </si>
  <si>
    <t>Výnosy / Majetok</t>
  </si>
  <si>
    <t>Obežný majetok / (Krátkod. zdroje + bež. úv.)</t>
  </si>
  <si>
    <t>Ukazovatele výkonnosti podniku</t>
  </si>
  <si>
    <t>Economic Value Aded</t>
  </si>
  <si>
    <t>Výnosnosť pre majiteľa</t>
  </si>
  <si>
    <t>Náklady na kapitál WACC</t>
  </si>
  <si>
    <t>Náklady na vlastný kapitál</t>
  </si>
  <si>
    <t>Náklady na cudzí kapitál</t>
  </si>
  <si>
    <t>Úroková sadzba</t>
  </si>
  <si>
    <t xml:space="preserve">Ukazovatele hodnoty podniku </t>
  </si>
  <si>
    <t>Diskontované free cash flow (interval 4 roky)</t>
  </si>
  <si>
    <t>EBIT po zdanení</t>
  </si>
  <si>
    <t>Investície</t>
  </si>
  <si>
    <t>NPV (interval 4 roky, minus investície)</t>
  </si>
  <si>
    <t>WACC (diskotná sadzba)</t>
  </si>
  <si>
    <t>Ročné tempo rastu cash flow (predpokladané)</t>
  </si>
  <si>
    <t>Vecná renta v poslednom roku</t>
  </si>
  <si>
    <t>Súčasná hodnota renty v poslednom roku</t>
  </si>
  <si>
    <t>Hodnota podniku</t>
  </si>
  <si>
    <t>Hodnota záväzkov</t>
  </si>
  <si>
    <t>Hodnota vlastného imania</t>
  </si>
  <si>
    <t>*) tabuľka je korektná len pri ročných hodnotách v stĺpcoch</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</si>
  <si>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</si>
  <si>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</si>
  <si>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</si>
  <si>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</si>
  <si>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</si>
  <si>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</si>
  <si>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</si>
  <si>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</si>
  <si>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</si>
  <si>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</si>
  <si>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</si>
  <si>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</si>
  <si>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</si>
  <si>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</si>
  <si>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</si>
  <si>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</si>
  <si>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</si>
  <si>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</si>
  <si>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</si>
  <si>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</si>
  <si>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</si>
  <si>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</si>
  <si>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</si>
  <si>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</si>
  <si>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</si>
  <si>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</si>
  <si>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</si>
  <si>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</si>
  <si>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</si>
  <si>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</si>
  <si>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</si>
  <si>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</si>
  <si>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</si>
  <si>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</si>
  <si>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</si>
  <si>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</si>
  <si>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</si>
  <si>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</si>
  <si>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</si>
  <si>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</si>
  <si>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</si>
  <si>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</si>
  <si>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</si>
  <si>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</si>
  <si>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</si>
  <si>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</si>
  <si>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</si>
  <si>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</si>
  <si>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</si>
  <si>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</si>
  <si>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</si>
  <si>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</si>
  <si>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</si>
  <si>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</si>
  <si>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</si>
  <si>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</si>
  <si>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</si>
  <si>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</si>
  <si>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</si>
  <si>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</si>
  <si>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</si>
  <si>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</si>
  <si>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</si>
  <si>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</si>
  <si>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</si>
  <si>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</si>
  <si>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</si>
  <si>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</si>
  <si>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</si>
  <si>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</si>
  <si>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</si>
  <si>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</si>
  <si>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</si>
  <si>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</si>
  <si>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</si>
  <si>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</si>
  <si>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</si>
  <si>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</si>
  <si>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</si>
  <si>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</si>
  <si>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</si>
  <si>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</si>
  <si>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</si>
  <si>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</si>
  <si>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</si>
  <si>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</si>
  <si>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</si>
  <si>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</si>
  <si>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</si>
  <si>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</si>
  <si>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</si>
  <si>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</si>
  <si>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</si>
  <si>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</si>
  <si>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</si>
  <si>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</si>
  <si>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</si>
  <si>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</si>
  <si>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</si>
  <si>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</si>
  <si>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</si>
  <si>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</si>
  <si>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</si>
  <si>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</si>
  <si>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</si>
  <si>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</si>
  <si>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</si>
  <si>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</si>
  <si>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</si>
  <si>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</si>
  <si>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</si>
  <si>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</si>
  <si>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</si>
  <si>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</si>
  <si>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</si>
  <si>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</si>
  <si>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</si>
  <si>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</si>
  <si>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</si>
  <si>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</si>
  <si>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</si>
  <si>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</si>
  <si>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</si>
  <si>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</si>
  <si>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</si>
  <si>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</si>
  <si>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</si>
  <si>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</si>
  <si>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</si>
  <si>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</si>
  <si>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</si>
  <si>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</si>
  <si>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</si>
  <si>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</si>
  <si>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</si>
  <si>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</si>
  <si>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</si>
  <si>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</si>
  <si>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</si>
  <si>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</si>
  <si>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</si>
  <si>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</si>
  <si>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</si>
  <si>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</si>
  <si>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</si>
  <si>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</si>
  <si>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</si>
  <si>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</si>
  <si>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</si>
  <si>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</si>
  <si>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</si>
  <si>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</si>
  <si>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</si>
  <si>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</si>
  <si>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</si>
  <si>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</si>
  <si>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</si>
  <si>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</si>
  <si>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</si>
  <si>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</si>
  <si>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</si>
  <si>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</si>
  <si>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</si>
  <si>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</si>
  <si>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</si>
  <si>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</si>
  <si>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</si>
  <si>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</si>
  <si>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</si>
  <si>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</si>
  <si>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</si>
  <si>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</si>
  <si>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</si>
  <si>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</si>
  <si>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</si>
  <si>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</si>
  <si>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</si>
  <si>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</si>
  <si>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</si>
  <si>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</si>
  <si>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</si>
  <si>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</si>
  <si>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</si>
  <si>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</si>
  <si>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</si>
  <si>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</si>
  <si>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</si>
  <si>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</si>
  <si>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</si>
  <si>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</si>
  <si>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</si>
  <si>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</si>
  <si>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</si>
  <si>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</si>
  <si>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</si>
  <si>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</si>
  <si>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</si>
  <si>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</si>
  <si>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</si>
  <si>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</si>
  <si>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</si>
  <si>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</si>
  <si>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</si>
  <si>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</si>
  <si>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</si>
  <si>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</si>
  <si>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</si>
  <si>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</si>
  <si>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</si>
  <si>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</si>
  <si>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</si>
  <si>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</si>
  <si>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</si>
  <si>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</si>
  <si>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</si>
  <si>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</si>
  <si>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</si>
  <si>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</si>
  <si>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</si>
  <si>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</si>
  <si>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</si>
  <si>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</si>
  <si>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</si>
  <si>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</si>
  <si>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</si>
  <si>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</si>
  <si>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</si>
  <si>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</si>
  <si>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</si>
  <si>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</si>
  <si>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</si>
  <si>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</si>
  <si>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</si>
  <si>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</si>
  <si>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</si>
  <si>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</si>
  <si>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</si>
  <si>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</si>
  <si>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</si>
  <si>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</si>
  <si>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</si>
  <si>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</si>
  <si>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</si>
  <si>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</si>
  <si>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</si>
  <si>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</si>
  <si>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</si>
  <si>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</si>
  <si>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</si>
  <si>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</si>
  <si>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</si>
  <si>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</si>
  <si>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</si>
  <si>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</si>
  <si>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</si>
  <si>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</si>
  <si>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</si>
  <si>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</si>
  <si>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</si>
  <si>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</si>
  <si>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</si>
  <si>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</si>
  <si>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</si>
  <si>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</si>
  <si>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</si>
  <si>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</si>
  <si>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</si>
  <si>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</si>
  <si>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</si>
  <si>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</si>
  <si>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</si>
  <si>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</si>
  <si>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</si>
  <si>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</si>
  <si>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</si>
  <si>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</si>
  <si>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</si>
  <si>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</si>
  <si>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</si>
  <si>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</si>
  <si>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</si>
  <si>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</si>
  <si>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</si>
  <si>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</si>
  <si>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</si>
  <si>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</si>
  <si>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</si>
  <si>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</si>
  <si>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</si>
  <si>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</si>
  <si>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</si>
  <si>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</si>
  <si>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</si>
  <si>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</si>
  <si>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</si>
  <si>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</si>
  <si>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</si>
  <si>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</si>
  <si>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</si>
  <si>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</si>
  <si>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</si>
  <si>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</si>
  <si>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</si>
  <si>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</si>
  <si>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</si>
  <si>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</si>
  <si>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</si>
  <si>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</si>
  <si>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</si>
  <si>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</si>
  <si>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</si>
  <si>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</si>
  <si>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</si>
  <si>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</si>
  <si>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</si>
  <si>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</si>
  <si>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</si>
  <si>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</si>
  <si>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</si>
  <si>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</si>
  <si>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</si>
  <si>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</si>
  <si>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</si>
  <si>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</si>
  <si>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</si>
  <si>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</si>
  <si>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</si>
  <si>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</si>
  <si>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</si>
  <si>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</si>
  <si>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</si>
  <si>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</si>
  <si>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</si>
  <si>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</si>
  <si>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</si>
  <si>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</si>
  <si>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451000</t>
  </si>
  <si>
    <t>Rezervy zákonné</t>
  </si>
  <si>
    <t>454</t>
  </si>
  <si>
    <t>Rezerva na kurzové straty</t>
  </si>
  <si>
    <t>459000</t>
  </si>
  <si>
    <t>Ostatné rezervy</t>
  </si>
  <si>
    <t>Bankové úvery</t>
  </si>
  <si>
    <t>461000</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</si>
  <si>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</si>
  <si>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</si>
  <si>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</si>
  <si>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</si>
  <si>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</si>
  <si>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</si>
  <si>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</si>
  <si>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</si>
  <si>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</si>
  <si>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</si>
  <si>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</si>
  <si>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</si>
  <si>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</si>
  <si>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</si>
  <si>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</si>
  <si>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</si>
  <si>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</si>
  <si>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</si>
  <si>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</si>
  <si>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</si>
  <si>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</si>
  <si>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</si>
  <si>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</si>
  <si>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</si>
  <si>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</si>
  <si>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</si>
  <si>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</si>
  <si>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</si>
  <si>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</si>
  <si>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</si>
  <si>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</si>
  <si>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</si>
  <si>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</si>
  <si>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</si>
  <si>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</si>
  <si>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</si>
  <si>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</si>
  <si>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</si>
  <si>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</si>
  <si>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</si>
  <si>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</si>
  <si>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</si>
  <si>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</si>
  <si>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</si>
  <si>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</si>
  <si>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</si>
  <si>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</si>
  <si>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</si>
  <si>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</si>
  <si>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</si>
  <si>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</si>
  <si>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</si>
  <si>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</si>
  <si>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</si>
  <si>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</si>
  <si>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</si>
  <si>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</si>
  <si>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</si>
  <si>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</si>
  <si>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</si>
  <si>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</si>
  <si>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</si>
  <si>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</si>
  <si>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</si>
  <si>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</si>
  <si>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</si>
  <si>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</si>
  <si>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</si>
  <si>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</si>
  <si>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</si>
  <si>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</si>
  <si>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</si>
  <si>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</si>
  <si>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</si>
  <si>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</si>
  <si>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</si>
  <si>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</si>
  <si>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</si>
  <si>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</si>
  <si>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</si>
  <si>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</si>
  <si>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</si>
  <si>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</si>
  <si>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</si>
  <si>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</si>
  <si>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</si>
  <si>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</si>
  <si>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</si>
  <si>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</si>
  <si>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</si>
  <si>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</si>
  <si>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</si>
  <si>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</si>
  <si>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</si>
  <si>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</si>
  <si>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</si>
  <si>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</si>
  <si>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</si>
  <si>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</si>
  <si>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</si>
  <si>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</si>
  <si>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</si>
  <si>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</si>
  <si>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</si>
  <si>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</si>
  <si>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</si>
  <si>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569000</t>
  </si>
  <si>
    <t>Manká a škody na finančnom majetku</t>
  </si>
  <si>
    <t>Rezervy a opravné položky finančných nákladov</t>
  </si>
  <si>
    <t>574000</t>
  </si>
  <si>
    <t>Tvorba rezerv</t>
  </si>
  <si>
    <t>579000</t>
  </si>
  <si>
    <t>Tvorba opravných položiek</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</si>
  <si>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</si>
  <si>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</si>
  <si>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</si>
  <si>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</si>
  <si>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</si>
  <si>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</si>
  <si>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</si>
  <si>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</si>
  <si>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</si>
  <si>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</si>
  <si>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</si>
  <si>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</si>
  <si>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</si>
  <si>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</si>
  <si>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</si>
  <si>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</si>
  <si>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</si>
  <si>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</si>
  <si>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</si>
  <si>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</si>
  <si>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</si>
  <si>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</si>
  <si>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</si>
  <si>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</si>
  <si>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</si>
  <si>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</si>
  <si>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</si>
  <si>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</si>
  <si>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</si>
  <si>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</si>
  <si>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</si>
  <si>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</si>
  <si>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</si>
  <si>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</si>
  <si>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</si>
  <si>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</si>
  <si>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</si>
  <si>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</si>
  <si>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</si>
  <si>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</si>
  <si>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</si>
  <si>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</si>
  <si>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</si>
  <si>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</si>
  <si>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</si>
  <si>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</si>
  <si>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</si>
  <si>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</si>
  <si>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</si>
  <si>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</si>
  <si>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</si>
  <si>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</si>
  <si>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</si>
  <si>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</si>
  <si>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</si>
  <si>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</si>
  <si>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</si>
  <si>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</si>
  <si>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</si>
  <si>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</si>
  <si>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</si>
  <si>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</si>
  <si>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</si>
  <si>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</si>
  <si>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</si>
  <si>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</si>
  <si>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</si>
  <si>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</si>
  <si>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</si>
  <si>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</si>
  <si>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</si>
  <si>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</si>
  <si>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</si>
  <si>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</si>
  <si>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</si>
  <si>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</si>
  <si>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</si>
  <si>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</si>
  <si>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</si>
  <si>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</si>
  <si>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</si>
  <si>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</si>
  <si>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</si>
  <si>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</si>
  <si>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</si>
  <si>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</si>
  <si>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</si>
  <si>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</si>
  <si>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</si>
  <si>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</si>
  <si>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</si>
  <si>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</si>
  <si>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</si>
  <si>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</si>
  <si>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</si>
  <si>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</si>
  <si>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</si>
  <si>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</si>
  <si>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</si>
  <si>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</si>
  <si>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</si>
  <si>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</si>
  <si>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</si>
  <si>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</si>
  <si>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</si>
  <si>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</si>
  <si>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</si>
  <si>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</si>
  <si>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</si>
  <si>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</si>
  <si>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</si>
  <si>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</si>
  <si>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</si>
  <si>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</si>
  <si>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</si>
  <si>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</si>
  <si>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</si>
  <si>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</si>
  <si>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</si>
  <si>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</si>
  <si>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</si>
  <si>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</si>
  <si>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</si>
  <si>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</si>
  <si>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</si>
  <si>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</si>
  <si>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</si>
  <si>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</si>
  <si>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</si>
  <si>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</si>
  <si>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</si>
  <si>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</si>
  <si>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</si>
  <si>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</si>
  <si>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</si>
  <si>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</si>
  <si>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</si>
  <si>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</si>
  <si>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</si>
  <si>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</si>
  <si>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</si>
  <si>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</si>
  <si>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</si>
  <si>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</si>
  <si>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</si>
  <si>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</si>
  <si>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</si>
  <si>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</si>
  <si>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</si>
  <si>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</si>
  <si>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</si>
  <si>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</si>
  <si>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</si>
  <si>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</si>
  <si>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</si>
  <si>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</si>
  <si>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</si>
  <si>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</si>
  <si>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</si>
  <si>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</si>
  <si>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</si>
  <si>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</si>
  <si>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</si>
  <si>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</si>
  <si>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</si>
  <si>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</si>
  <si>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</si>
  <si>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</si>
  <si>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</si>
  <si>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</si>
  <si>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</si>
  <si>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</si>
  <si>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</si>
  <si>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</si>
  <si>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</si>
  <si>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</si>
  <si>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</si>
  <si>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</si>
  <si>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</si>
  <si>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</si>
  <si>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</si>
  <si>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</si>
  <si>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</si>
  <si>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</si>
  <si>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</si>
  <si>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</si>
  <si>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</si>
  <si>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</si>
  <si>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</si>
  <si>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</si>
  <si>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</si>
  <si>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</si>
  <si>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</si>
  <si>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</si>
  <si>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</si>
  <si>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</si>
  <si>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</si>
  <si>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</si>
  <si>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</si>
  <si>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</si>
  <si>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</si>
  <si>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</si>
  <si>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</si>
  <si>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</si>
  <si>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</si>
  <si>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</si>
  <si>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</si>
  <si>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</si>
  <si>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</si>
  <si>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</si>
  <si>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</si>
  <si>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</si>
  <si>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</si>
  <si>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</si>
  <si>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</si>
  <si>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</si>
  <si>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</si>
  <si>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</si>
  <si>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</si>
  <si>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</si>
  <si>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</si>
  <si>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</si>
  <si>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</si>
  <si>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</si>
  <si>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</si>
  <si>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</si>
  <si>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</si>
  <si>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</si>
  <si>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</si>
  <si>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</si>
  <si>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</si>
  <si>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</si>
  <si>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</si>
  <si>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</si>
  <si>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</si>
  <si>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</si>
  <si>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</si>
  <si>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</si>
  <si>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</si>
  <si>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</si>
  <si>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</si>
  <si>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</si>
  <si>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</si>
  <si>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</si>
  <si>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</si>
  <si>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</si>
  <si>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</si>
  <si>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</si>
  <si>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</si>
  <si>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</si>
  <si>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</si>
  <si>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</si>
  <si>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</si>
  <si>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</si>
  <si>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</si>
  <si>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</si>
  <si>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</si>
  <si>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</si>
  <si>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</si>
  <si>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</si>
  <si>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</si>
  <si>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</si>
  <si>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</si>
  <si>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</si>
  <si>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</si>
  <si>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</si>
  <si>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</si>
  <si>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</si>
  <si>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</si>
  <si>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</si>
  <si>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</si>
  <si>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</si>
  <si>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</si>
  <si>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</si>
  <si>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</si>
  <si>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</si>
  <si>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</si>
  <si>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</si>
  <si>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</si>
  <si>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</si>
  <si>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</si>
  <si>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</si>
  <si>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</si>
  <si>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</si>
  <si>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</si>
  <si>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</si>
  <si>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</si>
  <si>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</si>
  <si>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</si>
  <si>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</si>
  <si>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</si>
  <si>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</si>
  <si>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</si>
  <si>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</si>
  <si>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</si>
  <si>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</si>
  <si>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</si>
  <si>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</si>
  <si>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</si>
  <si>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</si>
  <si>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</si>
  <si>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</si>
  <si>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</si>
  <si>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</si>
  <si>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</si>
  <si>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</si>
  <si>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</si>
  <si>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</si>
  <si>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</si>
  <si>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</si>
  <si>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</si>
  <si>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</si>
  <si>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</si>
  <si>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</si>
  <si>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</si>
  <si>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</si>
  <si>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</si>
  <si>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</si>
  <si>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</si>
  <si>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</si>
  <si>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</si>
  <si>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</si>
  <si>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</si>
  <si>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</si>
  <si>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</si>
  <si>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</si>
  <si>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</si>
  <si>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</si>
  <si>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</si>
  <si>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</si>
  <si>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</si>
  <si>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</si>
  <si>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</si>
  <si>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</si>
  <si>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</si>
  <si>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</si>
  <si>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</si>
  <si>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</si>
  <si>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</si>
  <si>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</si>
  <si>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</si>
  <si>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</si>
  <si>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</si>
  <si>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</si>
  <si>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</si>
  <si>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</si>
  <si>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</si>
  <si>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</si>
  <si>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</si>
  <si>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</si>
  <si>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</si>
  <si>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</si>
  <si>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</si>
  <si>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</si>
  <si>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</si>
  <si>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</si>
  <si>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</si>
  <si>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</si>
  <si>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</si>
  <si>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</si>
  <si>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</si>
  <si>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</si>
  <si>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</si>
  <si>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</si>
  <si>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</si>
  <si>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</si>
  <si>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</si>
  <si>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</si>
  <si>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</si>
  <si>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</si>
  <si>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</si>
  <si>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</si>
  <si>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</si>
  <si>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</si>
  <si>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</si>
  <si>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</si>
  <si>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</si>
  <si>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</si>
  <si>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</si>
  <si>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</si>
  <si>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</si>
  <si>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</si>
  <si>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</si>
  <si>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</si>
  <si>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</si>
  <si>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</si>
  <si>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</si>
  <si>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</si>
  <si>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</si>
  <si>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</si>
  <si>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</si>
  <si>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</si>
  <si>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</si>
  <si>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</si>
  <si>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</si>
  <si>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</si>
  <si>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</si>
  <si>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</si>
  <si>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</si>
  <si>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</si>
  <si>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</si>
  <si>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</si>
  <si>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</si>
  <si>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</si>
  <si>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</si>
  <si>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</si>
  <si>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</si>
  <si>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</si>
  <si>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</si>
  <si>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</si>
  <si>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</si>
  <si>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</si>
  <si>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</si>
  <si>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</si>
  <si>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</si>
  <si>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</si>
  <si>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</si>
  <si>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</si>
  <si>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</si>
  <si>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</si>
  <si>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</si>
  <si>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</si>
  <si>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</si>
  <si>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</si>
  <si>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</si>
  <si>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</si>
  <si>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</si>
  <si>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</si>
  <si>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</si>
  <si>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</si>
  <si>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</si>
  <si>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</si>
  <si>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</si>
  <si>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</si>
  <si>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</si>
  <si>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</si>
  <si>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</si>
  <si>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</si>
  <si>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</si>
  <si>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</si>
  <si>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</si>
  <si>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</si>
  <si>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</si>
  <si>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</si>
  <si>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</si>
  <si>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</si>
  <si>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</si>
  <si>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</si>
  <si>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</si>
  <si>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</si>
  <si>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</si>
  <si>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</si>
  <si>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</si>
  <si>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</si>
  <si>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</si>
  <si>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</si>
  <si>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</si>
  <si>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</si>
  <si>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</si>
  <si>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</si>
  <si>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</si>
  <si>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</si>
  <si>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</si>
  <si>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</si>
  <si>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</si>
  <si>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</si>
  <si>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</si>
  <si>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</si>
  <si>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</si>
  <si>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</si>
  <si>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</si>
  <si>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</si>
  <si>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</si>
  <si>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</si>
  <si>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</si>
  <si>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</si>
  <si>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</si>
  <si>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</si>
  <si>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</si>
  <si>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</si>
  <si>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</si>
  <si>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</si>
  <si>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</si>
  <si>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</si>
  <si>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</si>
  <si>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</si>
  <si>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</si>
  <si>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</si>
  <si>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</si>
  <si>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</si>
  <si>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</si>
  <si>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</si>
  <si>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</si>
  <si>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</si>
  <si>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</si>
  <si>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</si>
  <si>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</si>
  <si>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</si>
  <si>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</si>
  <si>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</si>
  <si>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</si>
  <si>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</si>
  <si>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</si>
  <si>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</si>
  <si>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</si>
  <si>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</si>
  <si>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</si>
  <si>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</si>
  <si>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</si>
  <si>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</si>
  <si>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</si>
  <si>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</si>
  <si>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</si>
  <si>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</si>
  <si>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</si>
  <si>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</si>
  <si>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</si>
  <si>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</si>
  <si>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</si>
  <si>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</si>
  <si>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</si>
  <si>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</si>
  <si>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</si>
  <si>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</si>
  <si>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</si>
  <si>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</si>
  <si>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</si>
  <si>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</si>
  <si>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</si>
  <si>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</si>
  <si>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</si>
  <si>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</si>
  <si>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</si>
  <si>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</si>
  <si>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</si>
  <si>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</si>
  <si>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</si>
  <si>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</si>
  <si>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</si>
  <si>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</si>
  <si>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</si>
  <si>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</si>
  <si>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</si>
  <si>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</si>
  <si>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</si>
  <si>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</si>
  <si>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</si>
  <si>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</si>
  <si>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</si>
  <si>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</si>
  <si>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</si>
  <si>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</si>
  <si>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</si>
  <si>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</si>
  <si>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</si>
  <si>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</si>
  <si>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</si>
  <si>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</si>
  <si>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</si>
  <si>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</si>
  <si>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</si>
  <si>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</si>
  <si>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</si>
  <si>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</si>
  <si>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</si>
  <si>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</si>
  <si>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</si>
  <si>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</si>
  <si>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</si>
  <si>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</si>
  <si>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</si>
  <si>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</si>
  <si>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</si>
  <si>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</si>
  <si>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</si>
  <si>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</si>
  <si>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</si>
  <si>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</si>
  <si>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</si>
  <si>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</si>
  <si>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</si>
  <si>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</si>
  <si>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</si>
  <si>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</si>
  <si>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</si>
  <si>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</si>
  <si>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</si>
  <si>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</si>
  <si>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</si>
  <si>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</si>
  <si>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</si>
  <si>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</si>
  <si>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</si>
  <si>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</si>
  <si>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</si>
  <si>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</si>
  <si>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</si>
  <si>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</si>
  <si>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</si>
  <si>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</si>
  <si>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</si>
  <si>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</si>
  <si>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</si>
  <si>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</si>
  <si>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</si>
  <si>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</si>
  <si>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</si>
  <si>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</si>
  <si>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</si>
  <si>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</si>
  <si>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</si>
  <si>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</si>
  <si>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</si>
  <si>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</si>
  <si>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</si>
  <si>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</si>
  <si>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</si>
  <si>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</si>
  <si>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</si>
  <si>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</si>
  <si>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</si>
  <si>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</si>
  <si>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</si>
  <si>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</si>
  <si>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</si>
  <si>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</si>
  <si>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</si>
  <si>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</si>
  <si>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</si>
  <si>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</si>
  <si>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</si>
  <si>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</si>
  <si>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</si>
  <si>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</si>
  <si>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</si>
  <si>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</si>
  <si>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</si>
  <si>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</si>
  <si>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</si>
  <si>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</si>
  <si>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</si>
  <si>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</si>
  <si>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</si>
  <si>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</si>
  <si>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</si>
  <si>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</si>
  <si>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</si>
  <si>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</si>
  <si>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</si>
  <si>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</si>
  <si>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</si>
  <si>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</si>
  <si>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</si>
  <si>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</si>
  <si>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</si>
  <si>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</si>
  <si>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</si>
  <si>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</si>
  <si>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</si>
  <si>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</si>
  <si>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</si>
  <si>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</si>
  <si>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</si>
  <si>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</si>
  <si>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</si>
  <si>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</si>
  <si>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</si>
  <si>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</si>
  <si>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</si>
  <si>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</si>
  <si>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</si>
  <si>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</si>
  <si>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</si>
  <si>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</si>
  <si>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</si>
  <si>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31090</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</si>
  <si>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</si>
  <si>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</si>
  <si>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</si>
  <si>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</si>
  <si>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</si>
  <si>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</si>
  <si>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</si>
  <si>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</si>
  <si>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</si>
  <si>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</si>
  <si>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</si>
  <si>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</si>
  <si>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</si>
  <si>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</si>
  <si>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</si>
  <si>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</si>
  <si>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</si>
  <si>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</si>
  <si>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</si>
  <si>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</si>
  <si>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</si>
  <si>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</si>
  <si>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</si>
  <si>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</si>
  <si>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</si>
  <si>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</si>
  <si>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</si>
  <si>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</si>
  <si>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</si>
  <si>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</si>
  <si>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</si>
  <si>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</si>
  <si>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</si>
  <si>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</si>
  <si>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</si>
  <si>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</si>
  <si>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</si>
  <si>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</si>
  <si>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</si>
  <si>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</si>
  <si>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</si>
  <si>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</si>
  <si>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</si>
  <si>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</si>
  <si>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</si>
  <si>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</si>
  <si>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</si>
  <si>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</si>
  <si>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</si>
  <si>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</si>
  <si>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</si>
  <si>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</si>
  <si>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</si>
  <si>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</si>
  <si>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</si>
  <si>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</si>
  <si>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</si>
  <si>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</si>
  <si>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</si>
  <si>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</si>
  <si>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</si>
  <si>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</si>
  <si>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</si>
  <si>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</si>
  <si>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</si>
  <si>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</si>
  <si>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</si>
  <si>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</si>
  <si>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</si>
  <si>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</si>
  <si>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</si>
  <si>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</si>
  <si>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</si>
  <si>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</si>
  <si>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</si>
  <si>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</si>
  <si>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</si>
  <si>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</si>
  <si>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</si>
  <si>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</si>
  <si>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</si>
  <si>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</si>
  <si>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</si>
  <si>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</si>
  <si>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</si>
  <si>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</si>
  <si>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</si>
  <si>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</si>
  <si>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</si>
  <si>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</si>
  <si>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</si>
  <si>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</si>
  <si>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</si>
  <si>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</si>
  <si>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</si>
  <si>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</si>
  <si>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</si>
  <si>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</si>
  <si>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</si>
  <si>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</si>
  <si>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</si>
  <si>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</si>
  <si>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</si>
  <si>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</si>
  <si>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</si>
  <si>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</si>
  <si>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</si>
  <si>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</si>
  <si>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</si>
  <si>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</si>
  <si>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</si>
  <si>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</si>
  <si>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</si>
  <si>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</si>
  <si>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</si>
  <si>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</si>
  <si>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</si>
  <si>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</si>
  <si>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</si>
  <si>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</si>
  <si>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</si>
  <si>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</si>
  <si>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</si>
  <si>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</si>
  <si>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</si>
  <si>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</si>
  <si>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</si>
  <si>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</si>
  <si>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</si>
  <si>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</si>
  <si>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</si>
  <si>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</si>
  <si>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</si>
  <si>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</si>
  <si>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</si>
  <si>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</si>
  <si>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</si>
  <si>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</si>
  <si>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</si>
  <si>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</si>
  <si>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</si>
  <si>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</si>
  <si>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</si>
  <si>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</si>
  <si>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</si>
  <si>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</si>
  <si>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</si>
  <si>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</si>
  <si>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</si>
  <si>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</si>
  <si>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</si>
  <si>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</si>
  <si>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</si>
  <si>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</si>
  <si>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</si>
  <si>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</si>
  <si>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</si>
  <si>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</si>
  <si>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</si>
  <si>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</si>
  <si>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</si>
  <si>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</si>
  <si>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</si>
  <si>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</si>
  <si>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</si>
  <si>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</si>
  <si>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</si>
  <si>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</si>
  <si>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</si>
  <si>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</si>
  <si>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</si>
  <si>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</si>
  <si>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</si>
  <si>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</si>
  <si>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</si>
  <si>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</si>
  <si>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</si>
  <si>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</si>
  <si>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</si>
  <si>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</si>
  <si>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</si>
  <si>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</si>
  <si>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</si>
  <si>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</si>
  <si>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</si>
  <si>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</si>
  <si>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</si>
  <si>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</si>
  <si>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</si>
  <si>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</si>
  <si>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</si>
  <si>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</si>
  <si>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</si>
  <si>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</si>
  <si>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</si>
  <si>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</si>
  <si>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</si>
  <si>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</si>
  <si>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</si>
  <si>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</si>
  <si>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</si>
  <si>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</si>
  <si>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</si>
  <si>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</si>
  <si>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</si>
  <si>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</si>
  <si>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</si>
  <si>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</si>
  <si>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</si>
  <si>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</si>
  <si>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</si>
  <si>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</si>
  <si>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</si>
  <si>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</si>
  <si>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</si>
  <si>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</si>
  <si>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</si>
  <si>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</si>
  <si>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</si>
  <si>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</si>
  <si>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</si>
  <si>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</si>
  <si>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</si>
  <si>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</si>
  <si>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</si>
  <si>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</si>
  <si>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</si>
  <si>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</si>
  <si>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</si>
  <si>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</si>
  <si>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</si>
  <si>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</si>
  <si>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</si>
  <si>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</si>
  <si>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</si>
  <si>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</si>
  <si>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</si>
  <si>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</si>
  <si>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</si>
  <si>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</si>
  <si>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</si>
  <si>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</si>
  <si>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</si>
  <si>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</si>
  <si>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</si>
  <si>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</si>
  <si>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</si>
  <si>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</si>
  <si>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</si>
  <si>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</si>
  <si>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</si>
  <si>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</si>
  <si>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</si>
  <si>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</si>
  <si>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</si>
  <si>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</si>
  <si>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</si>
  <si>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</si>
  <si>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</si>
  <si>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</si>
  <si>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</si>
  <si>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</si>
  <si>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</si>
  <si>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</si>
  <si>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</si>
  <si>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</si>
  <si>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</si>
  <si>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</si>
  <si>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</si>
  <si>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</si>
  <si>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</si>
  <si>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</si>
  <si>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</si>
  <si>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</si>
  <si>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</si>
  <si>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</si>
  <si>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</si>
  <si>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</si>
  <si>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</si>
  <si>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</si>
  <si>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</si>
  <si>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</si>
  <si>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</si>
  <si>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</si>
  <si>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</si>
  <si>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</si>
  <si>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</si>
  <si>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</si>
  <si>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</si>
  <si>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</si>
  <si>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</si>
  <si>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</si>
  <si>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</si>
  <si>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</si>
  <si>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</si>
  <si>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</si>
  <si>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</si>
  <si>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</si>
  <si>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</si>
  <si>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</si>
  <si>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</si>
  <si>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</si>
  <si>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</si>
  <si>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</si>
  <si>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</si>
  <si>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</si>
  <si>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</si>
  <si>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</si>
  <si>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</si>
  <si>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</si>
  <si>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</si>
  <si>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</si>
  <si>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</si>
  <si>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</si>
  <si>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</si>
  <si>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</si>
  <si>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</si>
  <si>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</si>
  <si>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</si>
  <si>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</si>
  <si>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</si>
  <si>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</si>
  <si>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</si>
  <si>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</si>
  <si>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</si>
  <si>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</si>
  <si>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</si>
  <si>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</si>
  <si>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</si>
  <si>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</si>
  <si>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</si>
  <si>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</si>
  <si>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</si>
  <si>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</si>
  <si>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</si>
  <si>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</si>
  <si>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</si>
  <si>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</si>
  <si>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</si>
  <si>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</si>
  <si>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</si>
  <si>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</si>
  <si>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</si>
  <si>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</si>
  <si>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</si>
  <si>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</si>
  <si>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</si>
  <si>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</si>
  <si>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</si>
  <si>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</si>
  <si>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</si>
  <si>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</si>
  <si>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</si>
  <si>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</si>
  <si>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</si>
  <si>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</si>
  <si>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</si>
  <si>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</si>
  <si>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</si>
  <si>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</si>
  <si>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</si>
  <si>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</si>
  <si>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</si>
  <si>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</si>
  <si>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</si>
  <si>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</si>
  <si>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</si>
  <si>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</si>
  <si>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</si>
  <si>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</si>
  <si>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</si>
  <si>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</si>
  <si>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</si>
  <si>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</si>
  <si>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</si>
  <si>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</si>
  <si>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</si>
  <si>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</si>
  <si>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</si>
  <si>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</si>
  <si>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</si>
  <si>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</si>
  <si>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</si>
  <si>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</si>
  <si>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</si>
  <si>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</si>
  <si>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</si>
  <si>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</si>
  <si>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</si>
  <si>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</si>
  <si>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</si>
  <si>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</si>
  <si>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</si>
  <si>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</si>
  <si>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</si>
  <si>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</si>
  <si>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</si>
  <si>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</si>
  <si>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</si>
  <si>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</si>
  <si>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</si>
  <si>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</si>
  <si>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</si>
  <si>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</si>
  <si>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</si>
  <si>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</si>
  <si>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</si>
  <si>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</si>
  <si>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</si>
  <si>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</si>
  <si>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</si>
  <si>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</si>
  <si>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</si>
  <si>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</si>
  <si>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</si>
  <si>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</si>
  <si>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</si>
  <si>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</si>
  <si>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</si>
  <si>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</si>
  <si>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</si>
  <si>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</si>
  <si>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</si>
  <si>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</si>
  <si>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</si>
  <si>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</si>
  <si>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</si>
  <si>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</si>
  <si>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</si>
  <si>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</si>
  <si>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</si>
  <si>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</si>
  <si>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</si>
  <si>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</si>
  <si>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</si>
  <si>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</si>
  <si>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</si>
  <si>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</si>
  <si>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</si>
  <si>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</si>
  <si>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</si>
  <si>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</si>
  <si>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</si>
  <si>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</si>
  <si>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</si>
  <si>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</si>
  <si>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</si>
  <si>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</si>
  <si>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</si>
  <si>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</si>
  <si>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</si>
  <si>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</si>
  <si>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</si>
  <si>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</si>
  <si>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</si>
  <si>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</si>
  <si>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</si>
  <si>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</si>
  <si>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</si>
  <si>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</si>
  <si>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</si>
  <si>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</si>
  <si>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</si>
  <si>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</si>
  <si>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</si>
  <si>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</si>
  <si>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</si>
  <si>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</si>
  <si>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</si>
  <si>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</si>
  <si>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</si>
  <si>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</si>
  <si>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</si>
  <si>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</si>
  <si>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</si>
  <si>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</si>
  <si>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</si>
  <si>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</si>
  <si>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</si>
  <si>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</si>
  <si>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</si>
  <si>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</si>
  <si>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</si>
  <si>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</si>
  <si>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</si>
  <si>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</si>
  <si>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</si>
  <si>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</si>
  <si>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</si>
  <si>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</si>
  <si>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</si>
  <si>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</si>
  <si>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</si>
  <si>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</si>
  <si>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</si>
  <si>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</si>
  <si>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</si>
  <si>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</si>
  <si>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</si>
  <si>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</si>
  <si>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</si>
  <si>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</si>
  <si>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</si>
  <si>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</si>
  <si>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</si>
  <si>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</si>
  <si>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</si>
  <si>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</si>
  <si>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</si>
  <si>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</si>
  <si>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</si>
  <si>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</si>
  <si>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</si>
  <si>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</si>
  <si>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</si>
  <si>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</si>
  <si>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</si>
  <si>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</si>
  <si>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</si>
  <si>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</si>
  <si>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</si>
  <si>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</si>
  <si>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</si>
  <si>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</si>
  <si>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</si>
  <si>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</si>
  <si>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</si>
  <si>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</si>
  <si>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</si>
  <si>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</si>
  <si>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</si>
  <si>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</si>
  <si>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</si>
  <si>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</si>
  <si>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</si>
  <si>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</si>
  <si>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</si>
  <si>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</si>
  <si>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</si>
  <si>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</si>
  <si>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</si>
  <si>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</si>
  <si>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</si>
  <si>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</si>
  <si>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</si>
  <si>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</si>
  <si>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</si>
  <si>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</si>
  <si>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</si>
  <si>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</si>
  <si>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</si>
  <si>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</si>
  <si>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</si>
  <si>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</si>
  <si>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</si>
  <si>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</si>
  <si>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</si>
  <si>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</si>
  <si>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</si>
  <si>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</si>
  <si>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</si>
  <si>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</si>
  <si>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</si>
  <si>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</si>
  <si>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</si>
  <si>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</si>
  <si>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</si>
  <si>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</si>
  <si>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</si>
  <si>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</si>
  <si>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</si>
  <si>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</si>
  <si>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</si>
  <si>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</si>
  <si>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</si>
  <si>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</si>
  <si>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</si>
  <si>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</si>
  <si>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</si>
  <si>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</si>
  <si>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</si>
  <si>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</si>
  <si>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</si>
  <si>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</si>
  <si>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</si>
  <si>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</si>
  <si>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</si>
  <si>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</si>
  <si>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</si>
  <si>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</si>
  <si>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</si>
  <si>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</si>
  <si>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</si>
  <si>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</si>
  <si>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</si>
  <si>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</si>
  <si>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</si>
  <si>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</si>
  <si>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</si>
  <si>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</si>
  <si>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</si>
  <si>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</si>
  <si>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</si>
  <si>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</si>
  <si>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</si>
  <si>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</si>
  <si>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</si>
  <si>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</si>
  <si>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</si>
  <si>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</si>
  <si>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</si>
  <si>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</si>
  <si>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</si>
  <si>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</si>
  <si>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</si>
  <si>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</si>
  <si>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</si>
  <si>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</si>
  <si>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</si>
  <si>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</si>
  <si>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</si>
  <si>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</si>
  <si>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</si>
  <si>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</si>
  <si>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</si>
  <si>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</si>
  <si>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</si>
  <si>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</si>
  <si>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</si>
  <si>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</si>
  <si>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</si>
  <si>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</si>
  <si>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</si>
  <si>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</si>
  <si>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</si>
  <si>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</si>
  <si>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</si>
  <si>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</si>
  <si>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</si>
  <si>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</si>
  <si>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</si>
  <si>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</si>
  <si>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</si>
  <si>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</si>
  <si>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</si>
  <si>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</si>
  <si>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</si>
  <si>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</si>
  <si>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</si>
  <si>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</si>
  <si>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</si>
  <si>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</si>
  <si>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</si>
  <si>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</si>
  <si>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</si>
  <si>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</si>
  <si>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</si>
  <si>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</si>
  <si>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</si>
  <si>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</si>
  <si>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</si>
  <si>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</si>
  <si>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</si>
  <si>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</si>
  <si>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</si>
  <si>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</si>
  <si>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</si>
  <si>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</si>
  <si>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</si>
  <si>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</si>
  <si>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</si>
  <si>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</si>
  <si>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</si>
  <si>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</si>
  <si>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</si>
  <si>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</si>
  <si>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</si>
  <si>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</si>
  <si>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</si>
  <si>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</si>
  <si>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</si>
  <si>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</si>
  <si>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</si>
  <si>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</si>
  <si>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</si>
  <si>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</si>
  <si>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</si>
  <si>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</si>
  <si>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</si>
  <si>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</si>
  <si>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</si>
  <si>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</si>
  <si>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</si>
  <si>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</si>
  <si>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</si>
  <si>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</si>
  <si>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</si>
  <si>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</si>
  <si>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</si>
  <si>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</si>
  <si>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</si>
  <si>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</si>
  <si>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</si>
  <si>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</si>
  <si>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</si>
  <si>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</si>
  <si>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</si>
  <si>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</si>
  <si>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</si>
  <si>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</si>
  <si>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</si>
  <si>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</si>
  <si>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</si>
  <si>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</si>
  <si>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</si>
  <si>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</si>
  <si>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</si>
  <si>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</si>
  <si>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</si>
  <si>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</si>
  <si>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</si>
  <si>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</si>
  <si>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</si>
  <si>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</si>
  <si>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</si>
  <si>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</si>
  <si>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</si>
  <si>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</si>
  <si>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</si>
  <si>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</si>
  <si>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</si>
  <si>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</si>
  <si>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</si>
  <si>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</si>
  <si>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</si>
  <si>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</si>
  <si>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</si>
  <si>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</si>
  <si>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</si>
  <si>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</si>
  <si>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</si>
  <si>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</si>
  <si>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</si>
  <si>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</si>
  <si>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</si>
  <si>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</si>
  <si>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</si>
  <si>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</si>
  <si>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</si>
  <si>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</si>
  <si>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</si>
  <si>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</si>
  <si>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</si>
  <si>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</si>
  <si>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</si>
  <si>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</si>
  <si>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</si>
  <si>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</si>
  <si>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</si>
  <si>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</si>
  <si>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</si>
  <si>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</si>
  <si>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</si>
  <si>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</si>
  <si>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</si>
  <si>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</si>
  <si>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</si>
  <si>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</si>
  <si>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</si>
  <si>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</si>
  <si>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</si>
  <si>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</si>
  <si>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</si>
  <si>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</si>
  <si>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</si>
  <si>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</si>
  <si>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</si>
  <si>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</si>
  <si>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</si>
  <si>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</si>
  <si>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</si>
  <si>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</si>
  <si>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</si>
  <si>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</si>
  <si>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</si>
  <si>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</si>
  <si>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</si>
  <si>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</si>
  <si>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</si>
  <si>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</si>
  <si>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</si>
  <si>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</si>
  <si>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</si>
  <si>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</si>
  <si>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</si>
  <si>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</si>
  <si>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</si>
  <si>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</si>
  <si>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</si>
  <si>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</si>
  <si>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</si>
  <si>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</si>
  <si>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</si>
  <si>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</si>
  <si>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</si>
  <si>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</si>
  <si>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</si>
  <si>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</si>
  <si>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</si>
  <si>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</si>
  <si>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</si>
  <si>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</si>
  <si>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</si>
  <si>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</si>
  <si>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</si>
  <si>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</si>
  <si>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</si>
  <si>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</si>
  <si>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</si>
  <si>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</si>
  <si>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</si>
  <si>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</si>
  <si>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</si>
  <si>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</si>
  <si>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</si>
  <si>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</si>
  <si>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</si>
  <si>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</si>
  <si>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</si>
  <si>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</si>
  <si>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</si>
  <si>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</si>
  <si>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</si>
  <si>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</si>
  <si>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</si>
  <si>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</si>
  <si>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</si>
  <si>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</si>
  <si>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</si>
  <si>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</si>
  <si>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</si>
  <si>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</si>
  <si>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</si>
  <si>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</si>
  <si>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</si>
  <si>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</si>
  <si>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</si>
  <si>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</si>
  <si>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</si>
  <si>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</si>
  <si>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</si>
  <si>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</si>
  <si>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</si>
  <si>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</si>
  <si>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</si>
  <si>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</si>
  <si>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</si>
  <si>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</si>
  <si>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</si>
  <si>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</si>
  <si>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</si>
  <si>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</si>
  <si>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</si>
  <si>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</si>
  <si>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</si>
  <si>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</si>
  <si>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</si>
  <si>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</si>
  <si>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</si>
  <si>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</si>
  <si>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</si>
  <si>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</si>
  <si>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</si>
  <si>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</si>
  <si>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</si>
  <si>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</si>
  <si>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</si>
  <si>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</si>
  <si>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</si>
  <si>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</si>
  <si>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</si>
  <si>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</si>
  <si>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</si>
  <si>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</si>
  <si>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</si>
  <si>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</si>
  <si>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</si>
  <si>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</si>
  <si>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</si>
  <si>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</si>
  <si>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</si>
  <si>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</si>
  <si>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</si>
  <si>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</si>
  <si>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</si>
  <si>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</si>
  <si>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</si>
  <si>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</si>
  <si>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</si>
  <si>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</si>
  <si>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</si>
  <si>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</si>
  <si>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</si>
  <si>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</si>
  <si>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</si>
  <si>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</si>
  <si>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</si>
  <si>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</si>
  <si>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</si>
  <si>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</si>
  <si>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</si>
  <si>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</si>
  <si>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</si>
  <si>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</si>
  <si>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</si>
  <si>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</si>
  <si>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</si>
  <si>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</si>
  <si>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</si>
  <si>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</si>
  <si>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</si>
  <si>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</si>
  <si>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</si>
  <si>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</si>
  <si>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</si>
  <si>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</si>
  <si>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</si>
  <si>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</si>
  <si>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</si>
  <si>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</si>
  <si>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</si>
  <si>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</si>
  <si>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</si>
  <si>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</si>
  <si>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</si>
  <si>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</si>
  <si>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</si>
  <si>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</si>
  <si>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</si>
  <si>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</si>
  <si>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</si>
  <si>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</si>
  <si>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</si>
  <si>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</si>
  <si>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</si>
  <si>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</si>
  <si>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</si>
  <si>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</si>
  <si>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</si>
  <si>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</si>
  <si>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</si>
  <si>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</si>
  <si>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</si>
  <si>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</si>
  <si>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</si>
  <si>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</si>
  <si>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</si>
  <si>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</si>
  <si>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</si>
  <si>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</si>
  <si>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</si>
  <si>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</si>
  <si>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</si>
  <si>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</si>
  <si>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</si>
  <si>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</si>
  <si>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</si>
  <si>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</si>
  <si>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</si>
  <si>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</si>
  <si>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</si>
  <si>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</si>
  <si>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</si>
  <si>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</si>
  <si>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</si>
  <si>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</si>
  <si>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</si>
  <si>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</si>
  <si>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</si>
  <si>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</si>
  <si>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</si>
  <si>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</si>
  <si>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</si>
  <si>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</si>
  <si>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</si>
  <si>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</si>
  <si>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</si>
  <si>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</si>
  <si>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</si>
  <si>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</si>
  <si>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</si>
  <si>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</si>
  <si>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</si>
  <si>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</si>
  <si>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</si>
  <si>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</si>
  <si>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</si>
  <si>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</si>
  <si>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</si>
  <si>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</si>
  <si>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</si>
  <si>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</si>
  <si>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</si>
  <si>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</si>
  <si>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</si>
  <si>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</si>
  <si>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</si>
  <si>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</si>
  <si>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</si>
  <si>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</si>
  <si>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</si>
  <si>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</si>
  <si>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</si>
  <si>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</si>
  <si>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</si>
  <si>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</si>
  <si>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</si>
  <si>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</si>
  <si>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</si>
  <si>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</si>
  <si>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</si>
  <si>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</si>
  <si>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</si>
  <si>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</si>
  <si>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</si>
  <si>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</si>
  <si>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</si>
  <si>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</si>
  <si>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</si>
  <si>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</si>
  <si>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</si>
  <si>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</si>
  <si>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</si>
  <si>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</si>
  <si>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</si>
  <si>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</si>
  <si>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</si>
  <si>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</si>
  <si>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</si>
  <si>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</si>
  <si>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</si>
  <si>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</si>
  <si>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</si>
  <si>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</si>
  <si>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</si>
  <si>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</si>
  <si>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</si>
  <si>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</si>
  <si>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</si>
  <si>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</si>
  <si>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</si>
  <si>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</si>
  <si>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</si>
  <si>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</si>
  <si>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</si>
  <si>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</si>
  <si>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</si>
  <si>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</si>
  <si>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</si>
  <si>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</si>
  <si>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</si>
  <si>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</si>
  <si>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</si>
  <si>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</si>
  <si>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</si>
  <si>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</si>
  <si>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</si>
  <si>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</si>
  <si>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</si>
  <si>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</si>
  <si>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</si>
  <si>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</si>
  <si>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</si>
  <si>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</si>
  <si>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</si>
  <si>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</si>
  <si>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</si>
  <si>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</si>
  <si>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</si>
  <si>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</si>
  <si>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</si>
  <si>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</si>
  <si>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</si>
  <si>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</si>
  <si>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</si>
  <si>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</si>
  <si>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</si>
  <si>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</si>
  <si>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</si>
  <si>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</si>
  <si>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</si>
  <si>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</si>
  <si>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</si>
  <si>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</si>
  <si>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</si>
  <si>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</si>
  <si>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</si>
  <si>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</si>
  <si>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</si>
  <si>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</si>
  <si>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</si>
  <si>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</si>
  <si>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</si>
  <si>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</si>
  <si>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</si>
  <si>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</si>
  <si>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</si>
  <si>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</si>
  <si>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</si>
  <si>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</si>
  <si>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</si>
  <si>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</si>
  <si>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</si>
  <si>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</si>
  <si>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</si>
  <si>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</si>
  <si>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</si>
  <si>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</si>
  <si>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</si>
  <si>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</si>
  <si>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</si>
  <si>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</si>
  <si>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</si>
  <si>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</si>
  <si>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</si>
  <si>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</si>
  <si>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</si>
  <si>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</si>
  <si>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</si>
  <si>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</si>
  <si>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</si>
  <si>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</si>
  <si>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</si>
  <si>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</si>
  <si>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</si>
  <si>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</si>
  <si>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</si>
  <si>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</si>
  <si>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</si>
  <si>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</si>
  <si>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</si>
  <si>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</si>
  <si>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</si>
  <si>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</si>
  <si>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</si>
  <si>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</si>
  <si>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</si>
  <si>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</si>
  <si>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</si>
  <si>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</si>
  <si>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</si>
  <si>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</si>
  <si>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</si>
  <si>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</si>
  <si>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</si>
  <si>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</si>
  <si>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</si>
  <si>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</si>
  <si>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</si>
  <si>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</si>
  <si>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</si>
  <si>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</si>
  <si>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</si>
  <si>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</si>
  <si>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</si>
  <si>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</si>
  <si>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</si>
  <si>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</si>
  <si>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</si>
  <si>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</si>
  <si>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</si>
  <si>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</si>
  <si>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</si>
  <si>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</si>
  <si>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</si>
  <si>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</si>
  <si>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</si>
  <si>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</si>
  <si>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</si>
  <si>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</si>
  <si>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</si>
  <si>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</si>
  <si>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</si>
  <si>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</si>
  <si>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</si>
  <si>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</si>
  <si>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</si>
  <si>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</si>
  <si>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</si>
  <si>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</si>
  <si>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</si>
  <si>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</si>
  <si>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</si>
  <si>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</si>
  <si>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</si>
  <si>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</si>
  <si>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</si>
  <si>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</si>
  <si>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</si>
  <si>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</si>
  <si>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</si>
  <si>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</si>
  <si>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</si>
  <si>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</si>
  <si>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</si>
  <si>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</si>
  <si>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</si>
  <si>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</si>
  <si>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</si>
  <si>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</si>
  <si>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</si>
  <si>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</si>
  <si>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</si>
  <si>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</si>
  <si>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</si>
  <si>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</si>
  <si>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</si>
  <si>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</si>
  <si>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</si>
  <si>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</si>
  <si>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</si>
  <si>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</si>
  <si>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</si>
  <si>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</si>
  <si>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</si>
  <si>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</si>
  <si>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</si>
  <si>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</si>
  <si>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</si>
  <si>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</si>
  <si>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</si>
  <si>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</si>
  <si>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</si>
  <si>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</si>
  <si>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</si>
  <si>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</si>
  <si>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</si>
  <si>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</si>
  <si>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</si>
  <si>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</si>
  <si>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</si>
  <si>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</si>
  <si>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</si>
  <si>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</si>
  <si>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</si>
  <si>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</si>
  <si>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</si>
  <si>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</si>
  <si>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</si>
  <si>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</si>
  <si>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</si>
  <si>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</si>
  <si>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</si>
  <si>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</si>
  <si>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</si>
  <si>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</si>
  <si>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</si>
  <si>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</si>
  <si>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</si>
  <si>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</si>
  <si>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</si>
  <si>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</si>
  <si>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</si>
  <si>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</si>
  <si>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</si>
  <si>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</si>
  <si>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</si>
  <si>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</si>
  <si>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</si>
  <si>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</si>
  <si>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</si>
  <si>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</si>
  <si>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</si>
  <si>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</si>
  <si>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</si>
  <si>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</si>
  <si>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</si>
  <si>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</si>
  <si>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</si>
  <si>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</si>
  <si>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</si>
  <si>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</si>
  <si>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</si>
  <si>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</si>
  <si>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</si>
  <si>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</si>
  <si>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</si>
  <si>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</si>
  <si>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</si>
  <si>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</si>
  <si>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</si>
  <si>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</si>
  <si>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</si>
  <si>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</si>
  <si>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</si>
  <si>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</si>
  <si>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</si>
  <si>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</si>
  <si>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</si>
  <si>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</si>
  <si>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</si>
  <si>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</si>
  <si>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</si>
  <si>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</si>
  <si>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</si>
  <si>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</si>
  <si>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</si>
  <si>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</si>
  <si>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</si>
  <si>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</si>
  <si>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</si>
  <si>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</si>
  <si>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</si>
  <si>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</si>
  <si>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</si>
  <si>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</si>
  <si>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</si>
  <si>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</si>
  <si>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</si>
  <si>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</si>
  <si>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</si>
  <si>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</si>
  <si>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</si>
  <si>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</si>
  <si>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</si>
  <si>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</si>
  <si>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</si>
  <si>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</si>
  <si>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</si>
  <si>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</si>
  <si>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</si>
  <si>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</si>
  <si>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</si>
  <si>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</si>
  <si>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</si>
  <si>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</si>
  <si>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</si>
  <si>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</si>
  <si>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</si>
  <si>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</si>
  <si>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</si>
  <si>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</si>
  <si>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</si>
  <si>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</si>
  <si>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</si>
  <si>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</si>
  <si>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</si>
  <si>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</si>
  <si>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</si>
  <si>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</si>
  <si>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</si>
  <si>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</si>
  <si>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</si>
  <si>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</si>
  <si>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</si>
  <si>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</si>
  <si>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</si>
  <si>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</si>
  <si>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</si>
  <si>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</si>
  <si>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</si>
  <si>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</si>
  <si>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</si>
  <si>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</si>
  <si>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</si>
  <si>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</si>
  <si>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</si>
  <si>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</si>
  <si>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</si>
  <si>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</si>
  <si>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</si>
  <si>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</si>
  <si>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</si>
  <si>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</si>
  <si>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</si>
  <si>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</si>
  <si>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</si>
  <si>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</si>
  <si>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</si>
  <si>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</si>
  <si>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</si>
  <si>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</si>
  <si>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</si>
  <si>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</si>
  <si>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</si>
  <si>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</si>
  <si>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</si>
  <si>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</si>
  <si>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</si>
  <si>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</si>
  <si>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</si>
  <si>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</si>
  <si>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</si>
  <si>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</si>
  <si>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</si>
  <si>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</si>
  <si>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</si>
  <si>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</si>
  <si>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</si>
  <si>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</si>
  <si>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</si>
  <si>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</si>
  <si>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</si>
  <si>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</si>
  <si>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</si>
  <si>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</si>
  <si>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</si>
  <si>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</si>
  <si>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</si>
  <si>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</si>
  <si>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</si>
  <si>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</si>
  <si>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</si>
  <si>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</si>
  <si>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</si>
  <si>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</si>
  <si>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</si>
  <si>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</si>
  <si>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</si>
  <si>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</si>
  <si>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</si>
  <si>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</si>
  <si>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</si>
  <si>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</si>
  <si>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</si>
  <si>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</si>
  <si>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</si>
  <si>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</si>
  <si>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</si>
  <si>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</si>
  <si>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</si>
  <si>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</si>
  <si>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</si>
  <si>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</si>
  <si>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</si>
  <si>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</si>
  <si>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</si>
  <si>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</si>
  <si>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</si>
  <si>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</si>
  <si>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</si>
  <si>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</si>
  <si>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</si>
  <si>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</si>
  <si>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</si>
  <si>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</si>
  <si>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</si>
  <si>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</si>
  <si>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</si>
  <si>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</si>
  <si>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</si>
  <si>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</si>
  <si>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</si>
  <si>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</si>
  <si>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</si>
  <si>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</si>
  <si>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</si>
  <si>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</si>
  <si>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</si>
  <si>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</si>
  <si>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</si>
  <si>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</si>
  <si>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</si>
  <si>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</si>
  <si>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</si>
  <si>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</si>
  <si>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</si>
  <si>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</si>
  <si>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</si>
  <si>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</si>
  <si>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</si>
  <si>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</si>
  <si>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</si>
  <si>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</si>
  <si>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</si>
  <si>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</si>
  <si>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</si>
  <si>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</si>
  <si>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</si>
  <si>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</si>
  <si>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</si>
  <si>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</si>
  <si>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</si>
  <si>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</si>
  <si>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</si>
  <si>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</si>
  <si>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</si>
  <si>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</si>
  <si>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</si>
  <si>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</si>
  <si>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UZPODv14_2</t>
  </si>
  <si>
    <t>Ozna-</t>
  </si>
  <si>
    <t>STRANA AKTÍV
b</t>
  </si>
  <si>
    <t>čenie</t>
  </si>
  <si>
    <t>A.II.1.</t>
  </si>
  <si>
    <t>UZPODv14_3</t>
  </si>
  <si>
    <t>UZPODv14_4</t>
  </si>
  <si>
    <t>UZPODv14_5</t>
  </si>
  <si>
    <t>UZPODv14_6</t>
  </si>
  <si>
    <t>UZPODv14_7</t>
  </si>
  <si>
    <t>Ozna- čenie
a</t>
  </si>
  <si>
    <t>STRANA PASÍV
b</t>
  </si>
  <si>
    <t>UZPODv14_8</t>
  </si>
  <si>
    <t>UZPODv14_9</t>
  </si>
  <si>
    <t>UZPODv14_10</t>
  </si>
  <si>
    <t>Text
b</t>
  </si>
  <si>
    <t>II.</t>
  </si>
  <si>
    <t>UZPODv14_11</t>
  </si>
  <si>
    <t>UZPODv14_12</t>
  </si>
  <si>
    <t/>
  </si>
  <si>
    <t>Poľnohospodárstvo, rastlinná a živočíšna výroba</t>
  </si>
  <si>
    <r>
      <t xml:space="preserve">Prehľad o pohybe dlhodobého nehmotného majetku a dlhodobého hmotného majetku od </t>
    </r>
    <r>
      <rPr>
        <sz val="8"/>
        <color rgb="FF0000CC"/>
        <rFont val="Arial Narrow"/>
        <family val="2"/>
        <charset val="238"/>
      </rPr>
      <t>1. januára 2018 do 31. decembra 2018</t>
    </r>
    <r>
      <rPr>
        <sz val="8"/>
        <rFont val="Arial Narrow"/>
        <family val="2"/>
        <charset val="238"/>
      </rPr>
      <t xml:space="preserve"> a za porovnateľné obdobie od </t>
    </r>
    <r>
      <rPr>
        <sz val="8"/>
        <color rgb="FF0000CC"/>
        <rFont val="Arial Narrow"/>
        <family val="2"/>
        <charset val="238"/>
      </rPr>
      <t>1. januára 2017 do 31. decembra 2017</t>
    </r>
    <r>
      <rPr>
        <sz val="8"/>
        <rFont val="Arial Narrow"/>
        <family val="2"/>
        <charset val="238"/>
      </rPr>
      <t xml:space="preserve"> je uvedený v tabuľkách na nasledujúcich stranách.</t>
    </r>
  </si>
  <si>
    <r>
      <t xml:space="preserve">Účtovná závierka ÚJ </t>
    </r>
    <r>
      <rPr>
        <b/>
        <sz val="8"/>
        <color rgb="FF0000CC"/>
        <rFont val="Arial Narrow"/>
        <family val="2"/>
        <charset val="238"/>
      </rPr>
      <t>k 31. decembra 2017</t>
    </r>
    <r>
      <rPr>
        <sz val="8"/>
        <rFont val="Arial Narrow"/>
        <family val="2"/>
        <charset val="238"/>
      </rPr>
      <t>, za predchádzajúce účtovné obdobie, bola schválená Výročnou členskou schôdzou dňa 15.06.2018</t>
    </r>
  </si>
  <si>
    <t xml:space="preserve">Účtovnú  závierku k 31.12.2018 schválila Výročná členská schôdza dňa 21.06.2019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</si>
</sst>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d/"/>
    <numFmt numFmtId="165" formatCode="mm/"/>
    <numFmt numFmtId="166" formatCode="yyyy"/>
    <numFmt numFmtId="167" formatCode="#,##0.00,\€"/>
    <numFmt numFmtId="168" formatCode="#,##0.0"/>
    <numFmt numFmtId="169" formatCode="0.0%"/>
  </numFmts>
  <fonts count="91" x14ac:knownFonts="1">
    <font>
      <sz val="11"/>
      <color rgb="FF000000"/>
      <name val="Calibri"/>
      <family val="2"/>
      <charset val="238"/>
    </font>
    <font>
      <sz val="10"/>
      <color rgb="FFFF0000"/>
      <name val="Arial CE"/>
      <family val="2"/>
      <charset val="238"/>
    </font>
    <font>
      <sz val="10"/>
      <name val="Arial CE"/>
      <family val="2"/>
      <charset val="238"/>
    </font>
    <font>
      <sz val="10"/>
      <color rgb="FFFFFFFF"/>
      <name val="Arial CE"/>
      <family val="2"/>
      <charset val="238"/>
    </font>
    <font>
      <sz val="12"/>
      <color rgb="FFFFFFFF"/>
      <name val="Arial Narrow"/>
      <family val="2"/>
      <charset val="238"/>
    </font>
    <font>
      <sz val="10"/>
      <color rgb="FFFFFFFF"/>
      <name val="Arial"/>
      <family val="2"/>
      <charset val="238"/>
    </font>
    <font>
      <u/>
      <sz val="11.5"/>
      <color rgb="FF0000FF"/>
      <name val="Arial CE"/>
      <family val="2"/>
      <charset val="238"/>
    </font>
    <font>
      <b/>
      <sz val="9"/>
      <color rgb="FFFF0000"/>
      <name val="Tahoma"/>
      <family val="2"/>
      <charset val="238"/>
    </font>
    <font>
      <sz val="10"/>
      <name val="Arial Narrow"/>
      <family val="2"/>
      <charset val="238"/>
    </font>
    <font>
      <b/>
      <sz val="11"/>
      <color rgb="FFFF0000"/>
      <name val="Arial Narrow"/>
      <family val="2"/>
      <charset val="238"/>
    </font>
    <font>
      <sz val="9"/>
      <name val="Arial Narrow"/>
      <family val="2"/>
      <charset val="238"/>
    </font>
    <font>
      <b/>
      <sz val="16"/>
      <name val="Arial Black"/>
      <family val="2"/>
      <charset val="238"/>
    </font>
    <font>
      <b/>
      <sz val="10"/>
      <name val="Arial Narrow"/>
      <family val="2"/>
      <charset val="238"/>
    </font>
    <font>
      <i/>
      <sz val="10"/>
      <name val="Arial Narrow"/>
      <family val="2"/>
      <charset val="238"/>
    </font>
    <font>
      <b/>
      <sz val="8"/>
      <color rgb="FFFFFFFF"/>
      <name val="Arial CE"/>
      <family val="2"/>
      <charset val="238"/>
    </font>
    <font>
      <sz val="8"/>
      <name val="Arial CE"/>
      <family val="2"/>
      <charset val="238"/>
    </font>
    <font>
      <b/>
      <sz val="9"/>
      <color rgb="FFFFFFFF"/>
      <name val="Arial CE"/>
      <family val="2"/>
      <charset val="238"/>
    </font>
    <font>
      <sz val="14"/>
      <color rgb="FFFFFFFF"/>
      <name val="Arial CE"/>
      <family val="2"/>
      <charset val="238"/>
    </font>
    <font>
      <b/>
      <sz val="10"/>
      <color rgb="FFFFFFFF"/>
      <name val="Arial CE"/>
      <family val="2"/>
      <charset val="238"/>
    </font>
    <font>
      <b/>
      <sz val="7"/>
      <color rgb="FFFFFFFF"/>
      <name val="Arial CE"/>
      <family val="2"/>
      <charset val="238"/>
    </font>
    <font>
      <sz val="8"/>
      <color rgb="FF0000FF"/>
      <name val="Arial CE"/>
      <family val="2"/>
      <charset val="238"/>
    </font>
    <font>
      <sz val="8"/>
      <color rgb="FFFF0000"/>
      <name val="Arial CE"/>
      <family val="2"/>
      <charset val="238"/>
    </font>
    <font>
      <sz val="8"/>
      <name val="Arial"/>
      <family val="2"/>
      <charset val="238"/>
    </font>
    <font>
      <sz val="8"/>
      <name val="MS Sans Serif"/>
      <family val="2"/>
      <charset val="238"/>
    </font>
    <font>
      <sz val="8"/>
      <name val="Arial Narrow"/>
      <family val="2"/>
      <charset val="238"/>
    </font>
    <font>
      <b/>
      <sz val="11"/>
      <color rgb="FFFFFFFF"/>
      <name val="Tahoma"/>
      <family val="2"/>
      <charset val="238"/>
    </font>
    <font>
      <b/>
      <sz val="8"/>
      <color rgb="FFFFFFFF"/>
      <name val="Arial"/>
      <family val="2"/>
      <charset val="238"/>
    </font>
    <font>
      <sz val="8.5"/>
      <color rgb="FFFFFFFF"/>
      <name val="Arial"/>
      <family val="2"/>
      <charset val="238"/>
    </font>
    <font>
      <b/>
      <sz val="8.5"/>
      <color rgb="FFFFFFFF"/>
      <name val="Arial"/>
      <family val="2"/>
      <charset val="238"/>
    </font>
    <font>
      <b/>
      <sz val="10"/>
      <color rgb="FFFF0000"/>
      <name val="Arial CE"/>
      <family val="2"/>
      <charset val="238"/>
    </font>
    <font>
      <b/>
      <sz val="12"/>
      <color rgb="FF0000CC"/>
      <name val="Arial CE"/>
      <family val="2"/>
      <charset val="238"/>
    </font>
    <font>
      <b/>
      <sz val="10"/>
      <color rgb="FF006600"/>
      <name val="Arial CE"/>
      <family val="2"/>
      <charset val="238"/>
    </font>
    <font>
      <b/>
      <sz val="10"/>
      <color rgb="FF0000CC"/>
      <name val="Arial CE"/>
      <family val="2"/>
      <charset val="238"/>
    </font>
    <font>
      <b/>
      <sz val="10"/>
      <name val="Arial CE"/>
      <family val="2"/>
      <charset val="238"/>
    </font>
    <font>
      <sz val="9"/>
      <color rgb="FF000000"/>
      <name val="Tahoma"/>
      <family val="2"/>
      <charset val="238"/>
    </font>
    <font>
      <b/>
      <sz val="12"/>
      <color rgb="FF0000FF"/>
      <name val="Tahoma"/>
      <family val="2"/>
      <charset val="238"/>
    </font>
    <font>
      <b/>
      <sz val="8"/>
      <name val="Arial Narrow"/>
      <family val="2"/>
      <charset val="238"/>
    </font>
    <font>
      <sz val="8"/>
      <color rgb="FF0000CC"/>
      <name val="Arial Narrow"/>
      <family val="2"/>
      <charset val="238"/>
    </font>
    <font>
      <sz val="9"/>
      <color rgb="FFFFFFFF"/>
      <name val="Arial Narrow"/>
      <family val="2"/>
      <charset val="238"/>
    </font>
    <font>
      <b/>
      <sz val="9"/>
      <color rgb="FF0000CC"/>
      <name val="Arial Narrow"/>
      <family val="2"/>
      <charset val="238"/>
    </font>
    <font>
      <sz val="9"/>
      <color rgb="FF0000CC"/>
      <name val="Arial Narrow"/>
      <family val="2"/>
      <charset val="238"/>
    </font>
    <font>
      <b/>
      <sz val="8"/>
      <color rgb="FF0000CC"/>
      <name val="Arial Narrow"/>
      <family val="2"/>
      <charset val="238"/>
    </font>
    <font>
      <sz val="8"/>
      <color rgb="FFFFFFFF"/>
      <name val="Arial Narrow"/>
      <family val="2"/>
      <charset val="238"/>
    </font>
    <font>
      <b/>
      <sz val="9"/>
      <name val="Arial Narrow"/>
      <family val="2"/>
      <charset val="238"/>
    </font>
    <font>
      <sz val="8"/>
      <color rgb="FFFF0000"/>
      <name val="Arial Narrow"/>
      <family val="2"/>
      <charset val="238"/>
    </font>
    <font>
      <sz val="8"/>
      <color rgb="FF000000"/>
      <name val="Arial Narrow"/>
      <family val="2"/>
      <charset val="238"/>
    </font>
    <font>
      <b/>
      <sz val="7.5"/>
      <name val="Arial Narrow"/>
      <family val="2"/>
      <charset val="238"/>
    </font>
    <font>
      <sz val="7"/>
      <name val="Arial Narrow"/>
      <family val="2"/>
      <charset val="238"/>
    </font>
    <font>
      <b/>
      <sz val="7"/>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b/>
      <u/>
      <sz val="9"/>
      <color rgb="FF0000CC"/>
      <name val="Arial Narrow"/>
      <family val="2"/>
      <charset val="238"/>
    </font>
    <font>
      <i/>
      <sz val="9"/>
      <name val="Arial Narrow"/>
      <family val="2"/>
      <charset val="238"/>
    </font>
    <font>
      <b/>
      <i/>
      <sz val="9"/>
      <name val="Arial Narrow"/>
      <family val="2"/>
      <charset val="238"/>
    </font>
    <font>
      <b/>
      <sz val="8"/>
      <color rgb="FF0000CC"/>
      <name val="Arial CE"/>
      <family val="2"/>
      <charset val="238"/>
    </font>
    <font>
      <b/>
      <sz val="9"/>
      <color rgb="FF000000"/>
      <name val="Tahoma"/>
      <family val="2"/>
      <charset val="238"/>
    </font>
    <font>
      <b/>
      <sz val="9"/>
      <color rgb="FFFFFFFF"/>
      <name val="Arial Narrow"/>
      <family val="2"/>
      <charset val="238"/>
    </font>
    <font>
      <sz val="9"/>
      <color rgb="FF006100"/>
      <name val="Calibri"/>
      <family val="2"/>
      <charset val="238"/>
    </font>
    <font>
      <sz val="9"/>
      <name val="Calibri"/>
      <family val="2"/>
      <charset val="238"/>
    </font>
    <font>
      <b/>
      <sz val="8"/>
      <color rgb="FFFF0000"/>
      <name val="Arial Narrow"/>
      <family val="2"/>
      <charset val="238"/>
    </font>
    <font>
      <sz val="8"/>
      <name val="Calibri"/>
      <family val="2"/>
      <charset val="238"/>
    </font>
    <font>
      <b/>
      <sz val="11"/>
      <name val="Arial Narrow"/>
      <family val="2"/>
      <charset val="238"/>
    </font>
    <font>
      <b/>
      <sz val="10"/>
      <name val="Times New Roman"/>
      <family val="1"/>
      <charset val="238"/>
    </font>
    <font>
      <b/>
      <sz val="12"/>
      <name val="Times New Roman"/>
      <family val="1"/>
      <charset val="238"/>
    </font>
    <font>
      <sz val="11"/>
      <name val="Calibri"/>
      <family val="2"/>
      <charset val="238"/>
    </font>
    <font>
      <sz val="10"/>
      <name val="Times New Roman"/>
      <family val="1"/>
      <charset val="238"/>
    </font>
    <font>
      <b/>
      <sz val="11"/>
      <name val="Times New Roman"/>
      <family val="1"/>
      <charset val="238"/>
    </font>
    <font>
      <sz val="11"/>
      <name val="Times New Roman"/>
      <family val="1"/>
      <charset val="238"/>
    </font>
    <font>
      <sz val="8"/>
      <name val="Times New Roman"/>
      <family val="1"/>
      <charset val="238"/>
    </font>
    <font>
      <b/>
      <sz val="8"/>
      <name val="Times New Roman"/>
      <family val="1"/>
      <charset val="238"/>
    </font>
    <font>
      <sz val="9"/>
      <color rgb="FF000000"/>
      <name val="Segoe UI"/>
      <family val="2"/>
      <charset val="238"/>
    </font>
    <font>
      <b/>
      <sz val="8.5"/>
      <color rgb="FF0066CC"/>
      <name val="MS Sans Serif"/>
      <family val="2"/>
      <charset val="238"/>
    </font>
    <font>
      <sz val="8.5"/>
      <name val="MS Sans Serif"/>
      <family val="2"/>
      <charset val="238"/>
    </font>
    <font>
      <b/>
      <sz val="8"/>
      <color rgb="FFFF0000"/>
      <name val="Arial CE"/>
      <family val="2"/>
      <charset val="238"/>
    </font>
    <font>
      <b/>
      <sz val="8.5"/>
      <color rgb="FFFF0000"/>
      <name val="MS Sans Serif"/>
      <family val="2"/>
      <charset val="238"/>
    </font>
    <font>
      <sz val="8.5"/>
      <color rgb="FF0000FF"/>
      <name val="MS Sans Serif"/>
      <family val="2"/>
      <charset val="238"/>
    </font>
    <font>
      <b/>
      <sz val="8.5"/>
      <color rgb="FF0000FF"/>
      <name val="MS Sans Serif"/>
      <family val="2"/>
      <charset val="238"/>
    </font>
    <font>
      <sz val="8.5"/>
      <color rgb="FFFF0000"/>
      <name val="MS Sans Serif"/>
      <family val="2"/>
      <charset val="238"/>
    </font>
    <font>
      <sz val="10"/>
      <name val="MS Sans Serif"/>
      <family val="2"/>
      <charset val="238"/>
    </font>
    <font>
      <sz val="8.5"/>
      <color rgb="FF0000FF"/>
      <name val="MS Sans Serif"/>
      <family val="2"/>
      <charset val="1"/>
    </font>
    <font>
      <b/>
      <sz val="8.5"/>
      <name val="MS Sans Serif"/>
      <family val="2"/>
      <charset val="238"/>
    </font>
    <font>
      <sz val="8"/>
      <name val="Century Gothic"/>
      <family val="2"/>
      <charset val="238"/>
    </font>
    <font>
      <sz val="8"/>
      <name val="Century Gothic"/>
      <family val="2"/>
      <charset val="1"/>
    </font>
    <font>
      <sz val="9"/>
      <name val="Arial CE"/>
      <family val="2"/>
      <charset val="238"/>
    </font>
    <font>
      <sz val="5"/>
      <name val="Arial Narrow"/>
      <family val="2"/>
      <charset val="238"/>
    </font>
    <font>
      <sz val="6"/>
      <name val="Arial Narrow"/>
      <family val="2"/>
      <charset val="238"/>
    </font>
    <font>
      <sz val="5.5"/>
      <name val="Arial Narrow"/>
      <family val="2"/>
      <charset val="238"/>
    </font>
    <font>
      <b/>
      <sz val="6"/>
      <name val="Arial Narrow"/>
      <family val="2"/>
      <charset val="238"/>
    </font>
    <font>
      <b/>
      <sz val="5"/>
      <name val="Arial Narrow"/>
      <family val="2"/>
      <charset val="238"/>
    </font>
  </fonts>
  <fills count="29">
    <fill>
      <patternFill patternType="none"/>
    </fill>
    <fill>
      <patternFill patternType="gray125"/>
    </fill>
    <fill>
      <patternFill patternType="solid">
        <fgColor rgb="FFC6EFCE"/>
        <bgColor rgb="FFCCFFCC"/>
      </patternFill>
    </fill>
    <fill>
      <patternFill patternType="solid">
        <fgColor rgb="FF31A0B7"/>
        <bgColor rgb="FF00B0F0"/>
      </patternFill>
    </fill>
    <fill>
      <patternFill patternType="solid">
        <fgColor rgb="FF0000CC"/>
        <bgColor rgb="FF0000FF"/>
      </patternFill>
    </fill>
    <fill>
      <patternFill patternType="solid">
        <fgColor rgb="FFCCFFFF"/>
        <bgColor rgb="FFCCECFF"/>
      </patternFill>
    </fill>
    <fill>
      <patternFill patternType="solid">
        <fgColor rgb="FFFFFF00"/>
        <bgColor rgb="FFFFC000"/>
      </patternFill>
    </fill>
    <fill>
      <patternFill patternType="solid">
        <fgColor rgb="FFCCCCFF"/>
        <bgColor rgb="FFB4C7E7"/>
      </patternFill>
    </fill>
    <fill>
      <patternFill patternType="solid">
        <fgColor rgb="FFDDDDDD"/>
        <bgColor rgb="FFDBDBDB"/>
      </patternFill>
    </fill>
    <fill>
      <patternFill patternType="solid">
        <fgColor rgb="FFFFFFCC"/>
        <bgColor rgb="FFFFFFFF"/>
      </patternFill>
    </fill>
    <fill>
      <patternFill patternType="solid">
        <fgColor rgb="FFFFFFFF"/>
        <bgColor rgb="FFF2F2F2"/>
      </patternFill>
    </fill>
    <fill>
      <patternFill patternType="solid">
        <fgColor rgb="FFCCFFCC"/>
        <bgColor rgb="FFC6EFCE"/>
      </patternFill>
    </fill>
    <fill>
      <patternFill patternType="solid">
        <fgColor rgb="FFCCECFF"/>
        <bgColor rgb="FFCCFFFF"/>
      </patternFill>
    </fill>
    <fill>
      <patternFill patternType="solid">
        <fgColor rgb="FF99CCFF"/>
        <bgColor rgb="FFB4C7E7"/>
      </patternFill>
    </fill>
    <fill>
      <patternFill patternType="solid">
        <fgColor rgb="FFBFBFBF"/>
        <bgColor rgb="FFC0C0C0"/>
      </patternFill>
    </fill>
    <fill>
      <patternFill patternType="solid">
        <fgColor rgb="FFA6A6A6"/>
        <bgColor rgb="FFBFBFBF"/>
      </patternFill>
    </fill>
    <fill>
      <patternFill patternType="solid">
        <fgColor rgb="FFFF0000"/>
        <bgColor rgb="FF993300"/>
      </patternFill>
    </fill>
    <fill>
      <patternFill patternType="solid">
        <fgColor rgb="FFD9D9D9"/>
        <bgColor rgb="FFDBDBDB"/>
      </patternFill>
    </fill>
    <fill>
      <patternFill patternType="solid">
        <fgColor rgb="FFFFC000"/>
        <bgColor rgb="FFF4B183"/>
      </patternFill>
    </fill>
    <fill>
      <patternFill patternType="solid">
        <fgColor rgb="FF00B0F0"/>
        <bgColor rgb="FF31A0B7"/>
      </patternFill>
    </fill>
    <fill>
      <patternFill patternType="solid">
        <fgColor rgb="FF2F5597"/>
        <bgColor rgb="FF666699"/>
      </patternFill>
    </fill>
    <fill>
      <patternFill patternType="solid">
        <fgColor rgb="FF808080"/>
        <bgColor rgb="FF666699"/>
      </patternFill>
    </fill>
    <fill>
      <patternFill patternType="solid">
        <fgColor rgb="FF008080"/>
        <bgColor rgb="FF008080"/>
      </patternFill>
    </fill>
    <fill>
      <patternFill patternType="solid">
        <fgColor rgb="FFF2F2F2"/>
        <bgColor rgb="FFFFFFFF"/>
      </patternFill>
    </fill>
    <fill>
      <patternFill patternType="solid">
        <fgColor rgb="FFB4C7E7"/>
        <bgColor rgb="FFC9C9C9"/>
      </patternFill>
    </fill>
    <fill>
      <patternFill patternType="solid">
        <fgColor rgb="FFDBDBDB"/>
        <bgColor rgb="FFDDDDDD"/>
      </patternFill>
    </fill>
    <fill>
      <patternFill patternType="solid">
        <fgColor rgb="FFC9C9C9"/>
        <bgColor rgb="FFC0C0C0"/>
      </patternFill>
    </fill>
    <fill>
      <patternFill patternType="solid">
        <fgColor rgb="FFFFFF99"/>
        <bgColor rgb="FFFFFFCC"/>
      </patternFill>
    </fill>
    <fill>
      <patternFill patternType="solid">
        <fgColor rgb="FFC0C0C0"/>
        <bgColor rgb="FFBFBFBF"/>
      </patternFill>
    </fill>
  </fills>
  <borders count="70">
    <border>
      <left/>
      <right/>
      <top/>
      <bottom/>
      <diagonal/>
    </border>
    <border>
      <left style="medium">
        <color rgb="FFC9C9C9"/>
      </left>
      <right style="medium">
        <color rgb="FFC9C9C9"/>
      </right>
      <top style="medium">
        <color rgb="FFC9C9C9"/>
      </top>
      <bottom style="medium">
        <color rgb="FFC9C9C9"/>
      </bottom>
      <diagonal/>
    </border>
    <border>
      <left style="medium">
        <color rgb="FFC9C9C9"/>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top/>
      <bottom style="hair">
        <color rgb="FFBFBFBF"/>
      </bottom>
      <diagonal/>
    </border>
    <border>
      <left/>
      <right/>
      <top style="hair">
        <color rgb="FFBFBFBF"/>
      </top>
      <bottom style="hair">
        <color rgb="FFBFBFBF"/>
      </bottom>
      <diagonal/>
    </border>
    <border>
      <left/>
      <right/>
      <top style="hair">
        <color rgb="FFBFBFBF"/>
      </top>
      <bottom/>
      <diagonal/>
    </border>
    <border>
      <left style="thin">
        <color auto="1"/>
      </left>
      <right style="thin">
        <color auto="1"/>
      </right>
      <top/>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thin">
        <color auto="1"/>
      </bottom>
      <diagonal/>
    </border>
    <border>
      <left style="thin">
        <color rgb="FFF2F2F2"/>
      </left>
      <right/>
      <top style="thin">
        <color rgb="FFF2F2F2"/>
      </top>
      <bottom style="thin">
        <color rgb="FFF2F2F2"/>
      </bottom>
      <diagonal/>
    </border>
    <border>
      <left style="medium">
        <color auto="1"/>
      </left>
      <right/>
      <top style="thin">
        <color auto="1"/>
      </top>
      <bottom/>
      <diagonal/>
    </border>
    <border>
      <left/>
      <right/>
      <top style="thin">
        <color auto="1"/>
      </top>
      <bottom style="thin">
        <color rgb="FFF2F2F2"/>
      </bottom>
      <diagonal/>
    </border>
    <border>
      <left style="thin">
        <color rgb="FFF2F2F2"/>
      </left>
      <right/>
      <top/>
      <bottom style="thin">
        <color rgb="FFF2F2F2"/>
      </bottom>
      <diagonal/>
    </border>
    <border>
      <left/>
      <right/>
      <top/>
      <bottom style="thin">
        <color rgb="FFF2F2F2"/>
      </bottom>
      <diagonal/>
    </border>
    <border>
      <left/>
      <right style="thin">
        <color rgb="FFF2F2F2"/>
      </right>
      <top/>
      <bottom style="thin">
        <color rgb="FFF2F2F2"/>
      </bottom>
      <diagonal/>
    </border>
    <border>
      <left/>
      <right style="thin">
        <color rgb="FFF2F2F2"/>
      </right>
      <top/>
      <bottom/>
      <diagonal/>
    </border>
    <border>
      <left/>
      <right/>
      <top style="thin">
        <color rgb="FFF2F2F2"/>
      </top>
      <bottom/>
      <diagonal/>
    </border>
    <border>
      <left style="thin">
        <color rgb="FFF2F2F2"/>
      </left>
      <right/>
      <top/>
      <bottom/>
      <diagonal/>
    </border>
    <border>
      <left/>
      <right style="thin">
        <color rgb="FFF2F2F2"/>
      </right>
      <top style="thin">
        <color rgb="FFF2F2F2"/>
      </top>
      <bottom/>
      <diagonal/>
    </border>
    <border>
      <left style="thin">
        <color rgb="FFF2F2F2"/>
      </left>
      <right style="thin">
        <color rgb="FFF2F2F2"/>
      </right>
      <top style="thin">
        <color rgb="FFF2F2F2"/>
      </top>
      <bottom style="thin">
        <color rgb="FFF2F2F2"/>
      </bottom>
      <diagonal/>
    </border>
    <border>
      <left/>
      <right/>
      <top style="thin">
        <color rgb="FFF2F2F2"/>
      </top>
      <bottom style="thin">
        <color rgb="FFF2F2F2"/>
      </bottom>
      <diagonal/>
    </border>
    <border>
      <left/>
      <right style="thin">
        <color rgb="FFFFFFFF"/>
      </right>
      <top/>
      <bottom style="thin">
        <color rgb="FFFFFFFF"/>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ck">
        <color rgb="FF008080"/>
      </left>
      <right style="hair">
        <color rgb="FF008080"/>
      </right>
      <top style="thick">
        <color rgb="FF008080"/>
      </top>
      <bottom style="thick">
        <color rgb="FF008080"/>
      </bottom>
      <diagonal/>
    </border>
    <border>
      <left style="hair">
        <color rgb="FF008080"/>
      </left>
      <right style="hair">
        <color rgb="FF008080"/>
      </right>
      <top style="thick">
        <color rgb="FF008080"/>
      </top>
      <bottom style="thick">
        <color rgb="FF008080"/>
      </bottom>
      <diagonal/>
    </border>
    <border>
      <left style="thick">
        <color rgb="FF008080"/>
      </left>
      <right style="hair">
        <color rgb="FF008080"/>
      </right>
      <top style="thick">
        <color rgb="FF008080"/>
      </top>
      <bottom style="hair">
        <color rgb="FF008080"/>
      </bottom>
      <diagonal/>
    </border>
    <border>
      <left style="hair">
        <color rgb="FF008080"/>
      </left>
      <right style="hair">
        <color rgb="FF008080"/>
      </right>
      <top style="thick">
        <color rgb="FF008080"/>
      </top>
      <bottom style="hair">
        <color rgb="FF008080"/>
      </bottom>
      <diagonal/>
    </border>
    <border>
      <left style="thick">
        <color rgb="FF008080"/>
      </left>
      <right style="hair">
        <color rgb="FF008080"/>
      </right>
      <top style="hair">
        <color rgb="FF008080"/>
      </top>
      <bottom style="hair">
        <color rgb="FF008080"/>
      </bottom>
      <diagonal/>
    </border>
    <border>
      <left style="hair">
        <color rgb="FF008080"/>
      </left>
      <right style="hair">
        <color rgb="FF008080"/>
      </right>
      <top style="hair">
        <color rgb="FF008080"/>
      </top>
      <bottom style="hair">
        <color rgb="FF008080"/>
      </bottom>
      <diagonal/>
    </border>
    <border>
      <left style="hair">
        <color rgb="FF008080"/>
      </left>
      <right style="hair">
        <color rgb="FF008080"/>
      </right>
      <top style="hair">
        <color rgb="FF008080"/>
      </top>
      <bottom/>
      <diagonal/>
    </border>
    <border>
      <left style="hair">
        <color rgb="FF008080"/>
      </left>
      <right style="hair">
        <color rgb="FF008080"/>
      </right>
      <top style="hair">
        <color rgb="FF008080"/>
      </top>
      <bottom style="thick">
        <color rgb="FF008080"/>
      </bottom>
      <diagonal/>
    </border>
    <border>
      <left style="thick">
        <color rgb="FF008080"/>
      </left>
      <right style="hair">
        <color rgb="FF008080"/>
      </right>
      <top style="hair">
        <color rgb="FF008080"/>
      </top>
      <bottom style="thick">
        <color rgb="FF008080"/>
      </bottom>
      <diagonal/>
    </border>
    <border>
      <left style="thick">
        <color rgb="FF008080"/>
      </left>
      <right style="hair">
        <color rgb="FF008080"/>
      </right>
      <top style="hair">
        <color rgb="FF008080"/>
      </top>
      <bottom/>
      <diagonal/>
    </border>
    <border>
      <left/>
      <right/>
      <top style="medium">
        <color auto="1"/>
      </top>
      <bottom/>
      <diagonal/>
    </border>
    <border>
      <left style="thin">
        <color auto="1"/>
      </left>
      <right style="thin">
        <color auto="1"/>
      </right>
      <top style="medium">
        <color auto="1"/>
      </top>
      <bottom style="thin">
        <color auto="1"/>
      </bottom>
      <diagonal/>
    </border>
    <border>
      <left/>
      <right/>
      <top/>
      <bottom style="medium">
        <color auto="1"/>
      </bottom>
      <diagonal/>
    </border>
    <border>
      <left style="thin">
        <color auto="1"/>
      </left>
      <right/>
      <top style="medium">
        <color auto="1"/>
      </top>
      <bottom style="thin">
        <color auto="1"/>
      </bottom>
      <diagonal/>
    </border>
    <border>
      <left style="medium">
        <color auto="1"/>
      </left>
      <right/>
      <top/>
      <bottom style="medium">
        <color auto="1"/>
      </bottom>
      <diagonal/>
    </border>
    <border>
      <left style="medium">
        <color auto="1"/>
      </left>
      <right style="thin">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thick">
        <color auto="1"/>
      </left>
      <right/>
      <top/>
      <bottom/>
      <diagonal/>
    </border>
    <border>
      <left/>
      <right style="medium">
        <color auto="1"/>
      </right>
      <top style="thin">
        <color auto="1"/>
      </top>
      <bottom/>
      <diagonal/>
    </border>
    <border>
      <left style="thick">
        <color auto="1"/>
      </left>
      <right/>
      <top/>
      <bottom style="thick">
        <color auto="1"/>
      </bottom>
      <diagonal/>
    </border>
    <border>
      <left/>
      <right style="medium">
        <color auto="1"/>
      </right>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style="thick">
        <color auto="1"/>
      </bottom>
      <diagonal/>
    </border>
    <border>
      <left/>
      <right style="medium">
        <color auto="1"/>
      </right>
      <top/>
      <bottom/>
      <diagonal/>
    </border>
  </borders>
  <cellStyleXfs count="3">
    <xf numFmtId="0" fontId="0" fillId="0" borderId="0"/>
    <xf numFmtId="0" fontId="6" fillId="0" borderId="0" applyBorder="0" applyProtection="0"/>
    <xf numFmtId="0" fontId="59" fillId="2" borderId="0" applyBorder="0" applyProtection="0"/>
  </cellStyleXfs>
  <cellXfs count="1022">
    <xf numFmtId="0" fontId="0" fillId="0" borderId="0" xfId="0"/>
    <xf numFmtId="14" fontId="8" fillId="0" borderId="7" xfId="0" applyNumberFormat="1" applyFont="1" applyBorder="1" applyAlignment="1" applyProtection="1">
      <alignment horizontal="center" vertical="center"/>
      <protection locked="0" hidden="1"/>
    </xf>
    <xf numFmtId="0" fontId="8" fillId="0" borderId="3" xfId="0" applyFont="1" applyBorder="1" applyAlignment="1" applyProtection="1">
      <alignment horizontal="left" vertical="top" wrapText="1"/>
      <protection locked="0" hidden="1"/>
    </xf>
    <xf numFmtId="0" fontId="8" fillId="0" borderId="6" xfId="0" applyFont="1" applyBorder="1" applyAlignment="1" applyProtection="1">
      <alignment horizontal="left" vertical="top" wrapText="1"/>
      <protection locked="0" hidden="1"/>
    </xf>
    <xf numFmtId="0" fontId="12" fillId="0" borderId="0" xfId="0" applyFont="1" applyBorder="1" applyAlignment="1" applyProtection="1">
      <alignment horizontal="center" vertical="center" wrapText="1"/>
      <protection locked="0" hidden="1"/>
    </xf>
    <xf numFmtId="166" fontId="12" fillId="0" borderId="0" xfId="0" applyNumberFormat="1" applyFont="1" applyBorder="1" applyAlignment="1" applyProtection="1">
      <alignment horizontal="center" vertical="center"/>
      <protection locked="0" hidden="1"/>
    </xf>
    <xf numFmtId="165" fontId="12" fillId="0" borderId="0" xfId="0" applyNumberFormat="1" applyFont="1" applyBorder="1" applyAlignment="1" applyProtection="1">
      <alignment horizontal="center"/>
      <protection locked="0" hidden="1"/>
    </xf>
    <xf numFmtId="164" fontId="12" fillId="0" borderId="0" xfId="0" applyNumberFormat="1" applyFont="1" applyBorder="1" applyAlignment="1" applyProtection="1">
      <alignment horizontal="center" wrapText="1"/>
      <protection locked="0" hidden="1"/>
    </xf>
    <xf numFmtId="0" fontId="12" fillId="0" borderId="0" xfId="0" applyFont="1" applyBorder="1" applyAlignment="1" applyProtection="1">
      <alignment horizontal="center"/>
      <protection locked="0" hidden="1"/>
    </xf>
    <xf numFmtId="0" fontId="8" fillId="0" borderId="0" xfId="0" applyFont="1" applyBorder="1" applyAlignment="1" applyProtection="1">
      <alignment horizontal="center"/>
      <protection locked="0" hidden="1"/>
    </xf>
    <xf numFmtId="0" fontId="11" fillId="0" borderId="0" xfId="0" applyFont="1" applyBorder="1" applyAlignment="1" applyProtection="1">
      <alignment horizontal="center"/>
      <protection locked="0" hidden="1"/>
    </xf>
    <xf numFmtId="0" fontId="8" fillId="0" borderId="3" xfId="0" applyFont="1" applyBorder="1" applyAlignment="1" applyProtection="1">
      <alignment horizontal="center"/>
      <protection locked="0" hidden="1"/>
    </xf>
    <xf numFmtId="0" fontId="9" fillId="0" borderId="0" xfId="0" applyFont="1" applyBorder="1" applyAlignment="1" applyProtection="1">
      <alignment horizontal="center"/>
      <protection locked="0" hidden="1"/>
    </xf>
    <xf numFmtId="0" fontId="0" fillId="0" borderId="2" xfId="0" applyBorder="1" applyAlignment="1" applyProtection="1">
      <alignment horizontal="left"/>
      <protection locked="0" hidden="1"/>
    </xf>
    <xf numFmtId="0" fontId="1" fillId="0" borderId="0" xfId="0" applyFont="1" applyAlignment="1" applyProtection="1">
      <alignment horizontal="center"/>
      <protection locked="0" hidden="1"/>
    </xf>
    <xf numFmtId="0" fontId="0" fillId="0" borderId="0" xfId="0" applyProtection="1">
      <protection locked="0" hidden="1"/>
    </xf>
    <xf numFmtId="0" fontId="2" fillId="0" borderId="0" xfId="0" applyFont="1" applyProtection="1">
      <protection locked="0" hidden="1"/>
    </xf>
    <xf numFmtId="0" fontId="3" fillId="3" borderId="0" xfId="0" applyFont="1" applyFill="1" applyProtection="1">
      <protection locked="0" hidden="1"/>
    </xf>
    <xf numFmtId="49" fontId="4" fillId="3" borderId="1" xfId="0" applyNumberFormat="1" applyFont="1" applyFill="1" applyBorder="1" applyAlignment="1" applyProtection="1">
      <alignment horizontal="left"/>
      <protection locked="0" hidden="1"/>
    </xf>
    <xf numFmtId="49" fontId="4" fillId="3" borderId="1" xfId="0" applyNumberFormat="1" applyFont="1" applyFill="1" applyBorder="1" applyAlignment="1" applyProtection="1">
      <alignment horizontal="left" wrapText="1"/>
      <protection hidden="1"/>
    </xf>
    <xf numFmtId="0" fontId="2" fillId="0" borderId="0" xfId="0" applyFont="1" applyAlignment="1" applyProtection="1">
      <alignment wrapText="1"/>
      <protection locked="0" hidden="1"/>
    </xf>
    <xf numFmtId="0" fontId="5" fillId="3" borderId="0" xfId="0" applyFont="1" applyFill="1" applyAlignment="1">
      <alignment vertical="center"/>
    </xf>
    <xf numFmtId="0" fontId="2" fillId="0" borderId="0" xfId="0" applyFont="1" applyAlignment="1" applyProtection="1">
      <alignment horizontal="left" wrapText="1"/>
      <protection locked="0" hidden="1"/>
    </xf>
    <xf numFmtId="49" fontId="6" fillId="3" borderId="1" xfId="1" applyNumberFormat="1" applyFont="1" applyFill="1" applyBorder="1" applyAlignment="1" applyProtection="1">
      <alignment horizontal="left"/>
      <protection locked="0" hidden="1"/>
    </xf>
    <xf numFmtId="14" fontId="4" fillId="3" borderId="1" xfId="0" applyNumberFormat="1" applyFont="1" applyFill="1" applyBorder="1" applyAlignment="1" applyProtection="1">
      <alignment horizontal="left"/>
      <protection locked="0" hidden="1"/>
    </xf>
    <xf numFmtId="0" fontId="4" fillId="3" borderId="1" xfId="0" applyFont="1" applyFill="1" applyBorder="1" applyAlignment="1" applyProtection="1">
      <alignment horizontal="left" vertical="center"/>
      <protection locked="0" hidden="1"/>
    </xf>
    <xf numFmtId="0" fontId="8" fillId="0" borderId="0" xfId="0" applyFont="1" applyProtection="1">
      <protection locked="0" hidden="1"/>
    </xf>
    <xf numFmtId="0" fontId="8" fillId="0" borderId="0" xfId="0" applyFont="1" applyAlignment="1" applyProtection="1">
      <alignment horizontal="right"/>
      <protection locked="0" hidden="1"/>
    </xf>
    <xf numFmtId="0" fontId="8" fillId="0" borderId="0" xfId="0" applyFont="1" applyBorder="1" applyProtection="1">
      <protection locked="0" hidden="1"/>
    </xf>
    <xf numFmtId="0" fontId="10" fillId="0" borderId="0" xfId="0" applyFont="1" applyProtection="1">
      <protection locked="0" hidden="1"/>
    </xf>
    <xf numFmtId="0" fontId="8" fillId="0" borderId="0" xfId="0" applyFont="1" applyBorder="1" applyAlignment="1" applyProtection="1">
      <alignment horizontal="center"/>
      <protection locked="0" hidden="1"/>
    </xf>
    <xf numFmtId="0" fontId="8" fillId="0" borderId="3" xfId="0" applyFont="1" applyBorder="1" applyAlignment="1" applyProtection="1">
      <alignment horizontal="center"/>
      <protection locked="0" hidden="1"/>
    </xf>
    <xf numFmtId="0" fontId="8" fillId="0" borderId="0" xfId="0" applyFont="1" applyAlignment="1" applyProtection="1">
      <protection locked="0" hidden="1"/>
    </xf>
    <xf numFmtId="0" fontId="12" fillId="0" borderId="0" xfId="0" applyFont="1" applyProtection="1">
      <protection locked="0" hidden="1"/>
    </xf>
    <xf numFmtId="0" fontId="12" fillId="0" borderId="0" xfId="0" applyFont="1" applyAlignment="1" applyProtection="1">
      <alignment horizontal="center" wrapText="1"/>
      <protection locked="0" hidden="1"/>
    </xf>
    <xf numFmtId="0" fontId="12" fillId="0" borderId="0" xfId="0" applyFont="1" applyAlignment="1" applyProtection="1">
      <alignment wrapText="1"/>
      <protection locked="0" hidden="1"/>
    </xf>
    <xf numFmtId="0" fontId="12" fillId="0" borderId="0" xfId="0" applyFont="1" applyAlignment="1" applyProtection="1">
      <alignment vertical="center"/>
      <protection locked="0" hidden="1"/>
    </xf>
    <xf numFmtId="0" fontId="8" fillId="0" borderId="3" xfId="0" applyFont="1" applyBorder="1" applyAlignment="1" applyProtection="1">
      <alignment horizontal="center" vertical="center"/>
      <protection locked="0" hidden="1"/>
    </xf>
    <xf numFmtId="0" fontId="12" fillId="0" borderId="0" xfId="0" applyFont="1" applyAlignment="1" applyProtection="1">
      <protection locked="0" hidden="1"/>
    </xf>
    <xf numFmtId="0" fontId="8" fillId="0" borderId="0" xfId="0" applyFont="1" applyProtection="1">
      <protection hidden="1"/>
    </xf>
    <xf numFmtId="0" fontId="8" fillId="0" borderId="3" xfId="0" applyFont="1" applyBorder="1" applyAlignment="1" applyProtection="1">
      <alignment horizontal="center" vertical="center"/>
      <protection hidden="1"/>
    </xf>
    <xf numFmtId="0" fontId="8" fillId="0" borderId="0" xfId="0" applyFont="1" applyBorder="1" applyProtection="1">
      <protection hidden="1"/>
    </xf>
    <xf numFmtId="0" fontId="8" fillId="0" borderId="0" xfId="0" applyFont="1" applyBorder="1" applyAlignment="1" applyProtection="1">
      <alignment horizontal="center" vertical="center"/>
      <protection hidden="1"/>
    </xf>
    <xf numFmtId="0" fontId="13" fillId="0" borderId="0" xfId="0" applyFont="1" applyProtection="1">
      <protection locked="0" hidden="1"/>
    </xf>
    <xf numFmtId="0" fontId="8" fillId="0" borderId="0" xfId="0" applyFont="1" applyBorder="1" applyAlignment="1" applyProtection="1">
      <alignment horizontal="center" vertical="center"/>
      <protection locked="0" hidden="1"/>
    </xf>
    <xf numFmtId="0" fontId="8" fillId="0" borderId="0" xfId="0" applyFont="1" applyAlignment="1" applyProtection="1">
      <alignment horizontal="center" vertical="center"/>
      <protection locked="0" hidden="1"/>
    </xf>
    <xf numFmtId="0" fontId="8" fillId="0" borderId="0" xfId="0" applyFont="1" applyBorder="1" applyAlignment="1" applyProtection="1">
      <alignment horizontal="left" vertical="center"/>
      <protection locked="0" hidden="1"/>
    </xf>
    <xf numFmtId="0" fontId="8" fillId="0" borderId="4" xfId="0" applyFont="1" applyBorder="1" applyAlignment="1" applyProtection="1">
      <protection locked="0" hidden="1"/>
    </xf>
    <xf numFmtId="0" fontId="8" fillId="0" borderId="5" xfId="0" applyFont="1" applyBorder="1" applyAlignment="1" applyProtection="1">
      <protection locked="0" hidden="1"/>
    </xf>
    <xf numFmtId="0" fontId="8" fillId="0" borderId="3" xfId="0" applyFont="1" applyBorder="1" applyAlignment="1" applyProtection="1">
      <alignment vertical="center"/>
      <protection locked="0" hidden="1"/>
    </xf>
    <xf numFmtId="49" fontId="14" fillId="3" borderId="0" xfId="0" applyNumberFormat="1" applyFont="1" applyFill="1" applyProtection="1">
      <protection hidden="1"/>
    </xf>
    <xf numFmtId="1" fontId="14" fillId="3" borderId="0" xfId="0" applyNumberFormat="1" applyFont="1" applyFill="1" applyProtection="1">
      <protection hidden="1"/>
    </xf>
    <xf numFmtId="4" fontId="14" fillId="3" borderId="3" xfId="0" applyNumberFormat="1" applyFont="1" applyFill="1" applyBorder="1" applyAlignment="1" applyProtection="1">
      <alignment horizontal="center"/>
      <protection hidden="1"/>
    </xf>
    <xf numFmtId="4" fontId="14" fillId="3" borderId="3" xfId="0" applyNumberFormat="1" applyFont="1" applyFill="1" applyBorder="1" applyProtection="1">
      <protection hidden="1"/>
    </xf>
    <xf numFmtId="0" fontId="15" fillId="0" borderId="0" xfId="0" applyFont="1" applyProtection="1">
      <protection hidden="1"/>
    </xf>
    <xf numFmtId="0" fontId="0" fillId="0" borderId="0" xfId="0" applyProtection="1">
      <protection hidden="1"/>
    </xf>
    <xf numFmtId="4" fontId="16" fillId="3" borderId="3" xfId="0" applyNumberFormat="1" applyFont="1" applyFill="1" applyBorder="1" applyProtection="1">
      <protection hidden="1"/>
    </xf>
    <xf numFmtId="0" fontId="1" fillId="0" borderId="0" xfId="0" applyFont="1" applyAlignment="1" applyProtection="1">
      <alignment horizontal="center"/>
      <protection hidden="1"/>
    </xf>
    <xf numFmtId="49" fontId="15" fillId="0" borderId="0" xfId="0" applyNumberFormat="1" applyFont="1" applyProtection="1">
      <protection hidden="1"/>
    </xf>
    <xf numFmtId="0" fontId="1" fillId="0" borderId="0" xfId="0" applyFont="1" applyProtection="1">
      <protection hidden="1"/>
    </xf>
    <xf numFmtId="4" fontId="14" fillId="3" borderId="9" xfId="0" applyNumberFormat="1" applyFont="1" applyFill="1" applyBorder="1" applyProtection="1">
      <protection hidden="1"/>
    </xf>
    <xf numFmtId="4" fontId="14" fillId="3" borderId="0" xfId="0" applyNumberFormat="1" applyFont="1" applyFill="1" applyAlignment="1" applyProtection="1">
      <protection hidden="1"/>
    </xf>
    <xf numFmtId="4" fontId="14" fillId="3" borderId="0" xfId="0" applyNumberFormat="1" applyFont="1" applyFill="1" applyAlignment="1" applyProtection="1">
      <alignment horizontal="center"/>
      <protection hidden="1"/>
    </xf>
    <xf numFmtId="4" fontId="14" fillId="3" borderId="10" xfId="0" applyNumberFormat="1" applyFont="1" applyFill="1" applyBorder="1" applyAlignment="1" applyProtection="1">
      <alignment horizontal="center"/>
      <protection hidden="1"/>
    </xf>
    <xf numFmtId="4" fontId="14" fillId="3" borderId="11" xfId="0" applyNumberFormat="1" applyFont="1" applyFill="1" applyBorder="1" applyAlignment="1" applyProtection="1">
      <alignment horizontal="center"/>
      <protection hidden="1"/>
    </xf>
    <xf numFmtId="4" fontId="14" fillId="3" borderId="12" xfId="0" applyNumberFormat="1" applyFont="1" applyFill="1" applyBorder="1" applyAlignment="1" applyProtection="1">
      <alignment horizontal="center"/>
      <protection hidden="1"/>
    </xf>
    <xf numFmtId="49" fontId="15" fillId="0" borderId="3" xfId="0" applyNumberFormat="1" applyFont="1" applyBorder="1" applyAlignment="1" applyProtection="1">
      <protection locked="0" hidden="1"/>
    </xf>
    <xf numFmtId="1" fontId="14" fillId="3" borderId="3" xfId="0" applyNumberFormat="1" applyFont="1" applyFill="1" applyBorder="1" applyAlignment="1" applyProtection="1">
      <protection hidden="1"/>
    </xf>
    <xf numFmtId="1" fontId="15" fillId="5" borderId="3" xfId="0" applyNumberFormat="1" applyFont="1" applyFill="1" applyBorder="1" applyAlignment="1" applyProtection="1">
      <protection hidden="1"/>
    </xf>
    <xf numFmtId="2" fontId="0" fillId="0" borderId="0" xfId="0" applyNumberFormat="1"/>
    <xf numFmtId="4" fontId="14" fillId="3" borderId="3" xfId="0" applyNumberFormat="1" applyFont="1" applyFill="1" applyBorder="1" applyAlignment="1" applyProtection="1">
      <protection hidden="1"/>
    </xf>
    <xf numFmtId="0" fontId="20" fillId="0" borderId="0" xfId="0" applyFont="1" applyAlignment="1" applyProtection="1">
      <protection hidden="1"/>
    </xf>
    <xf numFmtId="0" fontId="15" fillId="0" borderId="0" xfId="0" applyFont="1" applyAlignment="1" applyProtection="1">
      <protection hidden="1"/>
    </xf>
    <xf numFmtId="0" fontId="21" fillId="0" borderId="0" xfId="0" applyFont="1" applyAlignment="1" applyProtection="1">
      <protection hidden="1"/>
    </xf>
    <xf numFmtId="49" fontId="15" fillId="0" borderId="0" xfId="0" applyNumberFormat="1" applyFont="1" applyAlignment="1" applyProtection="1">
      <protection hidden="1"/>
    </xf>
    <xf numFmtId="0" fontId="15" fillId="0" borderId="0" xfId="0" applyFont="1" applyAlignment="1" applyProtection="1">
      <alignment horizontal="center"/>
      <protection hidden="1"/>
    </xf>
    <xf numFmtId="49" fontId="15" fillId="0" borderId="3" xfId="0" applyNumberFormat="1" applyFont="1" applyBorder="1" applyProtection="1">
      <protection locked="0" hidden="1"/>
    </xf>
    <xf numFmtId="4" fontId="15" fillId="0" borderId="3" xfId="0" applyNumberFormat="1" applyFont="1" applyBorder="1" applyAlignment="1" applyProtection="1">
      <protection locked="0" hidden="1"/>
    </xf>
    <xf numFmtId="4" fontId="22" fillId="0" borderId="3" xfId="0" applyNumberFormat="1" applyFont="1" applyBorder="1" applyAlignment="1" applyProtection="1">
      <protection locked="0" hidden="1"/>
    </xf>
    <xf numFmtId="49" fontId="23" fillId="0" borderId="3" xfId="0" applyNumberFormat="1" applyFont="1" applyBorder="1" applyAlignment="1" applyProtection="1">
      <protection locked="0" hidden="1"/>
    </xf>
    <xf numFmtId="49" fontId="23" fillId="0" borderId="3" xfId="0" applyNumberFormat="1" applyFont="1" applyBorder="1" applyProtection="1">
      <protection locked="0" hidden="1"/>
    </xf>
    <xf numFmtId="1" fontId="15" fillId="5" borderId="3" xfId="0" applyNumberFormat="1" applyFont="1" applyFill="1" applyBorder="1" applyAlignment="1" applyProtection="1">
      <alignment wrapText="1"/>
      <protection hidden="1"/>
    </xf>
    <xf numFmtId="4" fontId="15" fillId="0" borderId="3" xfId="0" applyNumberFormat="1" applyFont="1" applyBorder="1" applyProtection="1">
      <protection locked="0" hidden="1"/>
    </xf>
    <xf numFmtId="4" fontId="15" fillId="0" borderId="0" xfId="0" applyNumberFormat="1" applyFont="1" applyProtection="1">
      <protection hidden="1"/>
    </xf>
    <xf numFmtId="49" fontId="15" fillId="0" borderId="0" xfId="0" applyNumberFormat="1" applyFont="1" applyAlignment="1" applyProtection="1">
      <alignment vertical="center" wrapText="1"/>
      <protection hidden="1"/>
    </xf>
    <xf numFmtId="0" fontId="24" fillId="0" borderId="0" xfId="0" applyFont="1" applyBorder="1" applyProtection="1">
      <protection hidden="1"/>
    </xf>
    <xf numFmtId="4" fontId="14" fillId="3" borderId="13" xfId="0" applyNumberFormat="1" applyFont="1" applyFill="1" applyBorder="1" applyAlignment="1" applyProtection="1">
      <protection hidden="1"/>
    </xf>
    <xf numFmtId="4" fontId="14" fillId="3" borderId="14" xfId="0" applyNumberFormat="1" applyFont="1" applyFill="1" applyBorder="1" applyAlignment="1" applyProtection="1">
      <protection hidden="1"/>
    </xf>
    <xf numFmtId="4" fontId="14" fillId="3" borderId="6" xfId="0" applyNumberFormat="1" applyFont="1" applyFill="1" applyBorder="1" applyAlignment="1" applyProtection="1">
      <protection hidden="1"/>
    </xf>
    <xf numFmtId="49" fontId="0" fillId="0" borderId="0" xfId="0" applyNumberFormat="1" applyProtection="1">
      <protection hidden="1"/>
    </xf>
    <xf numFmtId="0" fontId="15" fillId="0" borderId="0" xfId="0" applyFont="1" applyBorder="1" applyAlignment="1" applyProtection="1">
      <alignment horizontal="center"/>
      <protection hidden="1"/>
    </xf>
    <xf numFmtId="1" fontId="18" fillId="3" borderId="0" xfId="0" applyNumberFormat="1" applyFont="1" applyFill="1" applyAlignment="1" applyProtection="1">
      <alignment horizontal="left" vertical="top" wrapText="1"/>
      <protection hidden="1"/>
    </xf>
    <xf numFmtId="4" fontId="15" fillId="0" borderId="3" xfId="0" applyNumberFormat="1" applyFont="1" applyBorder="1" applyAlignment="1" applyProtection="1">
      <alignment wrapText="1"/>
      <protection hidden="1"/>
    </xf>
    <xf numFmtId="4" fontId="26" fillId="3" borderId="3" xfId="0" applyNumberFormat="1" applyFont="1" applyFill="1" applyBorder="1" applyProtection="1">
      <protection hidden="1"/>
    </xf>
    <xf numFmtId="4" fontId="20" fillId="0" borderId="0" xfId="0" applyNumberFormat="1" applyFont="1" applyProtection="1">
      <protection hidden="1"/>
    </xf>
    <xf numFmtId="4" fontId="21" fillId="0" borderId="0" xfId="0" applyNumberFormat="1" applyFont="1" applyProtection="1">
      <protection hidden="1"/>
    </xf>
    <xf numFmtId="4" fontId="22" fillId="0" borderId="3" xfId="0" applyNumberFormat="1" applyFont="1" applyBorder="1" applyProtection="1">
      <protection locked="0" hidden="1"/>
    </xf>
    <xf numFmtId="49" fontId="15" fillId="0" borderId="3" xfId="0" applyNumberFormat="1" applyFont="1" applyBorder="1" applyAlignment="1" applyProtection="1">
      <protection hidden="1"/>
    </xf>
    <xf numFmtId="4" fontId="15" fillId="0" borderId="3" xfId="0" applyNumberFormat="1" applyFont="1" applyBorder="1" applyAlignment="1" applyProtection="1">
      <protection hidden="1"/>
    </xf>
    <xf numFmtId="49" fontId="23" fillId="0" borderId="9" xfId="0" applyNumberFormat="1" applyFont="1" applyBorder="1" applyProtection="1">
      <protection locked="0" hidden="1"/>
    </xf>
    <xf numFmtId="4" fontId="15" fillId="0" borderId="9" xfId="0" applyNumberFormat="1" applyFont="1" applyBorder="1" applyAlignment="1" applyProtection="1">
      <protection hidden="1"/>
    </xf>
    <xf numFmtId="4" fontId="15" fillId="0" borderId="9" xfId="0" applyNumberFormat="1" applyFont="1" applyBorder="1" applyAlignment="1" applyProtection="1">
      <protection locked="0" hidden="1"/>
    </xf>
    <xf numFmtId="4" fontId="15" fillId="0" borderId="9" xfId="0" applyNumberFormat="1" applyFont="1" applyBorder="1" applyProtection="1">
      <protection locked="0" hidden="1"/>
    </xf>
    <xf numFmtId="4" fontId="26" fillId="3" borderId="9" xfId="0" applyNumberFormat="1" applyFont="1" applyFill="1" applyBorder="1" applyProtection="1">
      <protection hidden="1"/>
    </xf>
    <xf numFmtId="49" fontId="15" fillId="0" borderId="0" xfId="0" applyNumberFormat="1" applyFont="1" applyBorder="1" applyProtection="1">
      <protection hidden="1"/>
    </xf>
    <xf numFmtId="0" fontId="15" fillId="0" borderId="0" xfId="0" applyFont="1" applyBorder="1" applyProtection="1">
      <protection hidden="1"/>
    </xf>
    <xf numFmtId="4" fontId="15" fillId="0" borderId="0" xfId="0" applyNumberFormat="1" applyFont="1" applyBorder="1" applyAlignment="1" applyProtection="1">
      <protection locked="0" hidden="1"/>
    </xf>
    <xf numFmtId="4" fontId="15" fillId="0" borderId="0" xfId="0" applyNumberFormat="1" applyFont="1" applyBorder="1" applyProtection="1">
      <protection hidden="1"/>
    </xf>
    <xf numFmtId="0" fontId="15" fillId="0" borderId="0" xfId="0" applyFont="1" applyBorder="1" applyAlignment="1" applyProtection="1">
      <alignment vertical="top" wrapText="1"/>
      <protection hidden="1"/>
    </xf>
    <xf numFmtId="49" fontId="27" fillId="0" borderId="0" xfId="0" applyNumberFormat="1" applyFont="1" applyProtection="1">
      <protection hidden="1"/>
    </xf>
    <xf numFmtId="0" fontId="27" fillId="0" borderId="0" xfId="0" applyFont="1" applyProtection="1">
      <protection hidden="1"/>
    </xf>
    <xf numFmtId="0" fontId="28" fillId="0" borderId="0" xfId="0" applyFont="1" applyProtection="1">
      <protection hidden="1"/>
    </xf>
    <xf numFmtId="0" fontId="5" fillId="0" borderId="0" xfId="0" applyFont="1" applyBorder="1"/>
    <xf numFmtId="0" fontId="5" fillId="0" borderId="0" xfId="0" applyFont="1"/>
    <xf numFmtId="0" fontId="27" fillId="6" borderId="0" xfId="0" applyFont="1" applyFill="1" applyProtection="1">
      <protection hidden="1"/>
    </xf>
    <xf numFmtId="49" fontId="29" fillId="0" borderId="0" xfId="0" applyNumberFormat="1" applyFont="1" applyAlignment="1" applyProtection="1">
      <alignment horizontal="center"/>
      <protection hidden="1"/>
    </xf>
    <xf numFmtId="49" fontId="18" fillId="0" borderId="0" xfId="0" applyNumberFormat="1" applyFont="1" applyAlignment="1" applyProtection="1">
      <alignment horizontal="center"/>
      <protection hidden="1"/>
    </xf>
    <xf numFmtId="0" fontId="30" fillId="7" borderId="0" xfId="0" applyFont="1" applyFill="1" applyProtection="1">
      <protection hidden="1"/>
    </xf>
    <xf numFmtId="49" fontId="31" fillId="8" borderId="0" xfId="0" applyNumberFormat="1" applyFont="1" applyFill="1" applyProtection="1">
      <protection hidden="1"/>
    </xf>
    <xf numFmtId="0" fontId="31" fillId="8" borderId="0" xfId="0" applyFont="1" applyFill="1" applyAlignment="1" applyProtection="1">
      <alignment horizontal="right"/>
      <protection hidden="1"/>
    </xf>
    <xf numFmtId="2" fontId="32" fillId="8" borderId="0" xfId="0" applyNumberFormat="1" applyFont="1" applyFill="1" applyProtection="1">
      <protection hidden="1"/>
    </xf>
    <xf numFmtId="49" fontId="31" fillId="0" borderId="4" xfId="0" applyNumberFormat="1" applyFont="1" applyBorder="1" applyProtection="1">
      <protection hidden="1"/>
    </xf>
    <xf numFmtId="0" fontId="31" fillId="0" borderId="5" xfId="0" applyFont="1" applyBorder="1" applyAlignment="1" applyProtection="1">
      <alignment horizontal="right"/>
      <protection hidden="1"/>
    </xf>
    <xf numFmtId="2" fontId="0" fillId="5" borderId="5" xfId="0" applyNumberFormat="1" applyFill="1" applyBorder="1" applyProtection="1">
      <protection hidden="1"/>
    </xf>
    <xf numFmtId="2" fontId="0" fillId="5" borderId="15" xfId="0" applyNumberFormat="1" applyFill="1" applyBorder="1" applyProtection="1">
      <protection hidden="1"/>
    </xf>
    <xf numFmtId="2" fontId="0" fillId="5" borderId="0" xfId="0" applyNumberFormat="1" applyFill="1" applyBorder="1" applyProtection="1">
      <protection hidden="1"/>
    </xf>
    <xf numFmtId="49" fontId="31" fillId="9" borderId="4" xfId="0" applyNumberFormat="1" applyFont="1" applyFill="1" applyBorder="1" applyProtection="1">
      <protection hidden="1"/>
    </xf>
    <xf numFmtId="0" fontId="31" fillId="9" borderId="5" xfId="0" applyFont="1" applyFill="1" applyBorder="1" applyAlignment="1" applyProtection="1">
      <alignment horizontal="right"/>
      <protection hidden="1"/>
    </xf>
    <xf numFmtId="2" fontId="33" fillId="9" borderId="5" xfId="0" applyNumberFormat="1" applyFont="1" applyFill="1" applyBorder="1" applyProtection="1">
      <protection hidden="1"/>
    </xf>
    <xf numFmtId="2" fontId="33" fillId="9" borderId="15" xfId="0" applyNumberFormat="1" applyFont="1" applyFill="1" applyBorder="1" applyProtection="1">
      <protection hidden="1"/>
    </xf>
    <xf numFmtId="49" fontId="31" fillId="9" borderId="10" xfId="0" applyNumberFormat="1" applyFont="1" applyFill="1" applyBorder="1" applyProtection="1">
      <protection hidden="1"/>
    </xf>
    <xf numFmtId="0" fontId="31" fillId="9" borderId="11" xfId="0" applyFont="1" applyFill="1" applyBorder="1" applyAlignment="1" applyProtection="1">
      <alignment horizontal="right"/>
      <protection hidden="1"/>
    </xf>
    <xf numFmtId="2" fontId="33" fillId="9" borderId="11" xfId="0" applyNumberFormat="1" applyFont="1" applyFill="1" applyBorder="1" applyProtection="1">
      <protection hidden="1"/>
    </xf>
    <xf numFmtId="2" fontId="33" fillId="9" borderId="12" xfId="0" applyNumberFormat="1" applyFont="1" applyFill="1" applyBorder="1" applyProtection="1">
      <protection hidden="1"/>
    </xf>
    <xf numFmtId="49" fontId="31" fillId="0" borderId="10" xfId="0" applyNumberFormat="1" applyFont="1" applyBorder="1" applyProtection="1">
      <protection hidden="1"/>
    </xf>
    <xf numFmtId="0" fontId="31" fillId="0" borderId="11" xfId="0" applyFont="1" applyBorder="1" applyAlignment="1" applyProtection="1">
      <alignment horizontal="right"/>
      <protection hidden="1"/>
    </xf>
    <xf numFmtId="2" fontId="0" fillId="5" borderId="11" xfId="0" applyNumberFormat="1" applyFill="1" applyBorder="1" applyProtection="1">
      <protection hidden="1"/>
    </xf>
    <xf numFmtId="2" fontId="0" fillId="5" borderId="12" xfId="0" applyNumberFormat="1" applyFill="1" applyBorder="1" applyProtection="1">
      <protection hidden="1"/>
    </xf>
    <xf numFmtId="49" fontId="31" fillId="0" borderId="0" xfId="0" applyNumberFormat="1" applyFont="1" applyProtection="1">
      <protection hidden="1"/>
    </xf>
    <xf numFmtId="0" fontId="31" fillId="0" borderId="0" xfId="0" applyFont="1" applyAlignment="1" applyProtection="1">
      <alignment horizontal="right"/>
      <protection hidden="1"/>
    </xf>
    <xf numFmtId="2" fontId="0" fillId="0" borderId="0" xfId="0" applyNumberFormat="1" applyProtection="1">
      <protection hidden="1"/>
    </xf>
    <xf numFmtId="49" fontId="31" fillId="0" borderId="8" xfId="0" applyNumberFormat="1" applyFont="1" applyBorder="1" applyProtection="1">
      <protection hidden="1"/>
    </xf>
    <xf numFmtId="0" fontId="31" fillId="0" borderId="0" xfId="0" applyFont="1" applyBorder="1" applyAlignment="1" applyProtection="1">
      <alignment horizontal="right"/>
      <protection hidden="1"/>
    </xf>
    <xf numFmtId="2" fontId="0" fillId="5" borderId="16" xfId="0" applyNumberFormat="1" applyFill="1" applyBorder="1" applyProtection="1">
      <protection hidden="1"/>
    </xf>
    <xf numFmtId="49" fontId="31" fillId="9" borderId="8" xfId="0" applyNumberFormat="1" applyFont="1" applyFill="1" applyBorder="1" applyProtection="1">
      <protection hidden="1"/>
    </xf>
    <xf numFmtId="0" fontId="31" fillId="9" borderId="0" xfId="0" applyFont="1" applyFill="1" applyBorder="1" applyAlignment="1" applyProtection="1">
      <alignment horizontal="right"/>
      <protection hidden="1"/>
    </xf>
    <xf numFmtId="2" fontId="33" fillId="9" borderId="0" xfId="0" applyNumberFormat="1" applyFont="1" applyFill="1" applyBorder="1" applyProtection="1">
      <protection hidden="1"/>
    </xf>
    <xf numFmtId="2" fontId="33" fillId="9" borderId="16" xfId="0" applyNumberFormat="1" applyFont="1" applyFill="1" applyBorder="1" applyProtection="1">
      <protection hidden="1"/>
    </xf>
    <xf numFmtId="49" fontId="31" fillId="0" borderId="0" xfId="0" applyNumberFormat="1" applyFont="1" applyBorder="1" applyProtection="1">
      <protection hidden="1"/>
    </xf>
    <xf numFmtId="2" fontId="0" fillId="0" borderId="0" xfId="0" applyNumberFormat="1" applyBorder="1" applyProtection="1">
      <protection hidden="1"/>
    </xf>
    <xf numFmtId="2" fontId="0" fillId="0" borderId="11" xfId="0" applyNumberFormat="1" applyBorder="1" applyProtection="1">
      <protection hidden="1"/>
    </xf>
    <xf numFmtId="2" fontId="0" fillId="0" borderId="12" xfId="0" applyNumberFormat="1" applyBorder="1" applyProtection="1">
      <protection hidden="1"/>
    </xf>
    <xf numFmtId="2" fontId="2" fillId="9" borderId="11" xfId="0" applyNumberFormat="1" applyFont="1" applyFill="1" applyBorder="1" applyProtection="1">
      <protection hidden="1"/>
    </xf>
    <xf numFmtId="2" fontId="2" fillId="9" borderId="12" xfId="0" applyNumberFormat="1" applyFont="1" applyFill="1" applyBorder="1" applyProtection="1">
      <protection hidden="1"/>
    </xf>
    <xf numFmtId="49" fontId="29" fillId="8" borderId="0" xfId="0" applyNumberFormat="1" applyFont="1" applyFill="1" applyProtection="1">
      <protection hidden="1"/>
    </xf>
    <xf numFmtId="0" fontId="29" fillId="8" borderId="0" xfId="0" applyFont="1" applyFill="1" applyAlignment="1" applyProtection="1">
      <alignment horizontal="right"/>
      <protection hidden="1"/>
    </xf>
    <xf numFmtId="49" fontId="29" fillId="0" borderId="4" xfId="0" applyNumberFormat="1" applyFont="1" applyBorder="1" applyProtection="1">
      <protection hidden="1"/>
    </xf>
    <xf numFmtId="0" fontId="0" fillId="0" borderId="5" xfId="0" applyBorder="1" applyAlignment="1" applyProtection="1">
      <alignment horizontal="right"/>
      <protection hidden="1"/>
    </xf>
    <xf numFmtId="2" fontId="32" fillId="0" borderId="5" xfId="0" applyNumberFormat="1" applyFont="1" applyBorder="1" applyProtection="1">
      <protection hidden="1"/>
    </xf>
    <xf numFmtId="2" fontId="32" fillId="0" borderId="15" xfId="0" applyNumberFormat="1" applyFont="1" applyBorder="1" applyProtection="1">
      <protection hidden="1"/>
    </xf>
    <xf numFmtId="0" fontId="29" fillId="0" borderId="5" xfId="0" applyFont="1" applyBorder="1" applyAlignment="1" applyProtection="1">
      <alignment horizontal="right"/>
      <protection hidden="1"/>
    </xf>
    <xf numFmtId="49" fontId="29" fillId="0" borderId="8" xfId="0" applyNumberFormat="1" applyFont="1" applyBorder="1" applyProtection="1">
      <protection hidden="1"/>
    </xf>
    <xf numFmtId="0" fontId="29" fillId="0" borderId="0" xfId="0" applyFont="1" applyBorder="1" applyAlignment="1" applyProtection="1">
      <alignment horizontal="right"/>
      <protection hidden="1"/>
    </xf>
    <xf numFmtId="49" fontId="29" fillId="0" borderId="10" xfId="0" applyNumberFormat="1" applyFont="1" applyBorder="1" applyProtection="1">
      <protection hidden="1"/>
    </xf>
    <xf numFmtId="0" fontId="29" fillId="0" borderId="11" xfId="0" applyFont="1" applyBorder="1" applyAlignment="1" applyProtection="1">
      <alignment horizontal="right"/>
      <protection hidden="1"/>
    </xf>
    <xf numFmtId="2" fontId="32" fillId="0" borderId="11" xfId="0" applyNumberFormat="1" applyFont="1" applyBorder="1" applyProtection="1">
      <protection hidden="1"/>
    </xf>
    <xf numFmtId="2" fontId="32" fillId="0" borderId="12" xfId="0" applyNumberFormat="1" applyFont="1" applyBorder="1" applyProtection="1">
      <protection hidden="1"/>
    </xf>
    <xf numFmtId="49" fontId="29" fillId="0" borderId="0" xfId="0" applyNumberFormat="1" applyFont="1" applyProtection="1">
      <protection hidden="1"/>
    </xf>
    <xf numFmtId="0" fontId="29" fillId="0" borderId="0" xfId="0" applyFont="1" applyAlignment="1" applyProtection="1">
      <alignment horizontal="right"/>
      <protection hidden="1"/>
    </xf>
    <xf numFmtId="2" fontId="3" fillId="0" borderId="0" xfId="0" applyNumberFormat="1" applyFont="1" applyProtection="1">
      <protection hidden="1"/>
    </xf>
    <xf numFmtId="2" fontId="29" fillId="0" borderId="0" xfId="0" applyNumberFormat="1" applyFont="1" applyBorder="1" applyProtection="1">
      <protection hidden="1"/>
    </xf>
    <xf numFmtId="2" fontId="29" fillId="0" borderId="16" xfId="0" applyNumberFormat="1" applyFont="1" applyBorder="1" applyProtection="1">
      <protection hidden="1"/>
    </xf>
    <xf numFmtId="2" fontId="32" fillId="0" borderId="0" xfId="0" applyNumberFormat="1" applyFont="1" applyBorder="1" applyProtection="1">
      <protection hidden="1"/>
    </xf>
    <xf numFmtId="2" fontId="32" fillId="0" borderId="16" xfId="0" applyNumberFormat="1" applyFont="1" applyBorder="1" applyProtection="1">
      <protection hidden="1"/>
    </xf>
    <xf numFmtId="2" fontId="29" fillId="0" borderId="11" xfId="0" applyNumberFormat="1" applyFont="1" applyBorder="1" applyProtection="1">
      <protection hidden="1"/>
    </xf>
    <xf numFmtId="2" fontId="29" fillId="0" borderId="12" xfId="0" applyNumberFormat="1" applyFont="1" applyBorder="1" applyProtection="1">
      <protection hidden="1"/>
    </xf>
    <xf numFmtId="0" fontId="0" fillId="0" borderId="0" xfId="0" applyAlignment="1" applyProtection="1">
      <alignment horizontal="right"/>
      <protection hidden="1"/>
    </xf>
    <xf numFmtId="49" fontId="32" fillId="8" borderId="0" xfId="0" applyNumberFormat="1" applyFont="1" applyFill="1" applyProtection="1">
      <protection hidden="1"/>
    </xf>
    <xf numFmtId="0" fontId="32" fillId="8" borderId="0" xfId="0" applyFont="1" applyFill="1" applyAlignment="1" applyProtection="1">
      <alignment horizontal="right"/>
      <protection hidden="1"/>
    </xf>
    <xf numFmtId="49" fontId="32" fillId="0" borderId="4" xfId="0" applyNumberFormat="1" applyFont="1" applyBorder="1" applyProtection="1">
      <protection hidden="1"/>
    </xf>
    <xf numFmtId="0" fontId="32" fillId="0" borderId="5" xfId="0" applyFont="1" applyBorder="1" applyAlignment="1" applyProtection="1">
      <alignment horizontal="right"/>
      <protection hidden="1"/>
    </xf>
    <xf numFmtId="49" fontId="32" fillId="0" borderId="10" xfId="0" applyNumberFormat="1" applyFont="1" applyBorder="1" applyProtection="1">
      <protection hidden="1"/>
    </xf>
    <xf numFmtId="0" fontId="32" fillId="0" borderId="11" xfId="0" applyFont="1" applyBorder="1" applyAlignment="1" applyProtection="1">
      <alignment horizontal="right"/>
      <protection hidden="1"/>
    </xf>
    <xf numFmtId="49" fontId="32" fillId="0" borderId="0" xfId="0" applyNumberFormat="1" applyFont="1" applyProtection="1">
      <protection hidden="1"/>
    </xf>
    <xf numFmtId="0" fontId="32" fillId="0" borderId="0" xfId="0" applyFont="1" applyAlignment="1" applyProtection="1">
      <alignment horizontal="right"/>
      <protection hidden="1"/>
    </xf>
    <xf numFmtId="49" fontId="32" fillId="0" borderId="8" xfId="0" applyNumberFormat="1" applyFont="1" applyBorder="1" applyProtection="1">
      <protection hidden="1"/>
    </xf>
    <xf numFmtId="0" fontId="32" fillId="0" borderId="0" xfId="0" applyFont="1" applyBorder="1" applyAlignment="1" applyProtection="1">
      <alignment horizontal="right"/>
      <protection hidden="1"/>
    </xf>
    <xf numFmtId="2" fontId="29" fillId="8" borderId="0" xfId="0" applyNumberFormat="1" applyFont="1" applyFill="1" applyProtection="1">
      <protection hidden="1"/>
    </xf>
    <xf numFmtId="49" fontId="2" fillId="0" borderId="8" xfId="0" applyNumberFormat="1" applyFont="1" applyBorder="1" applyProtection="1">
      <protection hidden="1"/>
    </xf>
    <xf numFmtId="2" fontId="18" fillId="9" borderId="5" xfId="0" applyNumberFormat="1" applyFont="1" applyFill="1" applyBorder="1" applyProtection="1">
      <protection hidden="1"/>
    </xf>
    <xf numFmtId="49" fontId="32" fillId="0" borderId="0" xfId="0" applyNumberFormat="1" applyFont="1" applyBorder="1" applyProtection="1">
      <protection hidden="1"/>
    </xf>
    <xf numFmtId="0" fontId="24" fillId="0" borderId="0" xfId="0" applyFont="1" applyAlignment="1" applyProtection="1">
      <alignment wrapText="1"/>
      <protection hidden="1"/>
    </xf>
    <xf numFmtId="0" fontId="37" fillId="0" borderId="0" xfId="0" applyFont="1" applyBorder="1" applyProtection="1">
      <protection hidden="1"/>
    </xf>
    <xf numFmtId="0" fontId="10" fillId="0" borderId="0" xfId="0" applyFont="1" applyProtection="1">
      <protection hidden="1"/>
    </xf>
    <xf numFmtId="0" fontId="38" fillId="0" borderId="0" xfId="0" applyFont="1" applyProtection="1">
      <protection hidden="1"/>
    </xf>
    <xf numFmtId="0" fontId="39" fillId="0" borderId="0" xfId="0" applyFont="1" applyBorder="1" applyProtection="1">
      <protection hidden="1"/>
    </xf>
    <xf numFmtId="0" fontId="40" fillId="0" borderId="0" xfId="0" applyFont="1" applyBorder="1" applyProtection="1">
      <protection hidden="1"/>
    </xf>
    <xf numFmtId="0" fontId="40" fillId="0" borderId="0" xfId="0" applyFont="1" applyProtection="1">
      <protection hidden="1"/>
    </xf>
    <xf numFmtId="0" fontId="24" fillId="0" borderId="0" xfId="0" applyFont="1" applyBorder="1" applyAlignment="1" applyProtection="1">
      <alignment horizontal="left" vertical="top" wrapText="1"/>
      <protection locked="0" hidden="1"/>
    </xf>
    <xf numFmtId="0" fontId="24" fillId="0" borderId="0" xfId="0" applyFont="1" applyAlignment="1" applyProtection="1">
      <protection locked="0" hidden="1"/>
    </xf>
    <xf numFmtId="0" fontId="42" fillId="0" borderId="0" xfId="0" applyFont="1" applyAlignment="1" applyProtection="1">
      <protection locked="0" hidden="1"/>
    </xf>
    <xf numFmtId="0" fontId="38" fillId="0" borderId="0" xfId="0" applyFont="1" applyProtection="1">
      <protection locked="0" hidden="1"/>
    </xf>
    <xf numFmtId="14" fontId="15" fillId="0" borderId="0" xfId="0" applyNumberFormat="1" applyFont="1" applyBorder="1" applyAlignment="1" applyProtection="1">
      <alignment vertical="top" wrapText="1"/>
      <protection locked="0" hidden="1"/>
    </xf>
    <xf numFmtId="0" fontId="15" fillId="0" borderId="0" xfId="0" applyFont="1" applyBorder="1" applyAlignment="1" applyProtection="1">
      <alignment vertical="top" wrapText="1"/>
      <protection locked="0" hidden="1"/>
    </xf>
    <xf numFmtId="0" fontId="15" fillId="0" borderId="0" xfId="0" applyFont="1" applyBorder="1" applyAlignment="1" applyProtection="1">
      <alignment horizontal="left" vertical="top" wrapText="1"/>
      <protection locked="0" hidden="1"/>
    </xf>
    <xf numFmtId="0" fontId="36" fillId="0" borderId="0" xfId="0" applyFont="1" applyBorder="1" applyAlignment="1" applyProtection="1">
      <alignment horizontal="left" vertical="top" wrapText="1"/>
      <protection locked="0" hidden="1"/>
    </xf>
    <xf numFmtId="0" fontId="0" fillId="0" borderId="0" xfId="0" applyBorder="1" applyAlignment="1" applyProtection="1">
      <alignment vertical="top" wrapText="1"/>
      <protection locked="0" hidden="1"/>
    </xf>
    <xf numFmtId="0" fontId="10" fillId="0" borderId="0" xfId="0" applyFont="1" applyAlignment="1" applyProtection="1">
      <protection locked="0" hidden="1"/>
    </xf>
    <xf numFmtId="0" fontId="10" fillId="0" borderId="0" xfId="0" applyFont="1" applyBorder="1" applyProtection="1">
      <protection locked="0" hidden="1"/>
    </xf>
    <xf numFmtId="0" fontId="10" fillId="0" borderId="0" xfId="0" applyFont="1" applyAlignment="1" applyProtection="1">
      <alignment horizontal="center"/>
      <protection locked="0" hidden="1"/>
    </xf>
    <xf numFmtId="0" fontId="43" fillId="0" borderId="8" xfId="0" applyFont="1" applyBorder="1" applyAlignment="1" applyProtection="1">
      <protection locked="0" hidden="1"/>
    </xf>
    <xf numFmtId="0" fontId="43" fillId="0" borderId="0" xfId="0" applyFont="1" applyBorder="1" applyAlignment="1" applyProtection="1">
      <protection locked="0" hidden="1"/>
    </xf>
    <xf numFmtId="1" fontId="10" fillId="0" borderId="8" xfId="0" applyNumberFormat="1" applyFont="1" applyBorder="1" applyAlignment="1" applyProtection="1">
      <protection locked="0" hidden="1"/>
    </xf>
    <xf numFmtId="1" fontId="10" fillId="0" borderId="0" xfId="0" applyNumberFormat="1" applyFont="1" applyBorder="1" applyAlignment="1" applyProtection="1">
      <protection locked="0" hidden="1"/>
    </xf>
    <xf numFmtId="0" fontId="10" fillId="0" borderId="0" xfId="0" applyFont="1" applyBorder="1" applyAlignment="1" applyProtection="1">
      <protection locked="0" hidden="1"/>
    </xf>
    <xf numFmtId="0" fontId="24" fillId="0" borderId="0" xfId="0" applyFont="1" applyBorder="1" applyAlignment="1" applyProtection="1">
      <protection locked="0" hidden="1"/>
    </xf>
    <xf numFmtId="0" fontId="24" fillId="0" borderId="0" xfId="0" applyFont="1" applyBorder="1" applyAlignment="1" applyProtection="1">
      <alignment horizontal="center" vertical="top" wrapText="1"/>
      <protection locked="0" hidden="1"/>
    </xf>
    <xf numFmtId="0" fontId="24" fillId="0" borderId="0" xfId="0" applyFont="1" applyBorder="1" applyAlignment="1" applyProtection="1">
      <alignment vertical="top" wrapText="1"/>
      <protection locked="0" hidden="1"/>
    </xf>
    <xf numFmtId="0" fontId="36" fillId="0" borderId="0" xfId="0" applyFont="1" applyBorder="1" applyAlignment="1" applyProtection="1">
      <alignment vertical="top" wrapText="1"/>
      <protection locked="0" hidden="1"/>
    </xf>
    <xf numFmtId="0" fontId="39" fillId="0" borderId="0" xfId="0" applyFont="1" applyBorder="1" applyProtection="1">
      <protection locked="0" hidden="1"/>
    </xf>
    <xf numFmtId="0" fontId="39" fillId="0" borderId="0" xfId="0" applyFont="1" applyBorder="1" applyAlignment="1" applyProtection="1">
      <alignment horizontal="left" vertical="top"/>
      <protection locked="0" hidden="1"/>
    </xf>
    <xf numFmtId="0" fontId="39" fillId="0" borderId="0" xfId="0" applyFont="1" applyProtection="1">
      <protection locked="0" hidden="1"/>
    </xf>
    <xf numFmtId="0" fontId="24" fillId="0" borderId="0" xfId="0" applyFont="1" applyBorder="1" applyAlignment="1" applyProtection="1">
      <alignment horizontal="right" vertical="top" wrapText="1"/>
      <protection locked="0" hidden="1"/>
    </xf>
    <xf numFmtId="0" fontId="24" fillId="0" borderId="5" xfId="0" applyFont="1" applyBorder="1" applyAlignment="1" applyProtection="1">
      <alignment horizontal="right" vertical="top" wrapText="1"/>
      <protection locked="0" hidden="1"/>
    </xf>
    <xf numFmtId="0" fontId="40" fillId="0" borderId="0" xfId="0" applyFont="1" applyBorder="1" applyAlignment="1" applyProtection="1">
      <alignment horizontal="left" vertical="top"/>
      <protection locked="0" hidden="1"/>
    </xf>
    <xf numFmtId="0" fontId="40" fillId="0" borderId="0" xfId="0" applyFont="1" applyProtection="1">
      <protection locked="0" hidden="1"/>
    </xf>
    <xf numFmtId="0" fontId="39" fillId="0" borderId="0" xfId="0" applyFont="1" applyBorder="1" applyAlignment="1" applyProtection="1">
      <alignment horizontal="left" vertical="top" wrapText="1"/>
      <protection locked="0" hidden="1"/>
    </xf>
    <xf numFmtId="0" fontId="43" fillId="0" borderId="0" xfId="0" applyFont="1" applyProtection="1">
      <protection locked="0" hidden="1"/>
    </xf>
    <xf numFmtId="0" fontId="40" fillId="0" borderId="0" xfId="0" applyFont="1" applyAlignment="1" applyProtection="1">
      <protection locked="0" hidden="1"/>
    </xf>
    <xf numFmtId="0" fontId="24" fillId="0" borderId="0" xfId="0" applyFont="1" applyBorder="1" applyAlignment="1" applyProtection="1">
      <alignment wrapText="1"/>
      <protection locked="0" hidden="1"/>
    </xf>
    <xf numFmtId="0" fontId="24" fillId="0" borderId="0" xfId="0" applyFont="1" applyBorder="1" applyAlignment="1" applyProtection="1">
      <alignment horizontal="justify" wrapText="1"/>
      <protection locked="0" hidden="1"/>
    </xf>
    <xf numFmtId="0" fontId="33" fillId="0" borderId="0" xfId="0" applyFont="1" applyBorder="1" applyAlignment="1" applyProtection="1">
      <alignment horizontal="left" vertical="top" wrapText="1"/>
      <protection locked="0" hidden="1"/>
    </xf>
    <xf numFmtId="0" fontId="33" fillId="0" borderId="0" xfId="0" applyFont="1" applyBorder="1" applyAlignment="1" applyProtection="1">
      <alignment vertical="top" wrapText="1"/>
      <protection locked="0" hidden="1"/>
    </xf>
    <xf numFmtId="0" fontId="2" fillId="0" borderId="0" xfId="0" applyFont="1" applyBorder="1" applyAlignment="1" applyProtection="1">
      <alignment horizontal="left" vertical="top" wrapText="1"/>
      <protection locked="0" hidden="1"/>
    </xf>
    <xf numFmtId="0" fontId="15" fillId="0" borderId="3" xfId="0" applyFont="1" applyBorder="1" applyAlignment="1" applyProtection="1">
      <alignment horizontal="justify" wrapText="1"/>
      <protection locked="0" hidden="1"/>
    </xf>
    <xf numFmtId="0" fontId="15" fillId="0" borderId="0" xfId="0" applyFont="1" applyBorder="1" applyAlignment="1" applyProtection="1">
      <alignment horizontal="justify" wrapText="1"/>
      <protection locked="0" hidden="1"/>
    </xf>
    <xf numFmtId="0" fontId="24" fillId="0" borderId="0" xfId="0" applyFont="1" applyBorder="1" applyProtection="1">
      <protection locked="0" hidden="1"/>
    </xf>
    <xf numFmtId="49" fontId="10" fillId="0" borderId="0" xfId="0" applyNumberFormat="1" applyFont="1" applyBorder="1" applyAlignment="1" applyProtection="1">
      <protection locked="0" hidden="1"/>
    </xf>
    <xf numFmtId="0" fontId="45" fillId="0" borderId="0" xfId="0" applyFont="1" applyAlignment="1" applyProtection="1">
      <alignment vertical="center"/>
      <protection locked="0" hidden="1"/>
    </xf>
    <xf numFmtId="0" fontId="43" fillId="0" borderId="0" xfId="0" applyFont="1" applyBorder="1" applyAlignment="1" applyProtection="1">
      <alignment vertical="top"/>
      <protection locked="0" hidden="1"/>
    </xf>
    <xf numFmtId="0" fontId="43" fillId="0" borderId="0" xfId="0" applyFont="1" applyBorder="1" applyAlignment="1" applyProtection="1">
      <alignment horizontal="left" vertical="top"/>
      <protection locked="0" hidden="1"/>
    </xf>
    <xf numFmtId="0" fontId="43" fillId="0" borderId="4" xfId="0" applyFont="1" applyBorder="1" applyProtection="1">
      <protection locked="0" hidden="1"/>
    </xf>
    <xf numFmtId="0" fontId="43" fillId="0" borderId="5" xfId="0" applyFont="1" applyBorder="1" applyProtection="1">
      <protection locked="0" hidden="1"/>
    </xf>
    <xf numFmtId="0" fontId="43" fillId="0" borderId="8" xfId="0" applyFont="1" applyBorder="1" applyProtection="1">
      <protection locked="0" hidden="1"/>
    </xf>
    <xf numFmtId="0" fontId="43" fillId="0" borderId="0" xfId="0" applyFont="1" applyBorder="1" applyProtection="1">
      <protection locked="0" hidden="1"/>
    </xf>
    <xf numFmtId="0" fontId="10" fillId="0" borderId="16" xfId="0" applyFont="1" applyBorder="1" applyProtection="1">
      <protection locked="0" hidden="1"/>
    </xf>
    <xf numFmtId="0" fontId="10" fillId="0" borderId="14" xfId="0" applyFont="1" applyBorder="1" applyProtection="1">
      <protection locked="0" hidden="1"/>
    </xf>
    <xf numFmtId="0" fontId="10" fillId="0" borderId="11" xfId="0" applyFont="1" applyBorder="1" applyProtection="1">
      <protection locked="0" hidden="1"/>
    </xf>
    <xf numFmtId="0" fontId="10" fillId="0" borderId="6" xfId="0" applyFont="1" applyBorder="1" applyProtection="1">
      <protection locked="0" hidden="1"/>
    </xf>
    <xf numFmtId="0" fontId="10" fillId="0" borderId="5" xfId="0" applyFont="1" applyBorder="1" applyProtection="1">
      <protection locked="0" hidden="1"/>
    </xf>
    <xf numFmtId="0" fontId="10" fillId="0" borderId="15" xfId="0" applyFont="1" applyBorder="1" applyProtection="1">
      <protection locked="0" hidden="1"/>
    </xf>
    <xf numFmtId="0" fontId="43" fillId="0" borderId="10" xfId="0" applyFont="1" applyBorder="1" applyProtection="1">
      <protection locked="0" hidden="1"/>
    </xf>
    <xf numFmtId="0" fontId="10" fillId="0" borderId="12" xfId="0" applyFont="1" applyBorder="1" applyProtection="1">
      <protection locked="0" hidden="1"/>
    </xf>
    <xf numFmtId="0" fontId="10" fillId="0" borderId="13" xfId="0" applyFont="1" applyBorder="1" applyProtection="1">
      <protection locked="0" hidden="1"/>
    </xf>
    <xf numFmtId="1" fontId="24" fillId="0" borderId="14" xfId="0" applyNumberFormat="1" applyFont="1" applyBorder="1" applyAlignment="1" applyProtection="1">
      <alignment horizontal="right"/>
      <protection locked="0" hidden="1"/>
    </xf>
    <xf numFmtId="1" fontId="24" fillId="0" borderId="14" xfId="0" applyNumberFormat="1" applyFont="1" applyBorder="1" applyAlignment="1" applyProtection="1">
      <protection locked="0" hidden="1"/>
    </xf>
    <xf numFmtId="1" fontId="24" fillId="0" borderId="6" xfId="0" applyNumberFormat="1" applyFont="1" applyBorder="1" applyAlignment="1" applyProtection="1">
      <protection locked="0" hidden="1"/>
    </xf>
    <xf numFmtId="0" fontId="10" fillId="0" borderId="4" xfId="0" applyFont="1" applyBorder="1" applyProtection="1">
      <protection locked="0" hidden="1"/>
    </xf>
    <xf numFmtId="0" fontId="10" fillId="0" borderId="10" xfId="0" applyFont="1" applyBorder="1" applyProtection="1">
      <protection locked="0" hidden="1"/>
    </xf>
    <xf numFmtId="0" fontId="10" fillId="0" borderId="21" xfId="0" applyFont="1" applyBorder="1" applyProtection="1">
      <protection locked="0" hidden="1"/>
    </xf>
    <xf numFmtId="0" fontId="10" fillId="0" borderId="22" xfId="0" applyFont="1" applyBorder="1" applyProtection="1">
      <protection locked="0" hidden="1"/>
    </xf>
    <xf numFmtId="0" fontId="10" fillId="0" borderId="23" xfId="0" applyFont="1" applyBorder="1" applyProtection="1">
      <protection locked="0" hidden="1"/>
    </xf>
    <xf numFmtId="1" fontId="24" fillId="0" borderId="0" xfId="0" applyNumberFormat="1" applyFont="1" applyBorder="1" applyAlignment="1" applyProtection="1">
      <alignment horizontal="right"/>
      <protection locked="0" hidden="1"/>
    </xf>
    <xf numFmtId="1" fontId="24" fillId="0" borderId="0" xfId="0" applyNumberFormat="1" applyFont="1" applyBorder="1" applyAlignment="1" applyProtection="1">
      <protection locked="0" hidden="1"/>
    </xf>
    <xf numFmtId="1" fontId="10" fillId="0" borderId="0" xfId="0" applyNumberFormat="1" applyFont="1" applyBorder="1" applyAlignment="1" applyProtection="1">
      <alignment horizontal="right"/>
      <protection locked="0" hidden="1"/>
    </xf>
    <xf numFmtId="0" fontId="24" fillId="0" borderId="0" xfId="0" applyFont="1" applyBorder="1" applyAlignment="1" applyProtection="1">
      <alignment vertical="top"/>
      <protection locked="0" hidden="1"/>
    </xf>
    <xf numFmtId="0" fontId="43" fillId="0" borderId="8" xfId="0" applyFont="1" applyBorder="1" applyAlignment="1" applyProtection="1">
      <alignment vertical="center"/>
      <protection locked="0" hidden="1"/>
    </xf>
    <xf numFmtId="0" fontId="43" fillId="0" borderId="0" xfId="0" applyFont="1" applyBorder="1" applyAlignment="1" applyProtection="1">
      <alignment vertical="center"/>
      <protection locked="0" hidden="1"/>
    </xf>
    <xf numFmtId="0" fontId="43" fillId="0" borderId="15" xfId="0" applyFont="1" applyBorder="1" applyProtection="1">
      <protection locked="0" hidden="1"/>
    </xf>
    <xf numFmtId="0" fontId="43" fillId="0" borderId="16" xfId="0" applyFont="1" applyBorder="1" applyProtection="1">
      <protection locked="0" hidden="1"/>
    </xf>
    <xf numFmtId="0" fontId="10" fillId="0" borderId="25" xfId="0" applyFont="1" applyBorder="1" applyProtection="1">
      <protection locked="0" hidden="1"/>
    </xf>
    <xf numFmtId="1" fontId="24" fillId="0" borderId="5" xfId="0" applyNumberFormat="1" applyFont="1" applyBorder="1" applyAlignment="1" applyProtection="1">
      <alignment horizontal="right"/>
      <protection locked="0" hidden="1"/>
    </xf>
    <xf numFmtId="1" fontId="24" fillId="0" borderId="5" xfId="0" applyNumberFormat="1" applyFont="1" applyBorder="1" applyProtection="1">
      <protection locked="0" hidden="1"/>
    </xf>
    <xf numFmtId="1" fontId="24" fillId="0" borderId="6" xfId="0" applyNumberFormat="1" applyFont="1" applyBorder="1" applyProtection="1">
      <protection locked="0" hidden="1"/>
    </xf>
    <xf numFmtId="1" fontId="24" fillId="0" borderId="14" xfId="0" applyNumberFormat="1" applyFont="1" applyBorder="1" applyProtection="1">
      <protection locked="0" hidden="1"/>
    </xf>
    <xf numFmtId="0" fontId="46" fillId="0" borderId="4" xfId="0" applyFont="1" applyBorder="1" applyAlignment="1" applyProtection="1">
      <alignment horizontal="center" vertical="center"/>
      <protection locked="0" hidden="1"/>
    </xf>
    <xf numFmtId="0" fontId="46" fillId="0" borderId="5" xfId="0" applyFont="1" applyBorder="1" applyAlignment="1" applyProtection="1">
      <alignment horizontal="center" vertical="center"/>
      <protection locked="0" hidden="1"/>
    </xf>
    <xf numFmtId="0" fontId="46" fillId="0" borderId="0" xfId="0" applyFont="1" applyBorder="1" applyAlignment="1" applyProtection="1">
      <protection locked="0" hidden="1"/>
    </xf>
    <xf numFmtId="0" fontId="46" fillId="0" borderId="8" xfId="0" applyFont="1" applyBorder="1" applyAlignment="1" applyProtection="1">
      <alignment horizontal="center" vertical="center"/>
      <protection locked="0" hidden="1"/>
    </xf>
    <xf numFmtId="0" fontId="46" fillId="0" borderId="0" xfId="0" applyFont="1" applyBorder="1" applyAlignment="1" applyProtection="1">
      <alignment horizontal="center" vertical="center"/>
      <protection locked="0" hidden="1"/>
    </xf>
    <xf numFmtId="0" fontId="46" fillId="0" borderId="8" xfId="0" applyFont="1" applyBorder="1" applyAlignment="1" applyProtection="1">
      <alignment vertical="center" wrapText="1"/>
      <protection locked="0" hidden="1"/>
    </xf>
    <xf numFmtId="0" fontId="10" fillId="0" borderId="8" xfId="0" applyFont="1" applyBorder="1" applyProtection="1">
      <protection locked="0" hidden="1"/>
    </xf>
    <xf numFmtId="1" fontId="47" fillId="0" borderId="0" xfId="0" applyNumberFormat="1" applyFont="1" applyBorder="1" applyAlignment="1" applyProtection="1">
      <protection locked="0" hidden="1"/>
    </xf>
    <xf numFmtId="1" fontId="10" fillId="0" borderId="0" xfId="0" applyNumberFormat="1" applyFont="1" applyBorder="1" applyProtection="1">
      <protection locked="0" hidden="1"/>
    </xf>
    <xf numFmtId="1" fontId="47" fillId="0" borderId="14" xfId="0" applyNumberFormat="1" applyFont="1" applyBorder="1" applyAlignment="1" applyProtection="1">
      <protection locked="0" hidden="1"/>
    </xf>
    <xf numFmtId="1" fontId="47" fillId="0" borderId="0" xfId="0" applyNumberFormat="1" applyFont="1" applyBorder="1" applyAlignment="1" applyProtection="1">
      <alignment horizontal="right"/>
      <protection locked="0" hidden="1"/>
    </xf>
    <xf numFmtId="1" fontId="48" fillId="0" borderId="0" xfId="0" applyNumberFormat="1" applyFont="1" applyBorder="1" applyAlignment="1" applyProtection="1">
      <alignment horizontal="right"/>
      <protection locked="0" hidden="1"/>
    </xf>
    <xf numFmtId="0" fontId="24" fillId="0" borderId="0" xfId="0" applyFont="1" applyProtection="1">
      <protection locked="0" hidden="1"/>
    </xf>
    <xf numFmtId="0" fontId="46" fillId="0" borderId="4" xfId="0" applyFont="1" applyBorder="1" applyProtection="1">
      <protection locked="0" hidden="1"/>
    </xf>
    <xf numFmtId="0" fontId="46" fillId="0" borderId="5" xfId="0" applyFont="1" applyBorder="1" applyProtection="1">
      <protection locked="0" hidden="1"/>
    </xf>
    <xf numFmtId="0" fontId="46" fillId="0" borderId="8" xfId="0" applyFont="1" applyBorder="1" applyAlignment="1" applyProtection="1">
      <protection locked="0" hidden="1"/>
    </xf>
    <xf numFmtId="0" fontId="46" fillId="0" borderId="0" xfId="0" applyFont="1" applyBorder="1" applyProtection="1">
      <protection locked="0" hidden="1"/>
    </xf>
    <xf numFmtId="0" fontId="46" fillId="0" borderId="8" xfId="0" applyFont="1" applyBorder="1" applyProtection="1">
      <protection locked="0" hidden="1"/>
    </xf>
    <xf numFmtId="0" fontId="10" fillId="0" borderId="26" xfId="0" applyFont="1" applyBorder="1" applyProtection="1">
      <protection locked="0" hidden="1"/>
    </xf>
    <xf numFmtId="1" fontId="10" fillId="0" borderId="0" xfId="0" applyNumberFormat="1" applyFont="1" applyProtection="1">
      <protection locked="0" hidden="1"/>
    </xf>
    <xf numFmtId="0" fontId="10" fillId="0" borderId="0" xfId="0" applyFont="1" applyBorder="1" applyAlignment="1" applyProtection="1">
      <alignment horizontal="left"/>
      <protection locked="0" hidden="1"/>
    </xf>
    <xf numFmtId="0" fontId="49" fillId="0" borderId="0" xfId="0" applyFont="1" applyProtection="1">
      <protection locked="0" hidden="1"/>
    </xf>
    <xf numFmtId="0" fontId="50" fillId="0" borderId="0" xfId="0" applyFont="1" applyProtection="1">
      <protection locked="0" hidden="1"/>
    </xf>
    <xf numFmtId="0" fontId="43" fillId="0" borderId="4" xfId="0" applyFont="1" applyBorder="1" applyAlignment="1" applyProtection="1">
      <protection locked="0" hidden="1"/>
    </xf>
    <xf numFmtId="0" fontId="43" fillId="0" borderId="5" xfId="0" applyFont="1" applyBorder="1" applyAlignment="1" applyProtection="1">
      <protection locked="0" hidden="1"/>
    </xf>
    <xf numFmtId="0" fontId="43" fillId="0" borderId="15" xfId="0" applyFont="1" applyBorder="1" applyAlignment="1" applyProtection="1">
      <protection locked="0" hidden="1"/>
    </xf>
    <xf numFmtId="0" fontId="24" fillId="0" borderId="27" xfId="0" applyFont="1" applyBorder="1" applyAlignment="1" applyProtection="1">
      <alignment vertical="top" wrapText="1"/>
      <protection locked="0" hidden="1"/>
    </xf>
    <xf numFmtId="0" fontId="24" fillId="0" borderId="28" xfId="0" applyFont="1" applyBorder="1" applyAlignment="1" applyProtection="1">
      <alignment vertical="top" wrapText="1"/>
      <protection locked="0" hidden="1"/>
    </xf>
    <xf numFmtId="0" fontId="24" fillId="0" borderId="29" xfId="0" applyFont="1" applyBorder="1" applyAlignment="1" applyProtection="1">
      <alignment vertical="top" wrapText="1"/>
      <protection locked="0" hidden="1"/>
    </xf>
    <xf numFmtId="0" fontId="43" fillId="0" borderId="14" xfId="0" applyFont="1" applyBorder="1" applyProtection="1">
      <protection locked="0" hidden="1"/>
    </xf>
    <xf numFmtId="3" fontId="10" fillId="0" borderId="11" xfId="0" applyNumberFormat="1" applyFont="1" applyBorder="1" applyProtection="1">
      <protection locked="0" hidden="1"/>
    </xf>
    <xf numFmtId="3" fontId="10" fillId="0" borderId="0" xfId="0" applyNumberFormat="1" applyFont="1" applyBorder="1" applyProtection="1">
      <protection locked="0" hidden="1"/>
    </xf>
    <xf numFmtId="0" fontId="24" fillId="0" borderId="13" xfId="0" applyFont="1" applyBorder="1" applyProtection="1">
      <protection locked="0" hidden="1"/>
    </xf>
    <xf numFmtId="0" fontId="24" fillId="0" borderId="14" xfId="0" applyFont="1" applyBorder="1" applyProtection="1">
      <protection locked="0" hidden="1"/>
    </xf>
    <xf numFmtId="0" fontId="24" fillId="0" borderId="6" xfId="0" applyFont="1" applyBorder="1" applyProtection="1">
      <protection locked="0" hidden="1"/>
    </xf>
    <xf numFmtId="0" fontId="24" fillId="0" borderId="21" xfId="0" applyFont="1" applyBorder="1" applyProtection="1">
      <protection locked="0" hidden="1"/>
    </xf>
    <xf numFmtId="0" fontId="43" fillId="0" borderId="13" xfId="0" applyFont="1" applyBorder="1" applyProtection="1">
      <protection locked="0" hidden="1"/>
    </xf>
    <xf numFmtId="0" fontId="43" fillId="0" borderId="11" xfId="0" applyFont="1" applyBorder="1" applyProtection="1">
      <protection locked="0" hidden="1"/>
    </xf>
    <xf numFmtId="0" fontId="43" fillId="0" borderId="10" xfId="0" applyFont="1" applyBorder="1" applyAlignment="1" applyProtection="1">
      <protection locked="0" hidden="1"/>
    </xf>
    <xf numFmtId="0" fontId="43" fillId="0" borderId="11" xfId="0" applyFont="1" applyBorder="1" applyAlignment="1" applyProtection="1">
      <protection locked="0" hidden="1"/>
    </xf>
    <xf numFmtId="0" fontId="43" fillId="0" borderId="12" xfId="0" applyFont="1" applyBorder="1" applyAlignment="1" applyProtection="1">
      <protection locked="0" hidden="1"/>
    </xf>
    <xf numFmtId="0" fontId="51" fillId="0" borderId="13" xfId="0" applyFont="1" applyBorder="1" applyProtection="1">
      <protection locked="0" hidden="1"/>
    </xf>
    <xf numFmtId="0" fontId="43" fillId="0" borderId="16" xfId="0" applyFont="1" applyBorder="1" applyAlignment="1" applyProtection="1">
      <protection locked="0" hidden="1"/>
    </xf>
    <xf numFmtId="0" fontId="43" fillId="0" borderId="0" xfId="0" applyFont="1" applyBorder="1" applyAlignment="1" applyProtection="1">
      <alignment wrapText="1"/>
      <protection locked="0" hidden="1"/>
    </xf>
    <xf numFmtId="1" fontId="43" fillId="0" borderId="0" xfId="0" applyNumberFormat="1" applyFont="1" applyBorder="1" applyAlignment="1" applyProtection="1">
      <protection locked="0" hidden="1"/>
    </xf>
    <xf numFmtId="0" fontId="24" fillId="0" borderId="0" xfId="0" applyFont="1" applyBorder="1" applyAlignment="1" applyProtection="1">
      <alignment horizontal="left" vertical="top"/>
      <protection locked="0" hidden="1"/>
    </xf>
    <xf numFmtId="0" fontId="10" fillId="0" borderId="0" xfId="0" applyFont="1" applyBorder="1" applyAlignment="1" applyProtection="1">
      <alignment horizontal="left" vertical="center" wrapText="1"/>
      <protection locked="0" hidden="1"/>
    </xf>
    <xf numFmtId="3" fontId="24" fillId="0" borderId="0" xfId="0" applyNumberFormat="1" applyFont="1" applyBorder="1" applyAlignment="1" applyProtection="1">
      <alignment horizontal="right" vertical="center" wrapText="1"/>
      <protection locked="0" hidden="1"/>
    </xf>
    <xf numFmtId="0" fontId="43" fillId="0" borderId="6" xfId="0" applyFont="1" applyBorder="1" applyProtection="1">
      <protection locked="0" hidden="1"/>
    </xf>
    <xf numFmtId="0" fontId="24" fillId="0" borderId="13" xfId="0" applyFont="1" applyBorder="1" applyAlignment="1" applyProtection="1">
      <alignment horizontal="left"/>
      <protection locked="0" hidden="1"/>
    </xf>
    <xf numFmtId="0" fontId="24" fillId="0" borderId="14" xfId="0" applyFont="1" applyBorder="1" applyAlignment="1" applyProtection="1">
      <alignment horizontal="left"/>
      <protection locked="0" hidden="1"/>
    </xf>
    <xf numFmtId="0" fontId="24" fillId="0" borderId="6" xfId="0" applyFont="1" applyBorder="1" applyAlignment="1" applyProtection="1">
      <alignment horizontal="left"/>
      <protection locked="0" hidden="1"/>
    </xf>
    <xf numFmtId="0" fontId="43" fillId="0" borderId="14" xfId="0" applyFont="1" applyBorder="1" applyAlignment="1" applyProtection="1">
      <protection locked="0" hidden="1"/>
    </xf>
    <xf numFmtId="0" fontId="43" fillId="0" borderId="12" xfId="0" applyFont="1" applyBorder="1" applyProtection="1">
      <protection locked="0" hidden="1"/>
    </xf>
    <xf numFmtId="0" fontId="37" fillId="0" borderId="0" xfId="0" applyFont="1" applyBorder="1" applyAlignment="1" applyProtection="1">
      <alignment vertical="top" wrapText="1"/>
      <protection locked="0" hidden="1"/>
    </xf>
    <xf numFmtId="0" fontId="37" fillId="0" borderId="30" xfId="0" applyFont="1" applyBorder="1" applyAlignment="1" applyProtection="1">
      <alignment vertical="top" wrapText="1"/>
      <protection locked="0" hidden="1"/>
    </xf>
    <xf numFmtId="0" fontId="24" fillId="0" borderId="30" xfId="0" applyFont="1" applyBorder="1" applyAlignment="1" applyProtection="1">
      <alignment horizontal="left" vertical="top"/>
      <protection locked="0" hidden="1"/>
    </xf>
    <xf numFmtId="0" fontId="10" fillId="0" borderId="10" xfId="0" applyFont="1" applyBorder="1" applyAlignment="1" applyProtection="1">
      <protection locked="0" hidden="1"/>
    </xf>
    <xf numFmtId="0" fontId="10" fillId="0" borderId="11" xfId="0" applyFont="1" applyBorder="1" applyAlignment="1" applyProtection="1">
      <protection locked="0" hidden="1"/>
    </xf>
    <xf numFmtId="0" fontId="10" fillId="0" borderId="12" xfId="0" applyFont="1" applyBorder="1" applyAlignment="1" applyProtection="1">
      <protection locked="0" hidden="1"/>
    </xf>
    <xf numFmtId="0" fontId="39" fillId="0" borderId="31" xfId="0" applyFont="1" applyBorder="1" applyAlignment="1" applyProtection="1">
      <alignment horizontal="left" vertical="top"/>
      <protection locked="0" hidden="1"/>
    </xf>
    <xf numFmtId="0" fontId="37" fillId="0" borderId="31" xfId="0" applyFont="1" applyBorder="1" applyAlignment="1" applyProtection="1">
      <alignment vertical="top" wrapText="1"/>
      <protection locked="0" hidden="1"/>
    </xf>
    <xf numFmtId="0" fontId="24" fillId="0" borderId="32" xfId="0" applyFont="1" applyBorder="1" applyAlignment="1" applyProtection="1">
      <alignment vertical="top" wrapText="1"/>
      <protection locked="0" hidden="1"/>
    </xf>
    <xf numFmtId="0" fontId="24" fillId="0" borderId="30" xfId="0" applyFont="1" applyBorder="1" applyAlignment="1" applyProtection="1">
      <alignment vertical="top" wrapText="1"/>
      <protection locked="0" hidden="1"/>
    </xf>
    <xf numFmtId="0" fontId="37" fillId="0" borderId="0" xfId="0" applyFont="1" applyBorder="1" applyAlignment="1" applyProtection="1">
      <alignment horizontal="left" vertical="top"/>
      <protection locked="0" hidden="1"/>
    </xf>
    <xf numFmtId="0" fontId="24" fillId="0" borderId="31" xfId="0" applyFont="1" applyBorder="1" applyAlignment="1" applyProtection="1">
      <alignment vertical="top" wrapText="1"/>
      <protection locked="0" hidden="1"/>
    </xf>
    <xf numFmtId="0" fontId="24" fillId="0" borderId="33" xfId="0" applyFont="1" applyBorder="1" applyAlignment="1" applyProtection="1">
      <alignment vertical="top" wrapText="1"/>
      <protection locked="0" hidden="1"/>
    </xf>
    <xf numFmtId="0" fontId="10" fillId="0" borderId="5" xfId="0" applyFont="1" applyBorder="1" applyAlignment="1" applyProtection="1">
      <alignment vertical="center" wrapText="1"/>
      <protection locked="0" hidden="1"/>
    </xf>
    <xf numFmtId="3" fontId="24" fillId="0" borderId="5" xfId="0" applyNumberFormat="1" applyFont="1" applyBorder="1" applyAlignment="1" applyProtection="1">
      <alignment vertical="center" wrapText="1"/>
      <protection locked="0" hidden="1"/>
    </xf>
    <xf numFmtId="0" fontId="36" fillId="0" borderId="0" xfId="0" applyFont="1" applyBorder="1" applyAlignment="1" applyProtection="1">
      <alignment horizontal="left" vertical="top"/>
      <protection locked="0" hidden="1"/>
    </xf>
    <xf numFmtId="0" fontId="43" fillId="0" borderId="0" xfId="0" applyFont="1" applyBorder="1" applyAlignment="1" applyProtection="1">
      <alignment horizontal="center" vertical="top"/>
      <protection locked="0" hidden="1"/>
    </xf>
    <xf numFmtId="0" fontId="10" fillId="0" borderId="0" xfId="0" applyFont="1" applyBorder="1" applyAlignment="1" applyProtection="1">
      <alignment horizontal="center" vertical="top"/>
      <protection locked="0" hidden="1"/>
    </xf>
    <xf numFmtId="0" fontId="43" fillId="0" borderId="13" xfId="0" applyFont="1" applyBorder="1" applyAlignment="1" applyProtection="1">
      <protection locked="0" hidden="1"/>
    </xf>
    <xf numFmtId="0" fontId="43" fillId="0" borderId="6" xfId="0" applyFont="1" applyBorder="1" applyAlignment="1" applyProtection="1">
      <protection locked="0" hidden="1"/>
    </xf>
    <xf numFmtId="0" fontId="36" fillId="0" borderId="0" xfId="0" applyFont="1" applyProtection="1">
      <protection locked="0" hidden="1"/>
    </xf>
    <xf numFmtId="0" fontId="15" fillId="0" borderId="0" xfId="0" applyFont="1" applyProtection="1">
      <protection locked="0" hidden="1"/>
    </xf>
    <xf numFmtId="0" fontId="10" fillId="9" borderId="34" xfId="0" applyFont="1" applyFill="1" applyBorder="1" applyAlignment="1" applyProtection="1">
      <alignment horizontal="left" vertical="top"/>
      <protection locked="0" hidden="1"/>
    </xf>
    <xf numFmtId="0" fontId="10" fillId="0" borderId="35" xfId="0" applyFont="1" applyBorder="1" applyProtection="1">
      <protection locked="0" hidden="1"/>
    </xf>
    <xf numFmtId="0" fontId="41" fillId="0" borderId="0" xfId="0" applyFont="1" applyProtection="1">
      <protection locked="0" hidden="1"/>
    </xf>
    <xf numFmtId="167" fontId="10" fillId="0" borderId="0" xfId="0" applyNumberFormat="1" applyFont="1" applyAlignment="1" applyProtection="1">
      <protection locked="0" hidden="1"/>
    </xf>
    <xf numFmtId="167" fontId="10" fillId="0" borderId="35" xfId="0" applyNumberFormat="1" applyFont="1" applyBorder="1" applyAlignment="1" applyProtection="1">
      <protection locked="0" hidden="1"/>
    </xf>
    <xf numFmtId="0" fontId="42" fillId="0" borderId="0" xfId="0" applyFont="1" applyBorder="1" applyProtection="1">
      <protection hidden="1"/>
    </xf>
    <xf numFmtId="0" fontId="58" fillId="0" borderId="0" xfId="0" applyFont="1" applyBorder="1" applyProtection="1">
      <protection hidden="1"/>
    </xf>
    <xf numFmtId="0" fontId="58" fillId="4" borderId="0" xfId="0" applyFont="1" applyFill="1" applyBorder="1" applyAlignment="1" applyProtection="1">
      <alignment horizontal="center" vertical="center"/>
      <protection locked="0" hidden="1"/>
    </xf>
    <xf numFmtId="0" fontId="36" fillId="0" borderId="0" xfId="0" applyFont="1" applyBorder="1" applyAlignment="1" applyProtection="1">
      <protection hidden="1"/>
    </xf>
    <xf numFmtId="4" fontId="24" fillId="0" borderId="0" xfId="0" applyNumberFormat="1" applyFont="1" applyBorder="1" applyAlignment="1" applyProtection="1">
      <protection hidden="1"/>
    </xf>
    <xf numFmtId="1" fontId="24" fillId="0" borderId="0" xfId="0" applyNumberFormat="1" applyFont="1" applyBorder="1" applyProtection="1">
      <protection hidden="1"/>
    </xf>
    <xf numFmtId="0" fontId="24" fillId="0" borderId="0" xfId="0" applyFont="1" applyBorder="1" applyAlignment="1" applyProtection="1">
      <protection hidden="1"/>
    </xf>
    <xf numFmtId="0" fontId="10" fillId="0" borderId="0" xfId="0" applyFont="1" applyBorder="1" applyAlignment="1" applyProtection="1">
      <alignment horizontal="center"/>
      <protection hidden="1"/>
    </xf>
    <xf numFmtId="0" fontId="43" fillId="0" borderId="0" xfId="0" applyFont="1" applyBorder="1" applyAlignment="1" applyProtection="1">
      <alignment horizontal="center" wrapText="1"/>
      <protection hidden="1"/>
    </xf>
    <xf numFmtId="0" fontId="43" fillId="0" borderId="0" xfId="0" applyFont="1" applyBorder="1" applyAlignment="1" applyProtection="1">
      <protection hidden="1"/>
    </xf>
    <xf numFmtId="0" fontId="43" fillId="0" borderId="0" xfId="0" applyFont="1" applyBorder="1" applyAlignment="1" applyProtection="1">
      <alignment horizontal="center"/>
      <protection hidden="1"/>
    </xf>
    <xf numFmtId="4" fontId="43" fillId="0" borderId="0" xfId="0" applyNumberFormat="1" applyFont="1" applyBorder="1" applyAlignment="1" applyProtection="1">
      <alignment horizontal="center"/>
      <protection hidden="1"/>
    </xf>
    <xf numFmtId="4" fontId="43" fillId="0" borderId="0" xfId="0" applyNumberFormat="1" applyFont="1" applyBorder="1" applyAlignment="1" applyProtection="1">
      <protection hidden="1"/>
    </xf>
    <xf numFmtId="0" fontId="24" fillId="0" borderId="0" xfId="0" applyFont="1" applyAlignment="1" applyProtection="1">
      <alignment horizontal="right"/>
      <protection hidden="1"/>
    </xf>
    <xf numFmtId="0" fontId="36" fillId="0" borderId="0" xfId="0" applyFont="1" applyBorder="1" applyAlignment="1" applyProtection="1">
      <alignment horizontal="right" wrapText="1"/>
      <protection hidden="1"/>
    </xf>
    <xf numFmtId="4" fontId="36" fillId="0" borderId="14" xfId="0" applyNumberFormat="1" applyFont="1" applyBorder="1" applyProtection="1">
      <protection hidden="1"/>
    </xf>
    <xf numFmtId="0" fontId="36" fillId="0" borderId="14" xfId="0" applyFont="1" applyBorder="1" applyProtection="1">
      <protection hidden="1"/>
    </xf>
    <xf numFmtId="2" fontId="36" fillId="0" borderId="14" xfId="0" applyNumberFormat="1" applyFont="1" applyBorder="1" applyProtection="1">
      <protection hidden="1"/>
    </xf>
    <xf numFmtId="4" fontId="24" fillId="0" borderId="14" xfId="0" applyNumberFormat="1" applyFont="1" applyBorder="1" applyProtection="1">
      <protection hidden="1"/>
    </xf>
    <xf numFmtId="4" fontId="36" fillId="0" borderId="14" xfId="0" applyNumberFormat="1" applyFont="1" applyBorder="1" applyAlignment="1" applyProtection="1">
      <alignment horizontal="right" wrapText="1"/>
      <protection hidden="1"/>
    </xf>
    <xf numFmtId="4" fontId="36" fillId="0" borderId="6" xfId="0" applyNumberFormat="1" applyFont="1" applyBorder="1" applyProtection="1">
      <protection hidden="1"/>
    </xf>
    <xf numFmtId="0" fontId="36" fillId="0" borderId="0" xfId="0" applyFont="1" applyBorder="1" applyAlignment="1" applyProtection="1">
      <alignment wrapText="1"/>
      <protection hidden="1"/>
    </xf>
    <xf numFmtId="0" fontId="60" fillId="0" borderId="0" xfId="2" applyFont="1" applyFill="1" applyBorder="1" applyAlignment="1" applyProtection="1">
      <alignment wrapText="1"/>
      <protection hidden="1"/>
    </xf>
    <xf numFmtId="2" fontId="36" fillId="0" borderId="0" xfId="0" applyNumberFormat="1" applyFont="1" applyBorder="1" applyProtection="1">
      <protection hidden="1"/>
    </xf>
    <xf numFmtId="0" fontId="36" fillId="0" borderId="0" xfId="0" applyFont="1" applyBorder="1" applyProtection="1">
      <protection hidden="1"/>
    </xf>
    <xf numFmtId="0" fontId="24" fillId="6" borderId="0" xfId="0" applyFont="1" applyFill="1" applyBorder="1" applyProtection="1">
      <protection hidden="1"/>
    </xf>
    <xf numFmtId="4" fontId="36" fillId="0" borderId="0" xfId="0" applyNumberFormat="1" applyFont="1" applyBorder="1" applyProtection="1">
      <protection hidden="1"/>
    </xf>
    <xf numFmtId="4" fontId="36" fillId="0" borderId="0" xfId="0" applyNumberFormat="1" applyFont="1" applyBorder="1" applyAlignment="1" applyProtection="1">
      <alignment horizontal="right" wrapText="1"/>
      <protection hidden="1"/>
    </xf>
    <xf numFmtId="0" fontId="41" fillId="0" borderId="0" xfId="0" applyFont="1" applyBorder="1" applyAlignment="1" applyProtection="1">
      <protection hidden="1"/>
    </xf>
    <xf numFmtId="0" fontId="37" fillId="0" borderId="0" xfId="0" applyFont="1" applyBorder="1" applyAlignment="1" applyProtection="1">
      <protection hidden="1"/>
    </xf>
    <xf numFmtId="49" fontId="24" fillId="0" borderId="0" xfId="0" applyNumberFormat="1" applyFont="1" applyBorder="1" applyAlignment="1" applyProtection="1">
      <alignment horizontal="right"/>
      <protection hidden="1"/>
    </xf>
    <xf numFmtId="2" fontId="24" fillId="0" borderId="0" xfId="0" applyNumberFormat="1" applyFont="1" applyBorder="1" applyAlignment="1" applyProtection="1">
      <alignment horizontal="right"/>
      <protection hidden="1"/>
    </xf>
    <xf numFmtId="2" fontId="24" fillId="0" borderId="0" xfId="0" applyNumberFormat="1" applyFont="1" applyBorder="1" applyProtection="1">
      <protection hidden="1"/>
    </xf>
    <xf numFmtId="4" fontId="24" fillId="0" borderId="0" xfId="0" applyNumberFormat="1" applyFont="1" applyBorder="1" applyProtection="1">
      <protection hidden="1"/>
    </xf>
    <xf numFmtId="4" fontId="24" fillId="0" borderId="0" xfId="0" applyNumberFormat="1" applyFont="1" applyBorder="1" applyAlignment="1" applyProtection="1">
      <alignment horizontal="right"/>
      <protection hidden="1"/>
    </xf>
    <xf numFmtId="0" fontId="24" fillId="0" borderId="0" xfId="0" applyFont="1" applyProtection="1">
      <protection hidden="1"/>
    </xf>
    <xf numFmtId="4" fontId="36" fillId="0" borderId="13" xfId="0" applyNumberFormat="1" applyFont="1" applyBorder="1" applyProtection="1">
      <protection hidden="1"/>
    </xf>
    <xf numFmtId="4" fontId="24" fillId="0" borderId="6" xfId="0" applyNumberFormat="1" applyFont="1" applyBorder="1" applyProtection="1">
      <protection hidden="1"/>
    </xf>
    <xf numFmtId="0" fontId="42" fillId="10" borderId="36" xfId="0" applyFont="1" applyFill="1" applyBorder="1" applyProtection="1">
      <protection hidden="1"/>
    </xf>
    <xf numFmtId="0" fontId="24" fillId="0" borderId="36" xfId="0" applyFont="1" applyBorder="1" applyProtection="1">
      <protection hidden="1"/>
    </xf>
    <xf numFmtId="0" fontId="24" fillId="0" borderId="37" xfId="0" applyFont="1" applyBorder="1" applyProtection="1">
      <protection hidden="1"/>
    </xf>
    <xf numFmtId="0" fontId="24" fillId="0" borderId="0" xfId="0" applyFont="1" applyBorder="1" applyAlignment="1" applyProtection="1">
      <alignment wrapText="1"/>
      <protection hidden="1"/>
    </xf>
    <xf numFmtId="2" fontId="36" fillId="0" borderId="0" xfId="0" applyNumberFormat="1" applyFont="1" applyBorder="1" applyAlignment="1" applyProtection="1">
      <alignment horizontal="right" wrapText="1"/>
      <protection hidden="1"/>
    </xf>
    <xf numFmtId="1" fontId="36" fillId="0" borderId="0" xfId="0" applyNumberFormat="1" applyFont="1" applyBorder="1" applyProtection="1">
      <protection hidden="1"/>
    </xf>
    <xf numFmtId="0" fontId="61" fillId="0" borderId="0" xfId="0" applyFont="1" applyBorder="1" applyAlignment="1" applyProtection="1">
      <protection hidden="1"/>
    </xf>
    <xf numFmtId="0" fontId="44" fillId="0" borderId="0" xfId="0" applyFont="1" applyBorder="1" applyAlignment="1" applyProtection="1">
      <protection hidden="1"/>
    </xf>
    <xf numFmtId="49" fontId="36" fillId="0" borderId="0" xfId="0" applyNumberFormat="1" applyFont="1" applyBorder="1" applyAlignment="1" applyProtection="1">
      <alignment horizontal="right"/>
      <protection hidden="1"/>
    </xf>
    <xf numFmtId="2" fontId="36" fillId="0" borderId="0" xfId="0" applyNumberFormat="1" applyFont="1" applyBorder="1" applyAlignment="1" applyProtection="1">
      <alignment horizontal="right"/>
      <protection hidden="1"/>
    </xf>
    <xf numFmtId="4" fontId="36" fillId="0" borderId="0" xfId="0" applyNumberFormat="1" applyFont="1" applyBorder="1" applyAlignment="1" applyProtection="1">
      <alignment horizontal="right"/>
      <protection hidden="1"/>
    </xf>
    <xf numFmtId="0" fontId="36" fillId="0" borderId="0" xfId="0" applyFont="1" applyBorder="1" applyAlignment="1" applyProtection="1">
      <alignment horizontal="right"/>
      <protection hidden="1"/>
    </xf>
    <xf numFmtId="4" fontId="24" fillId="0" borderId="0" xfId="0" applyNumberFormat="1" applyFont="1" applyBorder="1" applyAlignment="1" applyProtection="1">
      <alignment wrapText="1"/>
      <protection hidden="1"/>
    </xf>
    <xf numFmtId="4" fontId="24" fillId="0" borderId="0" xfId="0" applyNumberFormat="1" applyFont="1" applyBorder="1" applyAlignment="1" applyProtection="1">
      <alignment horizontal="right" wrapText="1"/>
      <protection hidden="1"/>
    </xf>
    <xf numFmtId="0" fontId="62" fillId="0" borderId="0" xfId="0" applyFont="1" applyProtection="1">
      <protection hidden="1"/>
    </xf>
    <xf numFmtId="0" fontId="42" fillId="10" borderId="38" xfId="0" applyFont="1" applyFill="1" applyBorder="1" applyProtection="1">
      <protection hidden="1"/>
    </xf>
    <xf numFmtId="0" fontId="24" fillId="0" borderId="38" xfId="0" applyFont="1" applyBorder="1" applyProtection="1">
      <protection hidden="1"/>
    </xf>
    <xf numFmtId="0" fontId="24" fillId="0" borderId="39" xfId="0" applyFont="1" applyBorder="1" applyProtection="1">
      <protection hidden="1"/>
    </xf>
    <xf numFmtId="0" fontId="42" fillId="10" borderId="40" xfId="0" applyFont="1" applyFill="1" applyBorder="1" applyProtection="1">
      <protection hidden="1"/>
    </xf>
    <xf numFmtId="0" fontId="42" fillId="10" borderId="41" xfId="0" applyFont="1" applyFill="1" applyBorder="1" applyProtection="1">
      <protection hidden="1"/>
    </xf>
    <xf numFmtId="2" fontId="36" fillId="0" borderId="41" xfId="0" applyNumberFormat="1" applyFont="1" applyBorder="1" applyProtection="1">
      <protection hidden="1"/>
    </xf>
    <xf numFmtId="0" fontId="24" fillId="0" borderId="42" xfId="0" applyFont="1" applyBorder="1" applyProtection="1">
      <protection hidden="1"/>
    </xf>
    <xf numFmtId="2" fontId="24" fillId="0" borderId="41" xfId="0" applyNumberFormat="1" applyFont="1" applyBorder="1" applyProtection="1">
      <protection hidden="1"/>
    </xf>
    <xf numFmtId="0" fontId="24" fillId="0" borderId="41" xfId="0" applyFont="1" applyBorder="1" applyProtection="1">
      <protection hidden="1"/>
    </xf>
    <xf numFmtId="0" fontId="24" fillId="0" borderId="40" xfId="0" applyFont="1" applyBorder="1" applyProtection="1">
      <protection hidden="1"/>
    </xf>
    <xf numFmtId="2" fontId="36" fillId="0" borderId="0" xfId="0" applyNumberFormat="1" applyFont="1" applyBorder="1" applyAlignment="1" applyProtection="1">
      <alignment wrapText="1"/>
      <protection hidden="1"/>
    </xf>
    <xf numFmtId="0" fontId="60" fillId="0" borderId="0" xfId="0" applyFont="1" applyProtection="1">
      <protection hidden="1"/>
    </xf>
    <xf numFmtId="0" fontId="0" fillId="0" borderId="0" xfId="0" applyFont="1" applyProtection="1">
      <protection hidden="1"/>
    </xf>
    <xf numFmtId="0" fontId="10" fillId="0" borderId="13" xfId="0" applyFont="1" applyBorder="1" applyProtection="1">
      <protection hidden="1"/>
    </xf>
    <xf numFmtId="0" fontId="10" fillId="0" borderId="14" xfId="0" applyFont="1" applyBorder="1" applyProtection="1">
      <protection hidden="1"/>
    </xf>
    <xf numFmtId="0" fontId="10" fillId="0" borderId="6" xfId="0" applyFont="1" applyBorder="1" applyProtection="1">
      <protection hidden="1"/>
    </xf>
    <xf numFmtId="0" fontId="10" fillId="0" borderId="0" xfId="0" applyFont="1" applyAlignment="1" applyProtection="1">
      <alignment horizontal="center"/>
      <protection hidden="1"/>
    </xf>
    <xf numFmtId="49" fontId="10" fillId="0" borderId="3" xfId="0" applyNumberFormat="1" applyFont="1" applyBorder="1" applyAlignment="1" applyProtection="1">
      <alignment horizontal="center"/>
      <protection hidden="1"/>
    </xf>
    <xf numFmtId="0" fontId="63" fillId="0" borderId="0" xfId="0" applyFont="1" applyAlignment="1">
      <alignment horizontal="left" vertical="center"/>
    </xf>
    <xf numFmtId="0" fontId="10" fillId="0" borderId="0" xfId="0" applyFont="1" applyBorder="1" applyProtection="1">
      <protection hidden="1"/>
    </xf>
    <xf numFmtId="0" fontId="10" fillId="0" borderId="0" xfId="0" applyFont="1" applyAlignment="1" applyProtection="1">
      <protection hidden="1"/>
    </xf>
    <xf numFmtId="1" fontId="10" fillId="0" borderId="0" xfId="0" applyNumberFormat="1" applyFont="1" applyBorder="1" applyAlignment="1" applyProtection="1">
      <protection hidden="1"/>
    </xf>
    <xf numFmtId="0" fontId="10" fillId="0" borderId="0" xfId="0" applyFont="1" applyBorder="1" applyAlignment="1" applyProtection="1">
      <protection hidden="1"/>
    </xf>
    <xf numFmtId="1" fontId="10" fillId="0" borderId="0" xfId="0" applyNumberFormat="1" applyFont="1" applyAlignment="1" applyProtection="1">
      <protection hidden="1"/>
    </xf>
    <xf numFmtId="1" fontId="10" fillId="0" borderId="0" xfId="0" applyNumberFormat="1" applyFont="1" applyBorder="1" applyProtection="1">
      <protection hidden="1"/>
    </xf>
    <xf numFmtId="1" fontId="10" fillId="11" borderId="0" xfId="0" applyNumberFormat="1" applyFont="1" applyFill="1" applyAlignment="1" applyProtection="1">
      <protection hidden="1"/>
    </xf>
    <xf numFmtId="1" fontId="10" fillId="11" borderId="0" xfId="0" applyNumberFormat="1" applyFont="1" applyFill="1" applyBorder="1" applyProtection="1">
      <protection hidden="1"/>
    </xf>
    <xf numFmtId="0" fontId="10" fillId="0" borderId="0" xfId="0" applyFont="1" applyBorder="1" applyAlignment="1" applyProtection="1">
      <alignment horizontal="left"/>
      <protection hidden="1"/>
    </xf>
    <xf numFmtId="0" fontId="10" fillId="0" borderId="0" xfId="0" applyFont="1" applyBorder="1" applyAlignment="1" applyProtection="1">
      <alignment wrapText="1"/>
      <protection hidden="1"/>
    </xf>
    <xf numFmtId="1" fontId="10" fillId="0" borderId="0" xfId="0" applyNumberFormat="1" applyFont="1" applyBorder="1" applyAlignment="1" applyProtection="1">
      <alignment horizontal="center"/>
      <protection hidden="1"/>
    </xf>
    <xf numFmtId="0" fontId="43" fillId="0" borderId="0" xfId="0" applyFont="1" applyBorder="1" applyAlignment="1" applyProtection="1">
      <alignment vertical="center"/>
      <protection hidden="1"/>
    </xf>
    <xf numFmtId="1" fontId="10" fillId="0" borderId="0" xfId="0" applyNumberFormat="1" applyFont="1" applyProtection="1">
      <protection hidden="1"/>
    </xf>
    <xf numFmtId="1" fontId="10" fillId="0" borderId="0" xfId="0" applyNumberFormat="1" applyFont="1" applyBorder="1" applyAlignment="1" applyProtection="1">
      <alignment wrapText="1"/>
      <protection hidden="1"/>
    </xf>
    <xf numFmtId="1" fontId="10" fillId="0" borderId="0" xfId="0" applyNumberFormat="1" applyFont="1" applyBorder="1" applyAlignment="1" applyProtection="1">
      <alignment horizontal="right"/>
      <protection hidden="1"/>
    </xf>
    <xf numFmtId="0" fontId="43" fillId="0" borderId="0" xfId="0" applyFont="1" applyBorder="1" applyProtection="1">
      <protection hidden="1"/>
    </xf>
    <xf numFmtId="0" fontId="64" fillId="14" borderId="43" xfId="0" applyFont="1" applyFill="1" applyBorder="1" applyAlignment="1" applyProtection="1">
      <alignment horizontal="center" vertical="center" wrapText="1"/>
      <protection hidden="1"/>
    </xf>
    <xf numFmtId="0" fontId="64" fillId="14" borderId="44" xfId="0" applyFont="1" applyFill="1" applyBorder="1" applyAlignment="1" applyProtection="1">
      <alignment vertical="center"/>
      <protection hidden="1"/>
    </xf>
    <xf numFmtId="0" fontId="64" fillId="14" borderId="44" xfId="0" applyFont="1" applyFill="1" applyBorder="1" applyAlignment="1" applyProtection="1">
      <alignment horizontal="center" vertical="center" wrapText="1"/>
      <protection hidden="1"/>
    </xf>
    <xf numFmtId="2" fontId="65" fillId="0" borderId="0" xfId="0" applyNumberFormat="1" applyFont="1" applyBorder="1" applyAlignment="1" applyProtection="1">
      <alignment horizontal="left" vertical="center"/>
      <protection hidden="1"/>
    </xf>
    <xf numFmtId="0" fontId="66" fillId="0" borderId="0" xfId="0" applyFont="1" applyBorder="1" applyAlignment="1" applyProtection="1">
      <alignment vertical="center"/>
      <protection hidden="1"/>
    </xf>
    <xf numFmtId="3" fontId="66" fillId="0" borderId="0" xfId="0" applyNumberFormat="1" applyFont="1" applyBorder="1" applyAlignment="1" applyProtection="1">
      <alignment vertical="center"/>
      <protection hidden="1"/>
    </xf>
    <xf numFmtId="0" fontId="64" fillId="14" borderId="45" xfId="0" applyFont="1" applyFill="1" applyBorder="1" applyAlignment="1" applyProtection="1">
      <alignment horizontal="center" vertical="center" wrapText="1"/>
      <protection hidden="1"/>
    </xf>
    <xf numFmtId="0" fontId="64" fillId="14" borderId="46" xfId="0" applyFont="1" applyFill="1" applyBorder="1" applyAlignment="1" applyProtection="1">
      <alignment vertical="center"/>
      <protection hidden="1"/>
    </xf>
    <xf numFmtId="0" fontId="64" fillId="14" borderId="46" xfId="0" applyFont="1" applyFill="1" applyBorder="1" applyAlignment="1" applyProtection="1">
      <alignment horizontal="center" vertical="center" wrapText="1"/>
      <protection hidden="1"/>
    </xf>
    <xf numFmtId="0" fontId="67" fillId="15" borderId="47" xfId="0" applyFont="1" applyFill="1" applyBorder="1" applyAlignment="1" applyProtection="1">
      <alignment horizontal="center" vertical="center"/>
      <protection hidden="1"/>
    </xf>
    <xf numFmtId="0" fontId="64" fillId="15" borderId="48" xfId="0" applyFont="1" applyFill="1" applyBorder="1" applyAlignment="1" applyProtection="1">
      <alignment vertical="center"/>
      <protection hidden="1"/>
    </xf>
    <xf numFmtId="3" fontId="64" fillId="15" borderId="48" xfId="0" applyNumberFormat="1" applyFont="1" applyFill="1" applyBorder="1" applyAlignment="1" applyProtection="1">
      <alignment vertical="center" wrapText="1"/>
      <protection hidden="1"/>
    </xf>
    <xf numFmtId="0" fontId="67" fillId="14" borderId="47" xfId="0" applyFont="1" applyFill="1" applyBorder="1" applyAlignment="1" applyProtection="1">
      <alignment horizontal="center" vertical="center"/>
      <protection hidden="1"/>
    </xf>
    <xf numFmtId="0" fontId="64" fillId="14" borderId="48" xfId="0" applyFont="1" applyFill="1" applyBorder="1" applyAlignment="1" applyProtection="1">
      <alignment vertical="center"/>
      <protection hidden="1"/>
    </xf>
    <xf numFmtId="3" fontId="64" fillId="10" borderId="48" xfId="0" applyNumberFormat="1" applyFont="1" applyFill="1" applyBorder="1" applyAlignment="1" applyProtection="1">
      <alignment vertical="center" wrapText="1"/>
      <protection hidden="1"/>
    </xf>
    <xf numFmtId="0" fontId="67" fillId="14" borderId="48" xfId="0" applyFont="1" applyFill="1" applyBorder="1" applyAlignment="1" applyProtection="1">
      <alignment vertical="center"/>
      <protection hidden="1"/>
    </xf>
    <xf numFmtId="3" fontId="67" fillId="10" borderId="48" xfId="0" applyNumberFormat="1" applyFont="1" applyFill="1" applyBorder="1" applyAlignment="1" applyProtection="1">
      <alignment vertical="center" wrapText="1"/>
      <protection hidden="1"/>
    </xf>
    <xf numFmtId="0" fontId="67" fillId="14" borderId="48" xfId="0" applyFont="1" applyFill="1" applyBorder="1" applyAlignment="1" applyProtection="1">
      <alignment vertical="center" wrapText="1"/>
      <protection hidden="1"/>
    </xf>
    <xf numFmtId="3" fontId="67" fillId="16" borderId="48" xfId="0" applyNumberFormat="1" applyFont="1" applyFill="1" applyBorder="1" applyAlignment="1" applyProtection="1">
      <alignment vertical="center" wrapText="1"/>
      <protection hidden="1"/>
    </xf>
    <xf numFmtId="0" fontId="64" fillId="15" borderId="48" xfId="0" applyFont="1" applyFill="1" applyBorder="1" applyAlignment="1" applyProtection="1">
      <alignment vertical="center" wrapText="1"/>
      <protection hidden="1"/>
    </xf>
    <xf numFmtId="0" fontId="64" fillId="14" borderId="48" xfId="0" applyFont="1" applyFill="1" applyBorder="1" applyAlignment="1" applyProtection="1">
      <alignment horizontal="left" vertical="center"/>
      <protection hidden="1"/>
    </xf>
    <xf numFmtId="0" fontId="67" fillId="14" borderId="48" xfId="0" applyFont="1" applyFill="1" applyBorder="1" applyAlignment="1" applyProtection="1">
      <alignment horizontal="left" vertical="center"/>
      <protection hidden="1"/>
    </xf>
    <xf numFmtId="3" fontId="64" fillId="6" borderId="48" xfId="0" applyNumberFormat="1" applyFont="1" applyFill="1" applyBorder="1" applyAlignment="1" applyProtection="1">
      <alignment horizontal="right" vertical="center"/>
      <protection hidden="1"/>
    </xf>
    <xf numFmtId="0" fontId="67" fillId="14" borderId="49" xfId="0" applyFont="1" applyFill="1" applyBorder="1" applyAlignment="1" applyProtection="1">
      <alignment vertical="center"/>
      <protection hidden="1"/>
    </xf>
    <xf numFmtId="3" fontId="67" fillId="10" borderId="49" xfId="0" applyNumberFormat="1" applyFont="1" applyFill="1" applyBorder="1" applyAlignment="1" applyProtection="1">
      <alignment vertical="center" wrapText="1"/>
      <protection hidden="1"/>
    </xf>
    <xf numFmtId="0" fontId="64" fillId="14" borderId="50" xfId="0" applyFont="1" applyFill="1" applyBorder="1" applyAlignment="1" applyProtection="1">
      <alignment horizontal="left" vertical="center"/>
      <protection hidden="1"/>
    </xf>
    <xf numFmtId="3" fontId="64" fillId="10" borderId="50" xfId="0" applyNumberFormat="1" applyFont="1" applyFill="1" applyBorder="1" applyAlignment="1" applyProtection="1">
      <alignment horizontal="right" vertical="center"/>
      <protection hidden="1"/>
    </xf>
    <xf numFmtId="0" fontId="65" fillId="0" borderId="0" xfId="0" applyFont="1" applyAlignment="1" applyProtection="1">
      <alignment vertical="center"/>
      <protection hidden="1"/>
    </xf>
    <xf numFmtId="0" fontId="67" fillId="17" borderId="47" xfId="0" applyFont="1" applyFill="1" applyBorder="1" applyAlignment="1" applyProtection="1">
      <alignment horizontal="center" vertical="center"/>
      <protection hidden="1"/>
    </xf>
    <xf numFmtId="0" fontId="67" fillId="17" borderId="48" xfId="0" applyFont="1" applyFill="1" applyBorder="1" applyAlignment="1" applyProtection="1">
      <alignment vertical="center"/>
      <protection hidden="1"/>
    </xf>
    <xf numFmtId="3" fontId="67" fillId="0" borderId="48" xfId="0" applyNumberFormat="1" applyFont="1" applyBorder="1" applyAlignment="1" applyProtection="1">
      <alignment horizontal="right" vertical="center"/>
      <protection hidden="1"/>
    </xf>
    <xf numFmtId="0" fontId="64" fillId="17" borderId="48" xfId="0" applyFont="1" applyFill="1" applyBorder="1" applyAlignment="1" applyProtection="1">
      <alignment vertical="center"/>
      <protection hidden="1"/>
    </xf>
    <xf numFmtId="3" fontId="64" fillId="0" borderId="48" xfId="0" applyNumberFormat="1" applyFont="1" applyBorder="1" applyAlignment="1" applyProtection="1">
      <alignment horizontal="right" vertical="center"/>
      <protection hidden="1"/>
    </xf>
    <xf numFmtId="0" fontId="67" fillId="17" borderId="48" xfId="0" applyFont="1" applyFill="1" applyBorder="1" applyAlignment="1" applyProtection="1">
      <alignment horizontal="left" vertical="center"/>
      <protection hidden="1"/>
    </xf>
    <xf numFmtId="3" fontId="67" fillId="0" borderId="48" xfId="0" applyNumberFormat="1" applyFont="1" applyBorder="1" applyAlignment="1" applyProtection="1">
      <alignment horizontal="right" vertical="center" wrapText="1"/>
      <protection hidden="1"/>
    </xf>
    <xf numFmtId="0" fontId="64" fillId="17" borderId="48" xfId="0" applyFont="1" applyFill="1" applyBorder="1" applyAlignment="1" applyProtection="1">
      <alignment horizontal="left" vertical="center"/>
      <protection hidden="1"/>
    </xf>
    <xf numFmtId="3" fontId="64" fillId="0" borderId="48" xfId="0" applyNumberFormat="1" applyFont="1" applyBorder="1" applyAlignment="1" applyProtection="1">
      <alignment horizontal="right" vertical="center" wrapText="1"/>
      <protection hidden="1"/>
    </xf>
    <xf numFmtId="3" fontId="67" fillId="18" borderId="48" xfId="0" applyNumberFormat="1" applyFont="1" applyFill="1" applyBorder="1" applyAlignment="1" applyProtection="1">
      <alignment horizontal="right" vertical="center" wrapText="1"/>
      <protection hidden="1"/>
    </xf>
    <xf numFmtId="0" fontId="64" fillId="17" borderId="48" xfId="0" applyFont="1" applyFill="1" applyBorder="1" applyAlignment="1" applyProtection="1">
      <alignment horizontal="left" vertical="center" wrapText="1"/>
      <protection hidden="1"/>
    </xf>
    <xf numFmtId="3" fontId="64" fillId="19" borderId="48" xfId="0" applyNumberFormat="1" applyFont="1" applyFill="1" applyBorder="1" applyAlignment="1" applyProtection="1">
      <alignment horizontal="right" vertical="center" wrapText="1"/>
      <protection hidden="1"/>
    </xf>
    <xf numFmtId="3" fontId="64" fillId="20" borderId="48" xfId="0" applyNumberFormat="1" applyFont="1" applyFill="1" applyBorder="1" applyAlignment="1" applyProtection="1">
      <alignment horizontal="right" vertical="center" wrapText="1"/>
      <protection hidden="1"/>
    </xf>
    <xf numFmtId="3" fontId="64" fillId="21" borderId="48" xfId="0" applyNumberFormat="1" applyFont="1" applyFill="1" applyBorder="1" applyAlignment="1" applyProtection="1">
      <alignment horizontal="right" vertical="center" wrapText="1"/>
      <protection hidden="1"/>
    </xf>
    <xf numFmtId="0" fontId="64" fillId="17" borderId="50" xfId="0" applyFont="1" applyFill="1" applyBorder="1" applyAlignment="1" applyProtection="1">
      <alignment horizontal="left" vertical="center"/>
      <protection hidden="1"/>
    </xf>
    <xf numFmtId="0" fontId="64" fillId="17" borderId="0" xfId="0" applyFont="1" applyFill="1" applyBorder="1" applyAlignment="1" applyProtection="1">
      <alignment horizontal="left" vertical="center"/>
      <protection hidden="1"/>
    </xf>
    <xf numFmtId="3" fontId="64" fillId="19" borderId="0" xfId="0" applyNumberFormat="1" applyFont="1" applyFill="1" applyBorder="1" applyAlignment="1" applyProtection="1">
      <alignment horizontal="right" vertical="center" wrapText="1"/>
      <protection hidden="1"/>
    </xf>
    <xf numFmtId="3" fontId="64" fillId="20" borderId="0" xfId="0" applyNumberFormat="1" applyFont="1" applyFill="1" applyBorder="1" applyAlignment="1" applyProtection="1">
      <alignment horizontal="right" vertical="center" wrapText="1"/>
      <protection hidden="1"/>
    </xf>
    <xf numFmtId="0" fontId="67" fillId="0" borderId="0" xfId="0" applyFont="1" applyBorder="1" applyAlignment="1" applyProtection="1">
      <alignment horizontal="center" vertical="center"/>
      <protection hidden="1"/>
    </xf>
    <xf numFmtId="0" fontId="67" fillId="0" borderId="0" xfId="0" applyFont="1" applyAlignment="1" applyProtection="1">
      <alignment vertical="center"/>
      <protection hidden="1"/>
    </xf>
    <xf numFmtId="0" fontId="67" fillId="0" borderId="0" xfId="0" applyFont="1" applyBorder="1" applyAlignment="1" applyProtection="1">
      <alignment horizontal="left" vertical="center" indent="4"/>
      <protection hidden="1"/>
    </xf>
    <xf numFmtId="0" fontId="67" fillId="0" borderId="0" xfId="0" applyFont="1" applyBorder="1" applyAlignment="1" applyProtection="1">
      <alignment vertical="center"/>
      <protection hidden="1"/>
    </xf>
    <xf numFmtId="0" fontId="67" fillId="17" borderId="48" xfId="0" applyFont="1" applyFill="1" applyBorder="1" applyAlignment="1" applyProtection="1">
      <alignment vertical="center" wrapText="1"/>
      <protection hidden="1"/>
    </xf>
    <xf numFmtId="0" fontId="67" fillId="17" borderId="48" xfId="0" applyFont="1" applyFill="1" applyBorder="1" applyAlignment="1" applyProtection="1">
      <alignment horizontal="center" vertical="center" wrapText="1"/>
      <protection hidden="1"/>
    </xf>
    <xf numFmtId="3" fontId="67" fillId="16" borderId="48" xfId="0" applyNumberFormat="1" applyFont="1" applyFill="1" applyBorder="1" applyAlignment="1" applyProtection="1">
      <alignment horizontal="right" vertical="center" wrapText="1"/>
      <protection hidden="1"/>
    </xf>
    <xf numFmtId="3" fontId="67" fillId="6" borderId="48" xfId="0" applyNumberFormat="1" applyFont="1" applyFill="1" applyBorder="1" applyAlignment="1" applyProtection="1">
      <alignment horizontal="right" vertical="center" wrapText="1"/>
      <protection hidden="1"/>
    </xf>
    <xf numFmtId="0" fontId="68" fillId="17" borderId="48" xfId="0" applyFont="1" applyFill="1" applyBorder="1" applyAlignment="1" applyProtection="1">
      <alignment vertical="center"/>
      <protection hidden="1"/>
    </xf>
    <xf numFmtId="0" fontId="64" fillId="17" borderId="48" xfId="0" applyFont="1" applyFill="1" applyBorder="1" applyAlignment="1" applyProtection="1">
      <alignment horizontal="center" vertical="center" wrapText="1"/>
      <protection hidden="1"/>
    </xf>
    <xf numFmtId="3" fontId="64" fillId="19" borderId="48" xfId="0" applyNumberFormat="1" applyFont="1" applyFill="1" applyBorder="1" applyAlignment="1" applyProtection="1">
      <alignment horizontal="right" vertical="center"/>
      <protection hidden="1"/>
    </xf>
    <xf numFmtId="3" fontId="64" fillId="20" borderId="48" xfId="0" applyNumberFormat="1" applyFont="1" applyFill="1" applyBorder="1" applyAlignment="1" applyProtection="1">
      <alignment horizontal="right" vertical="center"/>
      <protection hidden="1"/>
    </xf>
    <xf numFmtId="3" fontId="67" fillId="22" borderId="48" xfId="0" applyNumberFormat="1" applyFont="1" applyFill="1" applyBorder="1" applyAlignment="1" applyProtection="1">
      <alignment horizontal="right" vertical="center" wrapText="1"/>
      <protection hidden="1"/>
    </xf>
    <xf numFmtId="3" fontId="64" fillId="16" borderId="48" xfId="0" applyNumberFormat="1" applyFont="1" applyFill="1" applyBorder="1" applyAlignment="1" applyProtection="1">
      <alignment horizontal="right" vertical="center" wrapText="1"/>
      <protection hidden="1"/>
    </xf>
    <xf numFmtId="0" fontId="67" fillId="17" borderId="51" xfId="0" applyFont="1" applyFill="1" applyBorder="1" applyAlignment="1" applyProtection="1">
      <alignment horizontal="center" vertical="center"/>
      <protection hidden="1"/>
    </xf>
    <xf numFmtId="0" fontId="67" fillId="17" borderId="50" xfId="0" applyFont="1" applyFill="1" applyBorder="1" applyAlignment="1" applyProtection="1">
      <alignment vertical="center" wrapText="1"/>
      <protection hidden="1"/>
    </xf>
    <xf numFmtId="0" fontId="67" fillId="17" borderId="50" xfId="0" applyFont="1" applyFill="1" applyBorder="1" applyAlignment="1" applyProtection="1">
      <alignment horizontal="center" vertical="center" wrapText="1"/>
      <protection hidden="1"/>
    </xf>
    <xf numFmtId="3" fontId="67" fillId="16" borderId="50" xfId="0" applyNumberFormat="1" applyFont="1" applyFill="1" applyBorder="1" applyAlignment="1" applyProtection="1">
      <alignment horizontal="right" vertical="center"/>
      <protection hidden="1"/>
    </xf>
    <xf numFmtId="0" fontId="67" fillId="0" borderId="0" xfId="0" applyFont="1" applyBorder="1" applyAlignment="1" applyProtection="1">
      <alignment horizontal="left" vertical="center"/>
      <protection hidden="1"/>
    </xf>
    <xf numFmtId="0" fontId="67" fillId="0" borderId="0" xfId="0" applyFont="1" applyBorder="1" applyAlignment="1" applyProtection="1">
      <alignment horizontal="right" vertical="center"/>
      <protection hidden="1"/>
    </xf>
    <xf numFmtId="3" fontId="67" fillId="0" borderId="0" xfId="0" applyNumberFormat="1" applyFont="1" applyBorder="1" applyAlignment="1" applyProtection="1">
      <alignment vertical="center"/>
      <protection hidden="1"/>
    </xf>
    <xf numFmtId="4" fontId="67" fillId="23" borderId="48" xfId="0" applyNumberFormat="1" applyFont="1" applyFill="1" applyBorder="1" applyAlignment="1" applyProtection="1">
      <alignment horizontal="center" vertical="center"/>
      <protection hidden="1"/>
    </xf>
    <xf numFmtId="3" fontId="67" fillId="23" borderId="48" xfId="0" applyNumberFormat="1" applyFont="1" applyFill="1" applyBorder="1" applyAlignment="1" applyProtection="1">
      <alignment horizontal="right" vertical="center"/>
      <protection hidden="1"/>
    </xf>
    <xf numFmtId="0" fontId="67" fillId="24" borderId="48" xfId="0" applyFont="1" applyFill="1" applyBorder="1" applyAlignment="1" applyProtection="1">
      <alignment horizontal="left" vertical="center"/>
      <protection hidden="1"/>
    </xf>
    <xf numFmtId="0" fontId="64" fillId="24" borderId="48" xfId="0" applyFont="1" applyFill="1" applyBorder="1" applyAlignment="1" applyProtection="1">
      <alignment horizontal="left" vertical="center"/>
      <protection hidden="1"/>
    </xf>
    <xf numFmtId="4" fontId="67" fillId="24" borderId="48" xfId="0" applyNumberFormat="1" applyFont="1" applyFill="1" applyBorder="1" applyAlignment="1" applyProtection="1">
      <alignment horizontal="center" vertical="center"/>
      <protection hidden="1"/>
    </xf>
    <xf numFmtId="3" fontId="67" fillId="24" borderId="48" xfId="0" applyNumberFormat="1" applyFont="1" applyFill="1" applyBorder="1" applyAlignment="1" applyProtection="1">
      <alignment horizontal="center" vertical="center"/>
      <protection hidden="1"/>
    </xf>
    <xf numFmtId="0" fontId="67" fillId="0" borderId="48" xfId="0" applyFont="1" applyBorder="1" applyAlignment="1" applyProtection="1">
      <alignment horizontal="center" vertical="center" wrapText="1"/>
      <protection hidden="1"/>
    </xf>
    <xf numFmtId="2" fontId="67" fillId="0" borderId="48" xfId="0" applyNumberFormat="1" applyFont="1" applyBorder="1" applyAlignment="1" applyProtection="1">
      <alignment horizontal="center" vertical="center" wrapText="1"/>
      <protection hidden="1"/>
    </xf>
    <xf numFmtId="0" fontId="67" fillId="17" borderId="48" xfId="0" applyFont="1" applyFill="1" applyBorder="1" applyAlignment="1" applyProtection="1">
      <alignment horizontal="left" vertical="center" wrapText="1"/>
      <protection hidden="1"/>
    </xf>
    <xf numFmtId="168" fontId="67" fillId="0" borderId="48" xfId="0" applyNumberFormat="1" applyFont="1" applyBorder="1" applyAlignment="1" applyProtection="1">
      <alignment horizontal="center" vertical="center" wrapText="1"/>
      <protection hidden="1"/>
    </xf>
    <xf numFmtId="0" fontId="64" fillId="17" borderId="49" xfId="0" applyFont="1" applyFill="1" applyBorder="1" applyAlignment="1" applyProtection="1">
      <alignment horizontal="left" vertical="center"/>
      <protection hidden="1"/>
    </xf>
    <xf numFmtId="3" fontId="67" fillId="0" borderId="49" xfId="0" applyNumberFormat="1" applyFont="1" applyBorder="1" applyAlignment="1" applyProtection="1">
      <alignment horizontal="center" vertical="center" wrapText="1"/>
      <protection hidden="1"/>
    </xf>
    <xf numFmtId="169" fontId="67" fillId="0" borderId="48" xfId="0" applyNumberFormat="1" applyFont="1" applyBorder="1" applyAlignment="1" applyProtection="1">
      <alignment horizontal="center" vertical="center" wrapText="1"/>
      <protection hidden="1"/>
    </xf>
    <xf numFmtId="2" fontId="69" fillId="0" borderId="0" xfId="0" applyNumberFormat="1" applyFont="1" applyAlignment="1" applyProtection="1">
      <alignment horizontal="center" vertical="center"/>
      <protection hidden="1"/>
    </xf>
    <xf numFmtId="169" fontId="67" fillId="25" borderId="48" xfId="0" applyNumberFormat="1" applyFont="1" applyFill="1" applyBorder="1" applyAlignment="1" applyProtection="1">
      <alignment horizontal="center" vertical="center" wrapText="1"/>
      <protection hidden="1"/>
    </xf>
    <xf numFmtId="169" fontId="67" fillId="25" borderId="49" xfId="0" applyNumberFormat="1" applyFont="1" applyFill="1" applyBorder="1" applyAlignment="1" applyProtection="1">
      <alignment horizontal="center" vertical="center" wrapText="1"/>
      <protection hidden="1"/>
    </xf>
    <xf numFmtId="0" fontId="67" fillId="24" borderId="50" xfId="0" applyFont="1" applyFill="1" applyBorder="1" applyAlignment="1" applyProtection="1">
      <alignment horizontal="left" vertical="center"/>
      <protection hidden="1"/>
    </xf>
    <xf numFmtId="4" fontId="67" fillId="25" borderId="50" xfId="0" applyNumberFormat="1" applyFont="1" applyFill="1" applyBorder="1" applyAlignment="1" applyProtection="1">
      <alignment horizontal="center" vertical="center"/>
      <protection hidden="1"/>
    </xf>
    <xf numFmtId="0" fontId="68" fillId="0" borderId="0" xfId="0" applyFont="1" applyAlignment="1" applyProtection="1">
      <alignment vertical="center"/>
      <protection hidden="1"/>
    </xf>
    <xf numFmtId="0" fontId="67" fillId="17" borderId="52" xfId="0" applyFont="1" applyFill="1" applyBorder="1" applyAlignment="1" applyProtection="1">
      <alignment horizontal="center" vertical="center"/>
      <protection hidden="1"/>
    </xf>
    <xf numFmtId="0" fontId="67" fillId="17" borderId="49" xfId="0" applyFont="1" applyFill="1" applyBorder="1" applyAlignment="1" applyProtection="1">
      <alignment horizontal="left" vertical="center"/>
      <protection hidden="1"/>
    </xf>
    <xf numFmtId="3" fontId="67" fillId="0" borderId="49" xfId="0" applyNumberFormat="1" applyFont="1" applyBorder="1" applyAlignment="1" applyProtection="1">
      <alignment horizontal="right" vertical="center" wrapText="1"/>
      <protection hidden="1"/>
    </xf>
    <xf numFmtId="0" fontId="67" fillId="0" borderId="49" xfId="0" applyFont="1" applyBorder="1" applyAlignment="1" applyProtection="1">
      <alignment horizontal="right" vertical="center" wrapText="1"/>
      <protection hidden="1"/>
    </xf>
    <xf numFmtId="4" fontId="67" fillId="0" borderId="49" xfId="0" applyNumberFormat="1" applyFont="1" applyBorder="1" applyAlignment="1" applyProtection="1">
      <alignment horizontal="right" vertical="center" wrapText="1"/>
      <protection hidden="1"/>
    </xf>
    <xf numFmtId="3" fontId="64" fillId="0" borderId="50" xfId="0" applyNumberFormat="1" applyFont="1" applyBorder="1" applyAlignment="1" applyProtection="1">
      <alignment horizontal="right" vertical="center"/>
      <protection hidden="1"/>
    </xf>
    <xf numFmtId="0" fontId="64" fillId="17" borderId="48" xfId="0" applyFont="1" applyFill="1" applyBorder="1" applyAlignment="1" applyProtection="1">
      <alignment vertical="center" wrapText="1"/>
      <protection hidden="1"/>
    </xf>
    <xf numFmtId="168" fontId="64" fillId="26" borderId="48" xfId="0" applyNumberFormat="1" applyFont="1" applyFill="1" applyBorder="1" applyAlignment="1" applyProtection="1">
      <alignment horizontal="center" vertical="center" wrapText="1"/>
      <protection hidden="1"/>
    </xf>
    <xf numFmtId="0" fontId="64" fillId="17" borderId="49" xfId="0" applyFont="1" applyFill="1" applyBorder="1" applyAlignment="1" applyProtection="1">
      <alignment horizontal="left" vertical="center" wrapText="1"/>
      <protection hidden="1"/>
    </xf>
    <xf numFmtId="168" fontId="64" fillId="26" borderId="49" xfId="0" applyNumberFormat="1" applyFont="1" applyFill="1" applyBorder="1" applyAlignment="1" applyProtection="1">
      <alignment horizontal="center" vertical="center" wrapText="1"/>
      <protection hidden="1"/>
    </xf>
    <xf numFmtId="168" fontId="67" fillId="0" borderId="49" xfId="0" applyNumberFormat="1" applyFont="1" applyBorder="1" applyAlignment="1" applyProtection="1">
      <alignment horizontal="center" vertical="center" wrapText="1"/>
      <protection hidden="1"/>
    </xf>
    <xf numFmtId="3" fontId="64" fillId="26" borderId="49" xfId="0" applyNumberFormat="1" applyFont="1" applyFill="1" applyBorder="1" applyAlignment="1" applyProtection="1">
      <alignment horizontal="right" vertical="center" wrapText="1"/>
      <protection hidden="1"/>
    </xf>
    <xf numFmtId="169" fontId="67" fillId="0" borderId="49" xfId="0" applyNumberFormat="1" applyFont="1" applyBorder="1" applyAlignment="1" applyProtection="1">
      <alignment horizontal="center" vertical="center" wrapText="1"/>
      <protection hidden="1"/>
    </xf>
    <xf numFmtId="0" fontId="67" fillId="0" borderId="49" xfId="0" applyFont="1" applyBorder="1" applyAlignment="1" applyProtection="1">
      <alignment horizontal="center" vertical="center" wrapText="1"/>
      <protection hidden="1"/>
    </xf>
    <xf numFmtId="3" fontId="64" fillId="26" borderId="49" xfId="0" applyNumberFormat="1" applyFont="1" applyFill="1" applyBorder="1" applyAlignment="1" applyProtection="1">
      <alignment horizontal="center" vertical="center" wrapText="1"/>
      <protection hidden="1"/>
    </xf>
    <xf numFmtId="3" fontId="64" fillId="0" borderId="49" xfId="0" applyNumberFormat="1" applyFont="1" applyBorder="1" applyAlignment="1" applyProtection="1">
      <alignment horizontal="right" vertical="center" wrapText="1"/>
      <protection hidden="1"/>
    </xf>
    <xf numFmtId="0" fontId="67" fillId="17" borderId="50" xfId="0" applyFont="1" applyFill="1" applyBorder="1" applyAlignment="1" applyProtection="1">
      <alignment horizontal="left" vertical="center"/>
      <protection hidden="1"/>
    </xf>
    <xf numFmtId="3" fontId="67" fillId="0" borderId="50" xfId="0" applyNumberFormat="1" applyFont="1" applyBorder="1" applyAlignment="1" applyProtection="1">
      <alignment horizontal="right" vertical="center"/>
      <protection hidden="1"/>
    </xf>
    <xf numFmtId="3" fontId="64" fillId="0" borderId="48" xfId="0" applyNumberFormat="1" applyFont="1" applyBorder="1" applyAlignment="1" applyProtection="1">
      <alignment horizontal="center" vertical="center" wrapText="1"/>
      <protection hidden="1"/>
    </xf>
    <xf numFmtId="3" fontId="67" fillId="0" borderId="48" xfId="0" applyNumberFormat="1" applyFont="1" applyBorder="1" applyAlignment="1" applyProtection="1">
      <alignment horizontal="center" vertical="center" wrapText="1"/>
      <protection hidden="1"/>
    </xf>
    <xf numFmtId="3" fontId="67" fillId="17" borderId="48" xfId="0" applyNumberFormat="1" applyFont="1" applyFill="1" applyBorder="1" applyAlignment="1" applyProtection="1">
      <alignment horizontal="right" vertical="center" wrapText="1"/>
      <protection hidden="1"/>
    </xf>
    <xf numFmtId="3" fontId="67" fillId="17" borderId="49" xfId="0" applyNumberFormat="1" applyFont="1" applyFill="1" applyBorder="1" applyAlignment="1" applyProtection="1">
      <alignment horizontal="right" vertical="center" wrapText="1"/>
      <protection hidden="1"/>
    </xf>
    <xf numFmtId="0" fontId="64" fillId="17" borderId="52" xfId="0" applyFont="1" applyFill="1" applyBorder="1" applyAlignment="1" applyProtection="1">
      <alignment horizontal="center" vertical="center"/>
      <protection hidden="1"/>
    </xf>
    <xf numFmtId="3" fontId="64" fillId="17" borderId="49" xfId="0" applyNumberFormat="1" applyFont="1" applyFill="1" applyBorder="1" applyAlignment="1" applyProtection="1">
      <alignment horizontal="right" vertical="center" wrapText="1"/>
      <protection hidden="1"/>
    </xf>
    <xf numFmtId="0" fontId="64" fillId="17" borderId="51" xfId="0" applyFont="1" applyFill="1" applyBorder="1" applyAlignment="1" applyProtection="1">
      <alignment horizontal="center" vertical="center"/>
      <protection hidden="1"/>
    </xf>
    <xf numFmtId="3" fontId="64" fillId="17" borderId="50" xfId="0" applyNumberFormat="1" applyFont="1" applyFill="1" applyBorder="1" applyAlignment="1" applyProtection="1">
      <alignment horizontal="right" vertical="center"/>
      <protection hidden="1"/>
    </xf>
    <xf numFmtId="0" fontId="64" fillId="14" borderId="46" xfId="0" applyFont="1" applyFill="1" applyBorder="1" applyProtection="1">
      <protection hidden="1"/>
    </xf>
    <xf numFmtId="0" fontId="64" fillId="14" borderId="46" xfId="0" applyFont="1" applyFill="1" applyBorder="1" applyAlignment="1" applyProtection="1">
      <alignment horizontal="center" vertical="top" wrapText="1"/>
      <protection hidden="1"/>
    </xf>
    <xf numFmtId="0" fontId="64" fillId="15" borderId="48" xfId="0" applyFont="1" applyFill="1" applyBorder="1" applyProtection="1">
      <protection hidden="1"/>
    </xf>
    <xf numFmtId="3" fontId="64" fillId="15" borderId="48" xfId="0" applyNumberFormat="1" applyFont="1" applyFill="1" applyBorder="1" applyAlignment="1" applyProtection="1">
      <alignment vertical="top" wrapText="1"/>
      <protection hidden="1"/>
    </xf>
    <xf numFmtId="0" fontId="67" fillId="24" borderId="48" xfId="0" applyFont="1" applyFill="1" applyBorder="1" applyAlignment="1" applyProtection="1">
      <alignment vertical="center"/>
      <protection hidden="1"/>
    </xf>
    <xf numFmtId="0" fontId="64" fillId="24" borderId="48" xfId="0" applyFont="1" applyFill="1" applyBorder="1" applyAlignment="1" applyProtection="1">
      <alignment vertical="top" wrapText="1"/>
      <protection hidden="1"/>
    </xf>
    <xf numFmtId="0" fontId="67" fillId="24" borderId="48" xfId="0" applyFont="1" applyFill="1" applyBorder="1" applyProtection="1">
      <protection hidden="1"/>
    </xf>
    <xf numFmtId="10" fontId="67" fillId="10" borderId="48" xfId="0" applyNumberFormat="1" applyFont="1" applyFill="1" applyBorder="1" applyAlignment="1" applyProtection="1">
      <alignment vertical="center" wrapText="1"/>
      <protection hidden="1"/>
    </xf>
    <xf numFmtId="49" fontId="74" fillId="0" borderId="0" xfId="0" applyNumberFormat="1" applyFont="1" applyAlignment="1" applyProtection="1">
      <alignment wrapText="1"/>
      <protection hidden="1"/>
    </xf>
    <xf numFmtId="0" fontId="74" fillId="0" borderId="0" xfId="0" applyFont="1" applyProtection="1">
      <protection hidden="1"/>
    </xf>
    <xf numFmtId="2" fontId="20" fillId="5" borderId="3" xfId="0" applyNumberFormat="1" applyFont="1" applyFill="1" applyBorder="1" applyAlignment="1" applyProtection="1">
      <alignment horizontal="center"/>
      <protection hidden="1"/>
    </xf>
    <xf numFmtId="2" fontId="20" fillId="27" borderId="13" xfId="0" applyNumberFormat="1" applyFont="1" applyFill="1" applyBorder="1" applyProtection="1">
      <protection hidden="1"/>
    </xf>
    <xf numFmtId="2" fontId="20" fillId="13" borderId="13" xfId="0" applyNumberFormat="1" applyFont="1" applyFill="1" applyBorder="1" applyProtection="1">
      <protection hidden="1"/>
    </xf>
    <xf numFmtId="49" fontId="74" fillId="0" borderId="0" xfId="0" applyNumberFormat="1" applyFont="1" applyProtection="1">
      <protection hidden="1"/>
    </xf>
    <xf numFmtId="49" fontId="75" fillId="28" borderId="53" xfId="0" applyNumberFormat="1" applyFont="1" applyFill="1" applyBorder="1" applyAlignment="1" applyProtection="1">
      <alignment horizontal="left"/>
      <protection hidden="1"/>
    </xf>
    <xf numFmtId="0" fontId="75" fillId="28" borderId="9" xfId="0" applyFont="1" applyFill="1" applyBorder="1" applyProtection="1">
      <protection hidden="1"/>
    </xf>
    <xf numFmtId="2" fontId="76" fillId="28" borderId="3" xfId="0" applyNumberFormat="1" applyFont="1" applyFill="1" applyBorder="1" applyProtection="1">
      <protection hidden="1"/>
    </xf>
    <xf numFmtId="2" fontId="76" fillId="27" borderId="13" xfId="0" applyNumberFormat="1" applyFont="1" applyFill="1" applyBorder="1" applyProtection="1">
      <protection hidden="1"/>
    </xf>
    <xf numFmtId="2" fontId="76" fillId="13" borderId="13" xfId="0" applyNumberFormat="1" applyFont="1" applyFill="1" applyBorder="1" applyProtection="1">
      <protection hidden="1"/>
    </xf>
    <xf numFmtId="49" fontId="77" fillId="5" borderId="3" xfId="0" applyNumberFormat="1" applyFont="1" applyFill="1" applyBorder="1" applyProtection="1">
      <protection hidden="1"/>
    </xf>
    <xf numFmtId="0" fontId="74" fillId="5" borderId="3" xfId="0" applyFont="1" applyFill="1" applyBorder="1" applyProtection="1">
      <protection hidden="1"/>
    </xf>
    <xf numFmtId="0" fontId="77" fillId="5" borderId="3" xfId="0" applyFont="1" applyFill="1" applyBorder="1" applyProtection="1">
      <protection hidden="1"/>
    </xf>
    <xf numFmtId="2" fontId="78" fillId="5" borderId="54" xfId="0" applyNumberFormat="1" applyFont="1" applyFill="1" applyBorder="1" applyProtection="1">
      <protection hidden="1"/>
    </xf>
    <xf numFmtId="2" fontId="78" fillId="27" borderId="54" xfId="0" applyNumberFormat="1" applyFont="1" applyFill="1" applyBorder="1" applyProtection="1">
      <protection hidden="1"/>
    </xf>
    <xf numFmtId="2" fontId="78" fillId="13" borderId="54" xfId="0" applyNumberFormat="1" applyFont="1" applyFill="1" applyBorder="1" applyProtection="1">
      <protection hidden="1"/>
    </xf>
    <xf numFmtId="49" fontId="74" fillId="0" borderId="22" xfId="0" applyNumberFormat="1" applyFont="1" applyBorder="1" applyProtection="1">
      <protection hidden="1"/>
    </xf>
    <xf numFmtId="0" fontId="74" fillId="0" borderId="0" xfId="0" applyFont="1" applyBorder="1" applyProtection="1">
      <protection hidden="1"/>
    </xf>
    <xf numFmtId="0" fontId="79" fillId="0" borderId="0" xfId="0" applyFont="1" applyProtection="1">
      <protection hidden="1"/>
    </xf>
    <xf numFmtId="2" fontId="79" fillId="0" borderId="0" xfId="0" applyNumberFormat="1" applyFont="1" applyBorder="1" applyProtection="1">
      <protection hidden="1"/>
    </xf>
    <xf numFmtId="2" fontId="79" fillId="27" borderId="0" xfId="0" applyNumberFormat="1" applyFont="1" applyFill="1" applyBorder="1" applyProtection="1">
      <protection hidden="1"/>
    </xf>
    <xf numFmtId="2" fontId="79" fillId="13" borderId="0" xfId="0" applyNumberFormat="1" applyFont="1" applyFill="1" applyBorder="1" applyProtection="1">
      <protection hidden="1"/>
    </xf>
    <xf numFmtId="2" fontId="74" fillId="0" borderId="0" xfId="0" applyNumberFormat="1" applyFont="1" applyBorder="1" applyProtection="1">
      <protection hidden="1"/>
    </xf>
    <xf numFmtId="2" fontId="74" fillId="27" borderId="0" xfId="0" applyNumberFormat="1" applyFont="1" applyFill="1" applyBorder="1" applyProtection="1">
      <protection hidden="1"/>
    </xf>
    <xf numFmtId="2" fontId="74" fillId="13" borderId="0" xfId="0" applyNumberFormat="1" applyFont="1" applyFill="1" applyBorder="1" applyProtection="1">
      <protection hidden="1"/>
    </xf>
    <xf numFmtId="2" fontId="74" fillId="0" borderId="55" xfId="0" applyNumberFormat="1" applyFont="1" applyBorder="1" applyProtection="1">
      <protection hidden="1"/>
    </xf>
    <xf numFmtId="2" fontId="74" fillId="27" borderId="55" xfId="0" applyNumberFormat="1" applyFont="1" applyFill="1" applyBorder="1" applyProtection="1">
      <protection hidden="1"/>
    </xf>
    <xf numFmtId="2" fontId="74" fillId="13" borderId="55" xfId="0" applyNumberFormat="1" applyFont="1" applyFill="1" applyBorder="1" applyProtection="1">
      <protection hidden="1"/>
    </xf>
    <xf numFmtId="2" fontId="78" fillId="27" borderId="56" xfId="0" applyNumberFormat="1" applyFont="1" applyFill="1" applyBorder="1" applyProtection="1">
      <protection hidden="1"/>
    </xf>
    <xf numFmtId="2" fontId="78" fillId="13" borderId="56" xfId="0" applyNumberFormat="1" applyFont="1" applyFill="1" applyBorder="1" applyProtection="1">
      <protection hidden="1"/>
    </xf>
    <xf numFmtId="49" fontId="80" fillId="0" borderId="0" xfId="0" applyNumberFormat="1" applyFont="1" applyProtection="1">
      <protection hidden="1"/>
    </xf>
    <xf numFmtId="49" fontId="74" fillId="0" borderId="57" xfId="0" applyNumberFormat="1" applyFont="1" applyBorder="1" applyProtection="1">
      <protection hidden="1"/>
    </xf>
    <xf numFmtId="0" fontId="74" fillId="0" borderId="55" xfId="0" applyFont="1" applyBorder="1" applyProtection="1">
      <protection hidden="1"/>
    </xf>
    <xf numFmtId="49" fontId="77" fillId="0" borderId="0" xfId="0" applyNumberFormat="1" applyFont="1" applyBorder="1" applyProtection="1">
      <protection hidden="1"/>
    </xf>
    <xf numFmtId="49" fontId="77" fillId="5" borderId="0" xfId="0" applyNumberFormat="1" applyFont="1" applyFill="1" applyBorder="1" applyProtection="1">
      <protection hidden="1"/>
    </xf>
    <xf numFmtId="0" fontId="74" fillId="5" borderId="0" xfId="0" applyFont="1" applyFill="1" applyBorder="1" applyProtection="1">
      <protection hidden="1"/>
    </xf>
    <xf numFmtId="2" fontId="76" fillId="28" borderId="9" xfId="0" applyNumberFormat="1" applyFont="1" applyFill="1" applyBorder="1" applyProtection="1">
      <protection hidden="1"/>
    </xf>
    <xf numFmtId="2" fontId="76" fillId="27" borderId="4" xfId="0" applyNumberFormat="1" applyFont="1" applyFill="1" applyBorder="1" applyProtection="1">
      <protection hidden="1"/>
    </xf>
    <xf numFmtId="2" fontId="76" fillId="13" borderId="4" xfId="0" applyNumberFormat="1" applyFont="1" applyFill="1" applyBorder="1" applyProtection="1">
      <protection hidden="1"/>
    </xf>
    <xf numFmtId="49" fontId="77" fillId="5" borderId="58" xfId="0" applyNumberFormat="1" applyFont="1" applyFill="1" applyBorder="1" applyProtection="1">
      <protection hidden="1"/>
    </xf>
    <xf numFmtId="0" fontId="74" fillId="5" borderId="54" xfId="0" applyFont="1" applyFill="1" applyBorder="1" applyProtection="1">
      <protection hidden="1"/>
    </xf>
    <xf numFmtId="0" fontId="77" fillId="5" borderId="54" xfId="0" applyFont="1" applyFill="1" applyBorder="1" applyProtection="1">
      <protection hidden="1"/>
    </xf>
    <xf numFmtId="0" fontId="81" fillId="0" borderId="0" xfId="0" applyFont="1" applyBorder="1" applyProtection="1">
      <protection hidden="1"/>
    </xf>
    <xf numFmtId="49" fontId="74" fillId="6" borderId="22" xfId="0" applyNumberFormat="1" applyFont="1" applyFill="1" applyBorder="1" applyProtection="1">
      <protection hidden="1"/>
    </xf>
    <xf numFmtId="0" fontId="74" fillId="6" borderId="0" xfId="0" applyFont="1" applyFill="1" applyBorder="1" applyProtection="1">
      <protection hidden="1"/>
    </xf>
    <xf numFmtId="2" fontId="74" fillId="0" borderId="0" xfId="0" applyNumberFormat="1" applyFont="1" applyProtection="1">
      <protection hidden="1"/>
    </xf>
    <xf numFmtId="2" fontId="74" fillId="13" borderId="0" xfId="0" applyNumberFormat="1" applyFont="1" applyFill="1" applyProtection="1">
      <protection hidden="1"/>
    </xf>
    <xf numFmtId="0" fontId="0" fillId="0" borderId="55" xfId="0" applyBorder="1" applyProtection="1">
      <protection hidden="1"/>
    </xf>
    <xf numFmtId="0" fontId="80" fillId="0" borderId="0" xfId="0" applyFont="1" applyBorder="1" applyProtection="1">
      <protection hidden="1"/>
    </xf>
    <xf numFmtId="49" fontId="74" fillId="6" borderId="57" xfId="0" applyNumberFormat="1" applyFont="1" applyFill="1" applyBorder="1" applyProtection="1">
      <protection hidden="1"/>
    </xf>
    <xf numFmtId="49" fontId="74" fillId="0" borderId="25" xfId="0" applyNumberFormat="1" applyFont="1" applyBorder="1" applyProtection="1">
      <protection hidden="1"/>
    </xf>
    <xf numFmtId="0" fontId="74" fillId="0" borderId="5" xfId="0" applyFont="1" applyBorder="1" applyProtection="1">
      <protection hidden="1"/>
    </xf>
    <xf numFmtId="2" fontId="74" fillId="0" borderId="5" xfId="0" applyNumberFormat="1" applyFont="1" applyBorder="1" applyProtection="1">
      <protection hidden="1"/>
    </xf>
    <xf numFmtId="2" fontId="74" fillId="27" borderId="5" xfId="0" applyNumberFormat="1" applyFont="1" applyFill="1" applyBorder="1" applyProtection="1">
      <protection hidden="1"/>
    </xf>
    <xf numFmtId="2" fontId="74" fillId="13" borderId="5" xfId="0" applyNumberFormat="1" applyFont="1" applyFill="1" applyBorder="1" applyProtection="1">
      <protection hidden="1"/>
    </xf>
    <xf numFmtId="49" fontId="74" fillId="0" borderId="0" xfId="0" applyNumberFormat="1" applyFont="1" applyBorder="1" applyProtection="1">
      <protection hidden="1"/>
    </xf>
    <xf numFmtId="2" fontId="76" fillId="27" borderId="9" xfId="0" applyNumberFormat="1" applyFont="1" applyFill="1" applyBorder="1" applyProtection="1">
      <protection hidden="1"/>
    </xf>
    <xf numFmtId="2" fontId="76" fillId="13" borderId="9" xfId="0" applyNumberFormat="1" applyFont="1" applyFill="1" applyBorder="1" applyProtection="1">
      <protection hidden="1"/>
    </xf>
    <xf numFmtId="49" fontId="79" fillId="0" borderId="0" xfId="0" applyNumberFormat="1" applyFont="1" applyProtection="1">
      <protection hidden="1"/>
    </xf>
    <xf numFmtId="0" fontId="82" fillId="0" borderId="0" xfId="0" applyFont="1" applyBorder="1" applyProtection="1">
      <protection hidden="1"/>
    </xf>
    <xf numFmtId="49" fontId="0" fillId="6" borderId="0" xfId="0" applyNumberFormat="1" applyFill="1" applyProtection="1">
      <protection hidden="1"/>
    </xf>
    <xf numFmtId="49" fontId="2" fillId="0" borderId="0" xfId="0" applyNumberFormat="1" applyFont="1"/>
    <xf numFmtId="49" fontId="0" fillId="6" borderId="0" xfId="0" applyNumberFormat="1" applyFill="1"/>
    <xf numFmtId="0" fontId="33" fillId="0" borderId="0" xfId="0" applyFont="1"/>
    <xf numFmtId="49" fontId="0" fillId="9" borderId="0" xfId="0" applyNumberFormat="1" applyFill="1"/>
    <xf numFmtId="0" fontId="8" fillId="0" borderId="0" xfId="0" applyFont="1" applyAlignment="1" applyProtection="1">
      <alignment wrapText="1"/>
      <protection hidden="1"/>
    </xf>
    <xf numFmtId="49" fontId="83" fillId="0" borderId="0" xfId="0" applyNumberFormat="1" applyFont="1" applyProtection="1">
      <protection hidden="1"/>
    </xf>
    <xf numFmtId="49" fontId="84" fillId="0" borderId="0" xfId="0" applyNumberFormat="1" applyFont="1" applyProtection="1">
      <protection hidden="1"/>
    </xf>
    <xf numFmtId="49" fontId="84" fillId="0" borderId="0" xfId="0" applyNumberFormat="1" applyFont="1" applyBorder="1" applyAlignment="1" applyProtection="1">
      <alignment horizontal="left" vertical="center"/>
      <protection hidden="1"/>
    </xf>
    <xf numFmtId="49" fontId="84" fillId="0" borderId="0" xfId="0" applyNumberFormat="1" applyFont="1" applyBorder="1" applyProtection="1">
      <protection hidden="1"/>
    </xf>
    <xf numFmtId="49" fontId="84" fillId="0" borderId="0" xfId="0" applyNumberFormat="1" applyFont="1" applyBorder="1" applyAlignment="1" applyProtection="1">
      <protection hidden="1"/>
    </xf>
    <xf numFmtId="0" fontId="85" fillId="0" borderId="0" xfId="0" applyFont="1"/>
    <xf numFmtId="0" fontId="42" fillId="0" borderId="0" xfId="0" applyFont="1" applyBorder="1" applyAlignment="1">
      <alignment horizontal="right"/>
    </xf>
    <xf numFmtId="0" fontId="42" fillId="0" borderId="0" xfId="0" applyFont="1" applyBorder="1"/>
    <xf numFmtId="0" fontId="42" fillId="0" borderId="0" xfId="0" applyFont="1" applyBorder="1" applyAlignment="1">
      <alignment wrapText="1"/>
    </xf>
    <xf numFmtId="0" fontId="42" fillId="0" borderId="0" xfId="0" applyFont="1"/>
    <xf numFmtId="0" fontId="42" fillId="0" borderId="0" xfId="0" applyFont="1" applyAlignment="1">
      <alignment wrapText="1"/>
    </xf>
    <xf numFmtId="0" fontId="8" fillId="3" borderId="0" xfId="0" applyFont="1" applyFill="1"/>
    <xf numFmtId="0" fontId="8" fillId="0" borderId="59" xfId="0" applyFont="1" applyBorder="1"/>
    <xf numFmtId="0" fontId="8" fillId="0" borderId="53" xfId="0" applyFont="1" applyBorder="1"/>
    <xf numFmtId="0" fontId="8" fillId="0" borderId="14" xfId="0" applyFont="1" applyBorder="1"/>
    <xf numFmtId="0" fontId="8" fillId="0" borderId="6" xfId="0" applyFont="1" applyBorder="1"/>
    <xf numFmtId="0" fontId="8" fillId="0" borderId="60" xfId="0" applyFont="1" applyBorder="1"/>
    <xf numFmtId="0" fontId="87" fillId="0" borderId="13" xfId="0" applyFont="1" applyBorder="1" applyAlignment="1"/>
    <xf numFmtId="0" fontId="87" fillId="0" borderId="14" xfId="0" applyFont="1" applyBorder="1" applyAlignment="1"/>
    <xf numFmtId="0" fontId="8" fillId="0" borderId="0" xfId="0" applyFont="1" applyBorder="1"/>
    <xf numFmtId="0" fontId="8" fillId="0" borderId="61" xfId="0" applyFont="1" applyBorder="1"/>
    <xf numFmtId="0" fontId="8" fillId="0" borderId="25" xfId="0" applyFont="1" applyBorder="1"/>
    <xf numFmtId="0" fontId="8" fillId="0" borderId="5" xfId="0" applyFont="1" applyBorder="1"/>
    <xf numFmtId="0" fontId="8" fillId="0" borderId="62" xfId="0" applyFont="1" applyBorder="1"/>
    <xf numFmtId="0" fontId="8" fillId="0" borderId="63" xfId="0" applyFont="1" applyBorder="1"/>
    <xf numFmtId="0" fontId="8" fillId="0" borderId="57" xfId="0" applyFont="1" applyBorder="1"/>
    <xf numFmtId="0" fontId="8" fillId="0" borderId="55" xfId="0" applyFont="1" applyBorder="1"/>
    <xf numFmtId="0" fontId="8" fillId="0" borderId="64" xfId="0" applyFont="1" applyBorder="1"/>
    <xf numFmtId="0" fontId="8" fillId="0" borderId="0" xfId="0" applyFont="1"/>
    <xf numFmtId="0" fontId="24" fillId="0" borderId="0" xfId="0" applyFont="1" applyBorder="1" applyAlignment="1">
      <alignment vertical="top"/>
    </xf>
    <xf numFmtId="0" fontId="87" fillId="0" borderId="0" xfId="0" applyFont="1" applyBorder="1" applyAlignment="1">
      <alignment vertical="center" wrapText="1"/>
    </xf>
    <xf numFmtId="0" fontId="87" fillId="0" borderId="0" xfId="0" applyFont="1" applyBorder="1" applyAlignment="1">
      <alignment vertical="center"/>
    </xf>
    <xf numFmtId="49" fontId="47" fillId="0" borderId="0" xfId="0" applyNumberFormat="1" applyFont="1" applyBorder="1" applyAlignment="1">
      <alignment vertical="center"/>
    </xf>
    <xf numFmtId="0" fontId="87" fillId="0" borderId="0" xfId="0" applyFont="1" applyBorder="1" applyAlignment="1"/>
    <xf numFmtId="2" fontId="8" fillId="0" borderId="13" xfId="0" applyNumberFormat="1" applyFont="1" applyBorder="1" applyAlignment="1">
      <alignment vertical="center"/>
    </xf>
    <xf numFmtId="2" fontId="8" fillId="0" borderId="14" xfId="0" applyNumberFormat="1" applyFont="1" applyBorder="1" applyAlignment="1">
      <alignment vertical="center"/>
    </xf>
    <xf numFmtId="0" fontId="8" fillId="0" borderId="65" xfId="0" applyFont="1" applyBorder="1"/>
    <xf numFmtId="0" fontId="8" fillId="0" borderId="66" xfId="0" applyFont="1" applyBorder="1"/>
    <xf numFmtId="0" fontId="8" fillId="0" borderId="67" xfId="0" applyFont="1" applyBorder="1"/>
    <xf numFmtId="0" fontId="24" fillId="0" borderId="20" xfId="0" applyFont="1" applyBorder="1" applyAlignment="1">
      <alignment vertical="top"/>
    </xf>
    <xf numFmtId="0" fontId="87" fillId="0" borderId="20" xfId="0" applyFont="1" applyBorder="1" applyAlignment="1">
      <alignment vertical="center" wrapText="1"/>
    </xf>
    <xf numFmtId="0" fontId="87" fillId="0" borderId="20" xfId="0" applyFont="1" applyBorder="1" applyAlignment="1">
      <alignment vertical="center"/>
    </xf>
    <xf numFmtId="49" fontId="47" fillId="0" borderId="20" xfId="0" applyNumberFormat="1" applyFont="1" applyBorder="1" applyAlignment="1">
      <alignment vertical="center"/>
    </xf>
    <xf numFmtId="0" fontId="87" fillId="0" borderId="8" xfId="0" applyFont="1" applyBorder="1" applyAlignment="1"/>
    <xf numFmtId="0" fontId="8" fillId="0" borderId="0" xfId="0" applyFont="1" applyAlignment="1">
      <alignment horizontal="right"/>
    </xf>
    <xf numFmtId="0" fontId="8" fillId="0" borderId="0" xfId="0" applyFont="1" applyBorder="1" applyAlignment="1">
      <alignment horizontal="right"/>
    </xf>
    <xf numFmtId="0" fontId="8" fillId="0" borderId="68" xfId="0" applyFont="1" applyBorder="1"/>
    <xf numFmtId="0" fontId="8" fillId="0" borderId="22" xfId="0" applyFont="1" applyBorder="1"/>
    <xf numFmtId="0" fontId="8" fillId="0" borderId="69" xfId="0" applyFont="1" applyBorder="1"/>
    <xf numFmtId="4" fontId="14" fillId="3" borderId="3" xfId="0" applyNumberFormat="1" applyFont="1" applyFill="1" applyBorder="1" applyAlignment="1" applyProtection="1">
      <alignment horizontal="center"/>
      <protection hidden="1"/>
    </xf>
    <xf numFmtId="0" fontId="1" fillId="0" borderId="0" xfId="0" applyFont="1" applyBorder="1" applyAlignment="1" applyProtection="1">
      <alignment horizontal="center"/>
      <protection hidden="1"/>
    </xf>
    <xf numFmtId="0" fontId="14" fillId="3" borderId="3" xfId="0" applyFont="1" applyFill="1" applyBorder="1" applyAlignment="1" applyProtection="1">
      <alignment horizontal="left"/>
      <protection hidden="1"/>
    </xf>
    <xf numFmtId="0" fontId="1" fillId="0" borderId="0" xfId="0" applyFont="1" applyBorder="1" applyAlignment="1" applyProtection="1">
      <alignment horizontal="center" vertical="center" wrapText="1"/>
      <protection hidden="1"/>
    </xf>
    <xf numFmtId="0" fontId="17" fillId="4" borderId="8" xfId="0" applyFont="1" applyFill="1" applyBorder="1" applyAlignment="1" applyProtection="1">
      <alignment horizontal="center"/>
      <protection hidden="1"/>
    </xf>
    <xf numFmtId="4" fontId="18" fillId="3" borderId="9" xfId="0" applyNumberFormat="1" applyFont="1" applyFill="1" applyBorder="1" applyAlignment="1" applyProtection="1">
      <alignment horizontal="left" vertical="top" wrapText="1"/>
      <protection hidden="1"/>
    </xf>
    <xf numFmtId="4" fontId="14" fillId="3" borderId="9" xfId="0" applyNumberFormat="1" applyFont="1" applyFill="1" applyBorder="1" applyAlignment="1" applyProtection="1">
      <alignment horizontal="center" wrapText="1"/>
      <protection hidden="1"/>
    </xf>
    <xf numFmtId="4" fontId="14" fillId="3" borderId="4" xfId="0" applyNumberFormat="1" applyFont="1" applyFill="1" applyBorder="1" applyAlignment="1" applyProtection="1">
      <alignment horizontal="center" wrapText="1"/>
      <protection hidden="1"/>
    </xf>
    <xf numFmtId="1" fontId="14" fillId="3" borderId="7" xfId="0" applyNumberFormat="1" applyFont="1" applyFill="1" applyBorder="1" applyAlignment="1" applyProtection="1">
      <alignment horizontal="center"/>
      <protection hidden="1"/>
    </xf>
    <xf numFmtId="0" fontId="15" fillId="0" borderId="0" xfId="0" applyFont="1" applyBorder="1" applyAlignment="1" applyProtection="1">
      <alignment horizontal="left" vertical="center" wrapText="1"/>
      <protection hidden="1"/>
    </xf>
    <xf numFmtId="4" fontId="14" fillId="3" borderId="9" xfId="0" applyNumberFormat="1" applyFont="1" applyFill="1" applyBorder="1" applyAlignment="1" applyProtection="1">
      <alignment horizontal="center"/>
      <protection hidden="1"/>
    </xf>
    <xf numFmtId="4" fontId="14" fillId="3" borderId="4" xfId="0" applyNumberFormat="1" applyFont="1" applyFill="1" applyBorder="1" applyAlignment="1" applyProtection="1">
      <alignment horizontal="center"/>
      <protection hidden="1"/>
    </xf>
    <xf numFmtId="4" fontId="15" fillId="0" borderId="0" xfId="0" applyNumberFormat="1" applyFont="1" applyBorder="1" applyAlignment="1" applyProtection="1">
      <alignment horizontal="center"/>
      <protection hidden="1"/>
    </xf>
    <xf numFmtId="49" fontId="29" fillId="0" borderId="0" xfId="0" applyNumberFormat="1" applyFont="1" applyBorder="1" applyAlignment="1" applyProtection="1">
      <alignment horizontal="center"/>
      <protection hidden="1"/>
    </xf>
    <xf numFmtId="0" fontId="36" fillId="0" borderId="0" xfId="0" applyFont="1" applyBorder="1" applyAlignment="1" applyProtection="1">
      <alignment horizontal="left" wrapText="1"/>
      <protection hidden="1"/>
    </xf>
    <xf numFmtId="14" fontId="37" fillId="0" borderId="0" xfId="0" applyNumberFormat="1" applyFont="1" applyBorder="1" applyAlignment="1" applyProtection="1">
      <alignment horizontal="center"/>
      <protection hidden="1"/>
    </xf>
    <xf numFmtId="49" fontId="41" fillId="0" borderId="17" xfId="0" applyNumberFormat="1" applyFont="1" applyBorder="1" applyAlignment="1" applyProtection="1">
      <alignment horizontal="left"/>
      <protection hidden="1"/>
    </xf>
    <xf numFmtId="0" fontId="24" fillId="0" borderId="0" xfId="0" applyFont="1" applyBorder="1" applyAlignment="1" applyProtection="1">
      <alignment horizontal="left" vertical="top" wrapText="1"/>
      <protection locked="0" hidden="1"/>
    </xf>
    <xf numFmtId="14" fontId="15" fillId="0" borderId="18" xfId="0" applyNumberFormat="1" applyFont="1" applyBorder="1" applyAlignment="1" applyProtection="1">
      <alignment horizontal="left" vertical="top" wrapText="1"/>
      <protection locked="0" hidden="1"/>
    </xf>
    <xf numFmtId="14" fontId="15" fillId="0" borderId="0" xfId="0" applyNumberFormat="1" applyFont="1" applyBorder="1" applyAlignment="1" applyProtection="1">
      <alignment horizontal="center" vertical="top" wrapText="1"/>
      <protection locked="0" hidden="1"/>
    </xf>
    <xf numFmtId="0" fontId="15" fillId="0" borderId="19" xfId="0" applyFont="1" applyBorder="1" applyAlignment="1" applyProtection="1">
      <alignment horizontal="left" vertical="top" wrapText="1"/>
      <protection locked="0" hidden="1"/>
    </xf>
    <xf numFmtId="0" fontId="15" fillId="0" borderId="0" xfId="0" applyFont="1" applyBorder="1" applyAlignment="1" applyProtection="1">
      <alignment horizontal="left" vertical="top" wrapText="1"/>
      <protection locked="0" hidden="1"/>
    </xf>
    <xf numFmtId="0" fontId="15" fillId="0" borderId="0" xfId="0" applyFont="1" applyBorder="1" applyAlignment="1" applyProtection="1">
      <alignment horizontal="center" vertical="top" wrapText="1"/>
      <protection locked="0" hidden="1"/>
    </xf>
    <xf numFmtId="0" fontId="36" fillId="0" borderId="0" xfId="0" applyFont="1" applyBorder="1" applyAlignment="1" applyProtection="1">
      <alignment horizontal="left" vertical="top" wrapText="1"/>
      <protection locked="0" hidden="1"/>
    </xf>
    <xf numFmtId="0" fontId="24" fillId="0" borderId="17" xfId="0" applyFont="1" applyBorder="1" applyAlignment="1" applyProtection="1">
      <alignment horizontal="left" vertical="top" wrapText="1"/>
      <protection locked="0" hidden="1"/>
    </xf>
    <xf numFmtId="0" fontId="36" fillId="0" borderId="11" xfId="0" applyFont="1" applyBorder="1" applyAlignment="1" applyProtection="1">
      <alignment horizontal="left" vertical="top" wrapText="1"/>
      <protection locked="0" hidden="1"/>
    </xf>
    <xf numFmtId="0" fontId="43" fillId="0" borderId="3" xfId="0" applyFont="1" applyBorder="1" applyAlignment="1" applyProtection="1">
      <alignment horizontal="center" vertical="center"/>
      <protection locked="0" hidden="1"/>
    </xf>
    <xf numFmtId="0" fontId="43" fillId="0" borderId="3" xfId="0" applyFont="1" applyBorder="1" applyAlignment="1" applyProtection="1">
      <alignment horizontal="center"/>
      <protection locked="0" hidden="1"/>
    </xf>
    <xf numFmtId="0" fontId="10" fillId="0" borderId="3" xfId="0" applyFont="1" applyBorder="1" applyAlignment="1" applyProtection="1">
      <alignment horizontal="left"/>
      <protection locked="0" hidden="1"/>
    </xf>
    <xf numFmtId="1" fontId="10" fillId="0" borderId="3" xfId="0" applyNumberFormat="1" applyFont="1" applyBorder="1" applyAlignment="1" applyProtection="1">
      <alignment horizontal="right"/>
      <protection locked="0" hidden="1"/>
    </xf>
    <xf numFmtId="0" fontId="10" fillId="0" borderId="9" xfId="0" applyFont="1" applyBorder="1" applyAlignment="1" applyProtection="1">
      <alignment horizontal="left"/>
      <protection locked="0" hidden="1"/>
    </xf>
    <xf numFmtId="0" fontId="10" fillId="0" borderId="7" xfId="0" applyFont="1" applyBorder="1" applyAlignment="1" applyProtection="1">
      <alignment horizontal="left"/>
      <protection locked="0" hidden="1"/>
    </xf>
    <xf numFmtId="0" fontId="24" fillId="0" borderId="0" xfId="0" applyFont="1" applyBorder="1" applyAlignment="1" applyProtection="1">
      <alignment horizontal="center" vertical="top" wrapText="1"/>
      <protection locked="0" hidden="1"/>
    </xf>
    <xf numFmtId="0" fontId="24" fillId="9" borderId="0" xfId="0" applyFont="1" applyFill="1" applyBorder="1" applyAlignment="1" applyProtection="1">
      <alignment horizontal="center" vertical="top" wrapText="1"/>
      <protection locked="0" hidden="1"/>
    </xf>
    <xf numFmtId="49" fontId="36" fillId="0" borderId="0" xfId="0" applyNumberFormat="1" applyFont="1" applyBorder="1" applyAlignment="1" applyProtection="1">
      <alignment horizontal="left" vertical="top" wrapText="1"/>
      <protection locked="0" hidden="1"/>
    </xf>
    <xf numFmtId="0" fontId="10" fillId="0" borderId="0" xfId="0" applyFont="1" applyBorder="1" applyAlignment="1" applyProtection="1">
      <alignment horizontal="center"/>
      <protection locked="0" hidden="1"/>
    </xf>
    <xf numFmtId="3" fontId="24" fillId="0" borderId="0" xfId="0" applyNumberFormat="1" applyFont="1" applyBorder="1" applyAlignment="1" applyProtection="1">
      <alignment horizontal="right" vertical="top" wrapText="1"/>
      <protection locked="0" hidden="1"/>
    </xf>
    <xf numFmtId="0" fontId="10" fillId="9" borderId="0" xfId="0" applyFont="1" applyFill="1" applyBorder="1" applyAlignment="1" applyProtection="1">
      <alignment horizontal="center"/>
      <protection locked="0" hidden="1"/>
    </xf>
    <xf numFmtId="0" fontId="24" fillId="0" borderId="3" xfId="0" applyFont="1" applyBorder="1" applyAlignment="1" applyProtection="1">
      <alignment horizontal="center" vertical="center" wrapText="1"/>
      <protection locked="0" hidden="1"/>
    </xf>
    <xf numFmtId="0" fontId="24" fillId="0" borderId="3" xfId="0" applyFont="1" applyBorder="1" applyAlignment="1" applyProtection="1">
      <alignment horizontal="center" vertical="top" wrapText="1"/>
      <protection locked="0" hidden="1"/>
    </xf>
    <xf numFmtId="0" fontId="24" fillId="0" borderId="3" xfId="0" applyFont="1" applyBorder="1" applyAlignment="1" applyProtection="1">
      <alignment horizontal="right" vertical="top" wrapText="1"/>
      <protection locked="0" hidden="1"/>
    </xf>
    <xf numFmtId="0" fontId="24" fillId="0" borderId="3" xfId="0" applyFont="1" applyBorder="1" applyAlignment="1" applyProtection="1">
      <alignment vertical="top" wrapText="1"/>
      <protection locked="0" hidden="1"/>
    </xf>
    <xf numFmtId="0" fontId="24" fillId="0" borderId="3" xfId="0" applyFont="1" applyBorder="1" applyAlignment="1" applyProtection="1">
      <alignment horizontal="left" vertical="center" wrapText="1"/>
      <protection locked="0" hidden="1"/>
    </xf>
    <xf numFmtId="0" fontId="24" fillId="0" borderId="3" xfId="0" applyFont="1" applyBorder="1" applyAlignment="1" applyProtection="1">
      <alignment horizontal="left" vertical="top" wrapText="1"/>
      <protection locked="0" hidden="1"/>
    </xf>
    <xf numFmtId="0" fontId="24" fillId="0" borderId="11" xfId="0" applyFont="1" applyBorder="1" applyAlignment="1" applyProtection="1">
      <alignment horizontal="right" vertical="top" wrapText="1"/>
      <protection locked="0" hidden="1"/>
    </xf>
    <xf numFmtId="0" fontId="24" fillId="9" borderId="11" xfId="0" applyFont="1" applyFill="1" applyBorder="1" applyAlignment="1" applyProtection="1">
      <alignment horizontal="center" vertical="top" wrapText="1"/>
      <protection locked="0" hidden="1"/>
    </xf>
    <xf numFmtId="0" fontId="39" fillId="0" borderId="0" xfId="0" applyFont="1" applyBorder="1" applyAlignment="1" applyProtection="1">
      <alignment horizontal="left" vertical="top" wrapText="1"/>
      <protection locked="0" hidden="1"/>
    </xf>
    <xf numFmtId="0" fontId="41" fillId="0" borderId="0" xfId="0" applyFont="1" applyBorder="1" applyAlignment="1" applyProtection="1">
      <alignment horizontal="left" vertical="top" wrapText="1"/>
      <protection locked="0" hidden="1"/>
    </xf>
    <xf numFmtId="167" fontId="10" fillId="0" borderId="0" xfId="0" applyNumberFormat="1" applyFont="1" applyBorder="1" applyAlignment="1" applyProtection="1">
      <alignment horizontal="right"/>
      <protection locked="0" hidden="1"/>
    </xf>
    <xf numFmtId="0" fontId="24" fillId="9" borderId="0" xfId="0" applyFont="1" applyFill="1" applyBorder="1" applyAlignment="1" applyProtection="1">
      <alignment horizontal="left" vertical="top" wrapText="1"/>
      <protection locked="0" hidden="1"/>
    </xf>
    <xf numFmtId="0" fontId="24" fillId="9" borderId="3" xfId="0" applyFont="1" applyFill="1" applyBorder="1" applyAlignment="1" applyProtection="1">
      <alignment horizontal="center" vertical="top" wrapText="1"/>
      <protection locked="0" hidden="1"/>
    </xf>
    <xf numFmtId="0" fontId="24" fillId="0" borderId="0" xfId="0" applyFont="1" applyBorder="1" applyAlignment="1" applyProtection="1">
      <alignment horizontal="left" wrapText="1"/>
      <protection locked="0" hidden="1"/>
    </xf>
    <xf numFmtId="0" fontId="24" fillId="0" borderId="0" xfId="0" applyFont="1" applyBorder="1" applyAlignment="1" applyProtection="1">
      <alignment horizontal="justify" wrapText="1"/>
      <protection locked="0" hidden="1"/>
    </xf>
    <xf numFmtId="0" fontId="15" fillId="0" borderId="3" xfId="0" applyFont="1" applyBorder="1" applyAlignment="1" applyProtection="1">
      <alignment horizontal="center" vertical="top" wrapText="1"/>
      <protection locked="0" hidden="1"/>
    </xf>
    <xf numFmtId="0" fontId="15" fillId="0" borderId="3" xfId="0" applyFont="1" applyBorder="1" applyAlignment="1" applyProtection="1">
      <alignment horizontal="left" vertical="top" wrapText="1"/>
      <protection locked="0" hidden="1"/>
    </xf>
    <xf numFmtId="0" fontId="33" fillId="0" borderId="3" xfId="0" applyFont="1" applyBorder="1" applyAlignment="1" applyProtection="1">
      <alignment horizontal="left" vertical="top" wrapText="1"/>
      <protection locked="0" hidden="1"/>
    </xf>
    <xf numFmtId="0" fontId="2" fillId="0" borderId="3" xfId="0" applyFont="1" applyBorder="1" applyAlignment="1" applyProtection="1">
      <alignment horizontal="left" vertical="top" wrapText="1"/>
      <protection locked="0" hidden="1"/>
    </xf>
    <xf numFmtId="0" fontId="43" fillId="9" borderId="0" xfId="0" applyFont="1" applyFill="1" applyBorder="1" applyAlignment="1" applyProtection="1">
      <alignment horizontal="left" vertical="top" wrapText="1"/>
      <protection locked="0" hidden="1"/>
    </xf>
    <xf numFmtId="0" fontId="24" fillId="0" borderId="3" xfId="0" applyFont="1" applyBorder="1" applyAlignment="1" applyProtection="1">
      <alignment horizontal="center" vertical="center"/>
      <protection locked="0" hidden="1"/>
    </xf>
    <xf numFmtId="0" fontId="15" fillId="0" borderId="3" xfId="0" applyFont="1" applyBorder="1" applyAlignment="1" applyProtection="1">
      <alignment horizontal="center" wrapText="1"/>
      <protection locked="0" hidden="1"/>
    </xf>
    <xf numFmtId="0" fontId="15" fillId="0" borderId="3" xfId="0" applyFont="1" applyBorder="1" applyAlignment="1" applyProtection="1">
      <alignment horizontal="left" vertical="center" wrapText="1" indent="1"/>
      <protection locked="0" hidden="1"/>
    </xf>
    <xf numFmtId="0" fontId="15" fillId="0" borderId="3" xfId="0" applyFont="1" applyBorder="1" applyAlignment="1" applyProtection="1">
      <alignment horizontal="center" vertical="center" wrapText="1"/>
      <protection locked="0" hidden="1"/>
    </xf>
    <xf numFmtId="0" fontId="24" fillId="0" borderId="16" xfId="0" applyFont="1" applyBorder="1" applyAlignment="1" applyProtection="1">
      <alignment horizontal="left" vertical="top" wrapText="1"/>
      <protection locked="0" hidden="1"/>
    </xf>
    <xf numFmtId="0" fontId="15" fillId="9" borderId="3" xfId="0" applyFont="1" applyFill="1" applyBorder="1" applyAlignment="1" applyProtection="1">
      <alignment horizontal="center" vertical="top" wrapText="1"/>
      <protection locked="0" hidden="1"/>
    </xf>
    <xf numFmtId="0" fontId="24" fillId="0" borderId="0" xfId="0" applyFont="1" applyBorder="1" applyAlignment="1" applyProtection="1">
      <alignment horizontal="right" wrapText="1"/>
      <protection locked="0" hidden="1"/>
    </xf>
    <xf numFmtId="0" fontId="43" fillId="0" borderId="20" xfId="0" applyFont="1" applyBorder="1" applyAlignment="1" applyProtection="1">
      <alignment horizontal="center"/>
      <protection locked="0" hidden="1"/>
    </xf>
    <xf numFmtId="0" fontId="43" fillId="0" borderId="20" xfId="0" applyFont="1" applyBorder="1" applyAlignment="1" applyProtection="1">
      <alignment horizontal="center" vertical="center"/>
      <protection locked="0" hidden="1"/>
    </xf>
    <xf numFmtId="0" fontId="43" fillId="0" borderId="8" xfId="0" applyFont="1" applyBorder="1" applyAlignment="1" applyProtection="1">
      <alignment horizontal="center"/>
      <protection locked="0" hidden="1"/>
    </xf>
    <xf numFmtId="0" fontId="43" fillId="0" borderId="8" xfId="0" applyFont="1" applyBorder="1" applyAlignment="1" applyProtection="1">
      <alignment horizontal="center" vertical="center"/>
      <protection locked="0" hidden="1"/>
    </xf>
    <xf numFmtId="0" fontId="43" fillId="0" borderId="10" xfId="0" applyFont="1" applyBorder="1" applyAlignment="1" applyProtection="1">
      <alignment horizontal="center"/>
      <protection locked="0" hidden="1"/>
    </xf>
    <xf numFmtId="0" fontId="43" fillId="0" borderId="7" xfId="0" applyFont="1" applyBorder="1" applyAlignment="1" applyProtection="1">
      <alignment horizontal="center"/>
      <protection locked="0" hidden="1"/>
    </xf>
    <xf numFmtId="1" fontId="24" fillId="0" borderId="3" xfId="0" applyNumberFormat="1" applyFont="1" applyBorder="1" applyAlignment="1" applyProtection="1">
      <alignment horizontal="right"/>
      <protection locked="0" hidden="1"/>
    </xf>
    <xf numFmtId="1" fontId="24" fillId="0" borderId="6" xfId="0" applyNumberFormat="1" applyFont="1" applyBorder="1" applyAlignment="1" applyProtection="1">
      <alignment horizontal="right"/>
      <protection locked="0" hidden="1"/>
    </xf>
    <xf numFmtId="1" fontId="24" fillId="0" borderId="3" xfId="0" applyNumberFormat="1" applyFont="1" applyBorder="1" applyAlignment="1" applyProtection="1">
      <alignment horizontal="center"/>
      <protection locked="0" hidden="1"/>
    </xf>
    <xf numFmtId="1" fontId="24" fillId="0" borderId="3" xfId="0" applyNumberFormat="1" applyFont="1" applyBorder="1" applyAlignment="1" applyProtection="1">
      <protection locked="0" hidden="1"/>
    </xf>
    <xf numFmtId="1" fontId="24" fillId="0" borderId="3" xfId="0" applyNumberFormat="1" applyFont="1" applyBorder="1" applyAlignment="1" applyProtection="1">
      <alignment horizontal="right" wrapText="1"/>
      <protection locked="0" hidden="1"/>
    </xf>
    <xf numFmtId="1" fontId="24" fillId="0" borderId="6" xfId="0" applyNumberFormat="1" applyFont="1" applyBorder="1" applyAlignment="1" applyProtection="1">
      <alignment horizontal="right" wrapText="1"/>
      <protection locked="0" hidden="1"/>
    </xf>
    <xf numFmtId="1" fontId="24" fillId="9" borderId="3" xfId="0" applyNumberFormat="1" applyFont="1" applyFill="1" applyBorder="1" applyAlignment="1" applyProtection="1">
      <alignment horizontal="right"/>
      <protection locked="0" hidden="1"/>
    </xf>
    <xf numFmtId="1" fontId="24" fillId="9" borderId="3" xfId="0" applyNumberFormat="1" applyFont="1" applyFill="1" applyBorder="1" applyAlignment="1" applyProtection="1">
      <alignment horizontal="right" wrapText="1"/>
      <protection locked="0" hidden="1"/>
    </xf>
    <xf numFmtId="1" fontId="24" fillId="9" borderId="3" xfId="0" applyNumberFormat="1" applyFont="1" applyFill="1" applyBorder="1" applyAlignment="1" applyProtection="1">
      <alignment horizontal="center"/>
      <protection locked="0" hidden="1"/>
    </xf>
    <xf numFmtId="1" fontId="24" fillId="0" borderId="7" xfId="0" applyNumberFormat="1" applyFont="1" applyBorder="1" applyAlignment="1" applyProtection="1">
      <alignment horizontal="right"/>
      <protection locked="0" hidden="1"/>
    </xf>
    <xf numFmtId="1" fontId="24" fillId="0" borderId="12" xfId="0" applyNumberFormat="1" applyFont="1" applyBorder="1" applyAlignment="1" applyProtection="1">
      <alignment horizontal="right"/>
      <protection locked="0" hidden="1"/>
    </xf>
    <xf numFmtId="1" fontId="24" fillId="9" borderId="6" xfId="0" applyNumberFormat="1" applyFont="1" applyFill="1" applyBorder="1" applyAlignment="1" applyProtection="1">
      <alignment horizontal="right" wrapText="1"/>
      <protection locked="0" hidden="1"/>
    </xf>
    <xf numFmtId="0" fontId="24" fillId="9" borderId="24" xfId="0" applyFont="1" applyFill="1" applyBorder="1" applyAlignment="1" applyProtection="1">
      <alignment horizontal="left" vertical="top" wrapText="1"/>
      <protection locked="0" hidden="1"/>
    </xf>
    <xf numFmtId="0" fontId="43" fillId="0" borderId="4" xfId="0" applyFont="1" applyBorder="1" applyAlignment="1" applyProtection="1">
      <alignment horizontal="center"/>
      <protection locked="0" hidden="1"/>
    </xf>
    <xf numFmtId="0" fontId="43" fillId="0" borderId="10" xfId="0" applyFont="1" applyBorder="1" applyAlignment="1" applyProtection="1">
      <alignment horizontal="center" vertical="center"/>
      <protection locked="0" hidden="1"/>
    </xf>
    <xf numFmtId="1" fontId="10" fillId="0" borderId="13" xfId="0" applyNumberFormat="1" applyFont="1" applyBorder="1" applyAlignment="1" applyProtection="1">
      <alignment horizontal="right"/>
      <protection locked="0" hidden="1"/>
    </xf>
    <xf numFmtId="0" fontId="10" fillId="0" borderId="3" xfId="0" applyFont="1" applyBorder="1" applyAlignment="1" applyProtection="1">
      <alignment horizontal="left" vertical="top" wrapText="1"/>
      <protection locked="0" hidden="1"/>
    </xf>
    <xf numFmtId="0" fontId="43" fillId="0" borderId="9" xfId="0" applyFont="1" applyBorder="1" applyAlignment="1" applyProtection="1">
      <alignment horizontal="center"/>
      <protection locked="0" hidden="1"/>
    </xf>
    <xf numFmtId="1" fontId="24" fillId="0" borderId="9" xfId="0" applyNumberFormat="1" applyFont="1" applyBorder="1" applyAlignment="1" applyProtection="1">
      <alignment horizontal="right"/>
      <protection locked="0" hidden="1"/>
    </xf>
    <xf numFmtId="1" fontId="36" fillId="0" borderId="3" xfId="0" applyNumberFormat="1" applyFont="1" applyBorder="1" applyAlignment="1" applyProtection="1">
      <alignment horizontal="right"/>
      <protection locked="0" hidden="1"/>
    </xf>
    <xf numFmtId="1" fontId="24" fillId="9" borderId="3" xfId="0" applyNumberFormat="1" applyFont="1" applyFill="1" applyBorder="1" applyAlignment="1" applyProtection="1">
      <protection locked="0" hidden="1"/>
    </xf>
    <xf numFmtId="0" fontId="46" fillId="0" borderId="3" xfId="0" applyFont="1" applyBorder="1" applyAlignment="1" applyProtection="1">
      <alignment horizontal="center"/>
      <protection locked="0" hidden="1"/>
    </xf>
    <xf numFmtId="0" fontId="36" fillId="0" borderId="9" xfId="0" applyFont="1" applyBorder="1" applyAlignment="1" applyProtection="1">
      <alignment horizontal="center" vertical="top" wrapText="1"/>
      <protection locked="0" hidden="1"/>
    </xf>
    <xf numFmtId="0" fontId="46" fillId="0" borderId="9" xfId="0" applyFont="1" applyBorder="1" applyAlignment="1" applyProtection="1">
      <alignment horizontal="center" vertical="top" wrapText="1"/>
      <protection locked="0" hidden="1"/>
    </xf>
    <xf numFmtId="0" fontId="46" fillId="0" borderId="9" xfId="0" applyFont="1" applyBorder="1" applyAlignment="1" applyProtection="1">
      <alignment horizontal="center" vertical="center" wrapText="1"/>
      <protection locked="0" hidden="1"/>
    </xf>
    <xf numFmtId="0" fontId="46" fillId="0" borderId="0" xfId="0" applyFont="1" applyBorder="1" applyAlignment="1" applyProtection="1">
      <alignment horizontal="center" vertical="center" wrapText="1"/>
      <protection locked="0" hidden="1"/>
    </xf>
    <xf numFmtId="0" fontId="46" fillId="0" borderId="20" xfId="0" applyFont="1" applyBorder="1" applyAlignment="1" applyProtection="1">
      <alignment horizontal="center" vertical="center"/>
      <protection locked="0" hidden="1"/>
    </xf>
    <xf numFmtId="0" fontId="36" fillId="0" borderId="7" xfId="0" applyFont="1" applyBorder="1" applyAlignment="1" applyProtection="1">
      <alignment horizontal="center"/>
      <protection locked="0" hidden="1"/>
    </xf>
    <xf numFmtId="0" fontId="43" fillId="0" borderId="0" xfId="0" applyFont="1" applyBorder="1" applyAlignment="1" applyProtection="1">
      <alignment horizontal="center"/>
      <protection locked="0" hidden="1"/>
    </xf>
    <xf numFmtId="1" fontId="47" fillId="0" borderId="3" xfId="0" applyNumberFormat="1" applyFont="1" applyBorder="1" applyAlignment="1" applyProtection="1">
      <alignment horizontal="right"/>
      <protection locked="0" hidden="1"/>
    </xf>
    <xf numFmtId="1" fontId="47" fillId="0" borderId="3" xfId="0" applyNumberFormat="1" applyFont="1" applyBorder="1" applyAlignment="1" applyProtection="1">
      <protection locked="0" hidden="1"/>
    </xf>
    <xf numFmtId="1" fontId="10" fillId="0" borderId="0" xfId="0" applyNumberFormat="1" applyFont="1" applyBorder="1" applyAlignment="1" applyProtection="1">
      <protection locked="0" hidden="1"/>
    </xf>
    <xf numFmtId="1" fontId="47" fillId="9" borderId="3" xfId="0" applyNumberFormat="1" applyFont="1" applyFill="1" applyBorder="1" applyAlignment="1" applyProtection="1">
      <alignment horizontal="right"/>
      <protection locked="0" hidden="1"/>
    </xf>
    <xf numFmtId="1" fontId="47" fillId="9" borderId="3" xfId="0" applyNumberFormat="1" applyFont="1" applyFill="1" applyBorder="1" applyAlignment="1" applyProtection="1">
      <protection locked="0" hidden="1"/>
    </xf>
    <xf numFmtId="1" fontId="10" fillId="0" borderId="0" xfId="0" applyNumberFormat="1" applyFont="1" applyBorder="1" applyAlignment="1" applyProtection="1">
      <alignment horizontal="right"/>
      <protection locked="0" hidden="1"/>
    </xf>
    <xf numFmtId="1" fontId="48" fillId="0" borderId="3" xfId="0" applyNumberFormat="1" applyFont="1" applyBorder="1" applyAlignment="1" applyProtection="1">
      <alignment horizontal="right"/>
      <protection locked="0" hidden="1"/>
    </xf>
    <xf numFmtId="0" fontId="47" fillId="0" borderId="5" xfId="0" applyFont="1" applyBorder="1" applyAlignment="1" applyProtection="1">
      <alignment horizontal="center"/>
      <protection locked="0" hidden="1"/>
    </xf>
    <xf numFmtId="0" fontId="36" fillId="0" borderId="3" xfId="0" applyFont="1" applyBorder="1" applyAlignment="1" applyProtection="1">
      <alignment horizontal="center"/>
      <protection locked="0" hidden="1"/>
    </xf>
    <xf numFmtId="0" fontId="36" fillId="0" borderId="9" xfId="0" applyFont="1" applyBorder="1" applyAlignment="1" applyProtection="1">
      <alignment horizontal="center" vertical="center" wrapText="1"/>
      <protection locked="0" hidden="1"/>
    </xf>
    <xf numFmtId="0" fontId="46" fillId="0" borderId="8" xfId="0" applyFont="1" applyBorder="1" applyAlignment="1" applyProtection="1">
      <alignment horizontal="center" vertical="center" wrapText="1"/>
      <protection locked="0" hidden="1"/>
    </xf>
    <xf numFmtId="1" fontId="10" fillId="0" borderId="8" xfId="0" applyNumberFormat="1" applyFont="1" applyBorder="1" applyAlignment="1" applyProtection="1">
      <protection locked="0" hidden="1"/>
    </xf>
    <xf numFmtId="1" fontId="10" fillId="0" borderId="8" xfId="0" applyNumberFormat="1" applyFont="1" applyBorder="1" applyAlignment="1" applyProtection="1">
      <alignment horizontal="right"/>
      <protection locked="0" hidden="1"/>
    </xf>
    <xf numFmtId="3" fontId="43" fillId="0" borderId="14" xfId="0" applyNumberFormat="1" applyFont="1" applyBorder="1" applyAlignment="1" applyProtection="1">
      <alignment horizontal="right"/>
      <protection locked="0" hidden="1"/>
    </xf>
    <xf numFmtId="1" fontId="43" fillId="0" borderId="3" xfId="0" applyNumberFormat="1" applyFont="1" applyBorder="1" applyAlignment="1" applyProtection="1">
      <alignment horizontal="right"/>
      <protection locked="0" hidden="1"/>
    </xf>
    <xf numFmtId="0" fontId="10" fillId="0" borderId="20" xfId="0" applyFont="1" applyBorder="1" applyAlignment="1" applyProtection="1">
      <alignment horizontal="left"/>
      <protection locked="0" hidden="1"/>
    </xf>
    <xf numFmtId="0" fontId="43" fillId="0" borderId="9" xfId="0" applyFont="1" applyBorder="1" applyAlignment="1" applyProtection="1">
      <alignment horizontal="left"/>
      <protection locked="0" hidden="1"/>
    </xf>
    <xf numFmtId="0" fontId="43" fillId="0" borderId="7" xfId="0" applyFont="1" applyBorder="1" applyAlignment="1" applyProtection="1">
      <alignment horizontal="left"/>
      <protection locked="0" hidden="1"/>
    </xf>
    <xf numFmtId="0" fontId="10" fillId="0" borderId="10" xfId="0" applyFont="1" applyBorder="1" applyAlignment="1" applyProtection="1">
      <alignment horizontal="left" wrapText="1"/>
      <protection locked="0" hidden="1"/>
    </xf>
    <xf numFmtId="1" fontId="43" fillId="0" borderId="7" xfId="0" applyNumberFormat="1" applyFont="1" applyBorder="1" applyAlignment="1" applyProtection="1">
      <protection locked="0" hidden="1"/>
    </xf>
    <xf numFmtId="1" fontId="10" fillId="0" borderId="7" xfId="0" applyNumberFormat="1" applyFont="1" applyBorder="1" applyAlignment="1" applyProtection="1">
      <protection locked="0" hidden="1"/>
    </xf>
    <xf numFmtId="1" fontId="10" fillId="0" borderId="3" xfId="0" applyNumberFormat="1" applyFont="1" applyBorder="1" applyAlignment="1" applyProtection="1">
      <protection locked="0" hidden="1"/>
    </xf>
    <xf numFmtId="0" fontId="10" fillId="0" borderId="9" xfId="0" applyFont="1" applyBorder="1" applyAlignment="1" applyProtection="1">
      <alignment horizontal="left" vertical="top" wrapText="1"/>
      <protection locked="0" hidden="1"/>
    </xf>
    <xf numFmtId="0" fontId="10" fillId="0" borderId="3" xfId="0" applyFont="1" applyBorder="1" applyAlignment="1" applyProtection="1">
      <alignment horizontal="left" wrapText="1"/>
      <protection locked="0" hidden="1"/>
    </xf>
    <xf numFmtId="1" fontId="43" fillId="0" borderId="3" xfId="0" applyNumberFormat="1" applyFont="1" applyBorder="1" applyAlignment="1" applyProtection="1">
      <protection locked="0" hidden="1"/>
    </xf>
    <xf numFmtId="0" fontId="43" fillId="0" borderId="13" xfId="0" applyFont="1" applyBorder="1" applyAlignment="1" applyProtection="1">
      <alignment horizontal="left"/>
      <protection locked="0" hidden="1"/>
    </xf>
    <xf numFmtId="0" fontId="10" fillId="0" borderId="9" xfId="0" applyFont="1" applyBorder="1" applyAlignment="1" applyProtection="1">
      <alignment horizontal="left" vertical="top"/>
      <protection locked="0" hidden="1"/>
    </xf>
    <xf numFmtId="0" fontId="43" fillId="0" borderId="15" xfId="0" applyFont="1" applyBorder="1" applyAlignment="1" applyProtection="1">
      <alignment horizontal="center"/>
      <protection locked="0" hidden="1"/>
    </xf>
    <xf numFmtId="1" fontId="10" fillId="0" borderId="12" xfId="0" applyNumberFormat="1" applyFont="1" applyBorder="1" applyAlignment="1" applyProtection="1">
      <protection locked="0" hidden="1"/>
    </xf>
    <xf numFmtId="1" fontId="10" fillId="0" borderId="6" xfId="0" applyNumberFormat="1" applyFont="1" applyBorder="1" applyAlignment="1" applyProtection="1">
      <protection locked="0" hidden="1"/>
    </xf>
    <xf numFmtId="0" fontId="10" fillId="0" borderId="7" xfId="0" applyFont="1" applyBorder="1" applyAlignment="1" applyProtection="1">
      <alignment horizontal="left" vertical="center"/>
      <protection locked="0" hidden="1"/>
    </xf>
    <xf numFmtId="1" fontId="10" fillId="0" borderId="7" xfId="0" applyNumberFormat="1" applyFont="1" applyBorder="1" applyAlignment="1" applyProtection="1">
      <alignment horizontal="right"/>
      <protection locked="0" hidden="1"/>
    </xf>
    <xf numFmtId="0" fontId="10" fillId="0" borderId="3" xfId="0" applyFont="1" applyBorder="1" applyAlignment="1" applyProtection="1">
      <alignment horizontal="left" vertical="center"/>
      <protection locked="0" hidden="1"/>
    </xf>
    <xf numFmtId="0" fontId="43" fillId="0" borderId="11" xfId="0" applyFont="1" applyBorder="1" applyAlignment="1" applyProtection="1">
      <alignment horizontal="left" vertical="top" wrapText="1"/>
      <protection locked="0" hidden="1"/>
    </xf>
    <xf numFmtId="0" fontId="43" fillId="0" borderId="13" xfId="0" applyFont="1" applyBorder="1" applyAlignment="1" applyProtection="1">
      <alignment horizontal="center" vertical="center"/>
      <protection locked="0" hidden="1"/>
    </xf>
    <xf numFmtId="0" fontId="10" fillId="0" borderId="10" xfId="0" applyFont="1" applyBorder="1" applyAlignment="1" applyProtection="1">
      <alignment horizontal="left"/>
      <protection locked="0" hidden="1"/>
    </xf>
    <xf numFmtId="0" fontId="10" fillId="0" borderId="3" xfId="0" applyFont="1" applyBorder="1" applyAlignment="1" applyProtection="1">
      <alignment horizontal="left" vertical="top"/>
      <protection locked="0" hidden="1"/>
    </xf>
    <xf numFmtId="0" fontId="43" fillId="0" borderId="3" xfId="0" applyFont="1" applyBorder="1" applyAlignment="1" applyProtection="1">
      <alignment horizontal="left"/>
      <protection locked="0" hidden="1"/>
    </xf>
    <xf numFmtId="3" fontId="10" fillId="0" borderId="6" xfId="0" applyNumberFormat="1" applyFont="1" applyBorder="1" applyAlignment="1" applyProtection="1">
      <alignment horizontal="right"/>
      <protection locked="0" hidden="1"/>
    </xf>
    <xf numFmtId="3" fontId="10" fillId="9" borderId="3" xfId="0" applyNumberFormat="1" applyFont="1" applyFill="1" applyBorder="1" applyAlignment="1" applyProtection="1">
      <alignment horizontal="right"/>
      <protection locked="0" hidden="1"/>
    </xf>
    <xf numFmtId="3" fontId="10" fillId="0" borderId="3" xfId="0" applyNumberFormat="1" applyFont="1" applyBorder="1" applyAlignment="1" applyProtection="1">
      <alignment horizontal="right"/>
      <protection locked="0" hidden="1"/>
    </xf>
    <xf numFmtId="3" fontId="10" fillId="9" borderId="9" xfId="0" applyNumberFormat="1" applyFont="1" applyFill="1" applyBorder="1" applyAlignment="1" applyProtection="1">
      <alignment horizontal="right"/>
      <protection locked="0" hidden="1"/>
    </xf>
    <xf numFmtId="3" fontId="10" fillId="0" borderId="9" xfId="0" applyNumberFormat="1" applyFont="1" applyBorder="1" applyAlignment="1" applyProtection="1">
      <alignment horizontal="right"/>
      <protection locked="0" hidden="1"/>
    </xf>
    <xf numFmtId="0" fontId="43" fillId="0" borderId="3" xfId="0" applyFont="1" applyBorder="1" applyAlignment="1" applyProtection="1">
      <alignment horizontal="left" vertical="top"/>
      <protection locked="0" hidden="1"/>
    </xf>
    <xf numFmtId="3" fontId="43" fillId="0" borderId="6" xfId="0" applyNumberFormat="1" applyFont="1" applyBorder="1" applyAlignment="1" applyProtection="1">
      <alignment horizontal="right"/>
      <protection locked="0" hidden="1"/>
    </xf>
    <xf numFmtId="3" fontId="43" fillId="9" borderId="3" xfId="0" applyNumberFormat="1" applyFont="1" applyFill="1" applyBorder="1" applyAlignment="1" applyProtection="1">
      <alignment horizontal="right"/>
      <protection locked="0" hidden="1"/>
    </xf>
    <xf numFmtId="3" fontId="43" fillId="0" borderId="3" xfId="0" applyNumberFormat="1" applyFont="1" applyBorder="1" applyAlignment="1" applyProtection="1">
      <alignment horizontal="right"/>
      <protection locked="0" hidden="1"/>
    </xf>
    <xf numFmtId="0" fontId="24" fillId="0" borderId="3" xfId="0" applyFont="1" applyBorder="1" applyAlignment="1" applyProtection="1">
      <alignment horizontal="left" wrapText="1"/>
      <protection locked="0" hidden="1"/>
    </xf>
    <xf numFmtId="0" fontId="43" fillId="0" borderId="16" xfId="0" applyFont="1" applyBorder="1" applyAlignment="1" applyProtection="1">
      <alignment horizontal="center"/>
      <protection locked="0" hidden="1"/>
    </xf>
    <xf numFmtId="0" fontId="43" fillId="0" borderId="12" xfId="0" applyFont="1" applyBorder="1" applyAlignment="1" applyProtection="1">
      <alignment horizontal="center"/>
      <protection locked="0" hidden="1"/>
    </xf>
    <xf numFmtId="3" fontId="10" fillId="0" borderId="12" xfId="0" applyNumberFormat="1" applyFont="1" applyBorder="1" applyAlignment="1" applyProtection="1">
      <alignment horizontal="right"/>
      <protection locked="0" hidden="1"/>
    </xf>
    <xf numFmtId="3" fontId="10" fillId="0" borderId="7" xfId="0" applyNumberFormat="1" applyFont="1" applyBorder="1" applyAlignment="1" applyProtection="1">
      <alignment horizontal="right"/>
      <protection locked="0" hidden="1"/>
    </xf>
    <xf numFmtId="0" fontId="10" fillId="0" borderId="20" xfId="0" applyFont="1" applyBorder="1" applyAlignment="1" applyProtection="1">
      <alignment horizontal="left" vertical="top" wrapText="1"/>
      <protection locked="0" hidden="1"/>
    </xf>
    <xf numFmtId="0" fontId="51" fillId="0" borderId="3" xfId="0" applyFont="1" applyBorder="1" applyAlignment="1" applyProtection="1">
      <alignment horizontal="left" wrapText="1"/>
      <protection locked="0" hidden="1"/>
    </xf>
    <xf numFmtId="0" fontId="52" fillId="0" borderId="3" xfId="0" applyFont="1" applyBorder="1" applyAlignment="1" applyProtection="1">
      <alignment horizontal="left" wrapText="1"/>
      <protection locked="0" hidden="1"/>
    </xf>
    <xf numFmtId="0" fontId="10" fillId="0" borderId="7" xfId="0" applyFont="1" applyBorder="1" applyAlignment="1" applyProtection="1">
      <alignment horizontal="left" vertical="top" wrapText="1"/>
      <protection locked="0" hidden="1"/>
    </xf>
    <xf numFmtId="1" fontId="10" fillId="0" borderId="20" xfId="0" applyNumberFormat="1" applyFont="1" applyBorder="1" applyAlignment="1" applyProtection="1">
      <alignment horizontal="left" vertical="top"/>
      <protection locked="0" hidden="1"/>
    </xf>
    <xf numFmtId="1" fontId="10" fillId="0" borderId="3" xfId="0" applyNumberFormat="1" applyFont="1" applyBorder="1" applyAlignment="1" applyProtection="1">
      <alignment horizontal="left" vertical="top"/>
      <protection locked="0" hidden="1"/>
    </xf>
    <xf numFmtId="0" fontId="43" fillId="0" borderId="3" xfId="0" applyFont="1" applyBorder="1" applyAlignment="1" applyProtection="1">
      <alignment horizontal="left" vertical="top" wrapText="1"/>
      <protection locked="0" hidden="1"/>
    </xf>
    <xf numFmtId="0" fontId="43" fillId="0" borderId="0" xfId="0" applyFont="1" applyBorder="1" applyAlignment="1" applyProtection="1">
      <alignment horizontal="left" wrapText="1"/>
      <protection locked="0" hidden="1"/>
    </xf>
    <xf numFmtId="0" fontId="43" fillId="0" borderId="4" xfId="0" applyFont="1" applyBorder="1" applyAlignment="1" applyProtection="1">
      <alignment horizontal="center" vertical="center"/>
      <protection locked="0" hidden="1"/>
    </xf>
    <xf numFmtId="0" fontId="10" fillId="0" borderId="13" xfId="0" applyFont="1" applyBorder="1" applyAlignment="1" applyProtection="1">
      <alignment horizontal="left"/>
      <protection locked="0" hidden="1"/>
    </xf>
    <xf numFmtId="0" fontId="43" fillId="0" borderId="9" xfId="0" applyFont="1" applyBorder="1" applyAlignment="1" applyProtection="1">
      <alignment horizontal="center" wrapText="1"/>
      <protection locked="0" hidden="1"/>
    </xf>
    <xf numFmtId="0" fontId="51" fillId="0" borderId="3" xfId="0" applyFont="1" applyBorder="1" applyAlignment="1" applyProtection="1">
      <alignment horizontal="left" vertical="top" wrapText="1"/>
      <protection locked="0" hidden="1"/>
    </xf>
    <xf numFmtId="0" fontId="51" fillId="0" borderId="7" xfId="0" applyFont="1" applyBorder="1" applyAlignment="1" applyProtection="1">
      <alignment horizontal="left" vertical="top" wrapText="1"/>
      <protection locked="0" hidden="1"/>
    </xf>
    <xf numFmtId="0" fontId="52" fillId="0" borderId="3" xfId="0" applyFont="1" applyBorder="1" applyAlignment="1" applyProtection="1">
      <alignment horizontal="left" vertical="top" wrapText="1"/>
      <protection locked="0" hidden="1"/>
    </xf>
    <xf numFmtId="0" fontId="39" fillId="0" borderId="0" xfId="0" applyFont="1" applyBorder="1" applyAlignment="1" applyProtection="1">
      <alignment horizontal="left" wrapText="1"/>
      <protection locked="0" hidden="1"/>
    </xf>
    <xf numFmtId="0" fontId="43" fillId="0" borderId="3" xfId="0" applyFont="1" applyBorder="1" applyAlignment="1" applyProtection="1">
      <alignment horizontal="center" wrapText="1"/>
      <protection locked="0" hidden="1"/>
    </xf>
    <xf numFmtId="0" fontId="51" fillId="0" borderId="3" xfId="0" applyFont="1" applyBorder="1" applyAlignment="1" applyProtection="1">
      <alignment horizontal="center" vertical="center" wrapText="1"/>
      <protection locked="0" hidden="1"/>
    </xf>
    <xf numFmtId="1" fontId="43" fillId="0" borderId="3" xfId="0" applyNumberFormat="1" applyFont="1" applyBorder="1" applyAlignment="1" applyProtection="1">
      <alignment horizontal="center" vertical="center"/>
      <protection locked="0" hidden="1"/>
    </xf>
    <xf numFmtId="1" fontId="43" fillId="0" borderId="3" xfId="0" applyNumberFormat="1" applyFont="1" applyBorder="1" applyAlignment="1" applyProtection="1">
      <alignment horizontal="center" vertical="center" wrapText="1"/>
      <protection locked="0" hidden="1"/>
    </xf>
    <xf numFmtId="1" fontId="43" fillId="0" borderId="3" xfId="0" applyNumberFormat="1" applyFont="1" applyBorder="1" applyAlignment="1" applyProtection="1">
      <alignment horizontal="center"/>
      <protection locked="0" hidden="1"/>
    </xf>
    <xf numFmtId="1" fontId="43" fillId="0" borderId="3" xfId="0" applyNumberFormat="1" applyFont="1" applyBorder="1" applyAlignment="1" applyProtection="1">
      <alignment horizontal="center" wrapText="1"/>
      <protection locked="0" hidden="1"/>
    </xf>
    <xf numFmtId="0" fontId="10" fillId="0" borderId="3" xfId="0" applyFont="1" applyBorder="1" applyAlignment="1" applyProtection="1">
      <alignment horizontal="center" vertical="center" wrapText="1"/>
      <protection locked="0" hidden="1"/>
    </xf>
    <xf numFmtId="3" fontId="24" fillId="0" borderId="3" xfId="0" applyNumberFormat="1" applyFont="1" applyBorder="1" applyAlignment="1" applyProtection="1">
      <alignment horizontal="center" vertical="center" wrapText="1"/>
      <protection locked="0" hidden="1"/>
    </xf>
    <xf numFmtId="3" fontId="24" fillId="0" borderId="6" xfId="0" applyNumberFormat="1" applyFont="1" applyBorder="1" applyAlignment="1" applyProtection="1">
      <alignment horizontal="center" vertical="center" wrapText="1"/>
      <protection locked="0" hidden="1"/>
    </xf>
    <xf numFmtId="0" fontId="43" fillId="0" borderId="3" xfId="0" applyFont="1" applyBorder="1" applyAlignment="1" applyProtection="1">
      <alignment horizontal="left" vertical="center" wrapText="1"/>
      <protection locked="0" hidden="1"/>
    </xf>
    <xf numFmtId="3" fontId="36" fillId="0" borderId="3" xfId="0" applyNumberFormat="1" applyFont="1" applyBorder="1" applyAlignment="1" applyProtection="1">
      <alignment horizontal="right" vertical="center" wrapText="1"/>
      <protection locked="0" hidden="1"/>
    </xf>
    <xf numFmtId="3" fontId="36" fillId="0" borderId="6" xfId="0" applyNumberFormat="1" applyFont="1" applyBorder="1" applyAlignment="1" applyProtection="1">
      <alignment horizontal="right" vertical="center" wrapText="1"/>
      <protection locked="0" hidden="1"/>
    </xf>
    <xf numFmtId="0" fontId="10" fillId="0" borderId="3" xfId="0" applyFont="1" applyBorder="1" applyAlignment="1" applyProtection="1">
      <alignment horizontal="left" vertical="center" wrapText="1"/>
      <protection locked="0" hidden="1"/>
    </xf>
    <xf numFmtId="3" fontId="24" fillId="0" borderId="3" xfId="0" applyNumberFormat="1" applyFont="1" applyBorder="1" applyAlignment="1" applyProtection="1">
      <alignment horizontal="right" vertical="center" wrapText="1"/>
      <protection locked="0" hidden="1"/>
    </xf>
    <xf numFmtId="3" fontId="24" fillId="0" borderId="6" xfId="0" applyNumberFormat="1" applyFont="1" applyBorder="1" applyAlignment="1" applyProtection="1">
      <alignment horizontal="right" vertical="center" wrapText="1"/>
      <protection locked="0" hidden="1"/>
    </xf>
    <xf numFmtId="1" fontId="10" fillId="0" borderId="6" xfId="0" applyNumberFormat="1" applyFont="1" applyBorder="1" applyAlignment="1" applyProtection="1">
      <alignment horizontal="right"/>
      <protection locked="0" hidden="1"/>
    </xf>
    <xf numFmtId="2" fontId="10" fillId="9" borderId="0" xfId="0" applyNumberFormat="1" applyFont="1" applyFill="1" applyBorder="1" applyAlignment="1" applyProtection="1">
      <alignment horizontal="center"/>
      <protection locked="0" hidden="1"/>
    </xf>
    <xf numFmtId="3" fontId="43" fillId="0" borderId="3" xfId="0" applyNumberFormat="1" applyFont="1" applyBorder="1" applyAlignment="1" applyProtection="1">
      <protection locked="0" hidden="1"/>
    </xf>
    <xf numFmtId="3" fontId="43" fillId="0" borderId="20" xfId="0" applyNumberFormat="1" applyFont="1" applyBorder="1" applyAlignment="1" applyProtection="1">
      <protection locked="0" hidden="1"/>
    </xf>
    <xf numFmtId="3" fontId="10" fillId="0" borderId="3" xfId="0" applyNumberFormat="1" applyFont="1" applyBorder="1" applyAlignment="1" applyProtection="1">
      <protection locked="0" hidden="1"/>
    </xf>
    <xf numFmtId="0" fontId="43" fillId="0" borderId="15" xfId="0" applyFont="1" applyBorder="1" applyAlignment="1" applyProtection="1">
      <protection locked="0" hidden="1"/>
    </xf>
    <xf numFmtId="0" fontId="43" fillId="0" borderId="16" xfId="0" applyFont="1" applyBorder="1" applyAlignment="1" applyProtection="1">
      <protection locked="0" hidden="1"/>
    </xf>
    <xf numFmtId="3" fontId="43" fillId="0" borderId="6" xfId="0" applyNumberFormat="1" applyFont="1" applyBorder="1" applyAlignment="1" applyProtection="1">
      <protection locked="0" hidden="1"/>
    </xf>
    <xf numFmtId="3" fontId="43" fillId="0" borderId="16" xfId="0" applyNumberFormat="1" applyFont="1" applyBorder="1" applyAlignment="1" applyProtection="1">
      <protection locked="0" hidden="1"/>
    </xf>
    <xf numFmtId="3" fontId="10" fillId="0" borderId="6" xfId="0" applyNumberFormat="1" applyFont="1" applyBorder="1" applyAlignment="1" applyProtection="1">
      <protection locked="0" hidden="1"/>
    </xf>
    <xf numFmtId="3" fontId="43" fillId="0" borderId="12" xfId="0" applyNumberFormat="1" applyFont="1" applyBorder="1" applyAlignment="1" applyProtection="1">
      <protection locked="0" hidden="1"/>
    </xf>
    <xf numFmtId="0" fontId="43" fillId="0" borderId="7" xfId="0" applyFont="1" applyBorder="1" applyAlignment="1" applyProtection="1">
      <alignment horizontal="left" vertical="top" wrapText="1"/>
      <protection locked="0" hidden="1"/>
    </xf>
    <xf numFmtId="1" fontId="24" fillId="0" borderId="20" xfId="0" applyNumberFormat="1" applyFont="1" applyBorder="1" applyAlignment="1" applyProtection="1">
      <alignment horizontal="right"/>
      <protection locked="0" hidden="1"/>
    </xf>
    <xf numFmtId="3" fontId="36" fillId="0" borderId="3" xfId="0" applyNumberFormat="1" applyFont="1" applyBorder="1" applyAlignment="1" applyProtection="1">
      <alignment horizontal="right"/>
      <protection locked="0" hidden="1"/>
    </xf>
    <xf numFmtId="3" fontId="24" fillId="0" borderId="3" xfId="0" applyNumberFormat="1" applyFont="1" applyBorder="1" applyAlignment="1" applyProtection="1">
      <alignment horizontal="right"/>
      <protection locked="0" hidden="1"/>
    </xf>
    <xf numFmtId="0" fontId="36" fillId="0" borderId="3" xfId="0" applyFont="1" applyBorder="1" applyAlignment="1" applyProtection="1">
      <alignment horizontal="left"/>
      <protection locked="0" hidden="1"/>
    </xf>
    <xf numFmtId="0" fontId="24" fillId="0" borderId="3" xfId="0" applyFont="1" applyBorder="1" applyAlignment="1" applyProtection="1">
      <alignment horizontal="left"/>
      <protection locked="0" hidden="1"/>
    </xf>
    <xf numFmtId="0" fontId="24" fillId="0" borderId="9" xfId="0" applyFont="1" applyBorder="1" applyAlignment="1" applyProtection="1">
      <alignment horizontal="left"/>
      <protection locked="0" hidden="1"/>
    </xf>
    <xf numFmtId="0" fontId="43" fillId="0" borderId="6" xfId="0" applyFont="1" applyBorder="1" applyAlignment="1" applyProtection="1">
      <alignment horizontal="left"/>
      <protection locked="0" hidden="1"/>
    </xf>
    <xf numFmtId="3" fontId="43" fillId="0" borderId="13" xfId="0" applyNumberFormat="1" applyFont="1" applyBorder="1" applyAlignment="1" applyProtection="1">
      <alignment horizontal="right"/>
      <protection locked="0" hidden="1"/>
    </xf>
    <xf numFmtId="0" fontId="43" fillId="0" borderId="3" xfId="0" applyFont="1" applyBorder="1" applyAlignment="1" applyProtection="1">
      <alignment horizontal="center" vertical="center" wrapText="1"/>
      <protection locked="0" hidden="1"/>
    </xf>
    <xf numFmtId="1" fontId="10" fillId="0" borderId="12" xfId="0" applyNumberFormat="1" applyFont="1" applyBorder="1" applyAlignment="1" applyProtection="1">
      <alignment horizontal="right"/>
      <protection locked="0" hidden="1"/>
    </xf>
    <xf numFmtId="14" fontId="10" fillId="0" borderId="7" xfId="0" applyNumberFormat="1" applyFont="1" applyBorder="1" applyAlignment="1" applyProtection="1">
      <alignment horizontal="right"/>
      <protection locked="0" hidden="1"/>
    </xf>
    <xf numFmtId="0" fontId="43" fillId="0" borderId="14" xfId="0" applyFont="1" applyBorder="1" applyAlignment="1" applyProtection="1">
      <alignment horizontal="left"/>
      <protection locked="0" hidden="1"/>
    </xf>
    <xf numFmtId="1" fontId="43" fillId="0" borderId="14" xfId="0" applyNumberFormat="1" applyFont="1" applyBorder="1" applyAlignment="1" applyProtection="1">
      <alignment horizontal="center"/>
      <protection locked="0" hidden="1"/>
    </xf>
    <xf numFmtId="1" fontId="43" fillId="0" borderId="14" xfId="0" applyNumberFormat="1" applyFont="1" applyBorder="1" applyAlignment="1" applyProtection="1">
      <protection locked="0" hidden="1"/>
    </xf>
    <xf numFmtId="14" fontId="10" fillId="0" borderId="3" xfId="0" applyNumberFormat="1" applyFont="1" applyBorder="1" applyAlignment="1" applyProtection="1">
      <alignment horizontal="right"/>
      <protection locked="0" hidden="1"/>
    </xf>
    <xf numFmtId="0" fontId="43" fillId="0" borderId="14" xfId="0" applyFont="1" applyBorder="1" applyAlignment="1" applyProtection="1">
      <protection locked="0" hidden="1"/>
    </xf>
    <xf numFmtId="1" fontId="43" fillId="0" borderId="14" xfId="0" applyNumberFormat="1" applyFont="1" applyBorder="1" applyAlignment="1" applyProtection="1">
      <alignment horizontal="right"/>
      <protection locked="0" hidden="1"/>
    </xf>
    <xf numFmtId="14" fontId="43" fillId="0" borderId="14" xfId="0" applyNumberFormat="1" applyFont="1" applyBorder="1" applyAlignment="1" applyProtection="1">
      <alignment horizontal="right"/>
      <protection locked="0" hidden="1"/>
    </xf>
    <xf numFmtId="0" fontId="43" fillId="0" borderId="6" xfId="0" applyFont="1" applyBorder="1" applyAlignment="1" applyProtection="1">
      <alignment horizontal="center"/>
      <protection locked="0" hidden="1"/>
    </xf>
    <xf numFmtId="1" fontId="10" fillId="0" borderId="14" xfId="0" applyNumberFormat="1" applyFont="1" applyBorder="1" applyAlignment="1" applyProtection="1">
      <alignment horizontal="right"/>
      <protection locked="0" hidden="1"/>
    </xf>
    <xf numFmtId="0" fontId="43" fillId="0" borderId="13" xfId="0" applyFont="1" applyBorder="1" applyAlignment="1" applyProtection="1">
      <alignment horizontal="center"/>
      <protection locked="0" hidden="1"/>
    </xf>
    <xf numFmtId="1" fontId="10" fillId="0" borderId="10" xfId="0" applyNumberFormat="1" applyFont="1" applyBorder="1" applyAlignment="1" applyProtection="1">
      <alignment horizontal="right"/>
      <protection locked="0" hidden="1"/>
    </xf>
    <xf numFmtId="0" fontId="43" fillId="0" borderId="9" xfId="0" applyFont="1" applyBorder="1" applyAlignment="1" applyProtection="1">
      <alignment horizontal="center" vertical="center"/>
      <protection locked="0" hidden="1"/>
    </xf>
    <xf numFmtId="0" fontId="43" fillId="0" borderId="9" xfId="0" applyFont="1" applyBorder="1" applyAlignment="1" applyProtection="1">
      <alignment horizontal="center" vertical="center" wrapText="1"/>
      <protection locked="0" hidden="1"/>
    </xf>
    <xf numFmtId="1" fontId="10" fillId="0" borderId="9" xfId="0" applyNumberFormat="1" applyFont="1" applyBorder="1" applyAlignment="1" applyProtection="1">
      <alignment horizontal="right"/>
      <protection locked="0" hidden="1"/>
    </xf>
    <xf numFmtId="0" fontId="43" fillId="0" borderId="31" xfId="0" applyFont="1" applyBorder="1" applyAlignment="1" applyProtection="1">
      <alignment horizontal="left" wrapText="1"/>
      <protection locked="0" hidden="1"/>
    </xf>
    <xf numFmtId="3" fontId="24" fillId="0" borderId="6" xfId="0" applyNumberFormat="1" applyFont="1" applyBorder="1" applyAlignment="1" applyProtection="1">
      <alignment horizontal="right"/>
      <protection locked="0" hidden="1"/>
    </xf>
    <xf numFmtId="4" fontId="10" fillId="0" borderId="0" xfId="0" applyNumberFormat="1" applyFont="1" applyBorder="1" applyAlignment="1" applyProtection="1">
      <alignment horizontal="center"/>
      <protection locked="0" hidden="1"/>
    </xf>
    <xf numFmtId="0" fontId="54" fillId="0" borderId="3" xfId="0" applyFont="1" applyBorder="1" applyAlignment="1" applyProtection="1">
      <alignment horizontal="left"/>
      <protection locked="0" hidden="1"/>
    </xf>
    <xf numFmtId="0" fontId="55" fillId="0" borderId="3" xfId="0" applyFont="1" applyBorder="1" applyAlignment="1" applyProtection="1">
      <alignment horizontal="left"/>
      <protection locked="0" hidden="1"/>
    </xf>
    <xf numFmtId="1" fontId="10" fillId="0" borderId="3" xfId="0" applyNumberFormat="1" applyFont="1" applyBorder="1" applyAlignment="1" applyProtection="1">
      <alignment horizontal="center"/>
      <protection locked="0" hidden="1"/>
    </xf>
    <xf numFmtId="1" fontId="10" fillId="0" borderId="3" xfId="0" applyNumberFormat="1" applyFont="1" applyBorder="1" applyAlignment="1" applyProtection="1">
      <alignment horizontal="right" wrapText="1"/>
      <protection locked="0" hidden="1"/>
    </xf>
    <xf numFmtId="3" fontId="24" fillId="0" borderId="3" xfId="0" applyNumberFormat="1" applyFont="1" applyBorder="1" applyAlignment="1" applyProtection="1">
      <alignment vertical="center" wrapText="1"/>
      <protection locked="0" hidden="1"/>
    </xf>
    <xf numFmtId="3" fontId="24" fillId="0" borderId="6" xfId="0" applyNumberFormat="1" applyFont="1" applyBorder="1" applyAlignment="1" applyProtection="1">
      <alignment vertical="center" wrapText="1"/>
      <protection locked="0" hidden="1"/>
    </xf>
    <xf numFmtId="0" fontId="24" fillId="9" borderId="0" xfId="0" applyFont="1" applyFill="1" applyBorder="1" applyAlignment="1" applyProtection="1">
      <alignment horizontal="justify" wrapText="1"/>
      <protection locked="0" hidden="1"/>
    </xf>
    <xf numFmtId="0" fontId="43" fillId="0" borderId="0" xfId="0" applyFont="1" applyBorder="1" applyAlignment="1" applyProtection="1">
      <alignment horizontal="left" vertical="top" wrapText="1"/>
      <protection locked="0" hidden="1"/>
    </xf>
    <xf numFmtId="1" fontId="10" fillId="0" borderId="7" xfId="0" applyNumberFormat="1" applyFont="1" applyBorder="1" applyAlignment="1" applyProtection="1">
      <alignment horizontal="center" vertical="center"/>
      <protection locked="0" hidden="1"/>
    </xf>
    <xf numFmtId="1" fontId="10" fillId="0" borderId="10" xfId="0" applyNumberFormat="1" applyFont="1" applyBorder="1" applyAlignment="1" applyProtection="1">
      <alignment horizontal="center" vertical="center"/>
      <protection locked="0" hidden="1"/>
    </xf>
    <xf numFmtId="0" fontId="43" fillId="0" borderId="20" xfId="0" applyFont="1" applyBorder="1" applyAlignment="1" applyProtection="1">
      <alignment horizontal="center" wrapText="1"/>
      <protection locked="0" hidden="1"/>
    </xf>
    <xf numFmtId="1" fontId="10" fillId="0" borderId="10" xfId="0" applyNumberFormat="1" applyFont="1" applyBorder="1" applyAlignment="1" applyProtection="1">
      <protection locked="0" hidden="1"/>
    </xf>
    <xf numFmtId="1" fontId="10" fillId="0" borderId="13" xfId="0" applyNumberFormat="1" applyFont="1" applyBorder="1" applyAlignment="1" applyProtection="1">
      <protection locked="0" hidden="1"/>
    </xf>
    <xf numFmtId="0" fontId="10" fillId="0" borderId="3" xfId="0" applyFont="1" applyBorder="1" applyAlignment="1" applyProtection="1">
      <alignment horizontal="center" vertical="center"/>
      <protection locked="0" hidden="1"/>
    </xf>
    <xf numFmtId="0" fontId="10" fillId="0" borderId="3" xfId="0" applyFont="1" applyBorder="1" applyAlignment="1" applyProtection="1">
      <alignment horizontal="center" vertical="top"/>
      <protection locked="0" hidden="1"/>
    </xf>
    <xf numFmtId="0" fontId="43" fillId="0" borderId="3" xfId="0" applyFont="1" applyBorder="1" applyAlignment="1" applyProtection="1">
      <alignment horizontal="center" vertical="top"/>
      <protection locked="0" hidden="1"/>
    </xf>
    <xf numFmtId="1" fontId="10" fillId="0" borderId="8" xfId="0" applyNumberFormat="1" applyFont="1" applyBorder="1" applyAlignment="1" applyProtection="1">
      <alignment horizontal="center"/>
      <protection locked="0" hidden="1"/>
    </xf>
    <xf numFmtId="3" fontId="24" fillId="0" borderId="3" xfId="0" applyNumberFormat="1" applyFont="1" applyBorder="1" applyAlignment="1" applyProtection="1">
      <protection locked="0" hidden="1"/>
    </xf>
    <xf numFmtId="3" fontId="24" fillId="0" borderId="9" xfId="0" applyNumberFormat="1" applyFont="1" applyBorder="1" applyAlignment="1" applyProtection="1">
      <protection locked="0" hidden="1"/>
    </xf>
    <xf numFmtId="0" fontId="10" fillId="9" borderId="0" xfId="0" applyFont="1" applyFill="1" applyBorder="1" applyAlignment="1" applyProtection="1">
      <alignment horizontal="left" wrapText="1"/>
      <protection locked="0" hidden="1"/>
    </xf>
    <xf numFmtId="0" fontId="10" fillId="9" borderId="34" xfId="0" applyFont="1" applyFill="1" applyBorder="1" applyAlignment="1" applyProtection="1">
      <alignment horizontal="left" vertical="top"/>
      <protection locked="0" hidden="1"/>
    </xf>
    <xf numFmtId="0" fontId="41" fillId="0" borderId="0" xfId="0" applyFont="1" applyBorder="1" applyAlignment="1" applyProtection="1">
      <alignment horizontal="left" wrapText="1"/>
      <protection locked="0" hidden="1"/>
    </xf>
    <xf numFmtId="0" fontId="56" fillId="0" borderId="0" xfId="0" applyFont="1" applyBorder="1" applyAlignment="1" applyProtection="1">
      <alignment horizontal="left" vertical="top" wrapText="1"/>
      <protection locked="0" hidden="1"/>
    </xf>
    <xf numFmtId="10" fontId="10" fillId="0" borderId="0" xfId="0" applyNumberFormat="1" applyFont="1" applyBorder="1" applyAlignment="1" applyProtection="1">
      <alignment horizontal="right"/>
      <protection locked="0" hidden="1"/>
    </xf>
    <xf numFmtId="167" fontId="10" fillId="0" borderId="28" xfId="0" applyNumberFormat="1" applyFont="1" applyBorder="1" applyAlignment="1" applyProtection="1">
      <alignment horizontal="right"/>
      <protection locked="0" hidden="1"/>
    </xf>
    <xf numFmtId="167" fontId="10" fillId="0" borderId="35" xfId="0" applyNumberFormat="1" applyFont="1" applyBorder="1" applyAlignment="1" applyProtection="1">
      <alignment horizontal="right"/>
      <protection locked="0" hidden="1"/>
    </xf>
    <xf numFmtId="0" fontId="10" fillId="9" borderId="24" xfId="0" applyFont="1" applyFill="1" applyBorder="1" applyAlignment="1" applyProtection="1">
      <alignment horizontal="left" vertical="top"/>
      <protection locked="0" hidden="1"/>
    </xf>
    <xf numFmtId="0" fontId="39" fillId="0" borderId="31" xfId="0" applyFont="1" applyBorder="1" applyAlignment="1" applyProtection="1">
      <alignment horizontal="left" wrapText="1"/>
      <protection locked="0" hidden="1"/>
    </xf>
    <xf numFmtId="0" fontId="36" fillId="0" borderId="0" xfId="0" applyFont="1" applyBorder="1" applyAlignment="1" applyProtection="1">
      <alignment horizontal="center" wrapText="1"/>
      <protection hidden="1"/>
    </xf>
    <xf numFmtId="4" fontId="36" fillId="0" borderId="0" xfId="0" applyNumberFormat="1" applyFont="1" applyBorder="1" applyAlignment="1" applyProtection="1">
      <alignment horizontal="center" wrapText="1"/>
      <protection hidden="1"/>
    </xf>
    <xf numFmtId="0" fontId="36" fillId="0" borderId="0" xfId="0" applyFont="1" applyBorder="1" applyAlignment="1" applyProtection="1">
      <alignment horizontal="center"/>
      <protection hidden="1"/>
    </xf>
    <xf numFmtId="0" fontId="43" fillId="0" borderId="3" xfId="0" applyFont="1" applyBorder="1" applyAlignment="1" applyProtection="1">
      <alignment horizontal="center" vertical="center" wrapText="1"/>
      <protection hidden="1"/>
    </xf>
    <xf numFmtId="0" fontId="10" fillId="0" borderId="5" xfId="0" applyFont="1" applyBorder="1" applyAlignment="1" applyProtection="1">
      <alignment horizontal="center"/>
      <protection hidden="1"/>
    </xf>
    <xf numFmtId="0" fontId="43" fillId="0" borderId="5" xfId="0" applyFont="1" applyBorder="1" applyAlignment="1" applyProtection="1">
      <alignment horizontal="center"/>
      <protection hidden="1"/>
    </xf>
    <xf numFmtId="1" fontId="10" fillId="0" borderId="5" xfId="0" applyNumberFormat="1" applyFont="1" applyBorder="1" applyAlignment="1" applyProtection="1">
      <alignment horizontal="center"/>
      <protection hidden="1"/>
    </xf>
    <xf numFmtId="0" fontId="10" fillId="0" borderId="3" xfId="0" applyFont="1" applyBorder="1" applyAlignment="1" applyProtection="1">
      <alignment horizontal="left"/>
      <protection hidden="1"/>
    </xf>
    <xf numFmtId="0" fontId="10" fillId="0" borderId="3" xfId="0" applyFont="1" applyBorder="1" applyAlignment="1" applyProtection="1">
      <protection hidden="1"/>
    </xf>
    <xf numFmtId="3" fontId="10" fillId="0" borderId="3" xfId="0" applyNumberFormat="1" applyFont="1" applyBorder="1" applyAlignment="1" applyProtection="1">
      <protection hidden="1"/>
    </xf>
    <xf numFmtId="0" fontId="10" fillId="0" borderId="3" xfId="0" applyFont="1" applyBorder="1" applyAlignment="1" applyProtection="1">
      <alignment wrapText="1"/>
      <protection hidden="1"/>
    </xf>
    <xf numFmtId="3" fontId="43" fillId="0" borderId="3" xfId="0" applyNumberFormat="1" applyFont="1" applyBorder="1" applyAlignment="1" applyProtection="1">
      <protection hidden="1"/>
    </xf>
    <xf numFmtId="3" fontId="10" fillId="9" borderId="3" xfId="0" applyNumberFormat="1" applyFont="1" applyFill="1" applyBorder="1" applyAlignment="1" applyProtection="1">
      <protection hidden="1"/>
    </xf>
    <xf numFmtId="0" fontId="43" fillId="0" borderId="3" xfId="0" applyFont="1" applyBorder="1" applyAlignment="1" applyProtection="1">
      <protection hidden="1"/>
    </xf>
    <xf numFmtId="3" fontId="43" fillId="9" borderId="3" xfId="0" applyNumberFormat="1" applyFont="1" applyFill="1" applyBorder="1" applyAlignment="1" applyProtection="1">
      <protection hidden="1"/>
    </xf>
    <xf numFmtId="3" fontId="10" fillId="12" borderId="3" xfId="0" applyNumberFormat="1" applyFont="1" applyFill="1" applyBorder="1" applyAlignment="1" applyProtection="1">
      <protection hidden="1"/>
    </xf>
    <xf numFmtId="3" fontId="10" fillId="13" borderId="3" xfId="0" applyNumberFormat="1" applyFont="1" applyFill="1" applyBorder="1" applyAlignment="1" applyProtection="1">
      <protection hidden="1"/>
    </xf>
    <xf numFmtId="0" fontId="43" fillId="0" borderId="3" xfId="0" applyFont="1" applyBorder="1" applyAlignment="1" applyProtection="1">
      <alignment horizontal="left"/>
      <protection hidden="1"/>
    </xf>
    <xf numFmtId="3" fontId="39" fillId="0" borderId="3" xfId="0" applyNumberFormat="1" applyFont="1" applyBorder="1" applyAlignment="1" applyProtection="1">
      <protection hidden="1"/>
    </xf>
    <xf numFmtId="1" fontId="10" fillId="9" borderId="3" xfId="0" applyNumberFormat="1" applyFont="1" applyFill="1" applyBorder="1" applyAlignment="1" applyProtection="1">
      <alignment horizontal="right"/>
      <protection hidden="1"/>
    </xf>
    <xf numFmtId="0" fontId="43" fillId="0" borderId="3" xfId="0" applyFont="1" applyBorder="1" applyAlignment="1" applyProtection="1">
      <alignment wrapText="1"/>
      <protection hidden="1"/>
    </xf>
    <xf numFmtId="1" fontId="39" fillId="0" borderId="3" xfId="0" applyNumberFormat="1" applyFont="1" applyBorder="1" applyAlignment="1" applyProtection="1">
      <alignment horizontal="right"/>
      <protection hidden="1"/>
    </xf>
    <xf numFmtId="1" fontId="10" fillId="0" borderId="3" xfId="0" applyNumberFormat="1" applyFont="1" applyBorder="1" applyAlignment="1" applyProtection="1">
      <alignment horizontal="right"/>
      <protection hidden="1"/>
    </xf>
    <xf numFmtId="1" fontId="10" fillId="5" borderId="3" xfId="0" applyNumberFormat="1" applyFont="1" applyFill="1" applyBorder="1" applyAlignment="1" applyProtection="1">
      <alignment horizontal="right"/>
      <protection hidden="1"/>
    </xf>
    <xf numFmtId="1" fontId="10" fillId="0" borderId="0" xfId="0" applyNumberFormat="1" applyFont="1" applyBorder="1" applyAlignment="1" applyProtection="1">
      <alignment horizontal="center"/>
      <protection hidden="1"/>
    </xf>
    <xf numFmtId="0" fontId="73" fillId="0" borderId="0" xfId="0" applyFont="1" applyBorder="1" applyAlignment="1" applyProtection="1">
      <alignment horizontal="center" wrapText="1"/>
      <protection hidden="1"/>
    </xf>
    <xf numFmtId="2" fontId="75" fillId="5" borderId="53" xfId="0" applyNumberFormat="1" applyFont="1" applyFill="1" applyBorder="1" applyAlignment="1" applyProtection="1">
      <alignment horizontal="center"/>
      <protection hidden="1"/>
    </xf>
    <xf numFmtId="0" fontId="86" fillId="0" borderId="16" xfId="0" applyFont="1" applyBorder="1" applyAlignment="1">
      <alignment horizontal="left" vertical="top"/>
    </xf>
    <xf numFmtId="0" fontId="24" fillId="0" borderId="13" xfId="0" applyFont="1" applyBorder="1" applyAlignment="1">
      <alignment horizontal="center" vertical="center"/>
    </xf>
    <xf numFmtId="49" fontId="8" fillId="0" borderId="14" xfId="0" applyNumberFormat="1" applyFont="1" applyBorder="1" applyAlignment="1">
      <alignment horizontal="center" vertical="center"/>
    </xf>
    <xf numFmtId="0" fontId="87" fillId="0" borderId="9" xfId="0" applyFont="1" applyBorder="1" applyAlignment="1">
      <alignment horizontal="center"/>
    </xf>
    <xf numFmtId="0" fontId="24" fillId="0" borderId="13" xfId="0" applyFont="1" applyBorder="1" applyAlignment="1">
      <alignment horizontal="center" vertical="center" wrapText="1"/>
    </xf>
    <xf numFmtId="0" fontId="88" fillId="0" borderId="3" xfId="0" applyFont="1" applyBorder="1" applyAlignment="1">
      <alignment horizontal="center" wrapText="1"/>
    </xf>
    <xf numFmtId="0" fontId="47" fillId="0" borderId="3" xfId="0" applyFont="1" applyBorder="1" applyAlignment="1">
      <alignment horizontal="center"/>
    </xf>
    <xf numFmtId="4" fontId="87" fillId="0" borderId="3" xfId="0" applyNumberFormat="1" applyFont="1" applyBorder="1" applyAlignment="1">
      <alignment horizontal="center" wrapText="1"/>
    </xf>
    <xf numFmtId="0" fontId="87" fillId="0" borderId="20" xfId="0" applyFont="1" applyBorder="1" applyAlignment="1">
      <alignment horizontal="center"/>
    </xf>
    <xf numFmtId="0" fontId="47" fillId="0" borderId="20" xfId="0" applyFont="1" applyBorder="1" applyAlignment="1">
      <alignment horizontal="center"/>
    </xf>
    <xf numFmtId="0" fontId="47" fillId="0" borderId="7" xfId="0" applyFont="1" applyBorder="1" applyAlignment="1">
      <alignment horizontal="center"/>
    </xf>
    <xf numFmtId="4" fontId="47" fillId="0" borderId="3" xfId="0" applyNumberFormat="1" applyFont="1" applyBorder="1" applyAlignment="1">
      <alignment horizontal="center"/>
    </xf>
    <xf numFmtId="0" fontId="87" fillId="0" borderId="7" xfId="0" applyFont="1" applyBorder="1" applyAlignment="1">
      <alignment horizontal="center"/>
    </xf>
    <xf numFmtId="0" fontId="47" fillId="0" borderId="9" xfId="0" applyFont="1" applyBorder="1" applyAlignment="1">
      <alignment horizontal="center"/>
    </xf>
    <xf numFmtId="4" fontId="87" fillId="0" borderId="3" xfId="0" applyNumberFormat="1" applyFont="1" applyBorder="1" applyAlignment="1">
      <alignment horizontal="center"/>
    </xf>
    <xf numFmtId="0" fontId="8" fillId="0" borderId="16" xfId="0" applyFont="1" applyBorder="1" applyAlignment="1">
      <alignment horizontal="center"/>
    </xf>
    <xf numFmtId="0" fontId="36" fillId="0" borderId="3" xfId="0" applyFont="1" applyBorder="1" applyAlignment="1">
      <alignment horizontal="center"/>
    </xf>
    <xf numFmtId="0" fontId="89" fillId="0" borderId="3" xfId="0" applyFont="1" applyBorder="1" applyAlignment="1">
      <alignment horizontal="left" vertical="center" wrapText="1"/>
    </xf>
    <xf numFmtId="49" fontId="47" fillId="0" borderId="3" xfId="0" applyNumberFormat="1" applyFont="1" applyBorder="1" applyAlignment="1">
      <alignment horizontal="center" vertical="center"/>
    </xf>
    <xf numFmtId="2" fontId="8" fillId="0" borderId="14" xfId="0" applyNumberFormat="1" applyFont="1" applyBorder="1" applyAlignment="1">
      <alignment horizontal="center" vertical="center"/>
    </xf>
    <xf numFmtId="2" fontId="8" fillId="0" borderId="6" xfId="0" applyNumberFormat="1"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xf>
    <xf numFmtId="0" fontId="8" fillId="0" borderId="7" xfId="0" applyFont="1" applyBorder="1" applyAlignment="1">
      <alignment horizontal="center"/>
    </xf>
    <xf numFmtId="0" fontId="36" fillId="0" borderId="3" xfId="0" applyFont="1" applyBorder="1" applyAlignment="1">
      <alignment horizontal="left" vertical="top"/>
    </xf>
    <xf numFmtId="0" fontId="8" fillId="0" borderId="14" xfId="0" applyFont="1" applyBorder="1" applyAlignment="1">
      <alignment horizontal="center" vertical="center"/>
    </xf>
    <xf numFmtId="0" fontId="24" fillId="0" borderId="3" xfId="0" applyFont="1" applyBorder="1" applyAlignment="1">
      <alignment horizontal="center" vertical="top"/>
    </xf>
    <xf numFmtId="0" fontId="87" fillId="0" borderId="3" xfId="0" applyFont="1" applyBorder="1" applyAlignment="1">
      <alignment horizontal="left" vertical="center" wrapText="1"/>
    </xf>
    <xf numFmtId="0" fontId="24" fillId="0" borderId="3" xfId="0" applyFont="1" applyBorder="1" applyAlignment="1">
      <alignment horizontal="right" vertical="top"/>
    </xf>
    <xf numFmtId="0" fontId="8" fillId="0" borderId="14" xfId="0" applyFont="1" applyBorder="1" applyAlignment="1">
      <alignment horizontal="center"/>
    </xf>
    <xf numFmtId="0" fontId="87" fillId="0" borderId="3" xfId="0" applyFont="1" applyBorder="1" applyAlignment="1">
      <alignment horizontal="center" wrapText="1"/>
    </xf>
    <xf numFmtId="0" fontId="87" fillId="0" borderId="3" xfId="0" applyFont="1" applyBorder="1" applyAlignment="1">
      <alignment horizontal="center"/>
    </xf>
    <xf numFmtId="0" fontId="24" fillId="0" borderId="3" xfId="0" applyFont="1" applyBorder="1" applyAlignment="1">
      <alignment horizontal="left" vertical="top"/>
    </xf>
    <xf numFmtId="0" fontId="86" fillId="0" borderId="3" xfId="0" applyFont="1" applyBorder="1" applyAlignment="1">
      <alignment horizontal="left" vertical="center" wrapText="1"/>
    </xf>
    <xf numFmtId="0" fontId="90" fillId="0" borderId="3" xfId="0" applyFont="1" applyBorder="1" applyAlignment="1">
      <alignment horizontal="left" vertical="center" wrapText="1"/>
    </xf>
    <xf numFmtId="0" fontId="36" fillId="0" borderId="3" xfId="0" applyFont="1" applyBorder="1" applyAlignment="1">
      <alignment horizontal="right" vertical="top"/>
    </xf>
    <xf numFmtId="0" fontId="47" fillId="0" borderId="20" xfId="0" applyFont="1" applyBorder="1" applyAlignment="1">
      <alignment horizontal="center" vertical="center"/>
    </xf>
    <xf numFmtId="0" fontId="24" fillId="0" borderId="3" xfId="0" applyFont="1" applyBorder="1" applyAlignment="1">
      <alignment vertical="top"/>
    </xf>
    <xf numFmtId="2" fontId="8" fillId="0" borderId="0" xfId="0" applyNumberFormat="1" applyFont="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horizontal="center"/>
    </xf>
    <xf numFmtId="0" fontId="86" fillId="0" borderId="3" xfId="0" applyFont="1" applyBorder="1" applyAlignment="1">
      <alignment horizontal="center" vertical="top" wrapText="1"/>
    </xf>
    <xf numFmtId="0" fontId="87" fillId="0" borderId="3" xfId="0" applyFont="1" applyBorder="1" applyAlignment="1">
      <alignment horizontal="center" vertical="center" wrapText="1"/>
    </xf>
    <xf numFmtId="49" fontId="86" fillId="0" borderId="3" xfId="0" applyNumberFormat="1" applyFont="1" applyBorder="1" applyAlignment="1">
      <alignment horizontal="center" vertical="center" wrapText="1"/>
    </xf>
    <xf numFmtId="2" fontId="87" fillId="0" borderId="3" xfId="0" applyNumberFormat="1" applyFont="1" applyBorder="1" applyAlignment="1">
      <alignment horizontal="center" vertical="center"/>
    </xf>
    <xf numFmtId="0" fontId="87" fillId="0" borderId="9" xfId="0" applyFont="1" applyBorder="1" applyAlignment="1">
      <alignment horizontal="center" vertical="center" wrapText="1"/>
    </xf>
    <xf numFmtId="0" fontId="36" fillId="0" borderId="3" xfId="0" applyFont="1" applyBorder="1" applyAlignment="1">
      <alignment horizontal="center" vertical="top"/>
    </xf>
    <xf numFmtId="0" fontId="89" fillId="0" borderId="13" xfId="0" applyFont="1" applyBorder="1" applyAlignment="1">
      <alignment horizontal="left" vertical="center" wrapText="1"/>
    </xf>
    <xf numFmtId="0" fontId="87" fillId="0" borderId="13" xfId="0" applyFont="1" applyBorder="1" applyAlignment="1">
      <alignment horizontal="left" vertical="center" wrapText="1"/>
    </xf>
    <xf numFmtId="2" fontId="8" fillId="0" borderId="16" xfId="0" applyNumberFormat="1" applyFont="1" applyBorder="1" applyAlignment="1">
      <alignment horizontal="center" vertical="center"/>
    </xf>
    <xf numFmtId="0" fontId="8" fillId="0" borderId="16" xfId="0" applyFont="1" applyBorder="1" applyAlignment="1">
      <alignment horizontal="center" vertical="center"/>
    </xf>
    <xf numFmtId="0" fontId="8" fillId="0" borderId="20" xfId="0" applyFont="1" applyBorder="1" applyAlignment="1">
      <alignment horizontal="center"/>
    </xf>
    <xf numFmtId="0" fontId="87" fillId="0" borderId="3" xfId="0" applyFont="1" applyBorder="1" applyAlignment="1">
      <alignment horizontal="center" vertical="center"/>
    </xf>
    <xf numFmtId="49" fontId="87" fillId="0" borderId="9" xfId="0" applyNumberFormat="1" applyFont="1" applyBorder="1" applyAlignment="1">
      <alignment horizontal="center" vertical="center" wrapText="1"/>
    </xf>
    <xf numFmtId="0" fontId="47" fillId="0" borderId="3" xfId="0" applyFont="1" applyBorder="1" applyAlignment="1">
      <alignment horizontal="left" vertical="top"/>
    </xf>
    <xf numFmtId="0" fontId="87" fillId="0" borderId="3" xfId="0" applyFont="1" applyBorder="1" applyAlignment="1">
      <alignment horizontal="left" vertical="top"/>
    </xf>
    <xf numFmtId="49" fontId="48" fillId="0" borderId="3" xfId="0" applyNumberFormat="1" applyFont="1" applyBorder="1" applyAlignment="1">
      <alignment horizontal="center" vertical="center"/>
    </xf>
    <xf numFmtId="0" fontId="48" fillId="0" borderId="3" xfId="0" applyFont="1" applyBorder="1" applyAlignment="1">
      <alignment horizontal="left" vertical="top"/>
    </xf>
    <xf numFmtId="0" fontId="87" fillId="0" borderId="12" xfId="0" applyFont="1" applyBorder="1" applyAlignment="1">
      <alignment horizontal="center" vertical="center"/>
    </xf>
    <xf numFmtId="0" fontId="87" fillId="0" borderId="20" xfId="0" applyFont="1" applyBorder="1" applyAlignment="1">
      <alignment horizontal="center" vertical="center" wrapText="1"/>
    </xf>
    <xf numFmtId="0" fontId="47" fillId="0" borderId="3" xfId="0" applyFont="1" applyBorder="1" applyAlignment="1">
      <alignment horizontal="center" vertical="center"/>
    </xf>
    <xf numFmtId="0" fontId="47" fillId="0" borderId="3" xfId="0" applyFont="1" applyBorder="1" applyAlignment="1">
      <alignment horizontal="right" vertical="center"/>
    </xf>
    <xf numFmtId="0" fontId="48" fillId="0" borderId="3" xfId="0" applyFont="1" applyBorder="1" applyAlignment="1">
      <alignment horizontal="center" vertical="center"/>
    </xf>
    <xf numFmtId="49" fontId="47" fillId="0" borderId="3" xfId="0" applyNumberFormat="1" applyFont="1" applyBorder="1" applyAlignment="1">
      <alignment horizontal="right" vertical="center"/>
    </xf>
    <xf numFmtId="0" fontId="87" fillId="0" borderId="12" xfId="0" applyFont="1" applyBorder="1" applyAlignment="1">
      <alignment horizontal="center" vertical="center" wrapText="1"/>
    </xf>
  </cellXfs>
  <cellStyles count="3">
    <cellStyle name="Excel Built-in Explanatory Text" xfId="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F2F2F2"/>
      <rgbColor rgb="FF800000"/>
      <rgbColor rgb="FF006600"/>
      <rgbColor rgb="FF000080"/>
      <rgbColor rgb="FFDDDDDD"/>
      <rgbColor rgb="FF800080"/>
      <rgbColor rgb="FF008080"/>
      <rgbColor rgb="FFC0C0C0"/>
      <rgbColor rgb="FF808080"/>
      <rgbColor rgb="FFB4C7E7"/>
      <rgbColor rgb="FF993366"/>
      <rgbColor rgb="FFFFFFCC"/>
      <rgbColor rgb="FFCCFFFF"/>
      <rgbColor rgb="FF660066"/>
      <rgbColor rgb="FFD9D9D9"/>
      <rgbColor rgb="FF0066CC"/>
      <rgbColor rgb="FFCCCCFF"/>
      <rgbColor rgb="FF000080"/>
      <rgbColor rgb="FFFF00FF"/>
      <rgbColor rgb="FFC5E0B4"/>
      <rgbColor rgb="FF00FFFF"/>
      <rgbColor rgb="FF800080"/>
      <rgbColor rgb="FF800000"/>
      <rgbColor rgb="FF008080"/>
      <rgbColor rgb="FF0000CC"/>
      <rgbColor rgb="FF00B0F0"/>
      <rgbColor rgb="FFCCECFF"/>
      <rgbColor rgb="FFCCFFCC"/>
      <rgbColor rgb="FFFFFF99"/>
      <rgbColor rgb="FF99CCFF"/>
      <rgbColor rgb="FFC9C9C9"/>
      <rgbColor rgb="FFBFBFBF"/>
      <rgbColor rgb="FFF4B183"/>
      <rgbColor rgb="FF3366FF"/>
      <rgbColor rgb="FFC6EFCE"/>
      <rgbColor rgb="FF92D050"/>
      <rgbColor rgb="FFFFC000"/>
      <rgbColor rgb="FFDBDBDB"/>
      <rgbColor rgb="FFFF6600"/>
      <rgbColor rgb="FF666699"/>
      <rgbColor rgb="FFA6A6A6"/>
      <rgbColor rgb="FF003366"/>
      <rgbColor rgb="FF31A0B7"/>
      <rgbColor rgb="FF0061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0.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10.png"/><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8.png"/><Relationship Id="rId1" Type="http://schemas.openxmlformats.org/officeDocument/2006/relationships/image" Target="../media/image7.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3.png"/><Relationship Id="rId1" Type="http://schemas.openxmlformats.org/officeDocument/2006/relationships/image" Target="../media/image12.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wmf"/><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38100</xdr:colOff>
      <xdr:row>47</xdr:row>
      <xdr:rowOff>180975</xdr:rowOff>
    </xdr:to>
    <xdr:sp macro="" textlink="">
      <xdr:nvSpPr>
        <xdr:cNvPr id="102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28800</xdr:colOff>
      <xdr:row>1</xdr:row>
      <xdr:rowOff>26280</xdr:rowOff>
    </xdr:from>
    <xdr:to>
      <xdr:col>193</xdr:col>
      <xdr:colOff>3600</xdr:colOff>
      <xdr:row>1</xdr:row>
      <xdr:rowOff>288720</xdr:rowOff>
    </xdr:to>
    <xdr:pic>
      <xdr:nvPicPr>
        <xdr:cNvPr id="21" name="Obrázek 1"/>
        <xdr:cNvPicPr/>
      </xdr:nvPicPr>
      <xdr:blipFill>
        <a:blip xmlns:r="http://schemas.openxmlformats.org/officeDocument/2006/relationships" r:embed="rId1"/>
        <a:stretch/>
      </xdr:blipFill>
      <xdr:spPr>
        <a:xfrm>
          <a:off x="4704840" y="73800"/>
          <a:ext cx="1049040" cy="262440"/>
        </a:xfrm>
        <a:prstGeom prst="rect">
          <a:avLst/>
        </a:prstGeom>
        <a:ln>
          <a:noFill/>
        </a:ln>
      </xdr:spPr>
    </xdr:pic>
    <xdr:clientData/>
  </xdr:twoCellAnchor>
  <xdr:twoCellAnchor editAs="oneCell">
    <xdr:from>
      <xdr:col>8</xdr:col>
      <xdr:colOff>16920</xdr:colOff>
      <xdr:row>1</xdr:row>
      <xdr:rowOff>72000</xdr:rowOff>
    </xdr:from>
    <xdr:to>
      <xdr:col>34</xdr:col>
      <xdr:colOff>720</xdr:colOff>
      <xdr:row>1</xdr:row>
      <xdr:rowOff>305280</xdr:rowOff>
    </xdr:to>
    <xdr:pic>
      <xdr:nvPicPr>
        <xdr:cNvPr id="22" name="Obrázek 2"/>
        <xdr:cNvPicPr/>
      </xdr:nvPicPr>
      <xdr:blipFill>
        <a:blip xmlns:r="http://schemas.openxmlformats.org/officeDocument/2006/relationships" r:embed="rId2"/>
        <a:stretch/>
      </xdr:blipFill>
      <xdr:spPr>
        <a:xfrm>
          <a:off x="245880" y="119520"/>
          <a:ext cx="759960" cy="233280"/>
        </a:xfrm>
        <a:prstGeom prst="rect">
          <a:avLst/>
        </a:prstGeom>
        <a:ln>
          <a:noFill/>
        </a:ln>
      </xdr:spPr>
    </xdr:pic>
    <xdr:clientData/>
  </xdr:twoCellAnchor>
  <xdr:twoCellAnchor editAs="oneCell">
    <xdr:from>
      <xdr:col>8</xdr:col>
      <xdr:colOff>16920</xdr:colOff>
      <xdr:row>1</xdr:row>
      <xdr:rowOff>72000</xdr:rowOff>
    </xdr:from>
    <xdr:to>
      <xdr:col>34</xdr:col>
      <xdr:colOff>720</xdr:colOff>
      <xdr:row>1</xdr:row>
      <xdr:rowOff>305280</xdr:rowOff>
    </xdr:to>
    <xdr:pic>
      <xdr:nvPicPr>
        <xdr:cNvPr id="23" name="Obrázek 4"/>
        <xdr:cNvPicPr/>
      </xdr:nvPicPr>
      <xdr:blipFill>
        <a:blip xmlns:r="http://schemas.openxmlformats.org/officeDocument/2006/relationships" r:embed="rId2"/>
        <a:stretch/>
      </xdr:blipFill>
      <xdr:spPr>
        <a:xfrm>
          <a:off x="245880" y="119520"/>
          <a:ext cx="759960" cy="233280"/>
        </a:xfrm>
        <a:prstGeom prst="rect">
          <a:avLst/>
        </a:prstGeom>
        <a:ln>
          <a:noFill/>
        </a:ln>
      </xdr:spPr>
    </xdr:pic>
    <xdr:clientData/>
  </xdr:twoCellAnchor>
  <xdr:twoCellAnchor editAs="oneCell">
    <xdr:from>
      <xdr:col>8</xdr:col>
      <xdr:colOff>16920</xdr:colOff>
      <xdr:row>1</xdr:row>
      <xdr:rowOff>72000</xdr:rowOff>
    </xdr:from>
    <xdr:to>
      <xdr:col>34</xdr:col>
      <xdr:colOff>720</xdr:colOff>
      <xdr:row>1</xdr:row>
      <xdr:rowOff>305280</xdr:rowOff>
    </xdr:to>
    <xdr:pic>
      <xdr:nvPicPr>
        <xdr:cNvPr id="24" name="Obrázek 5"/>
        <xdr:cNvPicPr/>
      </xdr:nvPicPr>
      <xdr:blipFill>
        <a:blip xmlns:r="http://schemas.openxmlformats.org/officeDocument/2006/relationships" r:embed="rId2"/>
        <a:stretch/>
      </xdr:blipFill>
      <xdr:spPr>
        <a:xfrm>
          <a:off x="245880" y="119520"/>
          <a:ext cx="759960" cy="233280"/>
        </a:xfrm>
        <a:prstGeom prst="rect">
          <a:avLst/>
        </a:prstGeom>
        <a:ln>
          <a:noFill/>
        </a:ln>
      </xdr:spPr>
    </xdr:pic>
    <xdr:clientData/>
  </xdr:twoCellAnchor>
  <xdr:twoCellAnchor editAs="oneCell">
    <xdr:from>
      <xdr:col>12</xdr:col>
      <xdr:colOff>16920</xdr:colOff>
      <xdr:row>35</xdr:row>
      <xdr:rowOff>89640</xdr:rowOff>
    </xdr:from>
    <xdr:to>
      <xdr:col>36</xdr:col>
      <xdr:colOff>16200</xdr:colOff>
      <xdr:row>36</xdr:row>
      <xdr:rowOff>4320</xdr:rowOff>
    </xdr:to>
    <xdr:pic>
      <xdr:nvPicPr>
        <xdr:cNvPr id="25" name="Obrázek 6"/>
        <xdr:cNvPicPr/>
      </xdr:nvPicPr>
      <xdr:blipFill>
        <a:blip xmlns:r="http://schemas.openxmlformats.org/officeDocument/2006/relationships" r:embed="rId3"/>
        <a:stretch/>
      </xdr:blipFill>
      <xdr:spPr>
        <a:xfrm>
          <a:off x="365400" y="9433440"/>
          <a:ext cx="715680" cy="7668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28800</xdr:colOff>
      <xdr:row>1</xdr:row>
      <xdr:rowOff>26280</xdr:rowOff>
    </xdr:from>
    <xdr:to>
      <xdr:col>193</xdr:col>
      <xdr:colOff>3600</xdr:colOff>
      <xdr:row>1</xdr:row>
      <xdr:rowOff>288720</xdr:rowOff>
    </xdr:to>
    <xdr:pic>
      <xdr:nvPicPr>
        <xdr:cNvPr id="26" name="Obrázek 1"/>
        <xdr:cNvPicPr/>
      </xdr:nvPicPr>
      <xdr:blipFill>
        <a:blip xmlns:r="http://schemas.openxmlformats.org/officeDocument/2006/relationships" r:embed="rId1"/>
        <a:stretch/>
      </xdr:blipFill>
      <xdr:spPr>
        <a:xfrm>
          <a:off x="4714200" y="73800"/>
          <a:ext cx="1049400" cy="262440"/>
        </a:xfrm>
        <a:prstGeom prst="rect">
          <a:avLst/>
        </a:prstGeom>
        <a:ln>
          <a:noFill/>
        </a:ln>
      </xdr:spPr>
    </xdr:pic>
    <xdr:clientData/>
  </xdr:twoCellAnchor>
  <xdr:twoCellAnchor editAs="oneCell">
    <xdr:from>
      <xdr:col>8</xdr:col>
      <xdr:colOff>16920</xdr:colOff>
      <xdr:row>1</xdr:row>
      <xdr:rowOff>72000</xdr:rowOff>
    </xdr:from>
    <xdr:to>
      <xdr:col>33</xdr:col>
      <xdr:colOff>30600</xdr:colOff>
      <xdr:row>1</xdr:row>
      <xdr:rowOff>305280</xdr:rowOff>
    </xdr:to>
    <xdr:pic>
      <xdr:nvPicPr>
        <xdr:cNvPr id="27" name="Obrázek 2"/>
        <xdr:cNvPicPr/>
      </xdr:nvPicPr>
      <xdr:blipFill>
        <a:blip xmlns:r="http://schemas.openxmlformats.org/officeDocument/2006/relationships" r:embed="rId2"/>
        <a:stretch/>
      </xdr:blipFill>
      <xdr:spPr>
        <a:xfrm>
          <a:off x="255600" y="119520"/>
          <a:ext cx="759600" cy="233280"/>
        </a:xfrm>
        <a:prstGeom prst="rect">
          <a:avLst/>
        </a:prstGeom>
        <a:ln>
          <a:noFill/>
        </a:ln>
      </xdr:spPr>
    </xdr:pic>
    <xdr:clientData/>
  </xdr:twoCellAnchor>
  <xdr:twoCellAnchor editAs="oneCell">
    <xdr:from>
      <xdr:col>8</xdr:col>
      <xdr:colOff>16920</xdr:colOff>
      <xdr:row>1</xdr:row>
      <xdr:rowOff>72000</xdr:rowOff>
    </xdr:from>
    <xdr:to>
      <xdr:col>33</xdr:col>
      <xdr:colOff>30600</xdr:colOff>
      <xdr:row>1</xdr:row>
      <xdr:rowOff>305280</xdr:rowOff>
    </xdr:to>
    <xdr:pic>
      <xdr:nvPicPr>
        <xdr:cNvPr id="28" name="Obrázek 4"/>
        <xdr:cNvPicPr/>
      </xdr:nvPicPr>
      <xdr:blipFill>
        <a:blip xmlns:r="http://schemas.openxmlformats.org/officeDocument/2006/relationships" r:embed="rId2"/>
        <a:stretch/>
      </xdr:blipFill>
      <xdr:spPr>
        <a:xfrm>
          <a:off x="255600" y="119520"/>
          <a:ext cx="759600" cy="233280"/>
        </a:xfrm>
        <a:prstGeom prst="rect">
          <a:avLst/>
        </a:prstGeom>
        <a:ln>
          <a:noFill/>
        </a:ln>
      </xdr:spPr>
    </xdr:pic>
    <xdr:clientData/>
  </xdr:twoCellAnchor>
  <xdr:twoCellAnchor editAs="oneCell">
    <xdr:from>
      <xdr:col>8</xdr:col>
      <xdr:colOff>16920</xdr:colOff>
      <xdr:row>1</xdr:row>
      <xdr:rowOff>72000</xdr:rowOff>
    </xdr:from>
    <xdr:to>
      <xdr:col>33</xdr:col>
      <xdr:colOff>30600</xdr:colOff>
      <xdr:row>1</xdr:row>
      <xdr:rowOff>305280</xdr:rowOff>
    </xdr:to>
    <xdr:pic>
      <xdr:nvPicPr>
        <xdr:cNvPr id="29" name="Obrázek 5"/>
        <xdr:cNvPicPr/>
      </xdr:nvPicPr>
      <xdr:blipFill>
        <a:blip xmlns:r="http://schemas.openxmlformats.org/officeDocument/2006/relationships" r:embed="rId2"/>
        <a:stretch/>
      </xdr:blipFill>
      <xdr:spPr>
        <a:xfrm>
          <a:off x="255600" y="119520"/>
          <a:ext cx="759600" cy="233280"/>
        </a:xfrm>
        <a:prstGeom prst="rect">
          <a:avLst/>
        </a:prstGeom>
        <a:ln>
          <a:noFill/>
        </a:ln>
      </xdr:spPr>
    </xdr:pic>
    <xdr:clientData/>
  </xdr:twoCellAnchor>
  <xdr:twoCellAnchor editAs="oneCell">
    <xdr:from>
      <xdr:col>8</xdr:col>
      <xdr:colOff>16920</xdr:colOff>
      <xdr:row>1</xdr:row>
      <xdr:rowOff>72000</xdr:rowOff>
    </xdr:from>
    <xdr:to>
      <xdr:col>33</xdr:col>
      <xdr:colOff>30600</xdr:colOff>
      <xdr:row>1</xdr:row>
      <xdr:rowOff>305280</xdr:rowOff>
    </xdr:to>
    <xdr:pic>
      <xdr:nvPicPr>
        <xdr:cNvPr id="30" name="Obrázek 6"/>
        <xdr:cNvPicPr/>
      </xdr:nvPicPr>
      <xdr:blipFill>
        <a:blip xmlns:r="http://schemas.openxmlformats.org/officeDocument/2006/relationships" r:embed="rId2"/>
        <a:stretch/>
      </xdr:blipFill>
      <xdr:spPr>
        <a:xfrm>
          <a:off x="255600" y="119520"/>
          <a:ext cx="759600" cy="233280"/>
        </a:xfrm>
        <a:prstGeom prst="rect">
          <a:avLst/>
        </a:prstGeom>
        <a:ln>
          <a:noFill/>
        </a:ln>
      </xdr:spPr>
    </xdr:pic>
    <xdr:clientData/>
  </xdr:twoCellAnchor>
  <xdr:twoCellAnchor editAs="oneCell">
    <xdr:from>
      <xdr:col>12</xdr:col>
      <xdr:colOff>10080</xdr:colOff>
      <xdr:row>35</xdr:row>
      <xdr:rowOff>102600</xdr:rowOff>
    </xdr:from>
    <xdr:to>
      <xdr:col>36</xdr:col>
      <xdr:colOff>9360</xdr:colOff>
      <xdr:row>36</xdr:row>
      <xdr:rowOff>17280</xdr:rowOff>
    </xdr:to>
    <xdr:pic>
      <xdr:nvPicPr>
        <xdr:cNvPr id="31" name="Obrázek 7"/>
        <xdr:cNvPicPr/>
      </xdr:nvPicPr>
      <xdr:blipFill>
        <a:blip xmlns:r="http://schemas.openxmlformats.org/officeDocument/2006/relationships" r:embed="rId3"/>
        <a:stretch/>
      </xdr:blipFill>
      <xdr:spPr>
        <a:xfrm>
          <a:off x="367920" y="9446400"/>
          <a:ext cx="715680" cy="7668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157</xdr:col>
      <xdr:colOff>28800</xdr:colOff>
      <xdr:row>1</xdr:row>
      <xdr:rowOff>26280</xdr:rowOff>
    </xdr:from>
    <xdr:to>
      <xdr:col>193</xdr:col>
      <xdr:colOff>3600</xdr:colOff>
      <xdr:row>1</xdr:row>
      <xdr:rowOff>288720</xdr:rowOff>
    </xdr:to>
    <xdr:pic>
      <xdr:nvPicPr>
        <xdr:cNvPr id="32" name="Obrázek 1"/>
        <xdr:cNvPicPr/>
      </xdr:nvPicPr>
      <xdr:blipFill>
        <a:blip xmlns:r="http://schemas.openxmlformats.org/officeDocument/2006/relationships" r:embed="rId1"/>
        <a:stretch/>
      </xdr:blipFill>
      <xdr:spPr>
        <a:xfrm>
          <a:off x="4714200" y="73800"/>
          <a:ext cx="1049400" cy="262440"/>
        </a:xfrm>
        <a:prstGeom prst="rect">
          <a:avLst/>
        </a:prstGeom>
        <a:ln>
          <a:noFill/>
        </a:ln>
      </xdr:spPr>
    </xdr:pic>
    <xdr:clientData/>
  </xdr:twoCellAnchor>
  <xdr:twoCellAnchor editAs="oneCell">
    <xdr:from>
      <xdr:col>8</xdr:col>
      <xdr:colOff>16920</xdr:colOff>
      <xdr:row>1</xdr:row>
      <xdr:rowOff>72000</xdr:rowOff>
    </xdr:from>
    <xdr:to>
      <xdr:col>33</xdr:col>
      <xdr:colOff>30600</xdr:colOff>
      <xdr:row>1</xdr:row>
      <xdr:rowOff>305280</xdr:rowOff>
    </xdr:to>
    <xdr:pic>
      <xdr:nvPicPr>
        <xdr:cNvPr id="33" name="Obrázek 2"/>
        <xdr:cNvPicPr/>
      </xdr:nvPicPr>
      <xdr:blipFill>
        <a:blip xmlns:r="http://schemas.openxmlformats.org/officeDocument/2006/relationships" r:embed="rId2"/>
        <a:stretch/>
      </xdr:blipFill>
      <xdr:spPr>
        <a:xfrm>
          <a:off x="255600" y="119520"/>
          <a:ext cx="759600" cy="233280"/>
        </a:xfrm>
        <a:prstGeom prst="rect">
          <a:avLst/>
        </a:prstGeom>
        <a:ln>
          <a:noFill/>
        </a:ln>
      </xdr:spPr>
    </xdr:pic>
    <xdr:clientData/>
  </xdr:twoCellAnchor>
  <xdr:twoCellAnchor editAs="oneCell">
    <xdr:from>
      <xdr:col>8</xdr:col>
      <xdr:colOff>16920</xdr:colOff>
      <xdr:row>1</xdr:row>
      <xdr:rowOff>72000</xdr:rowOff>
    </xdr:from>
    <xdr:to>
      <xdr:col>33</xdr:col>
      <xdr:colOff>30600</xdr:colOff>
      <xdr:row>1</xdr:row>
      <xdr:rowOff>305280</xdr:rowOff>
    </xdr:to>
    <xdr:pic>
      <xdr:nvPicPr>
        <xdr:cNvPr id="34" name="Obrázek 4"/>
        <xdr:cNvPicPr/>
      </xdr:nvPicPr>
      <xdr:blipFill>
        <a:blip xmlns:r="http://schemas.openxmlformats.org/officeDocument/2006/relationships" r:embed="rId2"/>
        <a:stretch/>
      </xdr:blipFill>
      <xdr:spPr>
        <a:xfrm>
          <a:off x="255600" y="119520"/>
          <a:ext cx="759600" cy="233280"/>
        </a:xfrm>
        <a:prstGeom prst="rect">
          <a:avLst/>
        </a:prstGeom>
        <a:ln>
          <a:noFill/>
        </a:ln>
      </xdr:spPr>
    </xdr:pic>
    <xdr:clientData/>
  </xdr:twoCellAnchor>
  <xdr:twoCellAnchor editAs="oneCell">
    <xdr:from>
      <xdr:col>8</xdr:col>
      <xdr:colOff>16920</xdr:colOff>
      <xdr:row>1</xdr:row>
      <xdr:rowOff>72000</xdr:rowOff>
    </xdr:from>
    <xdr:to>
      <xdr:col>33</xdr:col>
      <xdr:colOff>30600</xdr:colOff>
      <xdr:row>1</xdr:row>
      <xdr:rowOff>305280</xdr:rowOff>
    </xdr:to>
    <xdr:pic>
      <xdr:nvPicPr>
        <xdr:cNvPr id="35" name="Obrázek 5"/>
        <xdr:cNvPicPr/>
      </xdr:nvPicPr>
      <xdr:blipFill>
        <a:blip xmlns:r="http://schemas.openxmlformats.org/officeDocument/2006/relationships" r:embed="rId2"/>
        <a:stretch/>
      </xdr:blipFill>
      <xdr:spPr>
        <a:xfrm>
          <a:off x="255600" y="119520"/>
          <a:ext cx="759600" cy="233280"/>
        </a:xfrm>
        <a:prstGeom prst="rect">
          <a:avLst/>
        </a:prstGeom>
        <a:ln>
          <a:noFill/>
        </a:ln>
      </xdr:spPr>
    </xdr:pic>
    <xdr:clientData/>
  </xdr:twoCellAnchor>
  <xdr:twoCellAnchor editAs="oneCell">
    <xdr:from>
      <xdr:col>8</xdr:col>
      <xdr:colOff>16920</xdr:colOff>
      <xdr:row>1</xdr:row>
      <xdr:rowOff>72000</xdr:rowOff>
    </xdr:from>
    <xdr:to>
      <xdr:col>33</xdr:col>
      <xdr:colOff>30600</xdr:colOff>
      <xdr:row>1</xdr:row>
      <xdr:rowOff>305280</xdr:rowOff>
    </xdr:to>
    <xdr:pic>
      <xdr:nvPicPr>
        <xdr:cNvPr id="36" name="Obrázek 6"/>
        <xdr:cNvPicPr/>
      </xdr:nvPicPr>
      <xdr:blipFill>
        <a:blip xmlns:r="http://schemas.openxmlformats.org/officeDocument/2006/relationships" r:embed="rId2"/>
        <a:stretch/>
      </xdr:blipFill>
      <xdr:spPr>
        <a:xfrm>
          <a:off x="255600" y="119520"/>
          <a:ext cx="759600" cy="233280"/>
        </a:xfrm>
        <a:prstGeom prst="rect">
          <a:avLst/>
        </a:prstGeom>
        <a:ln>
          <a:noFill/>
        </a:ln>
      </xdr:spPr>
    </xdr:pic>
    <xdr:clientData/>
  </xdr:twoCellAnchor>
  <xdr:twoCellAnchor editAs="oneCell">
    <xdr:from>
      <xdr:col>8</xdr:col>
      <xdr:colOff>16920</xdr:colOff>
      <xdr:row>1</xdr:row>
      <xdr:rowOff>72000</xdr:rowOff>
    </xdr:from>
    <xdr:to>
      <xdr:col>33</xdr:col>
      <xdr:colOff>30600</xdr:colOff>
      <xdr:row>1</xdr:row>
      <xdr:rowOff>305280</xdr:rowOff>
    </xdr:to>
    <xdr:pic>
      <xdr:nvPicPr>
        <xdr:cNvPr id="37" name="Obrázek 7"/>
        <xdr:cNvPicPr/>
      </xdr:nvPicPr>
      <xdr:blipFill>
        <a:blip xmlns:r="http://schemas.openxmlformats.org/officeDocument/2006/relationships" r:embed="rId2"/>
        <a:stretch/>
      </xdr:blipFill>
      <xdr:spPr>
        <a:xfrm>
          <a:off x="255600" y="119520"/>
          <a:ext cx="759600" cy="233280"/>
        </a:xfrm>
        <a:prstGeom prst="rect">
          <a:avLst/>
        </a:prstGeom>
        <a:ln>
          <a:noFill/>
        </a:ln>
      </xdr:spPr>
    </xdr:pic>
    <xdr:clientData/>
  </xdr:twoCellAnchor>
  <xdr:twoCellAnchor editAs="oneCell">
    <xdr:from>
      <xdr:col>12</xdr:col>
      <xdr:colOff>14400</xdr:colOff>
      <xdr:row>35</xdr:row>
      <xdr:rowOff>66240</xdr:rowOff>
    </xdr:from>
    <xdr:to>
      <xdr:col>36</xdr:col>
      <xdr:colOff>13680</xdr:colOff>
      <xdr:row>35</xdr:row>
      <xdr:rowOff>142560</xdr:rowOff>
    </xdr:to>
    <xdr:pic>
      <xdr:nvPicPr>
        <xdr:cNvPr id="38" name="Obrázek 8"/>
        <xdr:cNvPicPr/>
      </xdr:nvPicPr>
      <xdr:blipFill>
        <a:blip xmlns:r="http://schemas.openxmlformats.org/officeDocument/2006/relationships" r:embed="rId3"/>
        <a:stretch/>
      </xdr:blipFill>
      <xdr:spPr>
        <a:xfrm>
          <a:off x="372240" y="9410040"/>
          <a:ext cx="715680" cy="7632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157</xdr:col>
      <xdr:colOff>28800</xdr:colOff>
      <xdr:row>1</xdr:row>
      <xdr:rowOff>26280</xdr:rowOff>
    </xdr:from>
    <xdr:to>
      <xdr:col>193</xdr:col>
      <xdr:colOff>3600</xdr:colOff>
      <xdr:row>1</xdr:row>
      <xdr:rowOff>288720</xdr:rowOff>
    </xdr:to>
    <xdr:pic>
      <xdr:nvPicPr>
        <xdr:cNvPr id="39" name="Obrázek 1"/>
        <xdr:cNvPicPr/>
      </xdr:nvPicPr>
      <xdr:blipFill>
        <a:blip xmlns:r="http://schemas.openxmlformats.org/officeDocument/2006/relationships" r:embed="rId1"/>
        <a:stretch/>
      </xdr:blipFill>
      <xdr:spPr>
        <a:xfrm>
          <a:off x="4714200" y="73800"/>
          <a:ext cx="1049400" cy="262440"/>
        </a:xfrm>
        <a:prstGeom prst="rect">
          <a:avLst/>
        </a:prstGeom>
        <a:ln>
          <a:noFill/>
        </a:ln>
      </xdr:spPr>
    </xdr:pic>
    <xdr:clientData/>
  </xdr:twoCellAnchor>
  <xdr:twoCellAnchor editAs="oneCell">
    <xdr:from>
      <xdr:col>9</xdr:col>
      <xdr:colOff>7920</xdr:colOff>
      <xdr:row>1</xdr:row>
      <xdr:rowOff>76680</xdr:rowOff>
    </xdr:from>
    <xdr:to>
      <xdr:col>34</xdr:col>
      <xdr:colOff>19440</xdr:colOff>
      <xdr:row>1</xdr:row>
      <xdr:rowOff>309960</xdr:rowOff>
    </xdr:to>
    <xdr:pic>
      <xdr:nvPicPr>
        <xdr:cNvPr id="40" name="Obrázek 2"/>
        <xdr:cNvPicPr/>
      </xdr:nvPicPr>
      <xdr:blipFill>
        <a:blip xmlns:r="http://schemas.openxmlformats.org/officeDocument/2006/relationships" r:embed="rId2"/>
        <a:stretch/>
      </xdr:blipFill>
      <xdr:spPr>
        <a:xfrm>
          <a:off x="276480" y="124200"/>
          <a:ext cx="757440" cy="233280"/>
        </a:xfrm>
        <a:prstGeom prst="rect">
          <a:avLst/>
        </a:prstGeom>
        <a:ln>
          <a:noFill/>
        </a:ln>
      </xdr:spPr>
    </xdr:pic>
    <xdr:clientData/>
  </xdr:twoCellAnchor>
  <xdr:twoCellAnchor editAs="oneCell">
    <xdr:from>
      <xdr:col>13</xdr:col>
      <xdr:colOff>10080</xdr:colOff>
      <xdr:row>35</xdr:row>
      <xdr:rowOff>76680</xdr:rowOff>
    </xdr:from>
    <xdr:to>
      <xdr:col>37</xdr:col>
      <xdr:colOff>9360</xdr:colOff>
      <xdr:row>35</xdr:row>
      <xdr:rowOff>153360</xdr:rowOff>
    </xdr:to>
    <xdr:pic>
      <xdr:nvPicPr>
        <xdr:cNvPr id="41" name="Obrázek 6"/>
        <xdr:cNvPicPr/>
      </xdr:nvPicPr>
      <xdr:blipFill>
        <a:blip xmlns:r="http://schemas.openxmlformats.org/officeDocument/2006/relationships" r:embed="rId3"/>
        <a:stretch/>
      </xdr:blipFill>
      <xdr:spPr>
        <a:xfrm>
          <a:off x="397800" y="9420480"/>
          <a:ext cx="715680" cy="76680"/>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157</xdr:col>
      <xdr:colOff>28800</xdr:colOff>
      <xdr:row>1</xdr:row>
      <xdr:rowOff>26280</xdr:rowOff>
    </xdr:from>
    <xdr:to>
      <xdr:col>193</xdr:col>
      <xdr:colOff>3600</xdr:colOff>
      <xdr:row>1</xdr:row>
      <xdr:rowOff>288720</xdr:rowOff>
    </xdr:to>
    <xdr:pic>
      <xdr:nvPicPr>
        <xdr:cNvPr id="42" name="Obrázek 1"/>
        <xdr:cNvPicPr/>
      </xdr:nvPicPr>
      <xdr:blipFill>
        <a:blip xmlns:r="http://schemas.openxmlformats.org/officeDocument/2006/relationships" r:embed="rId1"/>
        <a:stretch/>
      </xdr:blipFill>
      <xdr:spPr>
        <a:xfrm>
          <a:off x="4714200" y="73800"/>
          <a:ext cx="1049400" cy="262440"/>
        </a:xfrm>
        <a:prstGeom prst="rect">
          <a:avLst/>
        </a:prstGeom>
        <a:ln>
          <a:noFill/>
        </a:ln>
      </xdr:spPr>
    </xdr:pic>
    <xdr:clientData/>
  </xdr:twoCellAnchor>
  <xdr:twoCellAnchor editAs="oneCell">
    <xdr:from>
      <xdr:col>10</xdr:col>
      <xdr:colOff>5040</xdr:colOff>
      <xdr:row>1</xdr:row>
      <xdr:rowOff>96480</xdr:rowOff>
    </xdr:from>
    <xdr:to>
      <xdr:col>35</xdr:col>
      <xdr:colOff>16920</xdr:colOff>
      <xdr:row>1</xdr:row>
      <xdr:rowOff>317160</xdr:rowOff>
    </xdr:to>
    <xdr:pic>
      <xdr:nvPicPr>
        <xdr:cNvPr id="43" name="Obrázek 2"/>
        <xdr:cNvPicPr/>
      </xdr:nvPicPr>
      <xdr:blipFill>
        <a:blip xmlns:r="http://schemas.openxmlformats.org/officeDocument/2006/relationships" r:embed="rId2"/>
        <a:stretch/>
      </xdr:blipFill>
      <xdr:spPr>
        <a:xfrm>
          <a:off x="303480" y="144000"/>
          <a:ext cx="757800" cy="220680"/>
        </a:xfrm>
        <a:prstGeom prst="rect">
          <a:avLst/>
        </a:prstGeom>
        <a:ln>
          <a:noFill/>
        </a:ln>
      </xdr:spPr>
    </xdr:pic>
    <xdr:clientData/>
  </xdr:twoCellAnchor>
  <xdr:twoCellAnchor editAs="oneCell">
    <xdr:from>
      <xdr:col>12</xdr:col>
      <xdr:colOff>3600</xdr:colOff>
      <xdr:row>35</xdr:row>
      <xdr:rowOff>63360</xdr:rowOff>
    </xdr:from>
    <xdr:to>
      <xdr:col>36</xdr:col>
      <xdr:colOff>2880</xdr:colOff>
      <xdr:row>35</xdr:row>
      <xdr:rowOff>142200</xdr:rowOff>
    </xdr:to>
    <xdr:pic>
      <xdr:nvPicPr>
        <xdr:cNvPr id="44" name="Obrázek 4"/>
        <xdr:cNvPicPr/>
      </xdr:nvPicPr>
      <xdr:blipFill>
        <a:blip xmlns:r="http://schemas.openxmlformats.org/officeDocument/2006/relationships" r:embed="rId3"/>
        <a:stretch/>
      </xdr:blipFill>
      <xdr:spPr>
        <a:xfrm>
          <a:off x="361440" y="9043200"/>
          <a:ext cx="715680" cy="7884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157</xdr:col>
      <xdr:colOff>28800</xdr:colOff>
      <xdr:row>1</xdr:row>
      <xdr:rowOff>26280</xdr:rowOff>
    </xdr:from>
    <xdr:to>
      <xdr:col>193</xdr:col>
      <xdr:colOff>3600</xdr:colOff>
      <xdr:row>1</xdr:row>
      <xdr:rowOff>288720</xdr:rowOff>
    </xdr:to>
    <xdr:pic>
      <xdr:nvPicPr>
        <xdr:cNvPr id="45" name="Obrázek 1"/>
        <xdr:cNvPicPr/>
      </xdr:nvPicPr>
      <xdr:blipFill>
        <a:blip xmlns:r="http://schemas.openxmlformats.org/officeDocument/2006/relationships" r:embed="rId1"/>
        <a:stretch/>
      </xdr:blipFill>
      <xdr:spPr>
        <a:xfrm>
          <a:off x="4714200" y="73800"/>
          <a:ext cx="1049400" cy="262440"/>
        </a:xfrm>
        <a:prstGeom prst="rect">
          <a:avLst/>
        </a:prstGeom>
        <a:ln>
          <a:noFill/>
        </a:ln>
      </xdr:spPr>
    </xdr:pic>
    <xdr:clientData/>
  </xdr:twoCellAnchor>
  <xdr:twoCellAnchor editAs="oneCell">
    <xdr:from>
      <xdr:col>8</xdr:col>
      <xdr:colOff>16920</xdr:colOff>
      <xdr:row>1</xdr:row>
      <xdr:rowOff>84960</xdr:rowOff>
    </xdr:from>
    <xdr:to>
      <xdr:col>33</xdr:col>
      <xdr:colOff>30600</xdr:colOff>
      <xdr:row>1</xdr:row>
      <xdr:rowOff>317160</xdr:rowOff>
    </xdr:to>
    <xdr:pic>
      <xdr:nvPicPr>
        <xdr:cNvPr id="46" name="Obrázek 2"/>
        <xdr:cNvPicPr/>
      </xdr:nvPicPr>
      <xdr:blipFill>
        <a:blip xmlns:r="http://schemas.openxmlformats.org/officeDocument/2006/relationships" r:embed="rId2"/>
        <a:stretch/>
      </xdr:blipFill>
      <xdr:spPr>
        <a:xfrm>
          <a:off x="255600" y="132480"/>
          <a:ext cx="759600" cy="232200"/>
        </a:xfrm>
        <a:prstGeom prst="rect">
          <a:avLst/>
        </a:prstGeom>
        <a:ln>
          <a:noFill/>
        </a:ln>
      </xdr:spPr>
    </xdr:pic>
    <xdr:clientData/>
  </xdr:twoCellAnchor>
  <xdr:twoCellAnchor editAs="oneCell">
    <xdr:from>
      <xdr:col>11</xdr:col>
      <xdr:colOff>3960</xdr:colOff>
      <xdr:row>33</xdr:row>
      <xdr:rowOff>63360</xdr:rowOff>
    </xdr:from>
    <xdr:to>
      <xdr:col>35</xdr:col>
      <xdr:colOff>2880</xdr:colOff>
      <xdr:row>33</xdr:row>
      <xdr:rowOff>142200</xdr:rowOff>
    </xdr:to>
    <xdr:pic>
      <xdr:nvPicPr>
        <xdr:cNvPr id="47" name="Obrázek 3"/>
        <xdr:cNvPicPr/>
      </xdr:nvPicPr>
      <xdr:blipFill>
        <a:blip xmlns:r="http://schemas.openxmlformats.org/officeDocument/2006/relationships" r:embed="rId3"/>
        <a:stretch/>
      </xdr:blipFill>
      <xdr:spPr>
        <a:xfrm>
          <a:off x="331920" y="9359640"/>
          <a:ext cx="715320" cy="78840"/>
        </a:xfrm>
        <a:prstGeom prst="rect">
          <a:avLst/>
        </a:prstGeom>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157</xdr:col>
      <xdr:colOff>28800</xdr:colOff>
      <xdr:row>1</xdr:row>
      <xdr:rowOff>26280</xdr:rowOff>
    </xdr:from>
    <xdr:to>
      <xdr:col>193</xdr:col>
      <xdr:colOff>3600</xdr:colOff>
      <xdr:row>1</xdr:row>
      <xdr:rowOff>288720</xdr:rowOff>
    </xdr:to>
    <xdr:pic>
      <xdr:nvPicPr>
        <xdr:cNvPr id="48" name="Obrázek 1"/>
        <xdr:cNvPicPr/>
      </xdr:nvPicPr>
      <xdr:blipFill>
        <a:blip xmlns:r="http://schemas.openxmlformats.org/officeDocument/2006/relationships" r:embed="rId1"/>
        <a:stretch/>
      </xdr:blipFill>
      <xdr:spPr>
        <a:xfrm>
          <a:off x="4714200" y="73800"/>
          <a:ext cx="1049400" cy="262440"/>
        </a:xfrm>
        <a:prstGeom prst="rect">
          <a:avLst/>
        </a:prstGeom>
        <a:ln>
          <a:noFill/>
        </a:ln>
      </xdr:spPr>
    </xdr:pic>
    <xdr:clientData/>
  </xdr:twoCellAnchor>
  <xdr:twoCellAnchor editAs="oneCell">
    <xdr:from>
      <xdr:col>8</xdr:col>
      <xdr:colOff>16920</xdr:colOff>
      <xdr:row>1</xdr:row>
      <xdr:rowOff>72000</xdr:rowOff>
    </xdr:from>
    <xdr:to>
      <xdr:col>33</xdr:col>
      <xdr:colOff>30600</xdr:colOff>
      <xdr:row>1</xdr:row>
      <xdr:rowOff>305280</xdr:rowOff>
    </xdr:to>
    <xdr:pic>
      <xdr:nvPicPr>
        <xdr:cNvPr id="49" name="Obrázek 2"/>
        <xdr:cNvPicPr/>
      </xdr:nvPicPr>
      <xdr:blipFill>
        <a:blip xmlns:r="http://schemas.openxmlformats.org/officeDocument/2006/relationships" r:embed="rId2"/>
        <a:stretch/>
      </xdr:blipFill>
      <xdr:spPr>
        <a:xfrm>
          <a:off x="255600" y="119520"/>
          <a:ext cx="759600" cy="233280"/>
        </a:xfrm>
        <a:prstGeom prst="rect">
          <a:avLst/>
        </a:prstGeom>
        <a:ln>
          <a:noFill/>
        </a:ln>
      </xdr:spPr>
    </xdr:pic>
    <xdr:clientData/>
  </xdr:twoCellAnchor>
  <xdr:twoCellAnchor editAs="oneCell">
    <xdr:from>
      <xdr:col>11</xdr:col>
      <xdr:colOff>9360</xdr:colOff>
      <xdr:row>33</xdr:row>
      <xdr:rowOff>95400</xdr:rowOff>
    </xdr:from>
    <xdr:to>
      <xdr:col>29</xdr:col>
      <xdr:colOff>21960</xdr:colOff>
      <xdr:row>33</xdr:row>
      <xdr:rowOff>153000</xdr:rowOff>
    </xdr:to>
    <xdr:pic>
      <xdr:nvPicPr>
        <xdr:cNvPr id="50" name="Obrázek 3"/>
        <xdr:cNvPicPr/>
      </xdr:nvPicPr>
      <xdr:blipFill>
        <a:blip xmlns:r="http://schemas.openxmlformats.org/officeDocument/2006/relationships" r:embed="rId3"/>
        <a:stretch/>
      </xdr:blipFill>
      <xdr:spPr>
        <a:xfrm>
          <a:off x="337320" y="9391680"/>
          <a:ext cx="550080" cy="57600"/>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157</xdr:col>
      <xdr:colOff>11880</xdr:colOff>
      <xdr:row>1</xdr:row>
      <xdr:rowOff>27720</xdr:rowOff>
    </xdr:from>
    <xdr:to>
      <xdr:col>193</xdr:col>
      <xdr:colOff>18000</xdr:colOff>
      <xdr:row>1</xdr:row>
      <xdr:rowOff>282600</xdr:rowOff>
    </xdr:to>
    <xdr:pic>
      <xdr:nvPicPr>
        <xdr:cNvPr id="51" name="Obrázek 3"/>
        <xdr:cNvPicPr/>
      </xdr:nvPicPr>
      <xdr:blipFill>
        <a:blip xmlns:r="http://schemas.openxmlformats.org/officeDocument/2006/relationships" r:embed="rId1"/>
        <a:stretch/>
      </xdr:blipFill>
      <xdr:spPr>
        <a:xfrm>
          <a:off x="4697280" y="75240"/>
          <a:ext cx="1080720" cy="254880"/>
        </a:xfrm>
        <a:prstGeom prst="rect">
          <a:avLst/>
        </a:prstGeom>
        <a:ln>
          <a:noFill/>
        </a:ln>
      </xdr:spPr>
    </xdr:pic>
    <xdr:clientData/>
  </xdr:twoCellAnchor>
  <xdr:twoCellAnchor editAs="oneCell">
    <xdr:from>
      <xdr:col>8</xdr:col>
      <xdr:colOff>5040</xdr:colOff>
      <xdr:row>1</xdr:row>
      <xdr:rowOff>92880</xdr:rowOff>
    </xdr:from>
    <xdr:to>
      <xdr:col>36</xdr:col>
      <xdr:colOff>15480</xdr:colOff>
      <xdr:row>1</xdr:row>
      <xdr:rowOff>313920</xdr:rowOff>
    </xdr:to>
    <xdr:pic>
      <xdr:nvPicPr>
        <xdr:cNvPr id="52" name="Obrázek 4"/>
        <xdr:cNvPicPr/>
      </xdr:nvPicPr>
      <xdr:blipFill>
        <a:blip xmlns:r="http://schemas.openxmlformats.org/officeDocument/2006/relationships" r:embed="rId2"/>
        <a:stretch/>
      </xdr:blipFill>
      <xdr:spPr>
        <a:xfrm>
          <a:off x="243720" y="140400"/>
          <a:ext cx="846000" cy="221040"/>
        </a:xfrm>
        <a:prstGeom prst="rect">
          <a:avLst/>
        </a:prstGeom>
        <a:ln>
          <a:noFill/>
        </a:ln>
      </xdr:spPr>
    </xdr:pic>
    <xdr:clientData/>
  </xdr:twoCellAnchor>
  <xdr:twoCellAnchor editAs="oneCell">
    <xdr:from>
      <xdr:col>11</xdr:col>
      <xdr:colOff>27000</xdr:colOff>
      <xdr:row>33</xdr:row>
      <xdr:rowOff>92880</xdr:rowOff>
    </xdr:from>
    <xdr:to>
      <xdr:col>28</xdr:col>
      <xdr:colOff>8280</xdr:colOff>
      <xdr:row>33</xdr:row>
      <xdr:rowOff>148320</xdr:rowOff>
    </xdr:to>
    <xdr:pic>
      <xdr:nvPicPr>
        <xdr:cNvPr id="53" name="Obrázek 5"/>
        <xdr:cNvPicPr/>
      </xdr:nvPicPr>
      <xdr:blipFill>
        <a:blip xmlns:r="http://schemas.openxmlformats.org/officeDocument/2006/relationships" r:embed="rId3"/>
        <a:stretch/>
      </xdr:blipFill>
      <xdr:spPr>
        <a:xfrm>
          <a:off x="354960" y="9433080"/>
          <a:ext cx="488880" cy="55440"/>
        </a:xfrm>
        <a:prstGeom prst="rect">
          <a:avLst/>
        </a:prstGeom>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157</xdr:col>
      <xdr:colOff>13320</xdr:colOff>
      <xdr:row>1</xdr:row>
      <xdr:rowOff>28440</xdr:rowOff>
    </xdr:from>
    <xdr:to>
      <xdr:col>193</xdr:col>
      <xdr:colOff>29160</xdr:colOff>
      <xdr:row>1</xdr:row>
      <xdr:rowOff>285480</xdr:rowOff>
    </xdr:to>
    <xdr:pic>
      <xdr:nvPicPr>
        <xdr:cNvPr id="54" name="Obrázek 3"/>
        <xdr:cNvPicPr/>
      </xdr:nvPicPr>
      <xdr:blipFill>
        <a:blip xmlns:r="http://schemas.openxmlformats.org/officeDocument/2006/relationships" r:embed="rId1"/>
        <a:stretch/>
      </xdr:blipFill>
      <xdr:spPr>
        <a:xfrm>
          <a:off x="4698720" y="75960"/>
          <a:ext cx="1090440" cy="257040"/>
        </a:xfrm>
        <a:prstGeom prst="rect">
          <a:avLst/>
        </a:prstGeom>
        <a:ln>
          <a:noFill/>
        </a:ln>
      </xdr:spPr>
    </xdr:pic>
    <xdr:clientData/>
  </xdr:twoCellAnchor>
  <xdr:twoCellAnchor editAs="oneCell">
    <xdr:from>
      <xdr:col>8</xdr:col>
      <xdr:colOff>9720</xdr:colOff>
      <xdr:row>1</xdr:row>
      <xdr:rowOff>94680</xdr:rowOff>
    </xdr:from>
    <xdr:to>
      <xdr:col>36</xdr:col>
      <xdr:colOff>20160</xdr:colOff>
      <xdr:row>1</xdr:row>
      <xdr:rowOff>315360</xdr:rowOff>
    </xdr:to>
    <xdr:pic>
      <xdr:nvPicPr>
        <xdr:cNvPr id="55" name="Obrázek 4"/>
        <xdr:cNvPicPr/>
      </xdr:nvPicPr>
      <xdr:blipFill>
        <a:blip xmlns:r="http://schemas.openxmlformats.org/officeDocument/2006/relationships" r:embed="rId2"/>
        <a:stretch/>
      </xdr:blipFill>
      <xdr:spPr>
        <a:xfrm>
          <a:off x="248400" y="142200"/>
          <a:ext cx="846000" cy="220680"/>
        </a:xfrm>
        <a:prstGeom prst="rect">
          <a:avLst/>
        </a:prstGeom>
        <a:ln>
          <a:noFill/>
        </a:ln>
      </xdr:spPr>
    </xdr:pic>
    <xdr:clientData/>
  </xdr:twoCellAnchor>
  <xdr:twoCellAnchor editAs="oneCell">
    <xdr:from>
      <xdr:col>12</xdr:col>
      <xdr:colOff>12240</xdr:colOff>
      <xdr:row>33</xdr:row>
      <xdr:rowOff>83160</xdr:rowOff>
    </xdr:from>
    <xdr:to>
      <xdr:col>28</xdr:col>
      <xdr:colOff>22680</xdr:colOff>
      <xdr:row>33</xdr:row>
      <xdr:rowOff>138600</xdr:rowOff>
    </xdr:to>
    <xdr:pic>
      <xdr:nvPicPr>
        <xdr:cNvPr id="56" name="Obrázek 5"/>
        <xdr:cNvPicPr/>
      </xdr:nvPicPr>
      <xdr:blipFill>
        <a:blip xmlns:r="http://schemas.openxmlformats.org/officeDocument/2006/relationships" r:embed="rId3"/>
        <a:stretch/>
      </xdr:blipFill>
      <xdr:spPr>
        <a:xfrm>
          <a:off x="370080" y="9423360"/>
          <a:ext cx="488160" cy="5544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155</xdr:col>
      <xdr:colOff>18360</xdr:colOff>
      <xdr:row>1</xdr:row>
      <xdr:rowOff>10800</xdr:rowOff>
    </xdr:from>
    <xdr:to>
      <xdr:col>196</xdr:col>
      <xdr:colOff>19080</xdr:colOff>
      <xdr:row>1</xdr:row>
      <xdr:rowOff>267840</xdr:rowOff>
    </xdr:to>
    <xdr:pic>
      <xdr:nvPicPr>
        <xdr:cNvPr id="57" name="Obrázek 3"/>
        <xdr:cNvPicPr/>
      </xdr:nvPicPr>
      <xdr:blipFill>
        <a:blip xmlns:r="http://schemas.openxmlformats.org/officeDocument/2006/relationships" r:embed="rId1"/>
        <a:stretch/>
      </xdr:blipFill>
      <xdr:spPr>
        <a:xfrm>
          <a:off x="4644000" y="58320"/>
          <a:ext cx="1224360" cy="257040"/>
        </a:xfrm>
        <a:prstGeom prst="rect">
          <a:avLst/>
        </a:prstGeom>
        <a:ln>
          <a:noFill/>
        </a:ln>
      </xdr:spPr>
    </xdr:pic>
    <xdr:clientData/>
  </xdr:twoCellAnchor>
  <xdr:twoCellAnchor editAs="oneCell">
    <xdr:from>
      <xdr:col>5</xdr:col>
      <xdr:colOff>29160</xdr:colOff>
      <xdr:row>1</xdr:row>
      <xdr:rowOff>88920</xdr:rowOff>
    </xdr:from>
    <xdr:to>
      <xdr:col>36</xdr:col>
      <xdr:colOff>19800</xdr:colOff>
      <xdr:row>1</xdr:row>
      <xdr:rowOff>309960</xdr:rowOff>
    </xdr:to>
    <xdr:pic>
      <xdr:nvPicPr>
        <xdr:cNvPr id="58" name="Obrázek 4"/>
        <xdr:cNvPicPr/>
      </xdr:nvPicPr>
      <xdr:blipFill>
        <a:blip xmlns:r="http://schemas.openxmlformats.org/officeDocument/2006/relationships" r:embed="rId2"/>
        <a:stretch/>
      </xdr:blipFill>
      <xdr:spPr>
        <a:xfrm>
          <a:off x="178200" y="136440"/>
          <a:ext cx="915840" cy="221040"/>
        </a:xfrm>
        <a:prstGeom prst="rect">
          <a:avLst/>
        </a:prstGeom>
        <a:ln>
          <a:noFill/>
        </a:ln>
      </xdr:spPr>
    </xdr:pic>
    <xdr:clientData/>
  </xdr:twoCellAnchor>
  <xdr:twoCellAnchor editAs="oneCell">
    <xdr:from>
      <xdr:col>9</xdr:col>
      <xdr:colOff>1440</xdr:colOff>
      <xdr:row>144</xdr:row>
      <xdr:rowOff>6120</xdr:rowOff>
    </xdr:from>
    <xdr:to>
      <xdr:col>24</xdr:col>
      <xdr:colOff>27360</xdr:colOff>
      <xdr:row>145</xdr:row>
      <xdr:rowOff>12240</xdr:rowOff>
    </xdr:to>
    <xdr:pic>
      <xdr:nvPicPr>
        <xdr:cNvPr id="59" name="Obrázek 5"/>
        <xdr:cNvPicPr/>
      </xdr:nvPicPr>
      <xdr:blipFill>
        <a:blip xmlns:r="http://schemas.openxmlformats.org/officeDocument/2006/relationships" r:embed="rId3"/>
        <a:stretch/>
      </xdr:blipFill>
      <xdr:spPr>
        <a:xfrm>
          <a:off x="270000" y="9517680"/>
          <a:ext cx="473400" cy="5364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790575</xdr:colOff>
      <xdr:row>44</xdr:row>
      <xdr:rowOff>171450</xdr:rowOff>
    </xdr:to>
    <xdr:sp macro="" textlink="">
      <xdr:nvSpPr>
        <xdr:cNvPr id="2050"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628650</xdr:colOff>
      <xdr:row>54</xdr:row>
      <xdr:rowOff>114300</xdr:rowOff>
    </xdr:to>
    <xdr:sp macro="" textlink="">
      <xdr:nvSpPr>
        <xdr:cNvPr id="3074"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21</xdr:col>
      <xdr:colOff>514350</xdr:colOff>
      <xdr:row>55</xdr:row>
      <xdr:rowOff>95250</xdr:rowOff>
    </xdr:to>
    <xdr:sp macro="" textlink="">
      <xdr:nvSpPr>
        <xdr:cNvPr id="4100"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21</xdr:col>
      <xdr:colOff>514350</xdr:colOff>
      <xdr:row>55</xdr:row>
      <xdr:rowOff>95250</xdr:rowOff>
    </xdr:to>
    <xdr:sp macro="" textlink="">
      <xdr:nvSpPr>
        <xdr:cNvPr id="4098"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57</xdr:col>
      <xdr:colOff>8280</xdr:colOff>
      <xdr:row>24</xdr:row>
      <xdr:rowOff>49320</xdr:rowOff>
    </xdr:from>
    <xdr:to>
      <xdr:col>83</xdr:col>
      <xdr:colOff>36720</xdr:colOff>
      <xdr:row>41</xdr:row>
      <xdr:rowOff>39600</xdr:rowOff>
    </xdr:to>
    <xdr:sp macro="" textlink="">
      <xdr:nvSpPr>
        <xdr:cNvPr id="2" name="CustomShape 1"/>
        <xdr:cNvSpPr/>
      </xdr:nvSpPr>
      <xdr:spPr>
        <a:xfrm>
          <a:off x="6576480" y="3531600"/>
          <a:ext cx="3480480" cy="3721320"/>
        </a:xfrm>
        <a:prstGeom prst="rect">
          <a:avLst/>
        </a:prstGeom>
        <a:noFill/>
        <a:ln>
          <a:noFill/>
        </a:ln>
      </xdr:spPr>
      <xdr:style>
        <a:lnRef idx="2">
          <a:schemeClr val="accent1">
            <a:shade val="50000"/>
          </a:schemeClr>
        </a:lnRef>
        <a:fillRef idx="1">
          <a:schemeClr val="accent1"/>
        </a:fillRef>
        <a:effectRef idx="0">
          <a:schemeClr val="accent1"/>
        </a:effectRef>
        <a:fontRef idx="minor"/>
      </xdr:style>
      <xdr:txBody>
        <a:bodyPr lIns="90000" tIns="45000" rIns="90000" bIns="45000">
          <a:noAutofit/>
        </a:bodyPr>
        <a:lstStyle/>
        <a:p>
          <a:pPr>
            <a:lnSpc>
              <a:spcPct val="100000"/>
            </a:lnSpc>
          </a:pPr>
          <a:r>
            <a:rPr lang="sk-SK" sz="1200" b="0" strike="noStrike" spc="-1">
              <a:solidFill>
                <a:srgbClr val="FFFFFF"/>
              </a:solidFill>
              <a:latin typeface="Calibri"/>
            </a:rPr>
            <a:t>Tlač do PDF</a:t>
          </a:r>
          <a:endParaRPr lang="sk-SK" sz="1200" b="0" strike="noStrike" spc="-1">
            <a:latin typeface="Times New Roman"/>
          </a:endParaRPr>
        </a:p>
        <a:p>
          <a:pPr>
            <a:lnSpc>
              <a:spcPct val="100000"/>
            </a:lnSpc>
          </a:pPr>
          <a:r>
            <a:rPr lang="sk-SK" sz="1200" b="0" strike="noStrike" spc="-1">
              <a:solidFill>
                <a:srgbClr val="FFFFFF"/>
              </a:solidFill>
              <a:latin typeface="Calibri"/>
            </a:rPr>
            <a:t>1. krok - kliknite na list "Poznámky 2017 "</a:t>
          </a:r>
          <a:endParaRPr lang="sk-SK" sz="1200" b="0" strike="noStrike" spc="-1">
            <a:latin typeface="Times New Roman"/>
          </a:endParaRPr>
        </a:p>
        <a:p>
          <a:pPr>
            <a:lnSpc>
              <a:spcPct val="100000"/>
            </a:lnSpc>
          </a:pPr>
          <a:r>
            <a:rPr lang="sk-SK" sz="1200" b="0" strike="noStrike" spc="-1">
              <a:solidFill>
                <a:srgbClr val="FFFFFF"/>
              </a:solidFill>
              <a:latin typeface="Calibri"/>
            </a:rPr>
            <a:t>2. krok - Postupne vyberte - SÚBOR - Uložiť ako </a:t>
          </a:r>
          <a:endParaRPr lang="sk-SK" sz="1200" b="0" strike="noStrike" spc="-1">
            <a:latin typeface="Times New Roman"/>
          </a:endParaRPr>
        </a:p>
        <a:p>
          <a:pPr>
            <a:lnSpc>
              <a:spcPct val="100000"/>
            </a:lnSpc>
          </a:pPr>
          <a:r>
            <a:rPr lang="sk-SK" sz="1200" b="0" strike="noStrike" spc="-1">
              <a:solidFill>
                <a:srgbClr val="FFFFFF"/>
              </a:solidFill>
              <a:latin typeface="Calibri"/>
            </a:rPr>
            <a:t>3. krok - Uložiť vo formáte   - Súbor PDF</a:t>
          </a:r>
          <a:endParaRPr lang="sk-SK" sz="1200" b="0" strike="noStrike" spc="-1">
            <a:latin typeface="Times New Roman"/>
          </a:endParaRPr>
        </a:p>
        <a:p>
          <a:pPr>
            <a:lnSpc>
              <a:spcPct val="100000"/>
            </a:lnSpc>
          </a:pPr>
          <a:r>
            <a:rPr lang="sk-SK" sz="1200" b="0" strike="noStrike" spc="-1">
              <a:solidFill>
                <a:srgbClr val="FFFFFF"/>
              </a:solidFill>
              <a:latin typeface="Calibri"/>
            </a:rPr>
            <a:t>4. krok - Vyberte možnosti</a:t>
          </a:r>
          <a:endParaRPr lang="sk-SK" sz="1200" b="0" strike="noStrike" spc="-1">
            <a:latin typeface="Times New Roman"/>
          </a:endParaRPr>
        </a:p>
        <a:p>
          <a:pPr>
            <a:lnSpc>
              <a:spcPct val="100000"/>
            </a:lnSpc>
          </a:pPr>
          <a:r>
            <a:rPr lang="sk-SK" sz="1200" b="0" strike="noStrike" spc="-1">
              <a:solidFill>
                <a:srgbClr val="FFFFFF"/>
              </a:solidFill>
              <a:latin typeface="Calibri"/>
            </a:rPr>
            <a:t>5. krok - Stlačte OK</a:t>
          </a:r>
          <a:endParaRPr lang="sk-SK" sz="1200" b="0" strike="noStrike" spc="-1">
            <a:latin typeface="Times New Roman"/>
          </a:endParaRPr>
        </a:p>
      </xdr:txBody>
    </xdr:sp>
    <xdr:clientData/>
  </xdr:twoCellAnchor>
  <xdr:twoCellAnchor editAs="oneCell">
    <xdr:from>
      <xdr:col>65</xdr:col>
      <xdr:colOff>36720</xdr:colOff>
      <xdr:row>29</xdr:row>
      <xdr:rowOff>308880</xdr:rowOff>
    </xdr:from>
    <xdr:to>
      <xdr:col>83</xdr:col>
      <xdr:colOff>30240</xdr:colOff>
      <xdr:row>40</xdr:row>
      <xdr:rowOff>149040</xdr:rowOff>
    </xdr:to>
    <xdr:pic>
      <xdr:nvPicPr>
        <xdr:cNvPr id="3" name="Obrázok 2"/>
        <xdr:cNvPicPr/>
      </xdr:nvPicPr>
      <xdr:blipFill>
        <a:blip xmlns:r="http://schemas.openxmlformats.org/officeDocument/2006/relationships" r:embed="rId1"/>
        <a:stretch/>
      </xdr:blipFill>
      <xdr:spPr>
        <a:xfrm>
          <a:off x="7702200" y="4764600"/>
          <a:ext cx="2348280" cy="2426400"/>
        </a:xfrm>
        <a:prstGeom prst="rect">
          <a:avLst/>
        </a:prstGeom>
        <a:ln>
          <a:noFill/>
        </a:ln>
      </xdr:spPr>
    </xdr:pic>
    <xdr:clientData/>
  </xdr:twoCellAnchor>
  <xdr:twoCellAnchor editAs="oneCell">
    <xdr:from>
      <xdr:col>56</xdr:col>
      <xdr:colOff>55440</xdr:colOff>
      <xdr:row>0</xdr:row>
      <xdr:rowOff>2160</xdr:rowOff>
    </xdr:from>
    <xdr:to>
      <xdr:col>82</xdr:col>
      <xdr:colOff>100800</xdr:colOff>
      <xdr:row>21</xdr:row>
      <xdr:rowOff>62280</xdr:rowOff>
    </xdr:to>
    <xdr:sp macro="" textlink="">
      <xdr:nvSpPr>
        <xdr:cNvPr id="4" name="CustomShape 1"/>
        <xdr:cNvSpPr/>
      </xdr:nvSpPr>
      <xdr:spPr>
        <a:xfrm>
          <a:off x="6563520" y="2160"/>
          <a:ext cx="3426480" cy="3215160"/>
        </a:xfrm>
        <a:prstGeom prst="rect">
          <a:avLst/>
        </a:prstGeom>
        <a:noFill/>
        <a:ln>
          <a:noFill/>
        </a:ln>
      </xdr:spPr>
      <xdr:style>
        <a:lnRef idx="2">
          <a:schemeClr val="accent5"/>
        </a:lnRef>
        <a:fillRef idx="1">
          <a:schemeClr val="lt1"/>
        </a:fillRef>
        <a:effectRef idx="0">
          <a:schemeClr val="accent5"/>
        </a:effectRef>
        <a:fontRef idx="minor"/>
      </xdr:style>
      <xdr:txBody>
        <a:bodyPr lIns="90000" tIns="45000" rIns="90000" bIns="45000">
          <a:noAutofit/>
        </a:bodyPr>
        <a:lstStyle/>
        <a:p>
          <a:pPr>
            <a:lnSpc>
              <a:spcPct val="100000"/>
            </a:lnSpc>
          </a:pPr>
          <a:r>
            <a:rPr lang="sk-SK" sz="1100" b="0" strike="noStrike" spc="-1">
              <a:solidFill>
                <a:srgbClr val="000000"/>
              </a:solidFill>
              <a:latin typeface="Calibri"/>
            </a:rPr>
            <a:t>Postup : Súbor,Tlačiť, Nastavenie strany, Hlavička alebo päta, Vlastná hlavička a nakoniec vyplniť</a:t>
          </a:r>
          <a:endParaRPr lang="sk-SK" sz="1100" b="0" strike="noStrike" spc="-1">
            <a:latin typeface="Times New Roman"/>
          </a:endParaRPr>
        </a:p>
      </xdr:txBody>
    </xdr:sp>
    <xdr:clientData/>
  </xdr:twoCellAnchor>
  <xdr:twoCellAnchor editAs="oneCell">
    <xdr:from>
      <xdr:col>73</xdr:col>
      <xdr:colOff>111600</xdr:colOff>
      <xdr:row>1</xdr:row>
      <xdr:rowOff>15480</xdr:rowOff>
    </xdr:from>
    <xdr:to>
      <xdr:col>76</xdr:col>
      <xdr:colOff>105840</xdr:colOff>
      <xdr:row>3</xdr:row>
      <xdr:rowOff>94320</xdr:rowOff>
    </xdr:to>
    <xdr:sp macro="" textlink="">
      <xdr:nvSpPr>
        <xdr:cNvPr id="5" name="CustomShape 1"/>
        <xdr:cNvSpPr/>
      </xdr:nvSpPr>
      <xdr:spPr>
        <a:xfrm flipH="1">
          <a:off x="8823600" y="175320"/>
          <a:ext cx="386640" cy="398880"/>
        </a:xfrm>
        <a:custGeom>
          <a:avLst/>
          <a:gdLst/>
          <a:ahLst/>
          <a:cxnLst/>
          <a:rect l="l" t="t" r="r" b="b"/>
          <a:pathLst>
            <a:path w="21600" h="21600">
              <a:moveTo>
                <a:pt x="0" y="0"/>
              </a:moveTo>
              <a:lnTo>
                <a:pt x="21600" y="21600"/>
              </a:lnTo>
            </a:path>
          </a:pathLst>
        </a:custGeom>
        <a:noFill/>
        <a:ln w="28440">
          <a:solidFill>
            <a:srgbClr val="FFFFFF"/>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57</xdr:col>
      <xdr:colOff>43200</xdr:colOff>
      <xdr:row>3</xdr:row>
      <xdr:rowOff>61920</xdr:rowOff>
    </xdr:from>
    <xdr:to>
      <xdr:col>62</xdr:col>
      <xdr:colOff>48960</xdr:colOff>
      <xdr:row>9</xdr:row>
      <xdr:rowOff>3480</xdr:rowOff>
    </xdr:to>
    <xdr:pic>
      <xdr:nvPicPr>
        <xdr:cNvPr id="6" name="Obrázok 3"/>
        <xdr:cNvPicPr/>
      </xdr:nvPicPr>
      <xdr:blipFill>
        <a:blip xmlns:r="http://schemas.openxmlformats.org/officeDocument/2006/relationships" r:embed="rId2"/>
        <a:stretch/>
      </xdr:blipFill>
      <xdr:spPr>
        <a:xfrm>
          <a:off x="6611400" y="541800"/>
          <a:ext cx="710640" cy="894240"/>
        </a:xfrm>
        <a:prstGeom prst="rect">
          <a:avLst/>
        </a:prstGeom>
        <a:ln>
          <a:noFill/>
        </a:ln>
      </xdr:spPr>
    </xdr:pic>
    <xdr:clientData/>
  </xdr:twoCellAnchor>
  <xdr:twoCellAnchor editAs="oneCell">
    <xdr:from>
      <xdr:col>64</xdr:col>
      <xdr:colOff>119520</xdr:colOff>
      <xdr:row>4</xdr:row>
      <xdr:rowOff>1800</xdr:rowOff>
    </xdr:from>
    <xdr:to>
      <xdr:col>78</xdr:col>
      <xdr:colOff>118440</xdr:colOff>
      <xdr:row>9</xdr:row>
      <xdr:rowOff>67680</xdr:rowOff>
    </xdr:to>
    <xdr:pic>
      <xdr:nvPicPr>
        <xdr:cNvPr id="7" name="Obrázok 6"/>
        <xdr:cNvPicPr/>
      </xdr:nvPicPr>
      <xdr:blipFill>
        <a:blip xmlns:r="http://schemas.openxmlformats.org/officeDocument/2006/relationships" r:embed="rId3"/>
        <a:stretch/>
      </xdr:blipFill>
      <xdr:spPr>
        <a:xfrm>
          <a:off x="7654320" y="641880"/>
          <a:ext cx="1830240" cy="865800"/>
        </a:xfrm>
        <a:prstGeom prst="rect">
          <a:avLst/>
        </a:prstGeom>
        <a:ln>
          <a:noFill/>
        </a:ln>
      </xdr:spPr>
    </xdr:pic>
    <xdr:clientData/>
  </xdr:twoCellAnchor>
  <xdr:twoCellAnchor editAs="oneCell">
    <xdr:from>
      <xdr:col>56</xdr:col>
      <xdr:colOff>37800</xdr:colOff>
      <xdr:row>6</xdr:row>
      <xdr:rowOff>23760</xdr:rowOff>
    </xdr:from>
    <xdr:to>
      <xdr:col>63</xdr:col>
      <xdr:colOff>47880</xdr:colOff>
      <xdr:row>7</xdr:row>
      <xdr:rowOff>82800</xdr:rowOff>
    </xdr:to>
    <xdr:sp macro="" textlink="">
      <xdr:nvSpPr>
        <xdr:cNvPr id="8" name="CustomShape 1"/>
        <xdr:cNvSpPr/>
      </xdr:nvSpPr>
      <xdr:spPr>
        <a:xfrm>
          <a:off x="6545880" y="983880"/>
          <a:ext cx="905760" cy="21888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65</xdr:col>
      <xdr:colOff>16200</xdr:colOff>
      <xdr:row>5</xdr:row>
      <xdr:rowOff>99720</xdr:rowOff>
    </xdr:from>
    <xdr:to>
      <xdr:col>75</xdr:col>
      <xdr:colOff>59040</xdr:colOff>
      <xdr:row>7</xdr:row>
      <xdr:rowOff>88200</xdr:rowOff>
    </xdr:to>
    <xdr:sp macro="" textlink="">
      <xdr:nvSpPr>
        <xdr:cNvPr id="9" name="CustomShape 1"/>
        <xdr:cNvSpPr/>
      </xdr:nvSpPr>
      <xdr:spPr>
        <a:xfrm>
          <a:off x="7681680" y="899640"/>
          <a:ext cx="1351080" cy="30852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58</xdr:col>
      <xdr:colOff>14400</xdr:colOff>
      <xdr:row>9</xdr:row>
      <xdr:rowOff>95040</xdr:rowOff>
    </xdr:from>
    <xdr:to>
      <xdr:col>81</xdr:col>
      <xdr:colOff>64440</xdr:colOff>
      <xdr:row>17</xdr:row>
      <xdr:rowOff>17280</xdr:rowOff>
    </xdr:to>
    <xdr:pic>
      <xdr:nvPicPr>
        <xdr:cNvPr id="10" name="Obrázok 10"/>
        <xdr:cNvPicPr/>
      </xdr:nvPicPr>
      <xdr:blipFill>
        <a:blip xmlns:r="http://schemas.openxmlformats.org/officeDocument/2006/relationships" r:embed="rId4"/>
        <a:stretch/>
      </xdr:blipFill>
      <xdr:spPr>
        <a:xfrm>
          <a:off x="6643080" y="1535040"/>
          <a:ext cx="3179880" cy="1050120"/>
        </a:xfrm>
        <a:prstGeom prst="rect">
          <a:avLst/>
        </a:prstGeom>
        <a:ln>
          <a:noFill/>
        </a:ln>
      </xdr:spPr>
    </xdr:pic>
    <xdr:clientData/>
  </xdr:twoCellAnchor>
  <xdr:twoCellAnchor editAs="oneCell">
    <xdr:from>
      <xdr:col>58</xdr:col>
      <xdr:colOff>45720</xdr:colOff>
      <xdr:row>12</xdr:row>
      <xdr:rowOff>21240</xdr:rowOff>
    </xdr:from>
    <xdr:to>
      <xdr:col>64</xdr:col>
      <xdr:colOff>34200</xdr:colOff>
      <xdr:row>14</xdr:row>
      <xdr:rowOff>54360</xdr:rowOff>
    </xdr:to>
    <xdr:sp macro="" textlink="">
      <xdr:nvSpPr>
        <xdr:cNvPr id="11" name="CustomShape 1"/>
        <xdr:cNvSpPr/>
      </xdr:nvSpPr>
      <xdr:spPr>
        <a:xfrm>
          <a:off x="6674400" y="1941480"/>
          <a:ext cx="894600" cy="20052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66</xdr:col>
      <xdr:colOff>44640</xdr:colOff>
      <xdr:row>12</xdr:row>
      <xdr:rowOff>45360</xdr:rowOff>
    </xdr:from>
    <xdr:to>
      <xdr:col>71</xdr:col>
      <xdr:colOff>33480</xdr:colOff>
      <xdr:row>14</xdr:row>
      <xdr:rowOff>78480</xdr:rowOff>
    </xdr:to>
    <xdr:sp macro="" textlink="">
      <xdr:nvSpPr>
        <xdr:cNvPr id="12" name="CustomShape 1"/>
        <xdr:cNvSpPr/>
      </xdr:nvSpPr>
      <xdr:spPr>
        <a:xfrm>
          <a:off x="7841160" y="1965600"/>
          <a:ext cx="642600" cy="20052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76</xdr:col>
      <xdr:colOff>83520</xdr:colOff>
      <xdr:row>12</xdr:row>
      <xdr:rowOff>47880</xdr:rowOff>
    </xdr:from>
    <xdr:to>
      <xdr:col>81</xdr:col>
      <xdr:colOff>72360</xdr:colOff>
      <xdr:row>14</xdr:row>
      <xdr:rowOff>81000</xdr:rowOff>
    </xdr:to>
    <xdr:sp macro="" textlink="">
      <xdr:nvSpPr>
        <xdr:cNvPr id="13" name="CustomShape 1"/>
        <xdr:cNvSpPr/>
      </xdr:nvSpPr>
      <xdr:spPr>
        <a:xfrm>
          <a:off x="9187920" y="1968120"/>
          <a:ext cx="642960" cy="20052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62</xdr:col>
      <xdr:colOff>19440</xdr:colOff>
      <xdr:row>64</xdr:row>
      <xdr:rowOff>84960</xdr:rowOff>
    </xdr:from>
    <xdr:to>
      <xdr:col>67</xdr:col>
      <xdr:colOff>117000</xdr:colOff>
      <xdr:row>66</xdr:row>
      <xdr:rowOff>47880</xdr:rowOff>
    </xdr:to>
    <xdr:pic>
      <xdr:nvPicPr>
        <xdr:cNvPr id="14" name="Obrázek 17"/>
        <xdr:cNvPicPr/>
      </xdr:nvPicPr>
      <xdr:blipFill>
        <a:blip xmlns:r="http://schemas.openxmlformats.org/officeDocument/2006/relationships" r:embed="rId5"/>
        <a:stretch/>
      </xdr:blipFill>
      <xdr:spPr>
        <a:xfrm>
          <a:off x="7292520" y="11356200"/>
          <a:ext cx="751680" cy="282960"/>
        </a:xfrm>
        <a:prstGeom prst="rect">
          <a:avLst/>
        </a:prstGeom>
        <a:ln>
          <a:noFill/>
        </a:ln>
      </xdr:spPr>
    </xdr:pic>
    <xdr:clientData/>
  </xdr:twoCellAnchor>
  <xdr:twoCellAnchor>
    <xdr:from>
      <xdr:col>0</xdr:col>
      <xdr:colOff>0</xdr:colOff>
      <xdr:row>0</xdr:row>
      <xdr:rowOff>0</xdr:rowOff>
    </xdr:from>
    <xdr:to>
      <xdr:col>83</xdr:col>
      <xdr:colOff>38100</xdr:colOff>
      <xdr:row>55</xdr:row>
      <xdr:rowOff>180975</xdr:rowOff>
    </xdr:to>
    <xdr:sp macro="" textlink="">
      <xdr:nvSpPr>
        <xdr:cNvPr id="5140"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83</xdr:col>
      <xdr:colOff>38100</xdr:colOff>
      <xdr:row>55</xdr:row>
      <xdr:rowOff>180975</xdr:rowOff>
    </xdr:to>
    <xdr:sp macro="" textlink="">
      <xdr:nvSpPr>
        <xdr:cNvPr id="5138"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83</xdr:col>
      <xdr:colOff>38100</xdr:colOff>
      <xdr:row>55</xdr:row>
      <xdr:rowOff>180975</xdr:rowOff>
    </xdr:to>
    <xdr:sp macro="" textlink="">
      <xdr:nvSpPr>
        <xdr:cNvPr id="513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83</xdr:col>
      <xdr:colOff>38100</xdr:colOff>
      <xdr:row>55</xdr:row>
      <xdr:rowOff>180975</xdr:rowOff>
    </xdr:to>
    <xdr:sp macro="" textlink="">
      <xdr:nvSpPr>
        <xdr:cNvPr id="5134"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83</xdr:col>
      <xdr:colOff>38100</xdr:colOff>
      <xdr:row>55</xdr:row>
      <xdr:rowOff>180975</xdr:rowOff>
    </xdr:to>
    <xdr:sp macro="" textlink="">
      <xdr:nvSpPr>
        <xdr:cNvPr id="5132"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83</xdr:col>
      <xdr:colOff>38100</xdr:colOff>
      <xdr:row>55</xdr:row>
      <xdr:rowOff>180975</xdr:rowOff>
    </xdr:to>
    <xdr:sp macro="" textlink="">
      <xdr:nvSpPr>
        <xdr:cNvPr id="5130"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83</xdr:col>
      <xdr:colOff>38100</xdr:colOff>
      <xdr:row>55</xdr:row>
      <xdr:rowOff>180975</xdr:rowOff>
    </xdr:to>
    <xdr:sp macro="" textlink="">
      <xdr:nvSpPr>
        <xdr:cNvPr id="5128"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83</xdr:col>
      <xdr:colOff>38100</xdr:colOff>
      <xdr:row>55</xdr:row>
      <xdr:rowOff>180975</xdr:rowOff>
    </xdr:to>
    <xdr:sp macro="" textlink="">
      <xdr:nvSpPr>
        <xdr:cNvPr id="512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83</xdr:col>
      <xdr:colOff>38100</xdr:colOff>
      <xdr:row>55</xdr:row>
      <xdr:rowOff>180975</xdr:rowOff>
    </xdr:to>
    <xdr:sp macro="" textlink="">
      <xdr:nvSpPr>
        <xdr:cNvPr id="5124"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83</xdr:col>
      <xdr:colOff>38100</xdr:colOff>
      <xdr:row>55</xdr:row>
      <xdr:rowOff>180975</xdr:rowOff>
    </xdr:to>
    <xdr:sp macro="" textlink="">
      <xdr:nvSpPr>
        <xdr:cNvPr id="5122"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46</xdr:col>
      <xdr:colOff>109800</xdr:colOff>
      <xdr:row>0</xdr:row>
      <xdr:rowOff>7560</xdr:rowOff>
    </xdr:from>
    <xdr:to>
      <xdr:col>51</xdr:col>
      <xdr:colOff>696960</xdr:colOff>
      <xdr:row>1</xdr:row>
      <xdr:rowOff>273240</xdr:rowOff>
    </xdr:to>
    <xdr:pic>
      <xdr:nvPicPr>
        <xdr:cNvPr id="13" name="Obrázek 1"/>
        <xdr:cNvPicPr/>
      </xdr:nvPicPr>
      <xdr:blipFill>
        <a:blip xmlns:r="http://schemas.openxmlformats.org/officeDocument/2006/relationships" r:embed="rId1"/>
        <a:stretch/>
      </xdr:blipFill>
      <xdr:spPr>
        <a:xfrm>
          <a:off x="7787880" y="7560"/>
          <a:ext cx="6130800" cy="617760"/>
        </a:xfrm>
        <a:prstGeom prst="rect">
          <a:avLst/>
        </a:prstGeom>
        <a:ln>
          <a:noFill/>
        </a:ln>
      </xdr:spPr>
    </xdr:pic>
    <xdr:clientData/>
  </xdr:twoCellAnchor>
  <xdr:twoCellAnchor editAs="oneCell">
    <xdr:from>
      <xdr:col>46</xdr:col>
      <xdr:colOff>522360</xdr:colOff>
      <xdr:row>4</xdr:row>
      <xdr:rowOff>114840</xdr:rowOff>
    </xdr:from>
    <xdr:to>
      <xdr:col>49</xdr:col>
      <xdr:colOff>92880</xdr:colOff>
      <xdr:row>7</xdr:row>
      <xdr:rowOff>28440</xdr:rowOff>
    </xdr:to>
    <xdr:sp macro="" textlink="">
      <xdr:nvSpPr>
        <xdr:cNvPr id="14" name="CustomShape 1"/>
        <xdr:cNvSpPr/>
      </xdr:nvSpPr>
      <xdr:spPr>
        <a:xfrm>
          <a:off x="8200440" y="1105200"/>
          <a:ext cx="2896920" cy="399600"/>
        </a:xfrm>
        <a:prstGeom prst="rect">
          <a:avLst/>
        </a:prstGeom>
        <a:noFill/>
        <a:ln>
          <a:noFill/>
        </a:ln>
      </xdr:spPr>
      <xdr:style>
        <a:lnRef idx="2">
          <a:schemeClr val="accent1">
            <a:shade val="50000"/>
          </a:schemeClr>
        </a:lnRef>
        <a:fillRef idx="1">
          <a:schemeClr val="accent1"/>
        </a:fillRef>
        <a:effectRef idx="0">
          <a:schemeClr val="accent1"/>
        </a:effectRef>
        <a:fontRef idx="minor"/>
      </xdr:style>
      <xdr:txBody>
        <a:bodyPr lIns="90000" tIns="45000" rIns="90000" bIns="45000">
          <a:noAutofit/>
        </a:bodyPr>
        <a:lstStyle/>
        <a:p>
          <a:pPr>
            <a:lnSpc>
              <a:spcPct val="100000"/>
            </a:lnSpc>
          </a:pPr>
          <a:r>
            <a:rPr lang="sk-SK" sz="1100" b="0" strike="noStrike" spc="-1">
              <a:solidFill>
                <a:srgbClr val="FFFFFF"/>
              </a:solidFill>
              <a:latin typeface="Calibri"/>
            </a:rPr>
            <a:t>tento list slúží len pre  výpočet a nie pre tlač</a:t>
          </a:r>
          <a:endParaRPr lang="sk-SK" sz="1100" b="0" strike="noStrike" spc="-1">
            <a:latin typeface="Times New Roman"/>
          </a:endParaRPr>
        </a:p>
      </xdr:txBody>
    </xdr:sp>
    <xdr:clientData/>
  </xdr:twoCellAnchor>
  <xdr:twoCellAnchor>
    <xdr:from>
      <xdr:col>0</xdr:col>
      <xdr:colOff>0</xdr:colOff>
      <xdr:row>0</xdr:row>
      <xdr:rowOff>0</xdr:rowOff>
    </xdr:from>
    <xdr:to>
      <xdr:col>48</xdr:col>
      <xdr:colOff>171450</xdr:colOff>
      <xdr:row>48</xdr:row>
      <xdr:rowOff>142875</xdr:rowOff>
    </xdr:to>
    <xdr:sp macro="" textlink="">
      <xdr:nvSpPr>
        <xdr:cNvPr id="614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75</xdr:col>
      <xdr:colOff>550800</xdr:colOff>
      <xdr:row>5</xdr:row>
      <xdr:rowOff>202320</xdr:rowOff>
    </xdr:from>
    <xdr:to>
      <xdr:col>92</xdr:col>
      <xdr:colOff>108720</xdr:colOff>
      <xdr:row>18</xdr:row>
      <xdr:rowOff>270000</xdr:rowOff>
    </xdr:to>
    <xdr:sp macro="" textlink="">
      <xdr:nvSpPr>
        <xdr:cNvPr id="15" name="CustomShape 1"/>
        <xdr:cNvSpPr/>
      </xdr:nvSpPr>
      <xdr:spPr>
        <a:xfrm>
          <a:off x="20990160" y="1159200"/>
          <a:ext cx="6136200" cy="3412800"/>
        </a:xfrm>
        <a:prstGeom prst="rect">
          <a:avLst/>
        </a:prstGeom>
        <a:noFill/>
        <a:ln>
          <a:noFill/>
        </a:ln>
      </xdr:spPr>
      <xdr:style>
        <a:lnRef idx="2">
          <a:schemeClr val="accent1">
            <a:shade val="50000"/>
          </a:schemeClr>
        </a:lnRef>
        <a:fillRef idx="1">
          <a:schemeClr val="accent1"/>
        </a:fillRef>
        <a:effectRef idx="0">
          <a:schemeClr val="accent1"/>
        </a:effectRef>
        <a:fontRef idx="minor"/>
      </xdr:style>
      <xdr:txBody>
        <a:bodyPr lIns="90000" tIns="45000" rIns="90000" bIns="45000">
          <a:noAutofit/>
        </a:bodyPr>
        <a:lstStyle/>
        <a:p>
          <a:pPr>
            <a:lnSpc>
              <a:spcPct val="100000"/>
            </a:lnSpc>
          </a:pPr>
          <a:r>
            <a:rPr lang="sk-SK" sz="1200" b="0" strike="noStrike" spc="-1">
              <a:solidFill>
                <a:srgbClr val="FFFFFF"/>
              </a:solidFill>
              <a:latin typeface="Calibri"/>
            </a:rPr>
            <a:t>Tlač do PDF</a:t>
          </a:r>
          <a:endParaRPr lang="sk-SK" sz="1200" b="0" strike="noStrike" spc="-1">
            <a:latin typeface="Times New Roman"/>
          </a:endParaRPr>
        </a:p>
        <a:p>
          <a:pPr>
            <a:lnSpc>
              <a:spcPct val="100000"/>
            </a:lnSpc>
          </a:pPr>
          <a:r>
            <a:rPr lang="sk-SK" sz="1200" b="0" strike="noStrike" spc="-1">
              <a:solidFill>
                <a:srgbClr val="FFFFFF"/>
              </a:solidFill>
              <a:latin typeface="Calibri"/>
            </a:rPr>
            <a:t>1. krok - kliknite na list "Poznámky DU"</a:t>
          </a:r>
          <a:endParaRPr lang="sk-SK" sz="1200" b="0" strike="noStrike" spc="-1">
            <a:latin typeface="Times New Roman"/>
          </a:endParaRPr>
        </a:p>
        <a:p>
          <a:pPr>
            <a:lnSpc>
              <a:spcPct val="100000"/>
            </a:lnSpc>
          </a:pPr>
          <a:r>
            <a:rPr lang="sk-SK" sz="1200" b="0" strike="noStrike" spc="-1">
              <a:solidFill>
                <a:srgbClr val="FFFFFF"/>
              </a:solidFill>
              <a:latin typeface="Calibri"/>
            </a:rPr>
            <a:t>2. krok - Postupne vyberte - SÚBOR - Uložiť ako </a:t>
          </a:r>
          <a:endParaRPr lang="sk-SK" sz="1200" b="0" strike="noStrike" spc="-1">
            <a:latin typeface="Times New Roman"/>
          </a:endParaRPr>
        </a:p>
        <a:p>
          <a:pPr>
            <a:lnSpc>
              <a:spcPct val="100000"/>
            </a:lnSpc>
          </a:pPr>
          <a:r>
            <a:rPr lang="sk-SK" sz="1200" b="0" strike="noStrike" spc="-1">
              <a:solidFill>
                <a:srgbClr val="FFFFFF"/>
              </a:solidFill>
              <a:latin typeface="Calibri"/>
            </a:rPr>
            <a:t>3. krok - Uložiť vo formáte   - Súbor PDF</a:t>
          </a:r>
          <a:endParaRPr lang="sk-SK" sz="1200" b="0" strike="noStrike" spc="-1">
            <a:latin typeface="Times New Roman"/>
          </a:endParaRPr>
        </a:p>
        <a:p>
          <a:pPr>
            <a:lnSpc>
              <a:spcPct val="100000"/>
            </a:lnSpc>
          </a:pPr>
          <a:r>
            <a:rPr lang="sk-SK" sz="1200" b="0" strike="noStrike" spc="-1">
              <a:solidFill>
                <a:srgbClr val="FFFFFF"/>
              </a:solidFill>
              <a:latin typeface="Calibri"/>
            </a:rPr>
            <a:t>4. krok - Vyberte možnosti</a:t>
          </a:r>
          <a:endParaRPr lang="sk-SK" sz="1200" b="0" strike="noStrike" spc="-1">
            <a:latin typeface="Times New Roman"/>
          </a:endParaRPr>
        </a:p>
        <a:p>
          <a:pPr>
            <a:lnSpc>
              <a:spcPct val="100000"/>
            </a:lnSpc>
          </a:pPr>
          <a:r>
            <a:rPr lang="sk-SK" sz="1200" b="0" strike="noStrike" spc="-1">
              <a:solidFill>
                <a:srgbClr val="FFFFFF"/>
              </a:solidFill>
              <a:latin typeface="Calibri"/>
            </a:rPr>
            <a:t>5. krok - Stlačte OK</a:t>
          </a:r>
          <a:endParaRPr lang="sk-SK" sz="1200" b="0" strike="noStrike" spc="-1">
            <a:latin typeface="Times New Roman"/>
          </a:endParaRPr>
        </a:p>
      </xdr:txBody>
    </xdr:sp>
    <xdr:clientData/>
  </xdr:twoCellAnchor>
  <xdr:twoCellAnchor editAs="oneCell">
    <xdr:from>
      <xdr:col>76</xdr:col>
      <xdr:colOff>579600</xdr:colOff>
      <xdr:row>10</xdr:row>
      <xdr:rowOff>87840</xdr:rowOff>
    </xdr:from>
    <xdr:to>
      <xdr:col>81</xdr:col>
      <xdr:colOff>408600</xdr:colOff>
      <xdr:row>19</xdr:row>
      <xdr:rowOff>57960</xdr:rowOff>
    </xdr:to>
    <xdr:pic>
      <xdr:nvPicPr>
        <xdr:cNvPr id="16" name="Obrázok 2"/>
        <xdr:cNvPicPr/>
      </xdr:nvPicPr>
      <xdr:blipFill>
        <a:blip xmlns:r="http://schemas.openxmlformats.org/officeDocument/2006/relationships" r:embed="rId1"/>
        <a:stretch/>
      </xdr:blipFill>
      <xdr:spPr>
        <a:xfrm>
          <a:off x="21633480" y="2400480"/>
          <a:ext cx="2902320" cy="2340360"/>
        </a:xfrm>
        <a:prstGeom prst="rect">
          <a:avLst/>
        </a:prstGeom>
        <a:ln>
          <a:noFill/>
        </a:ln>
      </xdr:spPr>
    </xdr:pic>
    <xdr:clientData/>
  </xdr:twoCellAnchor>
  <xdr:twoCellAnchor editAs="oneCell">
    <xdr:from>
      <xdr:col>75</xdr:col>
      <xdr:colOff>179280</xdr:colOff>
      <xdr:row>0</xdr:row>
      <xdr:rowOff>30240</xdr:rowOff>
    </xdr:from>
    <xdr:to>
      <xdr:col>148</xdr:col>
      <xdr:colOff>33120</xdr:colOff>
      <xdr:row>5</xdr:row>
      <xdr:rowOff>120600</xdr:rowOff>
    </xdr:to>
    <xdr:sp macro="" textlink="">
      <xdr:nvSpPr>
        <xdr:cNvPr id="17" name="CustomShape 1"/>
        <xdr:cNvSpPr/>
      </xdr:nvSpPr>
      <xdr:spPr>
        <a:xfrm>
          <a:off x="20618640" y="30240"/>
          <a:ext cx="13757760" cy="1047240"/>
        </a:xfrm>
        <a:prstGeom prst="rect">
          <a:avLst/>
        </a:prstGeom>
        <a:noFill/>
        <a:ln>
          <a:noFill/>
        </a:ln>
      </xdr:spPr>
      <xdr:style>
        <a:lnRef idx="2">
          <a:schemeClr val="dk1"/>
        </a:lnRef>
        <a:fillRef idx="1">
          <a:schemeClr val="lt1"/>
        </a:fillRef>
        <a:effectRef idx="0">
          <a:schemeClr val="dk1"/>
        </a:effectRef>
        <a:fontRef idx="minor"/>
      </xdr:style>
      <xdr:txBody>
        <a:bodyPr lIns="90000" tIns="45000" rIns="90000" bIns="45000">
          <a:noAutofit/>
        </a:bodyPr>
        <a:lstStyle/>
        <a:p>
          <a:pPr>
            <a:lnSpc>
              <a:spcPct val="100000"/>
            </a:lnSpc>
          </a:pPr>
          <a:r>
            <a:rPr lang="sk-SK" sz="1050" b="0" strike="noStrike" spc="-1">
              <a:solidFill>
                <a:srgbClr val="000000"/>
              </a:solidFill>
              <a:latin typeface="Calibri"/>
            </a:rPr>
            <a:t>Cash Flow za predošlé obdobie je vypočítaný ale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b="0" strike="noStrike" spc="-1">
            <a:latin typeface="Times New Roman"/>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1029</xdr:col>
      <xdr:colOff>361950</xdr:colOff>
      <xdr:row>49</xdr:row>
      <xdr:rowOff>180975</xdr:rowOff>
    </xdr:to>
    <xdr:sp macro="" textlink="">
      <xdr:nvSpPr>
        <xdr:cNvPr id="8210"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1029</xdr:col>
      <xdr:colOff>361950</xdr:colOff>
      <xdr:row>49</xdr:row>
      <xdr:rowOff>180975</xdr:rowOff>
    </xdr:to>
    <xdr:sp macro="" textlink="">
      <xdr:nvSpPr>
        <xdr:cNvPr id="8208"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1029</xdr:col>
      <xdr:colOff>361950</xdr:colOff>
      <xdr:row>49</xdr:row>
      <xdr:rowOff>180975</xdr:rowOff>
    </xdr:to>
    <xdr:sp macro="" textlink="">
      <xdr:nvSpPr>
        <xdr:cNvPr id="820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1029</xdr:col>
      <xdr:colOff>361950</xdr:colOff>
      <xdr:row>49</xdr:row>
      <xdr:rowOff>180975</xdr:rowOff>
    </xdr:to>
    <xdr:sp macro="" textlink="">
      <xdr:nvSpPr>
        <xdr:cNvPr id="8204"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1029</xdr:col>
      <xdr:colOff>361950</xdr:colOff>
      <xdr:row>49</xdr:row>
      <xdr:rowOff>180975</xdr:rowOff>
    </xdr:to>
    <xdr:sp macro="" textlink="">
      <xdr:nvSpPr>
        <xdr:cNvPr id="8202"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1029</xdr:col>
      <xdr:colOff>361950</xdr:colOff>
      <xdr:row>49</xdr:row>
      <xdr:rowOff>180975</xdr:rowOff>
    </xdr:to>
    <xdr:sp macro="" textlink="">
      <xdr:nvSpPr>
        <xdr:cNvPr id="8200"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1029</xdr:col>
      <xdr:colOff>361950</xdr:colOff>
      <xdr:row>49</xdr:row>
      <xdr:rowOff>180975</xdr:rowOff>
    </xdr:to>
    <xdr:sp macro="" textlink="">
      <xdr:nvSpPr>
        <xdr:cNvPr id="8198"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1029</xdr:col>
      <xdr:colOff>361950</xdr:colOff>
      <xdr:row>49</xdr:row>
      <xdr:rowOff>180975</xdr:rowOff>
    </xdr:to>
    <xdr:sp macro="" textlink="">
      <xdr:nvSpPr>
        <xdr:cNvPr id="819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1029</xdr:col>
      <xdr:colOff>361950</xdr:colOff>
      <xdr:row>49</xdr:row>
      <xdr:rowOff>180975</xdr:rowOff>
    </xdr:to>
    <xdr:sp macro="" textlink="">
      <xdr:nvSpPr>
        <xdr:cNvPr id="8194"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28800</xdr:colOff>
      <xdr:row>1</xdr:row>
      <xdr:rowOff>26280</xdr:rowOff>
    </xdr:from>
    <xdr:to>
      <xdr:col>193</xdr:col>
      <xdr:colOff>3600</xdr:colOff>
      <xdr:row>1</xdr:row>
      <xdr:rowOff>288720</xdr:rowOff>
    </xdr:to>
    <xdr:pic>
      <xdr:nvPicPr>
        <xdr:cNvPr id="18" name="Obrázek 3"/>
        <xdr:cNvPicPr/>
      </xdr:nvPicPr>
      <xdr:blipFill>
        <a:blip xmlns:r="http://schemas.openxmlformats.org/officeDocument/2006/relationships" r:embed="rId1"/>
        <a:stretch/>
      </xdr:blipFill>
      <xdr:spPr>
        <a:xfrm>
          <a:off x="4684320" y="73800"/>
          <a:ext cx="1049400" cy="262440"/>
        </a:xfrm>
        <a:prstGeom prst="rect">
          <a:avLst/>
        </a:prstGeom>
        <a:ln>
          <a:noFill/>
        </a:ln>
      </xdr:spPr>
    </xdr:pic>
    <xdr:clientData/>
  </xdr:twoCellAnchor>
  <xdr:twoCellAnchor editAs="oneCell">
    <xdr:from>
      <xdr:col>9</xdr:col>
      <xdr:colOff>2880</xdr:colOff>
      <xdr:row>1</xdr:row>
      <xdr:rowOff>82800</xdr:rowOff>
    </xdr:from>
    <xdr:to>
      <xdr:col>34</xdr:col>
      <xdr:colOff>15120</xdr:colOff>
      <xdr:row>1</xdr:row>
      <xdr:rowOff>316440</xdr:rowOff>
    </xdr:to>
    <xdr:pic>
      <xdr:nvPicPr>
        <xdr:cNvPr id="19" name="Obrázek 4"/>
        <xdr:cNvPicPr/>
      </xdr:nvPicPr>
      <xdr:blipFill>
        <a:blip xmlns:r="http://schemas.openxmlformats.org/officeDocument/2006/relationships" r:embed="rId2"/>
        <a:stretch/>
      </xdr:blipFill>
      <xdr:spPr>
        <a:xfrm>
          <a:off x="241560" y="130320"/>
          <a:ext cx="758160" cy="233640"/>
        </a:xfrm>
        <a:prstGeom prst="rect">
          <a:avLst/>
        </a:prstGeom>
        <a:ln>
          <a:noFill/>
        </a:ln>
      </xdr:spPr>
    </xdr:pic>
    <xdr:clientData/>
  </xdr:twoCellAnchor>
  <xdr:twoCellAnchor editAs="oneCell">
    <xdr:from>
      <xdr:col>12</xdr:col>
      <xdr:colOff>17280</xdr:colOff>
      <xdr:row>35</xdr:row>
      <xdr:rowOff>82800</xdr:rowOff>
    </xdr:from>
    <xdr:to>
      <xdr:col>36</xdr:col>
      <xdr:colOff>16200</xdr:colOff>
      <xdr:row>35</xdr:row>
      <xdr:rowOff>159480</xdr:rowOff>
    </xdr:to>
    <xdr:pic>
      <xdr:nvPicPr>
        <xdr:cNvPr id="20" name="Obrázek 1"/>
        <xdr:cNvPicPr/>
      </xdr:nvPicPr>
      <xdr:blipFill>
        <a:blip xmlns:r="http://schemas.openxmlformats.org/officeDocument/2006/relationships" r:embed="rId3"/>
        <a:stretch/>
      </xdr:blipFill>
      <xdr:spPr>
        <a:xfrm>
          <a:off x="345240" y="9426600"/>
          <a:ext cx="715320" cy="76680"/>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lueSoft1\2009\Audit_SW\programs\vstup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1"/>
    </sheetNames>
    <sheetDataSet>
      <sheetData sheetId="0"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pdhuta@gmail.com"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6"/>
  <sheetViews>
    <sheetView zoomScaleNormal="100" workbookViewId="0">
      <selection activeCell="B14" sqref="B14"/>
    </sheetView>
  </sheetViews>
  <sheetFormatPr defaultRowHeight="15" x14ac:dyDescent="0.25"/>
  <cols>
    <col min="1" max="1" width="35.28515625" customWidth="1"/>
    <col min="2" max="2" width="50.7109375" customWidth="1"/>
    <col min="3" max="3" width="9.140625" customWidth="1"/>
    <col min="4" max="4" width="28.85546875" customWidth="1"/>
    <col min="5" max="1025" width="9.140625" customWidth="1"/>
  </cols>
  <sheetData>
    <row r="1" spans="1:17" x14ac:dyDescent="0.25">
      <c r="B1" s="14" t="s">
        <v>0</v>
      </c>
      <c r="Q1" s="15"/>
    </row>
    <row r="2" spans="1:17" x14ac:dyDescent="0.25">
      <c r="A2" s="16" t="s">
        <v>1</v>
      </c>
      <c r="B2" s="17" t="s">
        <v>2</v>
      </c>
    </row>
    <row r="3" spans="1:17" ht="15.75" x14ac:dyDescent="0.25">
      <c r="A3" s="16" t="s">
        <v>3</v>
      </c>
      <c r="B3" s="18" t="s">
        <v>4</v>
      </c>
    </row>
    <row r="4" spans="1:17" ht="15.75" x14ac:dyDescent="0.25">
      <c r="A4" s="16" t="s">
        <v>5</v>
      </c>
      <c r="B4" s="19" t="s">
        <v>6</v>
      </c>
    </row>
    <row r="5" spans="1:17" ht="15.75" x14ac:dyDescent="0.25">
      <c r="A5" s="16" t="s">
        <v>7</v>
      </c>
      <c r="B5" s="18" t="s">
        <v>8</v>
      </c>
      <c r="C5" s="13" t="str">
        <f>IFERROR(VLOOKUP(B5,SKNACE!A1:B642,2,0),"")</f>
        <v>Zmiešané hospodárstvo</v>
      </c>
      <c r="D5" s="13"/>
    </row>
    <row r="6" spans="1:17" ht="26.25" x14ac:dyDescent="0.25">
      <c r="A6" s="20" t="s">
        <v>9</v>
      </c>
      <c r="B6" s="21" t="s">
        <v>10</v>
      </c>
    </row>
    <row r="7" spans="1:17" ht="15.75" x14ac:dyDescent="0.25">
      <c r="A7" s="22" t="s">
        <v>11</v>
      </c>
      <c r="B7" s="18" t="s">
        <v>12</v>
      </c>
    </row>
    <row r="8" spans="1:17" ht="15.75" x14ac:dyDescent="0.25">
      <c r="A8" s="16" t="s">
        <v>13</v>
      </c>
      <c r="B8" s="18" t="s">
        <v>14</v>
      </c>
    </row>
    <row r="9" spans="1:17" ht="15.75" x14ac:dyDescent="0.25">
      <c r="A9" s="16" t="s">
        <v>15</v>
      </c>
      <c r="B9" s="18" t="s">
        <v>16</v>
      </c>
    </row>
    <row r="10" spans="1:17" ht="15.75" x14ac:dyDescent="0.25">
      <c r="A10" s="16" t="s">
        <v>17</v>
      </c>
      <c r="B10" s="18" t="s">
        <v>18</v>
      </c>
    </row>
    <row r="11" spans="1:17" ht="15.75" x14ac:dyDescent="0.25">
      <c r="A11" s="16" t="s">
        <v>19</v>
      </c>
      <c r="B11" s="18"/>
    </row>
    <row r="12" spans="1:17" x14ac:dyDescent="0.25">
      <c r="A12" s="16" t="s">
        <v>20</v>
      </c>
      <c r="B12" s="23" t="s">
        <v>21</v>
      </c>
    </row>
    <row r="13" spans="1:17" ht="15.75" x14ac:dyDescent="0.25">
      <c r="A13" s="16" t="s">
        <v>22</v>
      </c>
      <c r="B13" s="24"/>
    </row>
    <row r="14" spans="1:17" ht="15.75" x14ac:dyDescent="0.25">
      <c r="A14" s="16" t="s">
        <v>23</v>
      </c>
      <c r="B14" s="24"/>
    </row>
    <row r="15" spans="1:17" ht="15.75" x14ac:dyDescent="0.25">
      <c r="A15" s="16" t="s">
        <v>24</v>
      </c>
      <c r="B15" s="24">
        <v>43465</v>
      </c>
    </row>
    <row r="16" spans="1:17" ht="26.25" x14ac:dyDescent="0.25">
      <c r="A16" s="20" t="s">
        <v>25</v>
      </c>
      <c r="B16" s="25" t="s">
        <v>26</v>
      </c>
    </row>
  </sheetData>
  <sheetProtection sheet="1" objects="1" scenarios="1"/>
  <mergeCells count="1">
    <mergeCell ref="C5:D5"/>
  </mergeCells>
  <hyperlinks>
    <hyperlink ref="B12" r:id="rId1"/>
  </hyperlinks>
  <pageMargins left="0.7" right="0.7" top="0.78749999999999998" bottom="0.78749999999999998" header="0.51180555555555496" footer="0.51180555555555496"/>
  <pageSetup paperSize="9" firstPageNumber="0" orientation="portrait" horizontalDpi="300" verticalDpi="30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K252"/>
  <sheetViews>
    <sheetView zoomScaleNormal="100" workbookViewId="0"/>
  </sheetViews>
  <sheetFormatPr defaultRowHeight="15" outlineLevelRow="1" x14ac:dyDescent="0.25"/>
  <cols>
    <col min="1" max="1" width="7.85546875" customWidth="1"/>
    <col min="2" max="2" width="53" customWidth="1"/>
    <col min="3" max="4" width="20" customWidth="1"/>
    <col min="5" max="1025" width="11.5703125" hidden="1"/>
  </cols>
  <sheetData>
    <row r="1" spans="1:6" x14ac:dyDescent="0.25">
      <c r="A1" s="444" t="s">
        <v>2493</v>
      </c>
      <c r="B1" s="445" t="s">
        <v>2494</v>
      </c>
      <c r="C1" s="446">
        <v>2018</v>
      </c>
      <c r="D1" s="446">
        <v>2017</v>
      </c>
      <c r="E1" s="446">
        <v>2016</v>
      </c>
      <c r="F1" s="446">
        <v>2014</v>
      </c>
    </row>
    <row r="2" spans="1:6" ht="15.75" x14ac:dyDescent="0.25">
      <c r="A2" s="447" t="s">
        <v>2495</v>
      </c>
      <c r="B2" s="448"/>
      <c r="C2" s="449"/>
      <c r="D2" s="448"/>
      <c r="E2" s="448"/>
      <c r="F2" s="448"/>
    </row>
    <row r="3" spans="1:6" outlineLevel="1" x14ac:dyDescent="0.25">
      <c r="A3" s="450" t="s">
        <v>2493</v>
      </c>
      <c r="B3" s="451" t="s">
        <v>2494</v>
      </c>
      <c r="C3" s="452">
        <v>1</v>
      </c>
      <c r="D3" s="452">
        <f>SUM(C3+1)</f>
        <v>2</v>
      </c>
      <c r="E3" s="452">
        <f>SUM(D3+1)</f>
        <v>3</v>
      </c>
      <c r="F3" s="452">
        <f>SUM(E3+1)</f>
        <v>4</v>
      </c>
    </row>
    <row r="4" spans="1:6" outlineLevel="1" x14ac:dyDescent="0.25">
      <c r="A4" s="453">
        <v>1</v>
      </c>
      <c r="B4" s="454" t="s">
        <v>2496</v>
      </c>
      <c r="C4" s="455">
        <f>SUM(C35+C20+C5)</f>
        <v>503332</v>
      </c>
      <c r="D4" s="455">
        <f>SUM(D35+D20+D5)</f>
        <v>548144</v>
      </c>
      <c r="E4" s="455">
        <f>E5+E20+E35</f>
        <v>427893</v>
      </c>
      <c r="F4" s="455">
        <f>F5+F20+F35</f>
        <v>402485</v>
      </c>
    </row>
    <row r="5" spans="1:6" outlineLevel="1" x14ac:dyDescent="0.25">
      <c r="A5" s="456">
        <v>2</v>
      </c>
      <c r="B5" s="457" t="s">
        <v>2497</v>
      </c>
      <c r="C5" s="458">
        <f>SUM(C16+C11+C6)</f>
        <v>362070</v>
      </c>
      <c r="D5" s="458">
        <f>SUM(D16+D11+D6)</f>
        <v>407508</v>
      </c>
      <c r="E5" s="458">
        <f>SUM(E16+E11+E6)</f>
        <v>88671</v>
      </c>
      <c r="F5" s="458">
        <f>F6+F11+F16</f>
        <v>86340</v>
      </c>
    </row>
    <row r="6" spans="1:6" outlineLevel="1" x14ac:dyDescent="0.25">
      <c r="A6" s="456">
        <v>3</v>
      </c>
      <c r="B6" s="459" t="s">
        <v>1484</v>
      </c>
      <c r="C6" s="458">
        <f>SUM(SUVAHAVUJ!N5)</f>
        <v>0</v>
      </c>
      <c r="D6" s="458">
        <f>SUM(SUVAHAVUJ!X5)</f>
        <v>0</v>
      </c>
      <c r="E6" s="458">
        <v>0</v>
      </c>
      <c r="F6" s="458">
        <v>0</v>
      </c>
    </row>
    <row r="7" spans="1:6" outlineLevel="1" x14ac:dyDescent="0.25">
      <c r="A7" s="456">
        <v>4</v>
      </c>
      <c r="B7" s="459" t="s">
        <v>2498</v>
      </c>
      <c r="C7" s="460">
        <f>SUM(SUVAHAVUJ!N7)</f>
        <v>0</v>
      </c>
      <c r="D7" s="460">
        <f>SUM(SUVAHAVUJ!X7)</f>
        <v>0</v>
      </c>
      <c r="E7" s="460">
        <v>0</v>
      </c>
      <c r="F7" s="460">
        <v>0</v>
      </c>
    </row>
    <row r="8" spans="1:6" outlineLevel="1" x14ac:dyDescent="0.25">
      <c r="A8" s="456">
        <v>5</v>
      </c>
      <c r="B8" s="459" t="s">
        <v>2499</v>
      </c>
      <c r="C8" s="460">
        <f>SUM(SUVAHAVUJ!N8)</f>
        <v>0</v>
      </c>
      <c r="D8" s="460">
        <f>SUM(SUVAHAVUJ!X8)</f>
        <v>0</v>
      </c>
      <c r="E8" s="460">
        <v>0</v>
      </c>
      <c r="F8" s="460">
        <v>0</v>
      </c>
    </row>
    <row r="9" spans="1:6" outlineLevel="1" x14ac:dyDescent="0.25">
      <c r="A9" s="456">
        <v>6</v>
      </c>
      <c r="B9" s="459" t="s">
        <v>2500</v>
      </c>
      <c r="C9" s="460">
        <f>SUM(SUVAHAVUJ!N10)</f>
        <v>0</v>
      </c>
      <c r="D9" s="460">
        <f>SUM(SUVAHAVUJ!X10)</f>
        <v>0</v>
      </c>
      <c r="E9" s="460">
        <v>0</v>
      </c>
      <c r="F9" s="460">
        <v>0</v>
      </c>
    </row>
    <row r="10" spans="1:6" outlineLevel="1" x14ac:dyDescent="0.25">
      <c r="A10" s="456">
        <v>7</v>
      </c>
      <c r="B10" s="459" t="s">
        <v>2501</v>
      </c>
      <c r="C10" s="460">
        <f>SUM(SUVAHAVUJ!N11)</f>
        <v>0</v>
      </c>
      <c r="D10" s="460">
        <f>SUM(SUVAHAVUJ!X11)</f>
        <v>0</v>
      </c>
      <c r="E10" s="460">
        <v>0</v>
      </c>
      <c r="F10" s="460">
        <v>0</v>
      </c>
    </row>
    <row r="11" spans="1:6" outlineLevel="1" x14ac:dyDescent="0.25">
      <c r="A11" s="456">
        <v>8</v>
      </c>
      <c r="B11" s="459" t="s">
        <v>1528</v>
      </c>
      <c r="C11" s="458">
        <f>SUM(SUVAHAVUJ!N13)</f>
        <v>362070</v>
      </c>
      <c r="D11" s="458">
        <f>SUM(SUVAHAVUJ!X13)</f>
        <v>407508</v>
      </c>
      <c r="E11" s="458">
        <v>88671</v>
      </c>
      <c r="F11" s="458">
        <v>86340</v>
      </c>
    </row>
    <row r="12" spans="1:6" outlineLevel="1" x14ac:dyDescent="0.25">
      <c r="A12" s="456">
        <v>9</v>
      </c>
      <c r="B12" s="461" t="s">
        <v>2502</v>
      </c>
      <c r="C12" s="460">
        <f>SUM(SUVAHAVUJ!N14)</f>
        <v>0</v>
      </c>
      <c r="D12" s="460">
        <f>SUM(SUVAHAVUJ!X14)</f>
        <v>0</v>
      </c>
      <c r="E12" s="460">
        <v>0</v>
      </c>
      <c r="F12" s="460">
        <v>0</v>
      </c>
    </row>
    <row r="13" spans="1:6" outlineLevel="1" x14ac:dyDescent="0.25">
      <c r="A13" s="456">
        <v>10</v>
      </c>
      <c r="B13" s="461" t="s">
        <v>2503</v>
      </c>
      <c r="C13" s="460">
        <f>SUM(SUVAHAVUJ!N15)</f>
        <v>335010</v>
      </c>
      <c r="D13" s="460">
        <f>SUM(SUVAHAVUJ!X15)</f>
        <v>367812</v>
      </c>
      <c r="E13" s="460">
        <v>0</v>
      </c>
      <c r="F13" s="460">
        <v>0</v>
      </c>
    </row>
    <row r="14" spans="1:6" outlineLevel="1" x14ac:dyDescent="0.25">
      <c r="A14" s="456">
        <v>11</v>
      </c>
      <c r="B14" s="461" t="s">
        <v>2504</v>
      </c>
      <c r="C14" s="460">
        <f>SUM(SUVAHAVUJ!N16)</f>
        <v>0</v>
      </c>
      <c r="D14" s="460">
        <f>SUM(SUVAHAVUJ!X16)</f>
        <v>3141</v>
      </c>
      <c r="E14" s="460">
        <v>88671</v>
      </c>
      <c r="F14" s="460">
        <v>86340</v>
      </c>
    </row>
    <row r="15" spans="1:6" outlineLevel="1" x14ac:dyDescent="0.25">
      <c r="A15" s="456">
        <v>12</v>
      </c>
      <c r="B15" s="461" t="s">
        <v>2505</v>
      </c>
      <c r="C15" s="460">
        <f>SUM(SUVAHAVUJ!N19)</f>
        <v>0</v>
      </c>
      <c r="D15" s="460">
        <f>SUM(SUVAHAVUJ!X19)</f>
        <v>0</v>
      </c>
      <c r="E15" s="460">
        <v>0</v>
      </c>
      <c r="F15" s="460">
        <v>0</v>
      </c>
    </row>
    <row r="16" spans="1:6" outlineLevel="1" x14ac:dyDescent="0.25">
      <c r="A16" s="456">
        <v>13</v>
      </c>
      <c r="B16" s="459" t="s">
        <v>1556</v>
      </c>
      <c r="C16" s="458">
        <f>SUM(SUVAHAVUJ!N23)</f>
        <v>0</v>
      </c>
      <c r="D16" s="458">
        <f>SUM(SUVAHAVUJ!X23)</f>
        <v>0</v>
      </c>
      <c r="E16" s="458">
        <v>0</v>
      </c>
      <c r="F16" s="458">
        <v>0</v>
      </c>
    </row>
    <row r="17" spans="1:6" outlineLevel="1" x14ac:dyDescent="0.25">
      <c r="A17" s="456">
        <v>14</v>
      </c>
      <c r="B17" s="459" t="s">
        <v>2506</v>
      </c>
      <c r="C17" s="460">
        <f>SUM(SUVAHAVUJ!N24)</f>
        <v>0</v>
      </c>
      <c r="D17" s="460">
        <f>SUM(SUVAHAVUJ!X24)</f>
        <v>0</v>
      </c>
      <c r="E17" s="460">
        <v>0</v>
      </c>
      <c r="F17" s="460">
        <v>0</v>
      </c>
    </row>
    <row r="18" spans="1:6" outlineLevel="1" x14ac:dyDescent="0.25">
      <c r="A18" s="456">
        <v>15</v>
      </c>
      <c r="B18" s="459" t="s">
        <v>2507</v>
      </c>
      <c r="C18" s="460">
        <f>SUM(SUVAHAVUJ!N25)</f>
        <v>0</v>
      </c>
      <c r="D18" s="460">
        <f>SUM(SUVAHAVUJ!X25)</f>
        <v>0</v>
      </c>
      <c r="E18" s="460">
        <v>0</v>
      </c>
      <c r="F18" s="460">
        <v>0</v>
      </c>
    </row>
    <row r="19" spans="1:6" outlineLevel="1" x14ac:dyDescent="0.25">
      <c r="A19" s="456">
        <v>16</v>
      </c>
      <c r="B19" s="459" t="s">
        <v>2508</v>
      </c>
      <c r="C19" s="460">
        <f>SUM(C16-C17-C18)</f>
        <v>0</v>
      </c>
      <c r="D19" s="460">
        <f>SUM(D16-D17-D18)</f>
        <v>0</v>
      </c>
      <c r="E19" s="460">
        <f>SUM(E16-E17-E18)</f>
        <v>0</v>
      </c>
      <c r="F19" s="460">
        <f>SUM(F16-F17-F18)</f>
        <v>0</v>
      </c>
    </row>
    <row r="20" spans="1:6" outlineLevel="1" x14ac:dyDescent="0.25">
      <c r="A20" s="456">
        <v>17</v>
      </c>
      <c r="B20" s="457" t="s">
        <v>2509</v>
      </c>
      <c r="C20" s="458">
        <f>SUM(C34+C30+C27+C21)</f>
        <v>95336</v>
      </c>
      <c r="D20" s="458">
        <f>SUM(D34+D30+D27+D21)</f>
        <v>88500</v>
      </c>
      <c r="E20" s="458">
        <f>SUM(E34+E30+E27+E21)</f>
        <v>339093</v>
      </c>
      <c r="F20" s="458">
        <f>SUM(F34+F30+F27+F21)</f>
        <v>316016</v>
      </c>
    </row>
    <row r="21" spans="1:6" outlineLevel="1" x14ac:dyDescent="0.25">
      <c r="A21" s="456">
        <v>18</v>
      </c>
      <c r="B21" s="459" t="s">
        <v>1623</v>
      </c>
      <c r="C21" s="458">
        <f>SUM(SUVAHAVUJ!N36)</f>
        <v>52130</v>
      </c>
      <c r="D21" s="458">
        <f>SUM(SUVAHAVUJ!X36)</f>
        <v>49129</v>
      </c>
      <c r="E21" s="458">
        <v>0</v>
      </c>
      <c r="F21" s="458">
        <v>0</v>
      </c>
    </row>
    <row r="22" spans="1:6" outlineLevel="1" x14ac:dyDescent="0.25">
      <c r="A22" s="456">
        <v>19</v>
      </c>
      <c r="B22" s="459" t="s">
        <v>2510</v>
      </c>
      <c r="C22" s="460">
        <f>SUM(SUVAHAVUJ!N37)</f>
        <v>4046</v>
      </c>
      <c r="D22" s="460">
        <f>SUM(SUVAHAVUJ!X37)</f>
        <v>5545</v>
      </c>
      <c r="E22" s="460">
        <v>0</v>
      </c>
      <c r="F22" s="460">
        <v>0</v>
      </c>
    </row>
    <row r="23" spans="1:6" outlineLevel="1" x14ac:dyDescent="0.25">
      <c r="A23" s="456">
        <v>20</v>
      </c>
      <c r="B23" s="459" t="s">
        <v>2511</v>
      </c>
      <c r="C23" s="460">
        <f>SUM(SUVAHAVUJ!N38)</f>
        <v>12884</v>
      </c>
      <c r="D23" s="460">
        <f>SUM(SUVAHAVUJ!X38)</f>
        <v>2397</v>
      </c>
      <c r="E23" s="460">
        <v>0</v>
      </c>
      <c r="F23" s="460">
        <v>0</v>
      </c>
    </row>
    <row r="24" spans="1:6" outlineLevel="1" x14ac:dyDescent="0.25">
      <c r="A24" s="456">
        <v>21</v>
      </c>
      <c r="B24" s="459" t="s">
        <v>2512</v>
      </c>
      <c r="C24" s="460">
        <f>SUM(SUVAHAVUJ!N39)</f>
        <v>31821</v>
      </c>
      <c r="D24" s="460">
        <f>SUM(SUVAHAVUJ!X39)</f>
        <v>38847</v>
      </c>
      <c r="E24" s="460">
        <v>0</v>
      </c>
      <c r="F24" s="460">
        <v>0</v>
      </c>
    </row>
    <row r="25" spans="1:6" outlineLevel="1" x14ac:dyDescent="0.25">
      <c r="A25" s="456">
        <v>22</v>
      </c>
      <c r="B25" s="459" t="s">
        <v>2513</v>
      </c>
      <c r="C25" s="460">
        <f>SUM(SUVAHAVUJ!N41)</f>
        <v>0</v>
      </c>
      <c r="D25" s="460">
        <f>SUM(SUVAHAVUJ!X41)</f>
        <v>0</v>
      </c>
      <c r="E25" s="460">
        <v>0</v>
      </c>
      <c r="F25" s="460">
        <v>0</v>
      </c>
    </row>
    <row r="26" spans="1:6" outlineLevel="1" x14ac:dyDescent="0.25">
      <c r="A26" s="456">
        <v>23</v>
      </c>
      <c r="B26" s="459" t="s">
        <v>2514</v>
      </c>
      <c r="C26" s="460">
        <f>SUM(C21-C22-C23-C24-C25)</f>
        <v>3379</v>
      </c>
      <c r="D26" s="460">
        <f>SUM(D21-D22-D23-D24-D25)</f>
        <v>2340</v>
      </c>
      <c r="E26" s="460">
        <f>SUM(E21-E22-E23-E24-E25)</f>
        <v>0</v>
      </c>
      <c r="F26" s="460">
        <f>SUM(F21-F22-F23-F24-F25)</f>
        <v>0</v>
      </c>
    </row>
    <row r="27" spans="1:6" outlineLevel="1" x14ac:dyDescent="0.25">
      <c r="A27" s="456">
        <v>24</v>
      </c>
      <c r="B27" s="459" t="s">
        <v>1698</v>
      </c>
      <c r="C27" s="458">
        <f>SUM(SUVAHAVUJ!N43)</f>
        <v>0</v>
      </c>
      <c r="D27" s="458">
        <f>SUM(SUVAHAVUJ!X43)</f>
        <v>0</v>
      </c>
      <c r="E27" s="458">
        <v>0</v>
      </c>
      <c r="F27" s="458">
        <v>0</v>
      </c>
    </row>
    <row r="28" spans="1:6" outlineLevel="1" x14ac:dyDescent="0.25">
      <c r="A28" s="456">
        <v>25</v>
      </c>
      <c r="B28" s="459" t="s">
        <v>2515</v>
      </c>
      <c r="C28" s="460">
        <f>SUM(SUVAHAVUJ!N44)</f>
        <v>0</v>
      </c>
      <c r="D28" s="460">
        <f>SUM(SUVAHAVUJ!X44)</f>
        <v>0</v>
      </c>
      <c r="E28" s="458">
        <v>0</v>
      </c>
      <c r="F28" s="460">
        <v>0</v>
      </c>
    </row>
    <row r="29" spans="1:6" outlineLevel="1" x14ac:dyDescent="0.25">
      <c r="A29" s="456">
        <v>26</v>
      </c>
      <c r="B29" s="459" t="s">
        <v>2516</v>
      </c>
      <c r="C29" s="460">
        <f>SUM(C27-C28)</f>
        <v>0</v>
      </c>
      <c r="D29" s="460">
        <f>SUM(D27-D28)</f>
        <v>0</v>
      </c>
      <c r="E29" s="460">
        <f>SUM(E27-E28)</f>
        <v>0</v>
      </c>
      <c r="F29" s="460">
        <f>SUM(F27-F28)</f>
        <v>0</v>
      </c>
    </row>
    <row r="30" spans="1:6" outlineLevel="1" x14ac:dyDescent="0.25">
      <c r="A30" s="456">
        <v>27</v>
      </c>
      <c r="B30" s="459" t="s">
        <v>1705</v>
      </c>
      <c r="C30" s="460">
        <f>SUM(SUVAHAVUJ!N55)</f>
        <v>26118</v>
      </c>
      <c r="D30" s="460">
        <f>SUM(SUVAHAVUJ!X55)</f>
        <v>19093</v>
      </c>
      <c r="E30" s="460">
        <v>152203</v>
      </c>
      <c r="F30" s="460">
        <v>138791</v>
      </c>
    </row>
    <row r="31" spans="1:6" outlineLevel="1" x14ac:dyDescent="0.25">
      <c r="A31" s="456">
        <v>28</v>
      </c>
      <c r="B31" s="461" t="s">
        <v>2517</v>
      </c>
      <c r="C31" s="460">
        <f>SUM(SUVAHAVUJ!N56)</f>
        <v>18724</v>
      </c>
      <c r="D31" s="460">
        <f>SUM(SUVAHAVUJ!X56)</f>
        <v>17991</v>
      </c>
      <c r="E31" s="460">
        <v>-389544</v>
      </c>
      <c r="F31" s="460">
        <v>-303478</v>
      </c>
    </row>
    <row r="32" spans="1:6" outlineLevel="1" x14ac:dyDescent="0.25">
      <c r="A32" s="456">
        <v>29</v>
      </c>
      <c r="B32" s="461" t="s">
        <v>2518</v>
      </c>
      <c r="C32" s="460">
        <f>SUM(SUVAHAVUJ!N61)</f>
        <v>0</v>
      </c>
      <c r="D32" s="460">
        <f>SUM(SUVAHAVUJ!X61)</f>
        <v>0</v>
      </c>
      <c r="E32" s="460">
        <v>0</v>
      </c>
      <c r="F32" s="460">
        <v>0</v>
      </c>
    </row>
    <row r="33" spans="1:6" outlineLevel="1" x14ac:dyDescent="0.25">
      <c r="A33" s="456">
        <v>30</v>
      </c>
      <c r="B33" s="461" t="s">
        <v>2519</v>
      </c>
      <c r="C33" s="460">
        <f>SUM(C30-C31-C32)</f>
        <v>7394</v>
      </c>
      <c r="D33" s="460">
        <f>SUM(D30-D31-D32)</f>
        <v>1102</v>
      </c>
      <c r="E33" s="460">
        <f>SUM(E30-E31-E32)</f>
        <v>541747</v>
      </c>
      <c r="F33" s="460">
        <f>SUM(F30-F31-F32)</f>
        <v>442269</v>
      </c>
    </row>
    <row r="34" spans="1:6" outlineLevel="1" x14ac:dyDescent="0.25">
      <c r="A34" s="456">
        <v>31</v>
      </c>
      <c r="B34" s="459" t="s">
        <v>2520</v>
      </c>
      <c r="C34" s="462">
        <f>SUM(SUVAHAVUJ!N68+SUVAHAVUJ!N73)</f>
        <v>17088</v>
      </c>
      <c r="D34" s="462">
        <f>SUM(SUVAHAVUJ!X68+SUVAHAVUJ!X73)</f>
        <v>20278</v>
      </c>
      <c r="E34" s="462">
        <v>186890</v>
      </c>
      <c r="F34" s="462">
        <v>177225</v>
      </c>
    </row>
    <row r="35" spans="1:6" outlineLevel="1" x14ac:dyDescent="0.25">
      <c r="A35" s="456">
        <v>32</v>
      </c>
      <c r="B35" s="457" t="s">
        <v>2521</v>
      </c>
      <c r="C35" s="458">
        <f>SUM(SUVAHAVUJ!N76)</f>
        <v>45926</v>
      </c>
      <c r="D35" s="458">
        <f>SUM(SUVAHAVUJ!X76)</f>
        <v>52136</v>
      </c>
      <c r="E35" s="458">
        <v>129</v>
      </c>
      <c r="F35" s="458">
        <v>129</v>
      </c>
    </row>
    <row r="36" spans="1:6" outlineLevel="1" x14ac:dyDescent="0.25">
      <c r="A36" s="456">
        <v>33</v>
      </c>
      <c r="B36" s="463" t="s">
        <v>2522</v>
      </c>
      <c r="C36" s="455">
        <f>C37+C43+C53</f>
        <v>503332</v>
      </c>
      <c r="D36" s="455">
        <f>D37+D43+D53</f>
        <v>548144</v>
      </c>
      <c r="E36" s="455">
        <f>E37+E43+E53</f>
        <v>427893</v>
      </c>
      <c r="F36" s="455">
        <f>F37+F43+F53</f>
        <v>402485</v>
      </c>
    </row>
    <row r="37" spans="1:6" outlineLevel="1" x14ac:dyDescent="0.25">
      <c r="A37" s="456">
        <v>34</v>
      </c>
      <c r="B37" s="464" t="s">
        <v>2523</v>
      </c>
      <c r="C37" s="458">
        <f>SUM(SUVAHAVUJ!N82)</f>
        <v>267760</v>
      </c>
      <c r="D37" s="458">
        <f>SUM(SUVAHAVUJ!X82)</f>
        <v>269404</v>
      </c>
      <c r="E37" s="458">
        <v>340532</v>
      </c>
      <c r="F37" s="458">
        <v>300938</v>
      </c>
    </row>
    <row r="38" spans="1:6" outlineLevel="1" x14ac:dyDescent="0.25">
      <c r="A38" s="456">
        <v>35</v>
      </c>
      <c r="B38" s="459" t="s">
        <v>2524</v>
      </c>
      <c r="C38" s="458">
        <f>SUM(SUVAHAVUJ!N83)</f>
        <v>92667</v>
      </c>
      <c r="D38" s="458">
        <f>SUM(SUVAHAVUJ!X83)</f>
        <v>92667</v>
      </c>
      <c r="E38" s="458">
        <v>5000</v>
      </c>
      <c r="F38" s="458">
        <v>5000</v>
      </c>
    </row>
    <row r="39" spans="1:6" outlineLevel="1" x14ac:dyDescent="0.25">
      <c r="A39" s="456">
        <v>36</v>
      </c>
      <c r="B39" s="465" t="s">
        <v>2525</v>
      </c>
      <c r="C39" s="460">
        <f>SUM(SUVAHAVUJ!N87+SUVAHAVUJ!N88)</f>
        <v>100010</v>
      </c>
      <c r="D39" s="460">
        <f>SUM(SUVAHAVUJ!X87+SUVAHAVUJ!X88)</f>
        <v>100010</v>
      </c>
      <c r="E39" s="460">
        <v>0</v>
      </c>
      <c r="F39" s="460">
        <v>0</v>
      </c>
    </row>
    <row r="40" spans="1:6" outlineLevel="1" x14ac:dyDescent="0.25">
      <c r="A40" s="456">
        <v>37</v>
      </c>
      <c r="B40" s="459" t="s">
        <v>2526</v>
      </c>
      <c r="C40" s="460">
        <f>SUM(SUVAHAVUJ!N92+SUVAHAVUJ!N95)</f>
        <v>93424</v>
      </c>
      <c r="D40" s="460">
        <f>SUM(SUVAHAVUJ!X92+SUVAHAVUJ!X95)</f>
        <v>93424</v>
      </c>
      <c r="E40" s="460">
        <v>500</v>
      </c>
      <c r="F40" s="460">
        <v>0</v>
      </c>
    </row>
    <row r="41" spans="1:6" outlineLevel="1" x14ac:dyDescent="0.25">
      <c r="A41" s="456">
        <v>38</v>
      </c>
      <c r="B41" s="465" t="s">
        <v>2527</v>
      </c>
      <c r="C41" s="460">
        <f>SUM(SUVAHAVUJ!N99)</f>
        <v>-208441</v>
      </c>
      <c r="D41" s="460">
        <f>SUM(SUVAHAVUJ!X99)</f>
        <v>-224384</v>
      </c>
      <c r="E41" s="460">
        <v>0</v>
      </c>
      <c r="F41" s="460">
        <v>-789</v>
      </c>
    </row>
    <row r="42" spans="1:6" outlineLevel="1" x14ac:dyDescent="0.25">
      <c r="A42" s="456">
        <v>39</v>
      </c>
      <c r="B42" s="464" t="s">
        <v>2528</v>
      </c>
      <c r="C42" s="466">
        <f>SUM(SUVAHAVUJ!N102)</f>
        <v>155402</v>
      </c>
      <c r="D42" s="466">
        <f>SUM(SUVAHAVUJ!X102)</f>
        <v>172989</v>
      </c>
      <c r="E42" s="466">
        <v>335032</v>
      </c>
      <c r="F42" s="466">
        <v>296727</v>
      </c>
    </row>
    <row r="43" spans="1:6" outlineLevel="1" x14ac:dyDescent="0.25">
      <c r="A43" s="456">
        <v>40</v>
      </c>
      <c r="B43" s="464" t="s">
        <v>2529</v>
      </c>
      <c r="C43" s="458">
        <f>SUM(SUVAHAVUJ!N103)</f>
        <v>132157</v>
      </c>
      <c r="D43" s="458">
        <f>SUM(SUVAHAVUJ!X103)</f>
        <v>161891</v>
      </c>
      <c r="E43" s="458">
        <v>87361</v>
      </c>
      <c r="F43" s="458">
        <v>101547</v>
      </c>
    </row>
    <row r="44" spans="1:6" outlineLevel="1" x14ac:dyDescent="0.25">
      <c r="A44" s="456">
        <v>41</v>
      </c>
      <c r="B44" s="465" t="s">
        <v>2530</v>
      </c>
      <c r="C44" s="460">
        <f>SUM(SUVAHAVUJ!N120+SUVAHAVUJ!N138)</f>
        <v>14434</v>
      </c>
      <c r="D44" s="460">
        <f>SUM(SUVAHAVUJ!X120+SUVAHAVUJ!X138)</f>
        <v>19678</v>
      </c>
      <c r="E44" s="460">
        <v>0</v>
      </c>
      <c r="F44" s="460">
        <v>0</v>
      </c>
    </row>
    <row r="45" spans="1:6" outlineLevel="1" x14ac:dyDescent="0.25">
      <c r="A45" s="456">
        <v>42</v>
      </c>
      <c r="B45" s="459" t="s">
        <v>2531</v>
      </c>
      <c r="C45" s="460">
        <f>SUM(SUVAHAVUJ!N104)</f>
        <v>1323</v>
      </c>
      <c r="D45" s="460">
        <f>SUM(SUVAHAVUJ!X104)</f>
        <v>1238</v>
      </c>
      <c r="E45" s="460">
        <v>70439</v>
      </c>
      <c r="F45" s="460">
        <v>60906</v>
      </c>
    </row>
    <row r="46" spans="1:6" outlineLevel="1" x14ac:dyDescent="0.25">
      <c r="A46" s="456">
        <v>43</v>
      </c>
      <c r="B46" s="459" t="s">
        <v>2532</v>
      </c>
      <c r="C46" s="460">
        <f>SUM(SUVAHAVUJ!N105)</f>
        <v>0</v>
      </c>
      <c r="D46" s="460">
        <f>SUM(SUVAHAVUJ!X105)</f>
        <v>0</v>
      </c>
      <c r="E46" s="460">
        <v>0</v>
      </c>
      <c r="F46" s="460">
        <v>0</v>
      </c>
    </row>
    <row r="47" spans="1:6" outlineLevel="1" x14ac:dyDescent="0.25">
      <c r="A47" s="456">
        <v>44</v>
      </c>
      <c r="B47" s="465" t="s">
        <v>2533</v>
      </c>
      <c r="C47" s="460">
        <f>SUM(SUVAHAVUJ!N124)</f>
        <v>113360</v>
      </c>
      <c r="D47" s="460">
        <f>SUM(SUVAHAVUJ!X124)</f>
        <v>134935</v>
      </c>
      <c r="E47" s="460">
        <v>16922</v>
      </c>
      <c r="F47" s="460">
        <v>40641</v>
      </c>
    </row>
    <row r="48" spans="1:6" outlineLevel="1" x14ac:dyDescent="0.25">
      <c r="A48" s="456">
        <v>45</v>
      </c>
      <c r="B48" s="461" t="s">
        <v>2534</v>
      </c>
      <c r="C48" s="460">
        <f>SUM(SUVAHAVUJ!N125)</f>
        <v>42848</v>
      </c>
      <c r="D48" s="460">
        <f>SUM(SUVAHAVUJ!X125)</f>
        <v>35044</v>
      </c>
      <c r="E48" s="460">
        <v>12086</v>
      </c>
      <c r="F48" s="460">
        <v>31525</v>
      </c>
    </row>
    <row r="49" spans="1:6" outlineLevel="1" x14ac:dyDescent="0.25">
      <c r="A49" s="456">
        <v>46</v>
      </c>
      <c r="B49" s="465" t="s">
        <v>2535</v>
      </c>
      <c r="C49" s="460">
        <f>C50+C51</f>
        <v>0</v>
      </c>
      <c r="D49" s="460">
        <f>D50+D51</f>
        <v>0</v>
      </c>
      <c r="E49" s="460">
        <f>E50+E51</f>
        <v>0</v>
      </c>
      <c r="F49" s="460">
        <f>F50+F51</f>
        <v>0</v>
      </c>
    </row>
    <row r="50" spans="1:6" outlineLevel="1" x14ac:dyDescent="0.25">
      <c r="A50" s="456">
        <v>47</v>
      </c>
      <c r="B50" s="465" t="s">
        <v>2536</v>
      </c>
      <c r="C50" s="460">
        <f>SUM(SUVAHAVUJ!N123)</f>
        <v>0</v>
      </c>
      <c r="D50" s="460">
        <f>SUM(SUVAHAVUJ!X123)</f>
        <v>0</v>
      </c>
      <c r="E50" s="460">
        <v>0</v>
      </c>
      <c r="F50" s="460">
        <v>0</v>
      </c>
    </row>
    <row r="51" spans="1:6" outlineLevel="1" x14ac:dyDescent="0.25">
      <c r="A51" s="456">
        <v>48</v>
      </c>
      <c r="B51" s="459" t="s">
        <v>2537</v>
      </c>
      <c r="C51" s="460">
        <f>SUM(SUVAHAVUJ!N141)</f>
        <v>0</v>
      </c>
      <c r="D51" s="460">
        <f>SUM(SUVAHAVUJ!X141)</f>
        <v>0</v>
      </c>
      <c r="E51" s="460">
        <v>0</v>
      </c>
      <c r="F51" s="460">
        <v>0</v>
      </c>
    </row>
    <row r="52" spans="1:6" outlineLevel="1" x14ac:dyDescent="0.25">
      <c r="A52" s="456">
        <v>49</v>
      </c>
      <c r="B52" s="467" t="s">
        <v>2538</v>
      </c>
      <c r="C52" s="468">
        <f>SUM(SUVAHAVUJ!N142)</f>
        <v>3040</v>
      </c>
      <c r="D52" s="468">
        <f>SUM(SUVAHAVUJ!X142)</f>
        <v>6040</v>
      </c>
      <c r="E52" s="468">
        <v>0</v>
      </c>
      <c r="F52" s="468">
        <v>0</v>
      </c>
    </row>
    <row r="53" spans="1:6" outlineLevel="1" x14ac:dyDescent="0.25">
      <c r="A53" s="456">
        <v>50</v>
      </c>
      <c r="B53" s="469" t="s">
        <v>2539</v>
      </c>
      <c r="C53" s="470">
        <f>SUM(SUVAHAVUJ!N143)</f>
        <v>103415</v>
      </c>
      <c r="D53" s="470">
        <f>SUM(SUVAHAVUJ!X143)</f>
        <v>116849</v>
      </c>
      <c r="E53" s="470">
        <v>0</v>
      </c>
      <c r="F53" s="470">
        <v>0</v>
      </c>
    </row>
    <row r="54" spans="1:6" ht="15.75" x14ac:dyDescent="0.25">
      <c r="A54" s="471" t="s">
        <v>2540</v>
      </c>
      <c r="B54" s="471"/>
      <c r="C54" s="471"/>
      <c r="D54" s="471"/>
      <c r="E54" s="471"/>
      <c r="F54" s="471"/>
    </row>
    <row r="55" spans="1:6" outlineLevel="1" x14ac:dyDescent="0.25">
      <c r="A55" s="450" t="s">
        <v>2493</v>
      </c>
      <c r="B55" s="451" t="s">
        <v>2494</v>
      </c>
      <c r="C55" s="452">
        <f>C3</f>
        <v>1</v>
      </c>
      <c r="D55" s="452">
        <f>D3</f>
        <v>2</v>
      </c>
      <c r="E55" s="452">
        <f>E3</f>
        <v>3</v>
      </c>
      <c r="F55" s="452">
        <f>F3</f>
        <v>4</v>
      </c>
    </row>
    <row r="56" spans="1:6" outlineLevel="1" x14ac:dyDescent="0.25">
      <c r="A56" s="472">
        <f>A53+1</f>
        <v>51</v>
      </c>
      <c r="B56" s="473" t="s">
        <v>2541</v>
      </c>
      <c r="C56" s="474">
        <f>SUM(SUVAHAVUJ!N149)</f>
        <v>43528</v>
      </c>
      <c r="D56" s="474">
        <f>SUM(SUVAHAVUJ!X149)</f>
        <v>46170</v>
      </c>
      <c r="E56" s="474"/>
      <c r="F56" s="474"/>
    </row>
    <row r="57" spans="1:6" outlineLevel="1" x14ac:dyDescent="0.25">
      <c r="A57" s="472">
        <v>52</v>
      </c>
      <c r="B57" s="475" t="s">
        <v>2542</v>
      </c>
      <c r="C57" s="476">
        <f>SUM(SUVAHAVUJ!N150)</f>
        <v>365607</v>
      </c>
      <c r="D57" s="476">
        <f>SUM(SUVAHAVUJ!X150)</f>
        <v>401784</v>
      </c>
      <c r="E57" s="476">
        <f>SUM(E58:E64)</f>
        <v>1216503</v>
      </c>
      <c r="F57" s="476">
        <f>SUM(F58:F64)</f>
        <v>1247494</v>
      </c>
    </row>
    <row r="58" spans="1:6" outlineLevel="1" x14ac:dyDescent="0.25">
      <c r="A58" s="472">
        <v>53</v>
      </c>
      <c r="B58" s="477" t="s">
        <v>1962</v>
      </c>
      <c r="C58" s="474">
        <f>SUM(SUVAHAVUJ!N151)</f>
        <v>0</v>
      </c>
      <c r="D58" s="474">
        <f>SUM(SUVAHAVUJ!X151)</f>
        <v>0</v>
      </c>
      <c r="E58" s="474">
        <v>0</v>
      </c>
      <c r="F58" s="474">
        <v>0</v>
      </c>
    </row>
    <row r="59" spans="1:6" outlineLevel="1" x14ac:dyDescent="0.25">
      <c r="A59" s="472">
        <v>54</v>
      </c>
      <c r="B59" s="477" t="s">
        <v>2543</v>
      </c>
      <c r="C59" s="474">
        <f>SUM(SUVAHAVUJ!N152)</f>
        <v>32714</v>
      </c>
      <c r="D59" s="474">
        <f>SUM(SUVAHAVUJ!X152)</f>
        <v>42722</v>
      </c>
      <c r="E59" s="474">
        <v>1176534</v>
      </c>
      <c r="F59" s="474">
        <v>1227494</v>
      </c>
    </row>
    <row r="60" spans="1:6" outlineLevel="1" x14ac:dyDescent="0.25">
      <c r="A60" s="472">
        <f>A57+1</f>
        <v>53</v>
      </c>
      <c r="B60" s="477"/>
      <c r="C60" s="474">
        <f>SUM(SUVAHAVUJ!N153)</f>
        <v>10073</v>
      </c>
      <c r="D60" s="474">
        <f>SUM(SUVAHAVUJ!X153)</f>
        <v>2131</v>
      </c>
      <c r="E60" s="474"/>
      <c r="F60" s="474"/>
    </row>
    <row r="61" spans="1:6" outlineLevel="1" x14ac:dyDescent="0.25">
      <c r="A61" s="472">
        <v>55</v>
      </c>
      <c r="B61" s="477" t="s">
        <v>2544</v>
      </c>
      <c r="C61" s="478">
        <f>SUM(SUVAHAVUJ!N154)</f>
        <v>4501</v>
      </c>
      <c r="D61" s="478">
        <f>SUM(SUVAHAVUJ!X154)</f>
        <v>-19810</v>
      </c>
      <c r="E61" s="478">
        <v>0</v>
      </c>
      <c r="F61" s="478">
        <v>0</v>
      </c>
    </row>
    <row r="62" spans="1:6" outlineLevel="1" x14ac:dyDescent="0.25">
      <c r="A62" s="472">
        <v>56</v>
      </c>
      <c r="B62" s="477" t="s">
        <v>2545</v>
      </c>
      <c r="C62" s="478">
        <f>SUM(SUVAHAVUJ!N155)</f>
        <v>4525</v>
      </c>
      <c r="D62" s="478">
        <f>SUM(SUVAHAVUJ!X155)</f>
        <v>12048</v>
      </c>
      <c r="E62" s="478">
        <v>0</v>
      </c>
      <c r="F62" s="478">
        <v>0</v>
      </c>
    </row>
    <row r="63" spans="1:6" outlineLevel="1" x14ac:dyDescent="0.25">
      <c r="A63" s="472">
        <v>57</v>
      </c>
      <c r="B63" s="477" t="s">
        <v>2546</v>
      </c>
      <c r="C63" s="478">
        <f>SUM(SUVAHAVUJ!N156)</f>
        <v>741</v>
      </c>
      <c r="D63" s="478">
        <f>SUM(SUVAHAVUJ!X156)</f>
        <v>1317</v>
      </c>
      <c r="E63" s="478">
        <v>0</v>
      </c>
      <c r="F63" s="478">
        <v>0</v>
      </c>
    </row>
    <row r="64" spans="1:6" outlineLevel="1" x14ac:dyDescent="0.25">
      <c r="A64" s="472">
        <v>58</v>
      </c>
      <c r="B64" s="477" t="s">
        <v>2547</v>
      </c>
      <c r="C64" s="478">
        <f>SUM(SUVAHAVUJ!N157)</f>
        <v>313053</v>
      </c>
      <c r="D64" s="478">
        <f>SUM(SUVAHAVUJ!X157)</f>
        <v>363376</v>
      </c>
      <c r="E64" s="478">
        <v>39969</v>
      </c>
      <c r="F64" s="478">
        <v>20000</v>
      </c>
    </row>
    <row r="65" spans="1:6" outlineLevel="1" x14ac:dyDescent="0.25">
      <c r="A65" s="472">
        <v>59</v>
      </c>
      <c r="B65" s="479" t="s">
        <v>2548</v>
      </c>
      <c r="C65" s="480">
        <f>SUM(SUVAHAVUJ!N158)</f>
        <v>372032</v>
      </c>
      <c r="D65" s="480">
        <f>SUM(SUVAHAVUJ!X158)</f>
        <v>374634</v>
      </c>
      <c r="E65" s="480">
        <v>759564</v>
      </c>
      <c r="F65" s="480">
        <v>909460</v>
      </c>
    </row>
    <row r="66" spans="1:6" outlineLevel="1" x14ac:dyDescent="0.25">
      <c r="A66" s="472">
        <v>60</v>
      </c>
      <c r="B66" s="477" t="s">
        <v>2549</v>
      </c>
      <c r="C66" s="478">
        <f>SUM(SUVAHAVUJ!N159)</f>
        <v>0</v>
      </c>
      <c r="D66" s="478">
        <f>SUM(SUVAHAVUJ!X159)</f>
        <v>0</v>
      </c>
      <c r="E66" s="478">
        <v>0</v>
      </c>
      <c r="F66" s="478">
        <v>0</v>
      </c>
    </row>
    <row r="67" spans="1:6" outlineLevel="1" x14ac:dyDescent="0.25">
      <c r="A67" s="472">
        <v>61</v>
      </c>
      <c r="B67" s="477" t="s">
        <v>2550</v>
      </c>
      <c r="C67" s="478">
        <f>SUM(SUVAHAVUJ!N161+SUVAHAVUJ!N161)</f>
        <v>0</v>
      </c>
      <c r="D67" s="478">
        <f>SUM(SUVAHAVUJ!X161+SUVAHAVUJ!X161)</f>
        <v>0</v>
      </c>
      <c r="E67" s="478">
        <v>42872</v>
      </c>
      <c r="F67" s="478">
        <v>108156</v>
      </c>
    </row>
    <row r="68" spans="1:6" outlineLevel="1" x14ac:dyDescent="0.25">
      <c r="A68" s="472">
        <v>62</v>
      </c>
      <c r="B68" s="477" t="s">
        <v>2551</v>
      </c>
      <c r="C68" s="478">
        <f>SUM(SUVAHAVUJ!N162)</f>
        <v>39967</v>
      </c>
      <c r="D68" s="478">
        <f>SUM(SUVAHAVUJ!X162)</f>
        <v>37604</v>
      </c>
      <c r="E68" s="478">
        <v>504952</v>
      </c>
      <c r="F68" s="478">
        <v>557214</v>
      </c>
    </row>
    <row r="69" spans="1:6" outlineLevel="1" x14ac:dyDescent="0.25">
      <c r="A69" s="472">
        <v>63</v>
      </c>
      <c r="B69" s="477" t="s">
        <v>2552</v>
      </c>
      <c r="C69" s="478">
        <f>SUM(SUVAHAVUJ!N163)</f>
        <v>208493</v>
      </c>
      <c r="D69" s="478">
        <f>SUM(SUVAHAVUJ!X163)</f>
        <v>218760</v>
      </c>
      <c r="E69" s="478">
        <v>173254</v>
      </c>
      <c r="F69" s="478">
        <v>222217</v>
      </c>
    </row>
    <row r="70" spans="1:6" outlineLevel="1" x14ac:dyDescent="0.25">
      <c r="A70" s="472">
        <v>64</v>
      </c>
      <c r="B70" s="477" t="s">
        <v>2553</v>
      </c>
      <c r="C70" s="478">
        <f>SUM(SUVAHAVUJ!N164)</f>
        <v>145728</v>
      </c>
      <c r="D70" s="478">
        <f>SUM(SUVAHAVUJ!X164)</f>
        <v>154126</v>
      </c>
      <c r="E70" s="478">
        <v>126374</v>
      </c>
      <c r="F70" s="478">
        <v>164258</v>
      </c>
    </row>
    <row r="71" spans="1:6" outlineLevel="1" x14ac:dyDescent="0.25">
      <c r="A71" s="472">
        <v>65</v>
      </c>
      <c r="B71" s="477" t="s">
        <v>2554</v>
      </c>
      <c r="C71" s="481">
        <f>SUM(SUVAHAVUJ!N168)</f>
        <v>889</v>
      </c>
      <c r="D71" s="481">
        <f>SUM(SUVAHAVUJ!X168)</f>
        <v>1636</v>
      </c>
      <c r="E71" s="481">
        <v>230</v>
      </c>
      <c r="F71" s="481">
        <v>0</v>
      </c>
    </row>
    <row r="72" spans="1:6" outlineLevel="1" x14ac:dyDescent="0.25">
      <c r="A72" s="472">
        <v>66</v>
      </c>
      <c r="B72" s="477" t="s">
        <v>2555</v>
      </c>
      <c r="C72" s="481">
        <f>SUM(SUVAHAVUJ!N169)</f>
        <v>52072</v>
      </c>
      <c r="D72" s="481">
        <f>SUM(SUVAHAVUJ!X169)</f>
        <v>56416</v>
      </c>
      <c r="E72" s="481">
        <v>38256</v>
      </c>
      <c r="F72" s="481">
        <v>17810</v>
      </c>
    </row>
    <row r="73" spans="1:6" outlineLevel="1" x14ac:dyDescent="0.25">
      <c r="A73" s="472">
        <v>67</v>
      </c>
      <c r="B73" s="473" t="s">
        <v>2556</v>
      </c>
      <c r="C73" s="478">
        <f>SUM(SUVAHAVUJ!N172)</f>
        <v>0</v>
      </c>
      <c r="D73" s="478">
        <f>SUM(SUVAHAVUJ!X172)</f>
        <v>0</v>
      </c>
      <c r="E73" s="478">
        <v>0</v>
      </c>
      <c r="F73" s="478">
        <v>0</v>
      </c>
    </row>
    <row r="74" spans="1:6" outlineLevel="1" x14ac:dyDescent="0.25">
      <c r="A74" s="472">
        <v>68</v>
      </c>
      <c r="B74" s="473" t="s">
        <v>2557</v>
      </c>
      <c r="C74" s="478">
        <f>SUM(SUVAHAVUJ!N174)</f>
        <v>163</v>
      </c>
      <c r="D74" s="478">
        <f>SUM(SUVAHAVUJ!X174)</f>
        <v>411</v>
      </c>
      <c r="E74" s="478">
        <v>0</v>
      </c>
      <c r="F74" s="478">
        <v>4063</v>
      </c>
    </row>
    <row r="75" spans="1:6" outlineLevel="1" x14ac:dyDescent="0.25">
      <c r="A75" s="472">
        <v>69</v>
      </c>
      <c r="B75" s="482" t="s">
        <v>2558</v>
      </c>
      <c r="C75" s="483">
        <f>C57-C65</f>
        <v>-6425</v>
      </c>
      <c r="D75" s="483">
        <f>D57-D65</f>
        <v>27150</v>
      </c>
      <c r="E75" s="484">
        <f>E57-E65</f>
        <v>456939</v>
      </c>
      <c r="F75" s="484">
        <f>F57-F65</f>
        <v>338034</v>
      </c>
    </row>
    <row r="76" spans="1:6" outlineLevel="1" x14ac:dyDescent="0.25">
      <c r="A76" s="472">
        <v>70</v>
      </c>
      <c r="B76" s="482" t="s">
        <v>2559</v>
      </c>
      <c r="C76" s="483">
        <f>SUM(C58:C62)-SUM(C66:C68)</f>
        <v>11846</v>
      </c>
      <c r="D76" s="483">
        <f>SUM(D58:D62)-SUM(D66:D68)</f>
        <v>-513</v>
      </c>
      <c r="E76" s="484">
        <f>SUM(E58:E62)-SUM(E66:E68)</f>
        <v>628710</v>
      </c>
      <c r="F76" s="484">
        <f>SUM(F58:F62)-SUM(F66:F68)</f>
        <v>562124</v>
      </c>
    </row>
    <row r="77" spans="1:6" outlineLevel="1" x14ac:dyDescent="0.25">
      <c r="A77" s="472">
        <v>71</v>
      </c>
      <c r="B77" s="482" t="s">
        <v>2560</v>
      </c>
      <c r="C77" s="483">
        <f>SUM(C58-C66)</f>
        <v>0</v>
      </c>
      <c r="D77" s="483">
        <f>SUM(D58-D66)</f>
        <v>0</v>
      </c>
      <c r="E77" s="484">
        <f>SUM(E58-E66)</f>
        <v>0</v>
      </c>
      <c r="F77" s="484">
        <f>SUM(F58-F66)</f>
        <v>0</v>
      </c>
    </row>
    <row r="78" spans="1:6" outlineLevel="1" x14ac:dyDescent="0.25">
      <c r="A78" s="472">
        <v>72</v>
      </c>
      <c r="B78" s="482" t="s">
        <v>2561</v>
      </c>
      <c r="C78" s="483">
        <f>SUM(C59:C62)</f>
        <v>51813</v>
      </c>
      <c r="D78" s="483">
        <f>SUM(D59:D62)</f>
        <v>37091</v>
      </c>
      <c r="E78" s="484">
        <f>SUM(E59:E62)</f>
        <v>1176534</v>
      </c>
      <c r="F78" s="484">
        <f>SUM(F59:F62)</f>
        <v>1227494</v>
      </c>
    </row>
    <row r="79" spans="1:6" outlineLevel="1" x14ac:dyDescent="0.25">
      <c r="A79" s="472">
        <v>73</v>
      </c>
      <c r="B79" s="482" t="s">
        <v>2562</v>
      </c>
      <c r="C79" s="483">
        <f>SUM(C67:C68)</f>
        <v>39967</v>
      </c>
      <c r="D79" s="483">
        <f>SUM(D67:D68)</f>
        <v>37604</v>
      </c>
      <c r="E79" s="484">
        <f>SUM(E67:E68)</f>
        <v>547824</v>
      </c>
      <c r="F79" s="484">
        <f>SUM(F67:F68)</f>
        <v>665370</v>
      </c>
    </row>
    <row r="80" spans="1:6" outlineLevel="1" x14ac:dyDescent="0.25">
      <c r="A80" s="472">
        <v>74</v>
      </c>
      <c r="B80" s="479" t="s">
        <v>2563</v>
      </c>
      <c r="C80" s="480">
        <f>SUM(SUVAHAVUJ!N177)</f>
        <v>0</v>
      </c>
      <c r="D80" s="480">
        <f>SUM(SUVAHAVUJ!X177)</f>
        <v>0</v>
      </c>
      <c r="E80" s="480">
        <v>6164</v>
      </c>
      <c r="F80" s="480">
        <v>7211</v>
      </c>
    </row>
    <row r="81" spans="1:6" outlineLevel="1" x14ac:dyDescent="0.25">
      <c r="A81" s="472">
        <v>75</v>
      </c>
      <c r="B81" s="479" t="s">
        <v>2564</v>
      </c>
      <c r="C81" s="480">
        <f>SUM(SUVAHAVUJ!N193)</f>
        <v>8641</v>
      </c>
      <c r="D81" s="480">
        <f>SUM(SUVAHAVUJ!X193)</f>
        <v>10245</v>
      </c>
      <c r="E81" s="480">
        <v>32373</v>
      </c>
      <c r="F81" s="480">
        <v>29880</v>
      </c>
    </row>
    <row r="82" spans="1:6" outlineLevel="1" x14ac:dyDescent="0.25">
      <c r="A82" s="472">
        <v>76</v>
      </c>
      <c r="B82" s="477" t="s">
        <v>2565</v>
      </c>
      <c r="C82" s="478">
        <f>SUM(SUVAHAVUJ!N197)</f>
        <v>6333</v>
      </c>
      <c r="D82" s="478">
        <f>SUM(SUVAHAVUJ!X197)</f>
        <v>7981</v>
      </c>
      <c r="E82" s="478">
        <v>4232</v>
      </c>
      <c r="F82" s="478">
        <v>2072</v>
      </c>
    </row>
    <row r="83" spans="1:6" outlineLevel="1" x14ac:dyDescent="0.25">
      <c r="A83" s="472">
        <v>77</v>
      </c>
      <c r="B83" s="477" t="s">
        <v>2566</v>
      </c>
      <c r="C83" s="480">
        <f>SUM(SUVAHAVUJ!N202)</f>
        <v>2308</v>
      </c>
      <c r="D83" s="480">
        <f>SUM(SUVAHAVUJ!X202)</f>
        <v>2264</v>
      </c>
      <c r="E83" s="480">
        <v>12750</v>
      </c>
      <c r="F83" s="480">
        <v>10589</v>
      </c>
    </row>
    <row r="84" spans="1:6" outlineLevel="1" x14ac:dyDescent="0.25">
      <c r="A84" s="472">
        <v>78</v>
      </c>
      <c r="B84" s="479" t="s">
        <v>2567</v>
      </c>
      <c r="C84" s="483">
        <f>C80-C81</f>
        <v>-8641</v>
      </c>
      <c r="D84" s="483">
        <f>D80-D81</f>
        <v>-10245</v>
      </c>
      <c r="E84" s="484">
        <f>E80-E81</f>
        <v>-26209</v>
      </c>
      <c r="F84" s="484">
        <f>F80-F81</f>
        <v>-22669</v>
      </c>
    </row>
    <row r="85" spans="1:6" outlineLevel="1" x14ac:dyDescent="0.25">
      <c r="A85" s="472">
        <v>79</v>
      </c>
      <c r="B85" s="479" t="s">
        <v>2568</v>
      </c>
      <c r="C85" s="485"/>
      <c r="D85" s="485"/>
      <c r="E85" s="480">
        <v>0</v>
      </c>
      <c r="F85" s="480">
        <v>29800</v>
      </c>
    </row>
    <row r="86" spans="1:6" outlineLevel="1" x14ac:dyDescent="0.25">
      <c r="A86" s="472">
        <v>80</v>
      </c>
      <c r="B86" s="479" t="s">
        <v>2569</v>
      </c>
      <c r="C86" s="485"/>
      <c r="D86" s="485"/>
      <c r="E86" s="480">
        <v>0</v>
      </c>
      <c r="F86" s="480">
        <v>28439</v>
      </c>
    </row>
    <row r="87" spans="1:6" outlineLevel="1" x14ac:dyDescent="0.25">
      <c r="A87" s="472">
        <v>81</v>
      </c>
      <c r="B87" s="479" t="s">
        <v>2570</v>
      </c>
      <c r="C87" s="483">
        <f>C75+C84+C85-C86</f>
        <v>-15066</v>
      </c>
      <c r="D87" s="483">
        <f>D75+D84+D85-D86</f>
        <v>16905</v>
      </c>
      <c r="E87" s="484">
        <f>E75+E84</f>
        <v>430730</v>
      </c>
      <c r="F87" s="484">
        <f>F75+F84</f>
        <v>315365</v>
      </c>
    </row>
    <row r="88" spans="1:6" outlineLevel="1" x14ac:dyDescent="0.25">
      <c r="A88" s="472">
        <v>82</v>
      </c>
      <c r="B88" s="477" t="s">
        <v>2571</v>
      </c>
      <c r="C88" s="481">
        <f>SUM(SUVAHAVUJ!N205)</f>
        <v>0</v>
      </c>
      <c r="D88" s="481">
        <f>SUM(SUVAHAVUJ!X205)</f>
        <v>960</v>
      </c>
      <c r="E88" s="481">
        <v>56228</v>
      </c>
      <c r="F88" s="481">
        <v>0</v>
      </c>
    </row>
    <row r="89" spans="1:6" outlineLevel="1" x14ac:dyDescent="0.25">
      <c r="A89" s="472">
        <v>83</v>
      </c>
      <c r="B89" s="486" t="s">
        <v>2572</v>
      </c>
      <c r="C89" s="483">
        <f>C87-C88</f>
        <v>-15066</v>
      </c>
      <c r="D89" s="483">
        <f>D87-D88</f>
        <v>15945</v>
      </c>
      <c r="E89" s="484">
        <f>E87-E88</f>
        <v>374502</v>
      </c>
      <c r="F89" s="484">
        <f>F87-F88</f>
        <v>315365</v>
      </c>
    </row>
    <row r="90" spans="1:6" outlineLevel="1" x14ac:dyDescent="0.25">
      <c r="A90" s="472">
        <v>84</v>
      </c>
      <c r="B90" s="487" t="s">
        <v>2573</v>
      </c>
      <c r="C90" s="488">
        <f>SUM(C57+C80+C85)</f>
        <v>365607</v>
      </c>
      <c r="D90" s="488">
        <f>SUM(D57+D80+D85)</f>
        <v>401784</v>
      </c>
      <c r="E90" s="489">
        <f>SUM(E57+E80+E85)</f>
        <v>1222667</v>
      </c>
      <c r="F90" s="489">
        <f>SUM(F57+F80+F85)</f>
        <v>1284505</v>
      </c>
    </row>
    <row r="91" spans="1:6" outlineLevel="1" x14ac:dyDescent="0.25">
      <c r="A91" s="472">
        <v>85</v>
      </c>
      <c r="B91" s="487" t="s">
        <v>2574</v>
      </c>
      <c r="C91" s="488">
        <f>SUM(C65+C81+C86+C88)</f>
        <v>380673</v>
      </c>
      <c r="D91" s="488">
        <f>SUM(D65+D81+D86+D88)</f>
        <v>385839</v>
      </c>
      <c r="E91" s="489">
        <f>SUM(E65+E81+E86+E88)</f>
        <v>848165</v>
      </c>
      <c r="F91" s="489">
        <f>SUM(F65+F81+F86+F88)</f>
        <v>967779</v>
      </c>
    </row>
    <row r="92" spans="1:6" ht="0.75" customHeight="1" outlineLevel="1" x14ac:dyDescent="0.25">
      <c r="A92" s="490"/>
      <c r="B92" s="491"/>
      <c r="C92" s="492"/>
      <c r="D92" s="493"/>
      <c r="E92" s="493"/>
      <c r="F92" s="493"/>
    </row>
    <row r="93" spans="1:6" ht="15.75" hidden="1" x14ac:dyDescent="0.25">
      <c r="A93" s="471" t="s">
        <v>2575</v>
      </c>
      <c r="B93" s="471"/>
      <c r="C93" s="471"/>
      <c r="D93" s="471"/>
      <c r="E93" s="471"/>
      <c r="F93" s="471"/>
    </row>
    <row r="94" spans="1:6" hidden="1" outlineLevel="1" x14ac:dyDescent="0.25">
      <c r="A94" s="450" t="s">
        <v>2493</v>
      </c>
      <c r="B94" s="451" t="s">
        <v>2494</v>
      </c>
      <c r="C94" s="452">
        <f>C3</f>
        <v>1</v>
      </c>
      <c r="D94" s="452">
        <f>D3</f>
        <v>2</v>
      </c>
      <c r="E94" s="452">
        <f>E3</f>
        <v>3</v>
      </c>
      <c r="F94" s="452">
        <f>F3</f>
        <v>4</v>
      </c>
    </row>
    <row r="95" spans="1:6" hidden="1" outlineLevel="1" x14ac:dyDescent="0.25">
      <c r="A95" s="472">
        <v>85</v>
      </c>
      <c r="B95" s="494" t="s">
        <v>2576</v>
      </c>
      <c r="C95" s="495" t="s">
        <v>2577</v>
      </c>
      <c r="D95" s="496">
        <f>C34</f>
        <v>17088</v>
      </c>
      <c r="E95" s="496">
        <f>D34</f>
        <v>20278</v>
      </c>
      <c r="F95" s="496">
        <f>E34</f>
        <v>186890</v>
      </c>
    </row>
    <row r="96" spans="1:6" hidden="1" outlineLevel="1" x14ac:dyDescent="0.25">
      <c r="A96" s="472">
        <f t="shared" ref="A96:A113" si="0">A95+1</f>
        <v>86</v>
      </c>
      <c r="B96" s="473" t="s">
        <v>2578</v>
      </c>
      <c r="C96" s="495" t="s">
        <v>2579</v>
      </c>
      <c r="D96" s="481">
        <f>D89</f>
        <v>15945</v>
      </c>
      <c r="E96" s="481">
        <f>E89</f>
        <v>374502</v>
      </c>
      <c r="F96" s="481">
        <f>F89</f>
        <v>315365</v>
      </c>
    </row>
    <row r="97" spans="1:6" hidden="1" outlineLevel="1" x14ac:dyDescent="0.25">
      <c r="A97" s="472">
        <f t="shared" si="0"/>
        <v>87</v>
      </c>
      <c r="B97" s="477" t="s">
        <v>2555</v>
      </c>
      <c r="C97" s="495" t="s">
        <v>2580</v>
      </c>
      <c r="D97" s="497">
        <f>D72</f>
        <v>56416</v>
      </c>
      <c r="E97" s="497">
        <f>E72</f>
        <v>38256</v>
      </c>
      <c r="F97" s="497">
        <f>F72</f>
        <v>17810</v>
      </c>
    </row>
    <row r="98" spans="1:6" hidden="1" outlineLevel="1" x14ac:dyDescent="0.25">
      <c r="A98" s="472">
        <f t="shared" si="0"/>
        <v>88</v>
      </c>
      <c r="B98" s="477" t="s">
        <v>2581</v>
      </c>
      <c r="C98" s="495" t="s">
        <v>2582</v>
      </c>
      <c r="D98" s="478">
        <f>C35-D35+D53-C53</f>
        <v>7224</v>
      </c>
      <c r="E98" s="478">
        <f>D35-E35+E53-D53</f>
        <v>-64842</v>
      </c>
      <c r="F98" s="478">
        <f>E35-F35+F53-E53</f>
        <v>0</v>
      </c>
    </row>
    <row r="99" spans="1:6" hidden="1" outlineLevel="1" x14ac:dyDescent="0.25">
      <c r="A99" s="472">
        <f t="shared" si="0"/>
        <v>89</v>
      </c>
      <c r="B99" s="477" t="s">
        <v>2583</v>
      </c>
      <c r="C99" s="495" t="s">
        <v>2584</v>
      </c>
      <c r="D99" s="478">
        <f>C30-D30</f>
        <v>7025</v>
      </c>
      <c r="E99" s="478">
        <f>D30-E30</f>
        <v>-133110</v>
      </c>
      <c r="F99" s="478">
        <f>E30-F30</f>
        <v>13412</v>
      </c>
    </row>
    <row r="100" spans="1:6" hidden="1" outlineLevel="1" x14ac:dyDescent="0.25">
      <c r="A100" s="472">
        <f t="shared" si="0"/>
        <v>90</v>
      </c>
      <c r="B100" s="473" t="s">
        <v>2585</v>
      </c>
      <c r="C100" s="495" t="s">
        <v>2586</v>
      </c>
      <c r="D100" s="478">
        <f>D47-C47</f>
        <v>21575</v>
      </c>
      <c r="E100" s="478">
        <f>E47-D47</f>
        <v>-118013</v>
      </c>
      <c r="F100" s="478">
        <f>F47-E47</f>
        <v>23719</v>
      </c>
    </row>
    <row r="101" spans="1:6" hidden="1" outlineLevel="1" x14ac:dyDescent="0.25">
      <c r="A101" s="472">
        <f t="shared" si="0"/>
        <v>91</v>
      </c>
      <c r="B101" s="473" t="s">
        <v>2587</v>
      </c>
      <c r="C101" s="495" t="s">
        <v>2588</v>
      </c>
      <c r="D101" s="478">
        <f>C21-D21</f>
        <v>3001</v>
      </c>
      <c r="E101" s="478">
        <f>D21-E21</f>
        <v>49129</v>
      </c>
      <c r="F101" s="478">
        <f>E21-F21</f>
        <v>0</v>
      </c>
    </row>
    <row r="102" spans="1:6" hidden="1" outlineLevel="1" x14ac:dyDescent="0.25">
      <c r="A102" s="472">
        <f t="shared" si="0"/>
        <v>92</v>
      </c>
      <c r="B102" s="498" t="s">
        <v>2589</v>
      </c>
      <c r="C102" s="499" t="s">
        <v>2590</v>
      </c>
      <c r="D102" s="500">
        <f>D96+D97+D98+D99+D100+D101</f>
        <v>111186</v>
      </c>
      <c r="E102" s="501">
        <f>E96+E97+E98+E99+E100+E101</f>
        <v>145922</v>
      </c>
      <c r="F102" s="501">
        <f>F96+F97+F98+F99+F100+F101</f>
        <v>370306</v>
      </c>
    </row>
    <row r="103" spans="1:6" hidden="1" outlineLevel="1" x14ac:dyDescent="0.25">
      <c r="A103" s="472">
        <f t="shared" si="0"/>
        <v>93</v>
      </c>
      <c r="B103" s="473" t="s">
        <v>2591</v>
      </c>
      <c r="C103" s="495" t="s">
        <v>2592</v>
      </c>
      <c r="D103" s="474">
        <f>C6-D6</f>
        <v>0</v>
      </c>
      <c r="E103" s="474">
        <f>D6-E6</f>
        <v>0</v>
      </c>
      <c r="F103" s="474">
        <f>E6-F6</f>
        <v>0</v>
      </c>
    </row>
    <row r="104" spans="1:6" hidden="1" outlineLevel="1" x14ac:dyDescent="0.25">
      <c r="A104" s="472">
        <f t="shared" si="0"/>
        <v>94</v>
      </c>
      <c r="B104" s="473" t="s">
        <v>2593</v>
      </c>
      <c r="C104" s="495" t="s">
        <v>2594</v>
      </c>
      <c r="D104" s="474">
        <f>C11-D11-D97</f>
        <v>-101854</v>
      </c>
      <c r="E104" s="474">
        <f>D11-E11-E97</f>
        <v>280581</v>
      </c>
      <c r="F104" s="474">
        <f>E11-F11-F97</f>
        <v>-15479</v>
      </c>
    </row>
    <row r="105" spans="1:6" hidden="1" outlineLevel="1" x14ac:dyDescent="0.25">
      <c r="A105" s="472">
        <f t="shared" si="0"/>
        <v>95</v>
      </c>
      <c r="B105" s="473" t="s">
        <v>2595</v>
      </c>
      <c r="C105" s="495"/>
      <c r="D105" s="474">
        <f>C16-D16</f>
        <v>0</v>
      </c>
      <c r="E105" s="474">
        <f>D16-E16</f>
        <v>0</v>
      </c>
      <c r="F105" s="474">
        <f>E16-F16</f>
        <v>0</v>
      </c>
    </row>
    <row r="106" spans="1:6" hidden="1" outlineLevel="1" x14ac:dyDescent="0.25">
      <c r="A106" s="472">
        <f t="shared" si="0"/>
        <v>96</v>
      </c>
      <c r="B106" s="498" t="s">
        <v>2596</v>
      </c>
      <c r="C106" s="499" t="s">
        <v>2597</v>
      </c>
      <c r="D106" s="483">
        <f>SUM(D103:D105)</f>
        <v>-101854</v>
      </c>
      <c r="E106" s="484">
        <f>SUM(E103:E105)</f>
        <v>280581</v>
      </c>
      <c r="F106" s="484">
        <f>SUM(F103:F105)</f>
        <v>-15479</v>
      </c>
    </row>
    <row r="107" spans="1:6" hidden="1" outlineLevel="1" x14ac:dyDescent="0.25">
      <c r="A107" s="472">
        <f t="shared" si="0"/>
        <v>97</v>
      </c>
      <c r="B107" s="473" t="s">
        <v>2598</v>
      </c>
      <c r="C107" s="495" t="s">
        <v>2599</v>
      </c>
      <c r="D107" s="478">
        <f>D37-C37-D96</f>
        <v>-14301</v>
      </c>
      <c r="E107" s="478">
        <f>E37-D37-E96</f>
        <v>-303374</v>
      </c>
      <c r="F107" s="478">
        <f>F37-E37-F96</f>
        <v>-354959</v>
      </c>
    </row>
    <row r="108" spans="1:6" hidden="1" outlineLevel="1" x14ac:dyDescent="0.25">
      <c r="A108" s="472">
        <f t="shared" si="0"/>
        <v>98</v>
      </c>
      <c r="B108" s="473" t="s">
        <v>2600</v>
      </c>
      <c r="C108" s="495" t="s">
        <v>2601</v>
      </c>
      <c r="D108" s="478">
        <f>C27-D27</f>
        <v>0</v>
      </c>
      <c r="E108" s="478">
        <f>D27-E27</f>
        <v>0</v>
      </c>
      <c r="F108" s="478">
        <f>E27-F27</f>
        <v>0</v>
      </c>
    </row>
    <row r="109" spans="1:6" hidden="1" outlineLevel="1" x14ac:dyDescent="0.25">
      <c r="A109" s="472">
        <f t="shared" si="0"/>
        <v>99</v>
      </c>
      <c r="B109" s="473" t="s">
        <v>2602</v>
      </c>
      <c r="C109" s="495" t="s">
        <v>2603</v>
      </c>
      <c r="D109" s="478">
        <f>D45-C45+D44-C44</f>
        <v>5159</v>
      </c>
      <c r="E109" s="478">
        <f>E45-D45+E44-D44</f>
        <v>49523</v>
      </c>
      <c r="F109" s="478">
        <f>F45-E45+F44-E44</f>
        <v>-9533</v>
      </c>
    </row>
    <row r="110" spans="1:6" hidden="1" outlineLevel="1" x14ac:dyDescent="0.25">
      <c r="A110" s="472">
        <f t="shared" si="0"/>
        <v>100</v>
      </c>
      <c r="B110" s="473" t="s">
        <v>2604</v>
      </c>
      <c r="C110" s="495" t="s">
        <v>2605</v>
      </c>
      <c r="D110" s="480">
        <f>D49-C49</f>
        <v>0</v>
      </c>
      <c r="E110" s="480">
        <f>E49-D49</f>
        <v>0</v>
      </c>
      <c r="F110" s="480">
        <f>F49-E49</f>
        <v>0</v>
      </c>
    </row>
    <row r="111" spans="1:6" hidden="1" outlineLevel="1" x14ac:dyDescent="0.25">
      <c r="A111" s="472">
        <f t="shared" si="0"/>
        <v>101</v>
      </c>
      <c r="B111" s="498" t="s">
        <v>2606</v>
      </c>
      <c r="C111" s="495" t="s">
        <v>2607</v>
      </c>
      <c r="D111" s="502">
        <f>D107+D108+D109+D110</f>
        <v>-9142</v>
      </c>
      <c r="E111" s="502">
        <f>E107+E108+E109+E110</f>
        <v>-253851</v>
      </c>
      <c r="F111" s="502">
        <f>F107+F108+F109+F110</f>
        <v>-364492</v>
      </c>
    </row>
    <row r="112" spans="1:6" hidden="1" outlineLevel="1" x14ac:dyDescent="0.25">
      <c r="A112" s="472">
        <f t="shared" si="0"/>
        <v>102</v>
      </c>
      <c r="B112" s="473" t="s">
        <v>2608</v>
      </c>
      <c r="C112" s="495" t="s">
        <v>2609</v>
      </c>
      <c r="D112" s="503">
        <f>D102+D106+D111</f>
        <v>190</v>
      </c>
      <c r="E112" s="503">
        <f>E102+E106+E111</f>
        <v>172652</v>
      </c>
      <c r="F112" s="503">
        <f>F102+F106+F111</f>
        <v>-9665</v>
      </c>
    </row>
    <row r="113" spans="1:6" hidden="1" outlineLevel="1" x14ac:dyDescent="0.25">
      <c r="A113" s="504">
        <f t="shared" si="0"/>
        <v>103</v>
      </c>
      <c r="B113" s="505" t="s">
        <v>2610</v>
      </c>
      <c r="C113" s="506" t="s">
        <v>2611</v>
      </c>
      <c r="D113" s="507">
        <f>D34</f>
        <v>20278</v>
      </c>
      <c r="E113" s="507">
        <f>E34</f>
        <v>186890</v>
      </c>
      <c r="F113" s="507">
        <f>F34</f>
        <v>177225</v>
      </c>
    </row>
    <row r="114" spans="1:6" hidden="1" outlineLevel="1" x14ac:dyDescent="0.25">
      <c r="A114" s="508"/>
      <c r="B114" s="493"/>
      <c r="C114" s="509" t="s">
        <v>2612</v>
      </c>
      <c r="D114" s="510">
        <f>D113-D95</f>
        <v>3190</v>
      </c>
      <c r="E114" s="510">
        <f>E113-E95</f>
        <v>166612</v>
      </c>
      <c r="F114" s="510">
        <f>F113-F95</f>
        <v>-9665</v>
      </c>
    </row>
    <row r="115" spans="1:6" outlineLevel="1" x14ac:dyDescent="0.25">
      <c r="A115" s="508"/>
      <c r="B115" s="493"/>
      <c r="C115" s="493"/>
      <c r="D115" s="510">
        <f>SUM(D114-D112)</f>
        <v>3000</v>
      </c>
      <c r="E115" s="493"/>
      <c r="F115" s="493"/>
    </row>
    <row r="116" spans="1:6" ht="15.75" x14ac:dyDescent="0.25">
      <c r="A116" s="471" t="s">
        <v>2613</v>
      </c>
      <c r="B116" s="471"/>
      <c r="C116" s="471"/>
      <c r="D116" s="471"/>
      <c r="E116" s="471"/>
      <c r="F116" s="471"/>
    </row>
    <row r="117" spans="1:6" outlineLevel="1" x14ac:dyDescent="0.25">
      <c r="A117" s="450" t="s">
        <v>2493</v>
      </c>
      <c r="B117" s="451" t="s">
        <v>2494</v>
      </c>
      <c r="C117" s="452">
        <f>C3</f>
        <v>1</v>
      </c>
      <c r="D117" s="452">
        <f>D3</f>
        <v>2</v>
      </c>
      <c r="E117" s="452">
        <f>E3</f>
        <v>3</v>
      </c>
      <c r="F117" s="452">
        <f>F3</f>
        <v>4</v>
      </c>
    </row>
    <row r="118" spans="1:6" outlineLevel="1" x14ac:dyDescent="0.25">
      <c r="A118" s="472">
        <f>A113+1</f>
        <v>104</v>
      </c>
      <c r="B118" s="475" t="s">
        <v>2614</v>
      </c>
      <c r="C118" s="511">
        <f>IF((C47+C51)=0,"",C20/(C47+C51))</f>
        <v>0.84100211714890616</v>
      </c>
      <c r="D118" s="511">
        <f>IF((D47+D51)=0,"",D20/(D47+D51))</f>
        <v>0.65587134546263015</v>
      </c>
      <c r="E118" s="511">
        <f>IF((E47+E51)=0,"",E20/(E47+E51))</f>
        <v>20.038588819288499</v>
      </c>
      <c r="F118" s="511">
        <f>IF((F47+F51)=0,"",F20/(F47+F51))</f>
        <v>7.7757929184813364</v>
      </c>
    </row>
    <row r="119" spans="1:6" outlineLevel="1" x14ac:dyDescent="0.25">
      <c r="A119" s="472">
        <f t="shared" ref="A119:A141" si="1">A118+1</f>
        <v>105</v>
      </c>
      <c r="B119" s="475" t="s">
        <v>2615</v>
      </c>
      <c r="C119" s="511">
        <f>IF((C47+C51)=0,"",(C20-C21)/(C47+C51))</f>
        <v>0.38113973182780519</v>
      </c>
      <c r="D119" s="511">
        <f>IF((D47+D51)=0,"",(D20-D21)/(D47+D51))</f>
        <v>0.29177752251083855</v>
      </c>
      <c r="E119" s="511">
        <f>IF((E47+E51)=0,"",(E20-E21)/(E47+E51))</f>
        <v>20.038588819288499</v>
      </c>
      <c r="F119" s="511">
        <f>IF((F47+F51)=0,"",(F20-F21)/(F47+F51))</f>
        <v>7.7757929184813364</v>
      </c>
    </row>
    <row r="120" spans="1:6" outlineLevel="1" x14ac:dyDescent="0.25">
      <c r="A120" s="472">
        <f t="shared" si="1"/>
        <v>106</v>
      </c>
      <c r="B120" s="479" t="s">
        <v>2616</v>
      </c>
      <c r="C120" s="511">
        <f>IF(($C$47+$C$51)=0,"",$C$34/($C$47+$C$51))</f>
        <v>0.15074100211714891</v>
      </c>
      <c r="D120" s="511">
        <f>IF((D47+D51)=0,"",D34/(D47+D51))</f>
        <v>0.15027976433097417</v>
      </c>
      <c r="E120" s="511">
        <f>IF((E47+E51)=0,"",E34/(E47+E51))</f>
        <v>11.044202812906276</v>
      </c>
      <c r="F120" s="511">
        <f>IF((F47+F51)=0,"",F34/(F47+F51))</f>
        <v>4.3607440761792278</v>
      </c>
    </row>
    <row r="121" spans="1:6" outlineLevel="1" x14ac:dyDescent="0.25">
      <c r="A121" s="472">
        <f t="shared" si="1"/>
        <v>107</v>
      </c>
      <c r="B121" s="477" t="s">
        <v>2617</v>
      </c>
      <c r="C121" s="511"/>
      <c r="D121" s="511"/>
      <c r="E121" s="511"/>
      <c r="F121" s="511"/>
    </row>
    <row r="122" spans="1:6" outlineLevel="1" x14ac:dyDescent="0.25">
      <c r="A122" s="472">
        <f t="shared" si="1"/>
        <v>108</v>
      </c>
      <c r="B122" s="477" t="s">
        <v>2618</v>
      </c>
      <c r="C122" s="511"/>
      <c r="D122" s="511"/>
      <c r="E122" s="511"/>
      <c r="F122" s="511"/>
    </row>
    <row r="123" spans="1:6" outlineLevel="1" x14ac:dyDescent="0.25">
      <c r="A123" s="472">
        <f t="shared" si="1"/>
        <v>109</v>
      </c>
      <c r="B123" s="477" t="s">
        <v>2619</v>
      </c>
      <c r="C123" s="512">
        <f>C20-(C47+C51)</f>
        <v>-18024</v>
      </c>
      <c r="D123" s="512">
        <f>D20-(D47+D51)</f>
        <v>-46435</v>
      </c>
      <c r="E123" s="512">
        <f>E20-(E47+E51)</f>
        <v>322171</v>
      </c>
      <c r="F123" s="512">
        <f>F20-(F47+F51)</f>
        <v>275375</v>
      </c>
    </row>
    <row r="124" spans="1:6" outlineLevel="1" x14ac:dyDescent="0.25">
      <c r="A124" s="513">
        <f t="shared" si="1"/>
        <v>110</v>
      </c>
      <c r="B124" s="514" t="s">
        <v>2620</v>
      </c>
      <c r="C124" s="515">
        <f>IF(C4=0,"",SUM(C58:C60)/C4)</f>
        <v>8.500750995366875E-2</v>
      </c>
      <c r="D124" s="515">
        <f>IF(D4=0,"",SUM(D58:D60)/D4)</f>
        <v>8.1827038150558973E-2</v>
      </c>
      <c r="E124" s="515">
        <f>IF(E4=0,"",SUM(E58:E60)/E4)</f>
        <v>2.7495986146069229</v>
      </c>
      <c r="F124" s="515">
        <f>IF(F4=0,"",SUM(F58:F60)/F4)</f>
        <v>3.0497881908642559</v>
      </c>
    </row>
    <row r="125" spans="1:6" outlineLevel="1" x14ac:dyDescent="0.25">
      <c r="A125" s="513">
        <f t="shared" si="1"/>
        <v>111</v>
      </c>
      <c r="B125" s="513" t="s">
        <v>2621</v>
      </c>
      <c r="C125" s="516"/>
      <c r="D125" s="516"/>
      <c r="E125" s="516"/>
      <c r="F125" s="516"/>
    </row>
    <row r="126" spans="1:6" outlineLevel="1" x14ac:dyDescent="0.25">
      <c r="A126" s="513">
        <f t="shared" si="1"/>
        <v>112</v>
      </c>
      <c r="B126" s="513" t="s">
        <v>2622</v>
      </c>
      <c r="C126" s="515">
        <f>IF(SUM($C$58:$C$60)=0,0,C21/SUM($C$58:$C$60))*C248</f>
        <v>438.60985813448008</v>
      </c>
      <c r="D126" s="515">
        <f>IF(SUM($C$58:$C$60)=0,0,D21/SUM($C$58:$C$60))*D248</f>
        <v>413.36013275060179</v>
      </c>
      <c r="E126" s="515">
        <f>IF(SUM($C$58:$C$60)=0,0,E21/SUM($C$58:$C$60))*E248</f>
        <v>0</v>
      </c>
      <c r="F126" s="515">
        <f>IF(SUM($C$58:$C$60)=0,0,F21/SUM($C$58:$C$60))*F248</f>
        <v>0</v>
      </c>
    </row>
    <row r="127" spans="1:6" outlineLevel="1" x14ac:dyDescent="0.25">
      <c r="A127" s="513">
        <f t="shared" si="1"/>
        <v>113</v>
      </c>
      <c r="B127" s="514" t="s">
        <v>2623</v>
      </c>
      <c r="C127" s="515">
        <f>IF(SUM($C$58:$C$60)=0,0,C30/SUM($C$58:$C$60))*C249</f>
        <v>219.75085890574238</v>
      </c>
      <c r="D127" s="515">
        <f>IF(SUM($C$58:$C$60)=0,0,D30/SUM($C$58:$C$60))*D249</f>
        <v>160.64412087783674</v>
      </c>
      <c r="E127" s="515">
        <f>IF(SUM($C$58:$C$60)=0,0,E30/SUM($C$58:$C$60))*E249</f>
        <v>1280.6011171617547</v>
      </c>
      <c r="F127" s="515">
        <f>IF(SUM($C$58:$C$60)=0,0,F30/SUM($C$58:$C$60))*F249</f>
        <v>1167.7556267090472</v>
      </c>
    </row>
    <row r="128" spans="1:6" outlineLevel="1" x14ac:dyDescent="0.25">
      <c r="A128" s="513">
        <f t="shared" si="1"/>
        <v>114</v>
      </c>
      <c r="B128" s="514" t="s">
        <v>2624</v>
      </c>
      <c r="C128" s="515">
        <f>IF(SUM(C58:C60)=0,0,C47/SUM(C58:C60))*C250</f>
        <v>953.78502816275977</v>
      </c>
      <c r="D128" s="515">
        <f>IF(SUM(D58:D60)=0,0,D47/SUM(D58:D60))*D250</f>
        <v>1083.0178583372349</v>
      </c>
      <c r="E128" s="515">
        <f>IF(SUM(E58:E60)=0,0,E47/SUM(E58:E60))*E250</f>
        <v>5.1778529137279508</v>
      </c>
      <c r="F128" s="515">
        <f>IF(SUM(F58:F60)=0,0,F47/SUM(F58:F60))*F250</f>
        <v>11.919211010400051</v>
      </c>
    </row>
    <row r="129" spans="1:6" outlineLevel="1" x14ac:dyDescent="0.25">
      <c r="A129" s="513">
        <f t="shared" si="1"/>
        <v>115</v>
      </c>
      <c r="B129" s="513" t="s">
        <v>2625</v>
      </c>
      <c r="C129" s="516"/>
      <c r="D129" s="516"/>
      <c r="E129" s="516"/>
      <c r="F129" s="516"/>
    </row>
    <row r="130" spans="1:6" outlineLevel="1" x14ac:dyDescent="0.25">
      <c r="A130" s="513">
        <f t="shared" si="1"/>
        <v>116</v>
      </c>
      <c r="B130" s="513" t="s">
        <v>2626</v>
      </c>
      <c r="C130" s="516"/>
      <c r="D130" s="516"/>
      <c r="E130" s="516"/>
      <c r="F130" s="516"/>
    </row>
    <row r="131" spans="1:6" outlineLevel="1" x14ac:dyDescent="0.25">
      <c r="A131" s="513">
        <f t="shared" si="1"/>
        <v>117</v>
      </c>
      <c r="B131" s="514" t="s">
        <v>2627</v>
      </c>
      <c r="C131" s="516"/>
      <c r="D131" s="516"/>
      <c r="E131" s="516"/>
      <c r="F131" s="516"/>
    </row>
    <row r="132" spans="1:6" outlineLevel="1" x14ac:dyDescent="0.25">
      <c r="A132" s="472">
        <f t="shared" si="1"/>
        <v>118</v>
      </c>
      <c r="B132" s="477" t="s">
        <v>2628</v>
      </c>
      <c r="C132" s="517">
        <f>IF(C4=0,"",SUM(C4/C37))</f>
        <v>1.8797878697340902</v>
      </c>
      <c r="D132" s="517">
        <f>IF(D37=0,"",SUM(D37/D4))</f>
        <v>0.49148398960857004</v>
      </c>
      <c r="E132" s="517">
        <f>IF(E37=0,"",SUM(E37/E4))</f>
        <v>0.79583447263685081</v>
      </c>
      <c r="F132" s="517">
        <f>IF(F37=0,"",SUM(F37/F4))</f>
        <v>0.74769991428251981</v>
      </c>
    </row>
    <row r="133" spans="1:6" outlineLevel="1" x14ac:dyDescent="0.25">
      <c r="A133" s="472">
        <f t="shared" si="1"/>
        <v>119</v>
      </c>
      <c r="B133" s="479" t="s">
        <v>2629</v>
      </c>
      <c r="C133" s="517">
        <f>IF(C4=0,"",C43/C4)</f>
        <v>0.26256427169343494</v>
      </c>
      <c r="D133" s="517">
        <f>IF(D4=0,"",D43/D4)</f>
        <v>0.29534392422429145</v>
      </c>
      <c r="E133" s="517">
        <f>IF(E4=0,"",E43/E4)</f>
        <v>0.20416552736314919</v>
      </c>
      <c r="F133" s="517">
        <f>IF(F4=0,"",F43/F4)</f>
        <v>0.25230008571748014</v>
      </c>
    </row>
    <row r="134" spans="1:6" outlineLevel="1" x14ac:dyDescent="0.25">
      <c r="A134" s="472">
        <f t="shared" si="1"/>
        <v>120</v>
      </c>
      <c r="B134" s="477" t="s">
        <v>2630</v>
      </c>
      <c r="C134" s="518">
        <f>IFERROR(SUM(C4/C37),0)</f>
        <v>1.8797878697340902</v>
      </c>
      <c r="D134" s="518">
        <f>IFERROR(SUM(D4/D37),0)</f>
        <v>2.034654273878636</v>
      </c>
      <c r="E134" s="518">
        <f>SUM(E4/E37)</f>
        <v>1.2565427037693961</v>
      </c>
      <c r="F134" s="518">
        <f>SUM(F4/F37)</f>
        <v>1.3374349533791012</v>
      </c>
    </row>
    <row r="135" spans="1:6" outlineLevel="1" x14ac:dyDescent="0.25">
      <c r="A135" s="472">
        <f t="shared" si="1"/>
        <v>121</v>
      </c>
      <c r="B135" s="519" t="s">
        <v>2631</v>
      </c>
      <c r="C135" s="517">
        <f>IF(C4=0,"",(C47+C51)/C4)</f>
        <v>0.22521913965335008</v>
      </c>
      <c r="D135" s="517">
        <f>IF(D4=0,"",(D47+D51)/D4)</f>
        <v>0.24616706558860446</v>
      </c>
      <c r="E135" s="517">
        <f>IF(E4=0,"",(E47+E51)/E4)</f>
        <v>3.9547269995068864E-2</v>
      </c>
      <c r="F135" s="517">
        <f>IF(F4=0,"",(F47+F51)/F4)</f>
        <v>0.10097519162204803</v>
      </c>
    </row>
    <row r="136" spans="1:6" outlineLevel="1" x14ac:dyDescent="0.25">
      <c r="A136" s="472">
        <f t="shared" si="1"/>
        <v>122</v>
      </c>
      <c r="B136" s="482" t="s">
        <v>2632</v>
      </c>
      <c r="C136" s="517">
        <f>IF(C4=0,"",(C45+C50)/C4)</f>
        <v>2.6284837840630042E-3</v>
      </c>
      <c r="D136" s="517">
        <f>IF(D4=0,"",(D45+D50)/D4)</f>
        <v>2.2585306050964711E-3</v>
      </c>
      <c r="E136" s="517">
        <f>IF(E4=0,"",(E45+E50)/E4)</f>
        <v>0.16461825736808033</v>
      </c>
      <c r="F136" s="517">
        <f>IF(F4=0,"",(F45+F50)/F4)</f>
        <v>0.15132489409543212</v>
      </c>
    </row>
    <row r="137" spans="1:6" outlineLevel="1" x14ac:dyDescent="0.25">
      <c r="A137" s="472">
        <f t="shared" si="1"/>
        <v>123</v>
      </c>
      <c r="B137" s="477" t="s">
        <v>2633</v>
      </c>
      <c r="C137" s="517">
        <f>IFERROR(SUM(C52+C51+C47)/C4,0)</f>
        <v>0.23125889075202849</v>
      </c>
      <c r="D137" s="517">
        <f>IFERROR(SUM(D52+D51+D47)/D4,0)</f>
        <v>0.25718606789456783</v>
      </c>
      <c r="E137" s="517">
        <f>SUM(E52+E51+E47)/E4</f>
        <v>3.9547269995068864E-2</v>
      </c>
      <c r="F137" s="517">
        <f>SUM(F52+F51+F47)/F4</f>
        <v>0.10097519162204803</v>
      </c>
    </row>
    <row r="138" spans="1:6" outlineLevel="1" x14ac:dyDescent="0.25">
      <c r="A138" s="472">
        <f t="shared" si="1"/>
        <v>124</v>
      </c>
      <c r="B138" s="479" t="s">
        <v>2634</v>
      </c>
      <c r="C138" s="517">
        <f>IFERROR(SUM(C49)/C4,0)</f>
        <v>0</v>
      </c>
      <c r="D138" s="517">
        <f>IFERROR(SUM(D49)/D4,0)</f>
        <v>0</v>
      </c>
      <c r="E138" s="517">
        <f>SUM(E49)/E4</f>
        <v>0</v>
      </c>
      <c r="F138" s="517">
        <f>SUM(F49)/F4</f>
        <v>0</v>
      </c>
    </row>
    <row r="139" spans="1:6" outlineLevel="1" x14ac:dyDescent="0.25">
      <c r="A139" s="472">
        <f t="shared" si="1"/>
        <v>125</v>
      </c>
      <c r="B139" s="479" t="s">
        <v>2635</v>
      </c>
      <c r="C139" s="518">
        <f>IFERROR(SUM((C43)/(C72+C89)),0)</f>
        <v>3.5712316921580283</v>
      </c>
      <c r="D139" s="518">
        <f>IFERROR(SUM((D43)/(D72+D89)),0)</f>
        <v>2.2372686944624869</v>
      </c>
      <c r="E139" s="518">
        <f>SUM((E43)/(E72+E89))</f>
        <v>0.2116518638039723</v>
      </c>
      <c r="F139" s="518">
        <f>SUM((F43)/(F72+F89))</f>
        <v>0.30478577324229011</v>
      </c>
    </row>
    <row r="140" spans="1:6" x14ac:dyDescent="0.25">
      <c r="A140" s="472">
        <f t="shared" si="1"/>
        <v>126</v>
      </c>
      <c r="B140" s="477" t="s">
        <v>2636</v>
      </c>
      <c r="C140" s="518">
        <f>IFERROR(SUM(C43/C37),0)</f>
        <v>0.49356513295488497</v>
      </c>
      <c r="D140" s="518">
        <f>IFERROR(SUM(D43/D37),0)</f>
        <v>0.6009227776870425</v>
      </c>
      <c r="E140" s="518">
        <f>SUM(E43/E37)</f>
        <v>0.25654270376939614</v>
      </c>
      <c r="F140" s="518">
        <f>SUM(F43/F37)</f>
        <v>0.33743495337910134</v>
      </c>
    </row>
    <row r="141" spans="1:6" outlineLevel="1" x14ac:dyDescent="0.25">
      <c r="A141" s="472">
        <f t="shared" si="1"/>
        <v>127</v>
      </c>
      <c r="B141" s="477" t="s">
        <v>2637</v>
      </c>
      <c r="C141" s="520">
        <f>IF(C162=0,"",C82/C162)</f>
        <v>-0.72518035039505324</v>
      </c>
      <c r="D141" s="520">
        <f>IF(D162=0,"",D82/D162)</f>
        <v>0.32070240295748614</v>
      </c>
      <c r="E141" s="520">
        <f>IF(E162=0,"",E82/E162)</f>
        <v>9.7295855729925829E-3</v>
      </c>
      <c r="F141" s="520">
        <f>IF(F162=0,"",F82/F162)</f>
        <v>6.5272794286740359E-3</v>
      </c>
    </row>
    <row r="142" spans="1:6" outlineLevel="1" x14ac:dyDescent="0.25">
      <c r="A142" s="472">
        <v>166</v>
      </c>
      <c r="B142" s="521" t="s">
        <v>2638</v>
      </c>
      <c r="C142" s="522">
        <f>IFERROR(IF((C82)=0,0,C162/C82),0)</f>
        <v>-1.3789673140691616</v>
      </c>
      <c r="D142" s="522">
        <f>IFERROR(IF((D82)=0,0,D162/D82),0)</f>
        <v>3.1181556195965419</v>
      </c>
      <c r="E142" s="522">
        <f>IF((E82)=0,0,E162/E82)</f>
        <v>102.77930056710775</v>
      </c>
      <c r="F142" s="522">
        <f>IF((F82)=0,0,F162/F82)</f>
        <v>153.20318532818533</v>
      </c>
    </row>
    <row r="143" spans="1:6" outlineLevel="1" x14ac:dyDescent="0.25">
      <c r="A143" s="472">
        <f>A141+1</f>
        <v>128</v>
      </c>
      <c r="B143" s="477" t="s">
        <v>2639</v>
      </c>
      <c r="C143" s="523">
        <f>IF(C36=0,"",C49/C36)</f>
        <v>0</v>
      </c>
      <c r="D143" s="523">
        <f>IF(D36=0,"",D49/D36)</f>
        <v>0</v>
      </c>
      <c r="E143" s="523">
        <f>IF(E36=0,"",E49/E36)</f>
        <v>0</v>
      </c>
      <c r="F143" s="523">
        <f>IF(F36=0,"",F49/F36)</f>
        <v>0</v>
      </c>
    </row>
    <row r="144" spans="1:6" outlineLevel="1" x14ac:dyDescent="0.25">
      <c r="A144" s="472">
        <f t="shared" ref="A144:A158" si="2">A143+1</f>
        <v>129</v>
      </c>
      <c r="B144" s="477" t="s">
        <v>2640</v>
      </c>
      <c r="C144" s="520">
        <f>IF(C43=0,"",C37/C43)</f>
        <v>2.0260750471030669</v>
      </c>
      <c r="D144" s="520">
        <f>IF(D43=0,"",D37/D43)</f>
        <v>1.6641073314761166</v>
      </c>
      <c r="E144" s="520">
        <f>IF(E43=0,"",E37/E43)</f>
        <v>3.8979865157221187</v>
      </c>
      <c r="F144" s="520">
        <f>IF(F43=0,"",F37/F43)</f>
        <v>2.9635341270544675</v>
      </c>
    </row>
    <row r="145" spans="1:6" x14ac:dyDescent="0.25">
      <c r="A145" s="472">
        <f t="shared" si="2"/>
        <v>130</v>
      </c>
      <c r="B145" s="477" t="s">
        <v>2641</v>
      </c>
      <c r="C145" s="524">
        <f>IFERROR(SUM(C43)/(C27+C30),0)</f>
        <v>5.0599969369783295</v>
      </c>
      <c r="D145" s="524">
        <f>IFERROR(SUM(D43)/(D27+D30),0)</f>
        <v>8.4790761011889177</v>
      </c>
      <c r="E145" s="524">
        <f>SUM(E43)/(E27+E30)</f>
        <v>0.57397685985164548</v>
      </c>
      <c r="F145" s="524">
        <f>SUM(F43)/(F27+F30)</f>
        <v>0.73165406978838687</v>
      </c>
    </row>
    <row r="146" spans="1:6" outlineLevel="1" x14ac:dyDescent="0.25">
      <c r="A146" s="472">
        <f t="shared" si="2"/>
        <v>131</v>
      </c>
      <c r="B146" s="477" t="s">
        <v>2642</v>
      </c>
      <c r="C146" s="520">
        <f>IF(C5=0,"",C37/C5)</f>
        <v>0.73952550611760159</v>
      </c>
      <c r="D146" s="520">
        <f>IF(D5=0,"",D37/D5)</f>
        <v>0.66110113175692253</v>
      </c>
      <c r="E146" s="520">
        <f>IF(E5=0,"",E37/E5)</f>
        <v>3.840398777503355</v>
      </c>
      <c r="F146" s="520">
        <f>IF(F5=0,"",F37/F5)</f>
        <v>3.485499189251795</v>
      </c>
    </row>
    <row r="147" spans="1:6" outlineLevel="1" x14ac:dyDescent="0.25">
      <c r="A147" s="472">
        <f t="shared" si="2"/>
        <v>132</v>
      </c>
      <c r="B147" s="477" t="s">
        <v>2643</v>
      </c>
      <c r="C147" s="520">
        <f>IF(C5=0,"",(C37+C45+C50)/C5)</f>
        <v>0.74317949567763142</v>
      </c>
      <c r="D147" s="520">
        <f>IF(D5=0,"",(D37+D45+D50)/D5)</f>
        <v>0.6641391089254689</v>
      </c>
      <c r="E147" s="520">
        <f>IF(E5=0,"",(E37+E45+E50)/E5)</f>
        <v>4.6347847661580452</v>
      </c>
      <c r="F147" s="520">
        <f>IF(F5=0,"",(F37+F45+F50)/F5)</f>
        <v>4.1909196201065555</v>
      </c>
    </row>
    <row r="148" spans="1:6" outlineLevel="1" x14ac:dyDescent="0.25">
      <c r="A148" s="472">
        <f t="shared" si="2"/>
        <v>133</v>
      </c>
      <c r="B148" s="479" t="s">
        <v>2644</v>
      </c>
      <c r="C148" s="520">
        <f>IFERROR(SUM(C37/C43),0)</f>
        <v>2.0260750471030669</v>
      </c>
      <c r="D148" s="520">
        <f>IFERROR(SUM(D37/D43),0)</f>
        <v>1.6641073314761166</v>
      </c>
      <c r="E148" s="520">
        <f>SUM(E37/E43)</f>
        <v>3.8979865157221187</v>
      </c>
      <c r="F148" s="520">
        <f>SUM(F37/F43)</f>
        <v>2.9635341270544675</v>
      </c>
    </row>
    <row r="149" spans="1:6" outlineLevel="1" x14ac:dyDescent="0.25">
      <c r="A149" s="513">
        <f t="shared" si="2"/>
        <v>134</v>
      </c>
      <c r="B149" s="514" t="s">
        <v>2645</v>
      </c>
      <c r="C149" s="525">
        <f>IF(C4=0,"",C162/C4)</f>
        <v>-1.7350377087091622E-2</v>
      </c>
      <c r="D149" s="525">
        <f>IF(D4=0,"",D162/D4)</f>
        <v>4.5400478706325346E-2</v>
      </c>
      <c r="E149" s="525">
        <f>IF(E4=0,"",E162/E4)</f>
        <v>1.0165204852615022</v>
      </c>
      <c r="F149" s="525">
        <f>IF(F4=0,"",F162/F4)</f>
        <v>0.78869274631352726</v>
      </c>
    </row>
    <row r="150" spans="1:6" outlineLevel="1" x14ac:dyDescent="0.25">
      <c r="A150" s="513">
        <f t="shared" si="2"/>
        <v>135</v>
      </c>
      <c r="B150" s="514" t="s">
        <v>2646</v>
      </c>
      <c r="C150" s="525">
        <f>IF(C37=0,"",C162/C37)</f>
        <v>-3.2615028383627127E-2</v>
      </c>
      <c r="D150" s="525">
        <f>IF(D37=0,"",D162/D37)</f>
        <v>9.2374278035960863E-2</v>
      </c>
      <c r="E150" s="525">
        <f>IF(E37=0,"",E162/E37)</f>
        <v>1.2773013989874666</v>
      </c>
      <c r="F150" s="525">
        <f>IF(F37=0,"",F162/F37)</f>
        <v>1.0548252463962677</v>
      </c>
    </row>
    <row r="151" spans="1:6" outlineLevel="1" x14ac:dyDescent="0.25">
      <c r="A151" s="513">
        <f t="shared" si="2"/>
        <v>136</v>
      </c>
      <c r="B151" s="513" t="s">
        <v>2647</v>
      </c>
      <c r="C151" s="525">
        <f>IF((C37+C45+C50)=0,"",C162/(C37+C45+C50))</f>
        <v>-3.245467012037178E-2</v>
      </c>
      <c r="D151" s="525">
        <f>IF((D37+D45+D50)=0,"",D162/(D37+D45+D50))</f>
        <v>9.1951729591120371E-2</v>
      </c>
      <c r="E151" s="525">
        <f>IF((E37+E45+E50)=0,"",E162/(E37+E45+E50))</f>
        <v>1.0583763817884961</v>
      </c>
      <c r="F151" s="525">
        <f>IF((F37+F45+F50)=0,"",F162/(F37+F45+F50))</f>
        <v>0.87727584262831493</v>
      </c>
    </row>
    <row r="152" spans="1:6" outlineLevel="1" x14ac:dyDescent="0.25">
      <c r="A152" s="513">
        <f t="shared" si="2"/>
        <v>137</v>
      </c>
      <c r="B152" s="514" t="s">
        <v>2648</v>
      </c>
      <c r="C152" s="525">
        <f>IF(SUM(C58:C60)=0,"",C162/SUM(C58:C60))</f>
        <v>-0.20410405029565054</v>
      </c>
      <c r="D152" s="525">
        <f>IF(SUM(D58:D60)=0,"",D162/SUM(D58:D60))</f>
        <v>0.55483468218402332</v>
      </c>
      <c r="E152" s="525">
        <f>IF(SUM(E58:E60)=0,"",E162/SUM(E58:E60))</f>
        <v>0.36969777329001968</v>
      </c>
      <c r="F152" s="525">
        <f>IF(SUM(F58:F60)=0,"",F162/SUM(F58:F60))</f>
        <v>0.25860574471239778</v>
      </c>
    </row>
    <row r="153" spans="1:6" outlineLevel="1" x14ac:dyDescent="0.25">
      <c r="A153" s="513">
        <f t="shared" si="2"/>
        <v>138</v>
      </c>
      <c r="B153" s="513" t="s">
        <v>2649</v>
      </c>
      <c r="C153" s="526"/>
      <c r="D153" s="526"/>
      <c r="E153" s="526"/>
      <c r="F153" s="526"/>
    </row>
    <row r="154" spans="1:6" outlineLevel="1" x14ac:dyDescent="0.25">
      <c r="A154" s="513">
        <f t="shared" si="2"/>
        <v>139</v>
      </c>
      <c r="B154" s="513" t="s">
        <v>2650</v>
      </c>
      <c r="C154" s="526"/>
      <c r="D154" s="526"/>
      <c r="E154" s="526"/>
      <c r="F154" s="526"/>
    </row>
    <row r="155" spans="1:6" outlineLevel="1" x14ac:dyDescent="0.25">
      <c r="A155" s="513">
        <f t="shared" si="2"/>
        <v>140</v>
      </c>
      <c r="B155" s="513" t="s">
        <v>2651</v>
      </c>
      <c r="C155" s="526"/>
      <c r="D155" s="526"/>
      <c r="E155" s="526"/>
      <c r="F155" s="526"/>
    </row>
    <row r="156" spans="1:6" outlineLevel="1" x14ac:dyDescent="0.25">
      <c r="A156" s="513">
        <f t="shared" si="2"/>
        <v>141</v>
      </c>
      <c r="B156" s="513" t="s">
        <v>2652</v>
      </c>
      <c r="C156" s="526"/>
      <c r="D156" s="526"/>
      <c r="E156" s="526"/>
      <c r="F156" s="526"/>
    </row>
    <row r="157" spans="1:6" outlineLevel="1" x14ac:dyDescent="0.25">
      <c r="A157" s="513">
        <f t="shared" si="2"/>
        <v>142</v>
      </c>
      <c r="B157" s="513" t="s">
        <v>2653</v>
      </c>
      <c r="C157" s="526"/>
      <c r="D157" s="526"/>
      <c r="E157" s="526"/>
      <c r="F157" s="526"/>
    </row>
    <row r="158" spans="1:6" outlineLevel="1" x14ac:dyDescent="0.25">
      <c r="A158" s="513">
        <f t="shared" si="2"/>
        <v>143</v>
      </c>
      <c r="B158" s="527" t="s">
        <v>2654</v>
      </c>
      <c r="C158" s="528">
        <f>IF(C152="","",1-C152)</f>
        <v>1.2041040502956506</v>
      </c>
      <c r="D158" s="528">
        <f>IF(D152="","",1-D152)</f>
        <v>0.44516531781597668</v>
      </c>
      <c r="E158" s="528">
        <f>IF(E152="","",1-E152)</f>
        <v>0.63030222670998026</v>
      </c>
      <c r="F158" s="528">
        <f>IF(F152="","",1-F152)</f>
        <v>0.74139425528760228</v>
      </c>
    </row>
    <row r="159" spans="1:6" outlineLevel="1" x14ac:dyDescent="0.25"/>
    <row r="160" spans="1:6" x14ac:dyDescent="0.25">
      <c r="A160" s="529" t="s">
        <v>2655</v>
      </c>
    </row>
    <row r="161" spans="1:6" outlineLevel="1" x14ac:dyDescent="0.25">
      <c r="A161" s="450" t="s">
        <v>2493</v>
      </c>
      <c r="B161" s="451" t="s">
        <v>2494</v>
      </c>
      <c r="C161" s="452">
        <f>C3</f>
        <v>1</v>
      </c>
      <c r="D161" s="452">
        <f>D3</f>
        <v>2</v>
      </c>
      <c r="E161" s="452">
        <f>E3</f>
        <v>3</v>
      </c>
      <c r="F161" s="452">
        <f>F3</f>
        <v>4</v>
      </c>
    </row>
    <row r="162" spans="1:6" outlineLevel="1" x14ac:dyDescent="0.25">
      <c r="A162" s="472">
        <f>A158+1</f>
        <v>144</v>
      </c>
      <c r="B162" s="473" t="s">
        <v>2656</v>
      </c>
      <c r="C162" s="478">
        <f>C89+C88+C82</f>
        <v>-8733</v>
      </c>
      <c r="D162" s="478">
        <f>D89+D88+D82</f>
        <v>24886</v>
      </c>
      <c r="E162" s="478">
        <f>E89+E88+E82</f>
        <v>434962</v>
      </c>
      <c r="F162" s="478">
        <f>F89+F88+F82</f>
        <v>317437</v>
      </c>
    </row>
    <row r="163" spans="1:6" outlineLevel="1" x14ac:dyDescent="0.25">
      <c r="A163" s="472">
        <f t="shared" ref="A163:A174" si="3">A162+1</f>
        <v>145</v>
      </c>
      <c r="B163" s="473" t="s">
        <v>2657</v>
      </c>
      <c r="C163" s="478">
        <f>C89+C88+C82+C72</f>
        <v>43339</v>
      </c>
      <c r="D163" s="478">
        <f>D89+D88+D82+D72</f>
        <v>81302</v>
      </c>
      <c r="E163" s="478">
        <f>E89+E88+E82+E72</f>
        <v>473218</v>
      </c>
      <c r="F163" s="478">
        <f>F89+F88+F82+F72</f>
        <v>335247</v>
      </c>
    </row>
    <row r="164" spans="1:6" outlineLevel="1" x14ac:dyDescent="0.25">
      <c r="A164" s="472">
        <f t="shared" si="3"/>
        <v>146</v>
      </c>
      <c r="B164" s="477" t="s">
        <v>2658</v>
      </c>
      <c r="C164" s="478">
        <f>C89+C88</f>
        <v>-15066</v>
      </c>
      <c r="D164" s="478">
        <f>D89+D88</f>
        <v>16905</v>
      </c>
      <c r="E164" s="478">
        <f>E89+E88</f>
        <v>430730</v>
      </c>
      <c r="F164" s="478">
        <f>F89+F88</f>
        <v>315365</v>
      </c>
    </row>
    <row r="165" spans="1:6" outlineLevel="1" x14ac:dyDescent="0.25">
      <c r="A165" s="472">
        <f t="shared" si="3"/>
        <v>147</v>
      </c>
      <c r="B165" s="477" t="s">
        <v>2659</v>
      </c>
      <c r="C165" s="478">
        <f>C89</f>
        <v>-15066</v>
      </c>
      <c r="D165" s="478">
        <f>D89</f>
        <v>15945</v>
      </c>
      <c r="E165" s="478">
        <f>E89</f>
        <v>374502</v>
      </c>
      <c r="F165" s="478">
        <f>F89</f>
        <v>315365</v>
      </c>
    </row>
    <row r="166" spans="1:6" outlineLevel="1" x14ac:dyDescent="0.25">
      <c r="A166" s="472">
        <f t="shared" si="3"/>
        <v>148</v>
      </c>
      <c r="B166" s="477" t="s">
        <v>2573</v>
      </c>
      <c r="C166" s="478">
        <f>C57+C80</f>
        <v>365607</v>
      </c>
      <c r="D166" s="478">
        <f>D57+D80</f>
        <v>401784</v>
      </c>
      <c r="E166" s="478">
        <f>E57+E80</f>
        <v>1222667</v>
      </c>
      <c r="F166" s="478">
        <f>F57+F80</f>
        <v>1254705</v>
      </c>
    </row>
    <row r="167" spans="1:6" outlineLevel="1" x14ac:dyDescent="0.25">
      <c r="A167" s="472">
        <f t="shared" si="3"/>
        <v>149</v>
      </c>
      <c r="B167" s="477" t="s">
        <v>2574</v>
      </c>
      <c r="C167" s="478">
        <f>C65+C81+C88</f>
        <v>380673</v>
      </c>
      <c r="D167" s="478">
        <f>D65+D81+D88</f>
        <v>385839</v>
      </c>
      <c r="E167" s="478">
        <f>E65+E81+E88</f>
        <v>848165</v>
      </c>
      <c r="F167" s="478">
        <f>F65+F81+F88</f>
        <v>939340</v>
      </c>
    </row>
    <row r="168" spans="1:6" outlineLevel="1" x14ac:dyDescent="0.25">
      <c r="A168" s="472">
        <f t="shared" si="3"/>
        <v>150</v>
      </c>
      <c r="B168" s="477" t="s">
        <v>2660</v>
      </c>
      <c r="C168" s="478">
        <f t="shared" ref="C168:F169" si="4">C75</f>
        <v>-6425</v>
      </c>
      <c r="D168" s="478">
        <f t="shared" si="4"/>
        <v>27150</v>
      </c>
      <c r="E168" s="478">
        <f t="shared" si="4"/>
        <v>456939</v>
      </c>
      <c r="F168" s="478">
        <f t="shared" si="4"/>
        <v>338034</v>
      </c>
    </row>
    <row r="169" spans="1:6" outlineLevel="1" x14ac:dyDescent="0.25">
      <c r="A169" s="472">
        <f t="shared" si="3"/>
        <v>151</v>
      </c>
      <c r="B169" s="477" t="s">
        <v>2559</v>
      </c>
      <c r="C169" s="478">
        <f t="shared" si="4"/>
        <v>11846</v>
      </c>
      <c r="D169" s="478">
        <f t="shared" si="4"/>
        <v>-513</v>
      </c>
      <c r="E169" s="478">
        <f t="shared" si="4"/>
        <v>628710</v>
      </c>
      <c r="F169" s="478">
        <f t="shared" si="4"/>
        <v>562124</v>
      </c>
    </row>
    <row r="170" spans="1:6" outlineLevel="1" x14ac:dyDescent="0.25">
      <c r="A170" s="472">
        <f t="shared" si="3"/>
        <v>152</v>
      </c>
      <c r="B170" s="477" t="s">
        <v>2560</v>
      </c>
      <c r="C170" s="478">
        <f>C58-C66</f>
        <v>0</v>
      </c>
      <c r="D170" s="478">
        <f>D58-D66</f>
        <v>0</v>
      </c>
      <c r="E170" s="478">
        <f>E58-E66</f>
        <v>0</v>
      </c>
      <c r="F170" s="478">
        <f>F58-F66</f>
        <v>0</v>
      </c>
    </row>
    <row r="171" spans="1:6" outlineLevel="1" x14ac:dyDescent="0.25">
      <c r="A171" s="530">
        <f t="shared" si="3"/>
        <v>153</v>
      </c>
      <c r="B171" s="531" t="s">
        <v>2661</v>
      </c>
      <c r="C171" s="532">
        <f>IF(C56=0,(C58+C59+C60-C65)*(1-C172),(C56-C65)*(1-C172))</f>
        <v>-259518.16</v>
      </c>
      <c r="D171" s="532">
        <f>IF(D56=0,(D58+D59+D60-D65)*(1-D172),(D56-D65)*(1-D172))</f>
        <v>68977.439999999988</v>
      </c>
      <c r="E171" s="532">
        <f>IF(E56=0,(E58+E59+E60-E65)*(1-E172),(E56-E65)*(1-E172))</f>
        <v>-504533.7</v>
      </c>
      <c r="F171" s="532">
        <f>IF(F56=0,(F58+F59+F60-F65)*(1-F172),(F56-F65)*(1-F172))</f>
        <v>-702855.14</v>
      </c>
    </row>
    <row r="172" spans="1:6" outlineLevel="1" x14ac:dyDescent="0.25">
      <c r="A172" s="530">
        <f t="shared" si="3"/>
        <v>154</v>
      </c>
      <c r="B172" s="531" t="s">
        <v>2007</v>
      </c>
      <c r="C172" s="533">
        <v>0.21</v>
      </c>
      <c r="D172" s="533">
        <v>1.21</v>
      </c>
      <c r="E172" s="533">
        <v>2.21</v>
      </c>
      <c r="F172" s="533">
        <v>3.21</v>
      </c>
    </row>
    <row r="173" spans="1:6" outlineLevel="1" x14ac:dyDescent="0.25">
      <c r="A173" s="530">
        <f t="shared" si="3"/>
        <v>155</v>
      </c>
      <c r="B173" s="531" t="s">
        <v>2662</v>
      </c>
      <c r="C173" s="534">
        <f>IF(C69=0,0,C169/C69)</f>
        <v>5.681725525557213E-2</v>
      </c>
      <c r="D173" s="534">
        <f>IF(D69=0,0,D169/D69)</f>
        <v>-2.345035655512891E-3</v>
      </c>
      <c r="E173" s="534">
        <f>IF(E69=0,0,E169/E69)</f>
        <v>3.6288339663153519</v>
      </c>
      <c r="F173" s="534">
        <f>IF(F69=0,0,F169/F69)</f>
        <v>2.5296174460099814</v>
      </c>
    </row>
    <row r="174" spans="1:6" outlineLevel="1" x14ac:dyDescent="0.25">
      <c r="A174" s="504">
        <f t="shared" si="3"/>
        <v>156</v>
      </c>
      <c r="B174" s="486" t="s">
        <v>2663</v>
      </c>
      <c r="C174" s="535">
        <f>C89+C72</f>
        <v>37006</v>
      </c>
      <c r="D174" s="535">
        <f>D89+D72</f>
        <v>72361</v>
      </c>
      <c r="E174" s="535">
        <f>E89+E72</f>
        <v>412758</v>
      </c>
      <c r="F174" s="535">
        <f>F89+F72</f>
        <v>333175</v>
      </c>
    </row>
    <row r="175" spans="1:6" outlineLevel="1" x14ac:dyDescent="0.25"/>
    <row r="176" spans="1:6" x14ac:dyDescent="0.25">
      <c r="A176" s="529" t="s">
        <v>2664</v>
      </c>
    </row>
    <row r="177" spans="1:6" outlineLevel="1" x14ac:dyDescent="0.25">
      <c r="A177" s="450" t="s">
        <v>2493</v>
      </c>
      <c r="B177" s="451" t="s">
        <v>2494</v>
      </c>
      <c r="C177" s="452">
        <f>C3</f>
        <v>1</v>
      </c>
      <c r="D177" s="452">
        <f>D3</f>
        <v>2</v>
      </c>
      <c r="E177" s="452">
        <f>E3</f>
        <v>3</v>
      </c>
      <c r="F177" s="452">
        <f>F3</f>
        <v>4</v>
      </c>
    </row>
    <row r="178" spans="1:6" outlineLevel="1" x14ac:dyDescent="0.25">
      <c r="A178" s="472">
        <f>A174+1</f>
        <v>157</v>
      </c>
      <c r="B178" s="536" t="s">
        <v>2665</v>
      </c>
      <c r="C178" s="537">
        <f>1.5*C179+0.8*C180+10*C181+5*C182+0.3*C183+0.1*C184</f>
        <v>3.0769427665772886</v>
      </c>
      <c r="D178" s="537">
        <f>1.5*D179+0.8*D180+10*D181+5*D182+0.3*D183+0.1*D184</f>
        <v>4.0079275689658385</v>
      </c>
      <c r="E178" s="537">
        <f>1.5*E179+0.8*E180+10*E181+5*E182+0.3*E183+0.1*E184</f>
        <v>23.118978208629333</v>
      </c>
      <c r="F178" s="537">
        <f>1.5*F179+0.8*F180+10*F181+5*F182+0.3*F183+0.1*F184</f>
        <v>17.496233379411418</v>
      </c>
    </row>
    <row r="179" spans="1:6" outlineLevel="1" x14ac:dyDescent="0.25">
      <c r="A179" s="472">
        <v>139</v>
      </c>
      <c r="B179" s="473" t="s">
        <v>2666</v>
      </c>
      <c r="C179" s="520">
        <f>IF(C43=0,0,C174/C43)</f>
        <v>0.28001543618574876</v>
      </c>
      <c r="D179" s="520">
        <f>IF(D43=0,0,D174/D43)</f>
        <v>0.44697358098967827</v>
      </c>
      <c r="E179" s="520">
        <f>IF(E43=0,0,E174/E43)</f>
        <v>4.7247398724831449</v>
      </c>
      <c r="F179" s="520">
        <f>IF(F43=0,0,F174/F43)</f>
        <v>3.2809930377066778</v>
      </c>
    </row>
    <row r="180" spans="1:6" outlineLevel="1" x14ac:dyDescent="0.25">
      <c r="A180" s="472">
        <v>140</v>
      </c>
      <c r="B180" s="477" t="s">
        <v>2667</v>
      </c>
      <c r="C180" s="520">
        <f>IF(C43=0,0,C4/C43)</f>
        <v>3.8085912967152704</v>
      </c>
      <c r="D180" s="520">
        <f>IF(D43=0,0,D4/D43)</f>
        <v>3.3858830941806524</v>
      </c>
      <c r="E180" s="520">
        <f>IF(E43=0,0,E4/E43)</f>
        <v>4.8979865157221187</v>
      </c>
      <c r="F180" s="520">
        <f>IF(F43=0,0,F4/F43)</f>
        <v>3.9635341270544675</v>
      </c>
    </row>
    <row r="181" spans="1:6" outlineLevel="1" x14ac:dyDescent="0.25">
      <c r="A181" s="472">
        <v>141</v>
      </c>
      <c r="B181" s="477" t="s">
        <v>2668</v>
      </c>
      <c r="C181" s="520">
        <f>IF(C4=0,0,C164/C4)</f>
        <v>-2.9932529622595027E-2</v>
      </c>
      <c r="D181" s="520">
        <f>IF(D4=0,0,D164/D4)</f>
        <v>3.0840436089786625E-2</v>
      </c>
      <c r="E181" s="520">
        <f>IF(E4=0,0,E164/E4)</f>
        <v>1.0066301622134506</v>
      </c>
      <c r="F181" s="520">
        <f>IF(F4=0,0,F164/F4)</f>
        <v>0.78354472837497047</v>
      </c>
    </row>
    <row r="182" spans="1:6" outlineLevel="1" x14ac:dyDescent="0.25">
      <c r="A182" s="472">
        <v>142</v>
      </c>
      <c r="B182" s="477" t="s">
        <v>2669</v>
      </c>
      <c r="C182" s="520">
        <f>IF(C166=0,0,C164/C166)</f>
        <v>-4.1208182556679712E-2</v>
      </c>
      <c r="D182" s="520">
        <f>IF(D166=0,0,D164/D166)</f>
        <v>4.2074846186010394E-2</v>
      </c>
      <c r="E182" s="520">
        <f>IF(E166=0,0,E164/E166)</f>
        <v>0.3522872540111085</v>
      </c>
      <c r="F182" s="520">
        <f>IF(F166=0,0,F164/F166)</f>
        <v>0.25134593390478238</v>
      </c>
    </row>
    <row r="183" spans="1:6" outlineLevel="1" x14ac:dyDescent="0.25">
      <c r="A183" s="472">
        <v>143</v>
      </c>
      <c r="B183" s="477" t="s">
        <v>2670</v>
      </c>
      <c r="C183" s="520">
        <f>IF(C166=0,0,C21/C166)</f>
        <v>0.1425847973370313</v>
      </c>
      <c r="D183" s="520">
        <f>IF(D166=0,0,D21/D166)</f>
        <v>0.12227714393803636</v>
      </c>
      <c r="E183" s="520">
        <f>IF(E166=0,0,E21/E166)</f>
        <v>0</v>
      </c>
      <c r="F183" s="520">
        <f>IF(F166=0,0,F21/F166)</f>
        <v>0</v>
      </c>
    </row>
    <row r="184" spans="1:6" outlineLevel="1" x14ac:dyDescent="0.25">
      <c r="A184" s="472">
        <v>144</v>
      </c>
      <c r="B184" s="477" t="s">
        <v>2671</v>
      </c>
      <c r="C184" s="520">
        <f>IF(C4=0,0,C166/C4)</f>
        <v>0.72637344734688036</v>
      </c>
      <c r="D184" s="520">
        <f>IF(D4=0,0,D166/D4)</f>
        <v>0.7329898712747015</v>
      </c>
      <c r="E184" s="520">
        <f>IF(E4=0,0,E166/E4)</f>
        <v>2.8574129513686835</v>
      </c>
      <c r="F184" s="520">
        <f>IF(F4=0,0,F166/F4)</f>
        <v>3.1173956793420872</v>
      </c>
    </row>
    <row r="185" spans="1:6" outlineLevel="1" x14ac:dyDescent="0.25">
      <c r="A185" s="472">
        <v>145</v>
      </c>
      <c r="B185" s="538" t="s">
        <v>2672</v>
      </c>
      <c r="C185" s="539">
        <f>1.2*C187+1.4*C188+3.3*C189+0.6*C190+1*C191</f>
        <v>2.2280292624648825</v>
      </c>
      <c r="D185" s="539">
        <f>1.2*D187+1.4*D188+3.3*D189+0.6*D190+1*D191</f>
        <v>2.2022474051817325</v>
      </c>
      <c r="E185" s="539">
        <f>1.2*E187+1.4*E188+3.3*E189+0.6*E190+1*E191</f>
        <v>11.171730050510595</v>
      </c>
      <c r="F185" s="539">
        <f>1.2*F187+1.4*F188+3.3*F189+0.6*F190+1*F191</f>
        <v>9.9485817356584967</v>
      </c>
    </row>
    <row r="186" spans="1:6" ht="24" outlineLevel="1" x14ac:dyDescent="0.25">
      <c r="A186" s="472">
        <v>146</v>
      </c>
      <c r="B186" s="538" t="s">
        <v>2673</v>
      </c>
      <c r="C186" s="539">
        <f>0.717*C187+0.847*C188+3.107*C189+0.42*C190+0.998*C191</f>
        <v>1.5795100496580425</v>
      </c>
      <c r="D186" s="539">
        <f>0.717*D187+0.847*D188+3.107*D189+0.42*D190+0.998*D191</f>
        <v>1.6086926923694411</v>
      </c>
      <c r="E186" s="539">
        <f>0.717*E187+0.847*E188+3.107*E189+0.42*E190+0.998*E191</f>
        <v>9.240743848467238</v>
      </c>
      <c r="F186" s="539">
        <f>0.717*F187+0.847*F188+3.107*F189+0.42*F190+0.998*F191</f>
        <v>8.3130657662113059</v>
      </c>
    </row>
    <row r="187" spans="1:6" outlineLevel="1" x14ac:dyDescent="0.25">
      <c r="A187" s="472">
        <v>147</v>
      </c>
      <c r="B187" s="531" t="s">
        <v>2674</v>
      </c>
      <c r="C187" s="540">
        <f>IF(C4=0,0,C123/C4)</f>
        <v>-3.5809366382427502E-2</v>
      </c>
      <c r="D187" s="540">
        <f>IF(D4=0,0,D123/D4)</f>
        <v>-8.4713141072418924E-2</v>
      </c>
      <c r="E187" s="540">
        <f>IF(E4=0,0,E123/E4)</f>
        <v>0.75292421236150164</v>
      </c>
      <c r="F187" s="540">
        <f>IF(F4=0,0,F123/F4)</f>
        <v>0.68418698833496905</v>
      </c>
    </row>
    <row r="188" spans="1:6" outlineLevel="1" x14ac:dyDescent="0.25">
      <c r="A188" s="472">
        <v>148</v>
      </c>
      <c r="B188" s="531" t="s">
        <v>2675</v>
      </c>
      <c r="C188" s="540">
        <f>IF(C4=0,0,C165/C4)</f>
        <v>-2.9932529622595027E-2</v>
      </c>
      <c r="D188" s="540">
        <f>IF(D4=0,0,D165/D4)</f>
        <v>2.9089071484865291E-2</v>
      </c>
      <c r="E188" s="540">
        <f>IF(E4=0,0,E165/E4)</f>
        <v>0.875223478766888</v>
      </c>
      <c r="F188" s="540">
        <f>IF(F4=0,0,F165/F4)</f>
        <v>0.78354472837497047</v>
      </c>
    </row>
    <row r="189" spans="1:6" outlineLevel="1" x14ac:dyDescent="0.25">
      <c r="A189" s="472">
        <v>149</v>
      </c>
      <c r="B189" s="531" t="s">
        <v>2676</v>
      </c>
      <c r="C189" s="540">
        <f>IF(C4=0,0,(C164+C82)/C4)</f>
        <v>-1.7350377087091622E-2</v>
      </c>
      <c r="D189" s="540">
        <f>IF(D4=0,0,(D164+D82)/D4)</f>
        <v>4.5400478706325346E-2</v>
      </c>
      <c r="E189" s="540">
        <f>IF(E4=0,0,(E164+E82)/E4)</f>
        <v>1.0165204852615022</v>
      </c>
      <c r="F189" s="540">
        <f>IF(F4=0,0,(F164+F82)/F4)</f>
        <v>0.78869274631352726</v>
      </c>
    </row>
    <row r="190" spans="1:6" outlineLevel="1" x14ac:dyDescent="0.25">
      <c r="A190" s="472">
        <v>150</v>
      </c>
      <c r="B190" s="531" t="s">
        <v>2677</v>
      </c>
      <c r="C190" s="540">
        <f>IF(C43=0,0,C36/C43)</f>
        <v>3.8085912967152704</v>
      </c>
      <c r="D190" s="540">
        <f>IF(D43=0,0,D36/D43)</f>
        <v>3.3858830941806524</v>
      </c>
      <c r="E190" s="540">
        <f>IF(E43=0,0,E36/E43)</f>
        <v>4.8979865157221187</v>
      </c>
      <c r="F190" s="540">
        <f>IF(F43=0,0,F36/F43)</f>
        <v>3.9635341270544675</v>
      </c>
    </row>
    <row r="191" spans="1:6" outlineLevel="1" x14ac:dyDescent="0.25">
      <c r="A191" s="472">
        <v>151</v>
      </c>
      <c r="B191" s="531" t="s">
        <v>2678</v>
      </c>
      <c r="C191" s="540">
        <f>IF(C4=0,0,(C58+C59+C60)/C4)</f>
        <v>8.500750995366875E-2</v>
      </c>
      <c r="D191" s="540">
        <f>IF(D4=0,0,(D58+D59+D60)/D4)</f>
        <v>8.1827038150558973E-2</v>
      </c>
      <c r="E191" s="540">
        <f>IF(E4=0,0,(E58+E59+E60)/E4)</f>
        <v>2.7495986146069229</v>
      </c>
      <c r="F191" s="540">
        <f>IF(F4=0,0,(F58+F59+F60)/F4)</f>
        <v>3.0497881908642559</v>
      </c>
    </row>
    <row r="192" spans="1:6" outlineLevel="1" x14ac:dyDescent="0.25">
      <c r="A192" s="472">
        <v>152</v>
      </c>
      <c r="B192" s="521" t="s">
        <v>2679</v>
      </c>
      <c r="C192" s="541"/>
      <c r="D192" s="541"/>
      <c r="E192" s="541"/>
      <c r="F192" s="541"/>
    </row>
    <row r="193" spans="1:6" outlineLevel="1" x14ac:dyDescent="0.25">
      <c r="A193" s="472">
        <v>153</v>
      </c>
      <c r="B193" s="531" t="s">
        <v>2680</v>
      </c>
      <c r="C193" s="540">
        <f>IF(C4=0,0,C37/C4)</f>
        <v>0.53197491913885864</v>
      </c>
      <c r="D193" s="540">
        <f>IF(D4=0,0,D37/D4)</f>
        <v>0.49148398960857004</v>
      </c>
      <c r="E193" s="540">
        <f>IF(E4=0,0,E37/E4)</f>
        <v>0.79583447263685081</v>
      </c>
      <c r="F193" s="540">
        <f>IF(F4=0,0,F37/F4)</f>
        <v>0.74769991428251981</v>
      </c>
    </row>
    <row r="194" spans="1:6" outlineLevel="1" x14ac:dyDescent="0.25">
      <c r="A194" s="472">
        <v>154</v>
      </c>
      <c r="B194" s="531" t="s">
        <v>2681</v>
      </c>
      <c r="C194" s="540">
        <f>IF(C197=0,0,(C47+C51+C34)/C197)</f>
        <v>3.5250499918932063</v>
      </c>
      <c r="D194" s="540">
        <f>IF(D197=0,0,(D47+D51+D34)/D197)</f>
        <v>2.1449814126394053</v>
      </c>
      <c r="E194" s="540">
        <f>IF(E197=0,0,(E47+E51+E34)/E197)</f>
        <v>0.49378085948667255</v>
      </c>
      <c r="F194" s="540">
        <f>IF(F197=0,0,(F47+F51+F34)/F197)</f>
        <v>0.65390860658812933</v>
      </c>
    </row>
    <row r="195" spans="1:6" outlineLevel="1" x14ac:dyDescent="0.25">
      <c r="A195" s="472">
        <v>155</v>
      </c>
      <c r="B195" s="531" t="s">
        <v>2682</v>
      </c>
      <c r="C195" s="542">
        <f>IF(C198=0,0,C197/C198)</f>
        <v>0.86488886811414678</v>
      </c>
      <c r="D195" s="542">
        <f>IF(D198=0,0,D197/D198)</f>
        <v>1.6132923104363142</v>
      </c>
      <c r="E195" s="542">
        <f>IF(E198=0,0,E197/E198)</f>
        <v>0.35082539051145145</v>
      </c>
      <c r="F195" s="542">
        <f>IF(F198=0,0,F197/F198)</f>
        <v>0.27142698864515835</v>
      </c>
    </row>
    <row r="196" spans="1:6" outlineLevel="1" x14ac:dyDescent="0.25">
      <c r="A196" s="472">
        <v>156</v>
      </c>
      <c r="B196" s="531" t="s">
        <v>2683</v>
      </c>
      <c r="C196" s="543">
        <f>C149</f>
        <v>-1.7350377087091622E-2</v>
      </c>
      <c r="D196" s="543">
        <f>D149</f>
        <v>4.5400478706325346E-2</v>
      </c>
      <c r="E196" s="543">
        <f>E149</f>
        <v>1.0165204852615022</v>
      </c>
      <c r="F196" s="543">
        <f>F149</f>
        <v>0.78869274631352726</v>
      </c>
    </row>
    <row r="197" spans="1:6" outlineLevel="1" x14ac:dyDescent="0.25">
      <c r="A197" s="472">
        <v>157</v>
      </c>
      <c r="B197" s="531" t="s">
        <v>2684</v>
      </c>
      <c r="C197" s="532">
        <f>C174</f>
        <v>37006</v>
      </c>
      <c r="D197" s="532">
        <f>D174</f>
        <v>72361</v>
      </c>
      <c r="E197" s="532">
        <f>E174</f>
        <v>412758</v>
      </c>
      <c r="F197" s="532">
        <f>F174</f>
        <v>333175</v>
      </c>
    </row>
    <row r="198" spans="1:6" outlineLevel="1" x14ac:dyDescent="0.25">
      <c r="A198" s="472">
        <v>158</v>
      </c>
      <c r="B198" s="531" t="s">
        <v>2685</v>
      </c>
      <c r="C198" s="532">
        <f>C58+C59+C60</f>
        <v>42787</v>
      </c>
      <c r="D198" s="532">
        <f>D58+D59+D60</f>
        <v>44853</v>
      </c>
      <c r="E198" s="532">
        <f>E58+E59+E60</f>
        <v>1176534</v>
      </c>
      <c r="F198" s="532">
        <f>F58+F59+F60</f>
        <v>1227494</v>
      </c>
    </row>
    <row r="199" spans="1:6" outlineLevel="1" x14ac:dyDescent="0.25">
      <c r="A199" s="472">
        <v>159</v>
      </c>
      <c r="B199" s="538" t="s">
        <v>2686</v>
      </c>
      <c r="C199" s="539">
        <f>0.53*C200+0.13*C201+0.18*C202+0.16*C203</f>
        <v>7.7481488580259814E-2</v>
      </c>
      <c r="D199" s="539">
        <f>0.53*D200+0.13*D201+0.18*D202+0.16*D203</f>
        <v>0.19486848069296731</v>
      </c>
      <c r="E199" s="539">
        <f>0.53*E200+0.13*E201+0.18*E202+0.16*E203</f>
        <v>14.442190132831511</v>
      </c>
      <c r="F199" s="539">
        <f>0.53*F200+0.13*F201+0.18*F202+0.16*F203</f>
        <v>5.0233844117273705</v>
      </c>
    </row>
    <row r="200" spans="1:6" outlineLevel="1" x14ac:dyDescent="0.25">
      <c r="A200" s="472">
        <v>160</v>
      </c>
      <c r="B200" s="531" t="s">
        <v>2687</v>
      </c>
      <c r="C200" s="540">
        <f>IF((C47+C51)=0,0,C164/(C47+C51))</f>
        <v>-0.13290402258292167</v>
      </c>
      <c r="D200" s="540">
        <f>IF((D47+D51)=0,0,D164/(D47+D51))</f>
        <v>0.12528254344684478</v>
      </c>
      <c r="E200" s="540">
        <f>IF((E47+E51)=0,0,E164/(E47+E51))</f>
        <v>25.453847062994917</v>
      </c>
      <c r="F200" s="540">
        <f>IF((F47+F51)=0,0,F164/(F47+F51))</f>
        <v>7.7597746118451809</v>
      </c>
    </row>
    <row r="201" spans="1:6" outlineLevel="1" x14ac:dyDescent="0.25">
      <c r="A201" s="472">
        <v>161</v>
      </c>
      <c r="B201" s="531" t="s">
        <v>2688</v>
      </c>
      <c r="C201" s="540">
        <f>IF(C43=0,0,C20/C43)</f>
        <v>0.72138441399244835</v>
      </c>
      <c r="D201" s="540">
        <f>IF(D43=0,0,D20/D43)</f>
        <v>0.54666411350847177</v>
      </c>
      <c r="E201" s="540">
        <f>IF(E43=0,0,E20/E43)</f>
        <v>3.881514634676801</v>
      </c>
      <c r="F201" s="540">
        <f>IF(F43=0,0,F20/F43)</f>
        <v>3.112017095532118</v>
      </c>
    </row>
    <row r="202" spans="1:6" outlineLevel="1" x14ac:dyDescent="0.25">
      <c r="A202" s="472">
        <v>162</v>
      </c>
      <c r="B202" s="531" t="s">
        <v>2689</v>
      </c>
      <c r="C202" s="540">
        <f>IF((C4)=0,0,(C47+C51)/C4)</f>
        <v>0.22521913965335008</v>
      </c>
      <c r="D202" s="540">
        <f>IF((D4)=0,0,(D47+D51)/D4)</f>
        <v>0.24616706558860446</v>
      </c>
      <c r="E202" s="540">
        <f>IF((E4)=0,0,(E47+E51)/E4)</f>
        <v>3.9547269995068864E-2</v>
      </c>
      <c r="F202" s="540">
        <f>IF((F4)=0,0,(F47+F51)/F4)</f>
        <v>0.10097519162204803</v>
      </c>
    </row>
    <row r="203" spans="1:6" outlineLevel="1" x14ac:dyDescent="0.25">
      <c r="A203" s="472">
        <v>163</v>
      </c>
      <c r="B203" s="531" t="s">
        <v>2690</v>
      </c>
      <c r="C203" s="540">
        <f>IF((C4)=0,0,(C58+C59+C60)/C4)</f>
        <v>8.500750995366875E-2</v>
      </c>
      <c r="D203" s="540">
        <f>IF((D4)=0,0,(D58+D59+D60)/D4)</f>
        <v>8.1827038150558973E-2</v>
      </c>
      <c r="E203" s="540">
        <f>IF((E4)=0,0,(E58+E59+E60)/E4)</f>
        <v>2.7495986146069229</v>
      </c>
      <c r="F203" s="540">
        <f>IF((F4)=0,0,(F58+F59+F60)/F4)</f>
        <v>3.0497881908642559</v>
      </c>
    </row>
    <row r="204" spans="1:6" outlineLevel="1" x14ac:dyDescent="0.25">
      <c r="A204" s="472">
        <v>164</v>
      </c>
      <c r="B204" s="521" t="s">
        <v>2691</v>
      </c>
      <c r="C204" s="544">
        <f>1*C205+1*C142+1*C207+1*C208+1*C209</f>
        <v>3.9796491700548033</v>
      </c>
      <c r="D204" s="544">
        <f>1*D205+1*D142+1*D207+1*D208+1*D209</f>
        <v>7.9383004092208509</v>
      </c>
      <c r="E204" s="544">
        <f>1*E205+1*E142+1*E207+1*E208+1*E209</f>
        <v>131.58980933874858</v>
      </c>
      <c r="F204" s="544">
        <f>1*F205+1*F142+1*F207+1*F208+1*F209</f>
        <v>168.84860079937673</v>
      </c>
    </row>
    <row r="205" spans="1:6" outlineLevel="1" x14ac:dyDescent="0.25">
      <c r="A205" s="472">
        <v>165</v>
      </c>
      <c r="B205" s="531" t="s">
        <v>2692</v>
      </c>
      <c r="C205" s="522">
        <f>IF((C43)=0,0,C4/C43)</f>
        <v>3.8085912967152704</v>
      </c>
      <c r="D205" s="522">
        <f>IF((D43)=0,0,D4/D43)</f>
        <v>3.3858830941806524</v>
      </c>
      <c r="E205" s="522">
        <f>IF((E43)=0,0,E4/E43)</f>
        <v>4.8979865157221187</v>
      </c>
      <c r="F205" s="522">
        <f>IF((F43)=0,0,F4/F43)</f>
        <v>3.9635341270544675</v>
      </c>
    </row>
    <row r="207" spans="1:6" outlineLevel="1" x14ac:dyDescent="0.25">
      <c r="A207" s="472">
        <v>167</v>
      </c>
      <c r="B207" s="531" t="s">
        <v>2693</v>
      </c>
      <c r="C207" s="522">
        <f>IF((C4)=0,0,C162/C4)</f>
        <v>-1.7350377087091622E-2</v>
      </c>
      <c r="D207" s="522">
        <f>IF((D4)=0,0,D162/D4)</f>
        <v>4.5400478706325346E-2</v>
      </c>
      <c r="E207" s="522">
        <f>IF((E4)=0,0,E162/E4)</f>
        <v>1.0165204852615022</v>
      </c>
      <c r="F207" s="522">
        <f>IF((F4)=0,0,F162/F4)</f>
        <v>0.78869274631352726</v>
      </c>
    </row>
    <row r="208" spans="1:6" outlineLevel="1" x14ac:dyDescent="0.25">
      <c r="A208" s="472">
        <v>168</v>
      </c>
      <c r="B208" s="531" t="s">
        <v>2694</v>
      </c>
      <c r="C208" s="522">
        <f>IF((C4)=0,0,C166/C4)</f>
        <v>0.72637344734688036</v>
      </c>
      <c r="D208" s="522">
        <f>IF((D4)=0,0,D166/D4)</f>
        <v>0.7329898712747015</v>
      </c>
      <c r="E208" s="522">
        <f>IF((E4)=0,0,E166/E4)</f>
        <v>2.8574129513686835</v>
      </c>
      <c r="F208" s="522">
        <f>IF((F4)=0,0,F166/F4)</f>
        <v>3.1173956793420872</v>
      </c>
    </row>
    <row r="209" spans="1:6" outlineLevel="1" x14ac:dyDescent="0.25">
      <c r="A209" s="472">
        <v>169</v>
      </c>
      <c r="B209" s="531" t="s">
        <v>2695</v>
      </c>
      <c r="C209" s="522">
        <f>IF((C47+C51)=0,0,C20/(C47+C51))</f>
        <v>0.84100211714890616</v>
      </c>
      <c r="D209" s="522">
        <f>IF((D47+D51)=0,0,D20/(D47+D51))</f>
        <v>0.65587134546263015</v>
      </c>
      <c r="E209" s="522">
        <f>IF((E47+E51)=0,0,E20/(E47+E51))</f>
        <v>20.038588819288499</v>
      </c>
      <c r="F209" s="522">
        <f>IF((F47+F51)=0,0,F20/(F47+F51))</f>
        <v>7.7757929184813364</v>
      </c>
    </row>
    <row r="210" spans="1:6" outlineLevel="1" x14ac:dyDescent="0.25">
      <c r="A210" s="472">
        <v>170</v>
      </c>
      <c r="B210" s="531"/>
      <c r="C210" s="545"/>
      <c r="D210" s="545"/>
      <c r="E210" s="545"/>
      <c r="F210" s="545"/>
    </row>
    <row r="211" spans="1:6" outlineLevel="1" x14ac:dyDescent="0.25">
      <c r="A211" s="472">
        <v>171</v>
      </c>
      <c r="B211" s="531"/>
      <c r="C211" s="545"/>
      <c r="D211" s="545"/>
      <c r="E211" s="545"/>
      <c r="F211" s="545"/>
    </row>
    <row r="212" spans="1:6" outlineLevel="1" x14ac:dyDescent="0.25">
      <c r="A212" s="472">
        <v>172</v>
      </c>
      <c r="B212" s="531"/>
      <c r="C212" s="545"/>
      <c r="D212" s="545"/>
      <c r="E212" s="545"/>
      <c r="F212" s="545"/>
    </row>
    <row r="213" spans="1:6" outlineLevel="1" x14ac:dyDescent="0.25">
      <c r="A213" s="472">
        <v>173</v>
      </c>
      <c r="B213" s="531"/>
      <c r="C213" s="545"/>
      <c r="D213" s="545"/>
      <c r="E213" s="545"/>
      <c r="F213" s="545"/>
    </row>
    <row r="214" spans="1:6" outlineLevel="1" x14ac:dyDescent="0.25">
      <c r="A214" s="472">
        <v>174</v>
      </c>
      <c r="B214" s="531"/>
      <c r="C214" s="545"/>
      <c r="D214" s="545"/>
      <c r="E214" s="545"/>
      <c r="F214" s="545"/>
    </row>
    <row r="215" spans="1:6" outlineLevel="1" x14ac:dyDescent="0.25">
      <c r="A215" s="472">
        <v>175</v>
      </c>
      <c r="B215" s="546"/>
      <c r="C215" s="547"/>
      <c r="D215" s="547"/>
      <c r="E215" s="547"/>
      <c r="F215" s="547"/>
    </row>
    <row r="216" spans="1:6" outlineLevel="1" x14ac:dyDescent="0.25"/>
    <row r="217" spans="1:6" x14ac:dyDescent="0.25">
      <c r="A217" s="529" t="s">
        <v>2696</v>
      </c>
    </row>
    <row r="218" spans="1:6" outlineLevel="1" x14ac:dyDescent="0.25">
      <c r="A218" s="450" t="s">
        <v>2493</v>
      </c>
      <c r="B218" s="451" t="s">
        <v>2494</v>
      </c>
      <c r="C218" s="452">
        <f>C3</f>
        <v>1</v>
      </c>
      <c r="D218" s="452">
        <f>D3</f>
        <v>2</v>
      </c>
      <c r="E218" s="452">
        <f>E3</f>
        <v>3</v>
      </c>
      <c r="F218" s="452">
        <f>F3</f>
        <v>4</v>
      </c>
    </row>
    <row r="219" spans="1:6" outlineLevel="1" x14ac:dyDescent="0.25">
      <c r="A219" s="472">
        <f>A215+1</f>
        <v>176</v>
      </c>
      <c r="B219" s="475" t="s">
        <v>2697</v>
      </c>
      <c r="C219" s="548">
        <f>C162*(1-C172)-C221*C164</f>
        <v>-5941.3427507907309</v>
      </c>
      <c r="D219" s="548">
        <f>D162*(1-D172)-D221*D164</f>
        <v>-13264.540545664096</v>
      </c>
      <c r="E219" s="548">
        <f>E162*(1-E172)-E221*E164</f>
        <v>-1028026.8532780274</v>
      </c>
      <c r="F219" s="548">
        <f>F162*(1-F172)-F221*F164</f>
        <v>-896191.98001396947</v>
      </c>
    </row>
    <row r="220" spans="1:6" outlineLevel="1" x14ac:dyDescent="0.25">
      <c r="A220" s="472">
        <f t="shared" ref="A220:A226" si="5">A219+1</f>
        <v>177</v>
      </c>
      <c r="B220" s="473" t="s">
        <v>2698</v>
      </c>
      <c r="C220" s="523">
        <v>0.1</v>
      </c>
      <c r="D220" s="523">
        <v>1.1000000000000001</v>
      </c>
      <c r="E220" s="523">
        <v>2.1</v>
      </c>
      <c r="F220" s="523">
        <v>3.1</v>
      </c>
    </row>
    <row r="221" spans="1:6" outlineLevel="1" x14ac:dyDescent="0.25">
      <c r="A221" s="472">
        <f t="shared" si="5"/>
        <v>178</v>
      </c>
      <c r="B221" s="477" t="s">
        <v>2699</v>
      </c>
      <c r="C221" s="523">
        <f>C222+C223</f>
        <v>6.3568780645776549E-2</v>
      </c>
      <c r="D221" s="523">
        <f>D222+D223</f>
        <v>0.47550905327797083</v>
      </c>
      <c r="E221" s="523">
        <f>E222+E223</f>
        <v>1.1648198019130951</v>
      </c>
      <c r="F221" s="523">
        <f>F222+F223</f>
        <v>0.61724100649713654</v>
      </c>
    </row>
    <row r="222" spans="1:6" outlineLevel="1" x14ac:dyDescent="0.25">
      <c r="A222" s="472">
        <f t="shared" si="5"/>
        <v>179</v>
      </c>
      <c r="B222" s="477" t="s">
        <v>2700</v>
      </c>
      <c r="C222" s="523">
        <f>IF(C36=0,0,C220*C37/C36)</f>
        <v>5.3197491913885862E-2</v>
      </c>
      <c r="D222" s="523">
        <f>IF(D36=0,0,D220*D37/D36)</f>
        <v>0.54063238856942708</v>
      </c>
      <c r="E222" s="523">
        <f>IF(E36=0,0,E220*E37/E36)</f>
        <v>1.6712523925373868</v>
      </c>
      <c r="F222" s="523">
        <f>IF(F36=0,0,F220*F37/F36)</f>
        <v>2.3178697342758117</v>
      </c>
    </row>
    <row r="223" spans="1:6" outlineLevel="1" x14ac:dyDescent="0.25">
      <c r="A223" s="472">
        <f t="shared" si="5"/>
        <v>180</v>
      </c>
      <c r="B223" s="477" t="s">
        <v>2701</v>
      </c>
      <c r="C223" s="523">
        <f>IF(C36=0,0,(1-C172)*C224*C43/C36)</f>
        <v>1.0371288731890683E-2</v>
      </c>
      <c r="D223" s="523">
        <f>IF(D36=0,0,(1-D172)*D224*D43/D36)</f>
        <v>-6.5123335291456252E-2</v>
      </c>
      <c r="E223" s="523">
        <f>IF(E36=0,0,(1-E172)*E224*E43/E36)</f>
        <v>-0.50643259062429158</v>
      </c>
      <c r="F223" s="523">
        <f>IF(F36=0,0,(1-F172)*F224*F43/F36)</f>
        <v>-1.7006287277786751</v>
      </c>
    </row>
    <row r="224" spans="1:6" outlineLevel="1" x14ac:dyDescent="0.25">
      <c r="A224" s="472">
        <f t="shared" si="5"/>
        <v>181</v>
      </c>
      <c r="B224" s="477" t="s">
        <v>2702</v>
      </c>
      <c r="C224" s="523">
        <v>0.05</v>
      </c>
      <c r="D224" s="523">
        <v>1.05</v>
      </c>
      <c r="E224" s="523">
        <v>2.0499999999999998</v>
      </c>
      <c r="F224" s="523">
        <v>3.05</v>
      </c>
    </row>
    <row r="225" spans="1:6" outlineLevel="1" x14ac:dyDescent="0.25">
      <c r="A225" s="472">
        <f t="shared" si="5"/>
        <v>182</v>
      </c>
      <c r="B225" s="477"/>
      <c r="C225" s="480"/>
      <c r="D225" s="480"/>
      <c r="E225" s="480"/>
      <c r="F225" s="480"/>
    </row>
    <row r="226" spans="1:6" outlineLevel="1" x14ac:dyDescent="0.25">
      <c r="A226" s="504">
        <f t="shared" si="5"/>
        <v>183</v>
      </c>
      <c r="B226" s="546"/>
      <c r="C226" s="547"/>
      <c r="D226" s="547"/>
      <c r="E226" s="547"/>
      <c r="F226" s="547"/>
    </row>
    <row r="227" spans="1:6" outlineLevel="1" x14ac:dyDescent="0.25"/>
    <row r="228" spans="1:6" x14ac:dyDescent="0.25">
      <c r="A228" s="529" t="s">
        <v>2703</v>
      </c>
    </row>
    <row r="229" spans="1:6" outlineLevel="1" x14ac:dyDescent="0.25">
      <c r="A229" s="450" t="s">
        <v>2493</v>
      </c>
      <c r="B229" s="451" t="s">
        <v>2704</v>
      </c>
      <c r="C229" s="452">
        <f>C3</f>
        <v>1</v>
      </c>
      <c r="D229" s="452">
        <f>D3</f>
        <v>2</v>
      </c>
      <c r="E229" s="452">
        <f>E3</f>
        <v>3</v>
      </c>
      <c r="F229" s="452">
        <f>F3</f>
        <v>4</v>
      </c>
    </row>
    <row r="230" spans="1:6" outlineLevel="1" x14ac:dyDescent="0.25">
      <c r="A230" s="472">
        <v>1</v>
      </c>
      <c r="B230" s="473" t="s">
        <v>2656</v>
      </c>
      <c r="C230" s="549">
        <f>C89+C88+C82</f>
        <v>-8733</v>
      </c>
      <c r="D230" s="549">
        <f>D89+D88+D82</f>
        <v>24886</v>
      </c>
      <c r="E230" s="549">
        <f>E89+E88+E82</f>
        <v>434962</v>
      </c>
      <c r="F230" s="549">
        <f>F89+F88+F82</f>
        <v>317437</v>
      </c>
    </row>
    <row r="231" spans="1:6" outlineLevel="1" x14ac:dyDescent="0.25">
      <c r="A231" s="472">
        <f t="shared" ref="A231:A238" si="6">A230+1</f>
        <v>2</v>
      </c>
      <c r="B231" s="477" t="s">
        <v>2007</v>
      </c>
      <c r="C231" s="517">
        <f>SUM(C251)</f>
        <v>0.21</v>
      </c>
      <c r="D231" s="517">
        <f>SUM(D251)</f>
        <v>0.21</v>
      </c>
      <c r="E231" s="517">
        <f>SUM(E251)</f>
        <v>0.21</v>
      </c>
      <c r="F231" s="517">
        <f>SUM(F251)</f>
        <v>0.21</v>
      </c>
    </row>
    <row r="232" spans="1:6" outlineLevel="1" x14ac:dyDescent="0.25">
      <c r="A232" s="472">
        <f t="shared" si="6"/>
        <v>3</v>
      </c>
      <c r="B232" s="477" t="s">
        <v>2705</v>
      </c>
      <c r="C232" s="549">
        <f>C230*(1-C231)</f>
        <v>-6899.0700000000006</v>
      </c>
      <c r="D232" s="549">
        <f>D230*(1-D231)</f>
        <v>19659.940000000002</v>
      </c>
      <c r="E232" s="549">
        <f>E230*(1-E231)</f>
        <v>343619.98000000004</v>
      </c>
      <c r="F232" s="549">
        <f>F230*(1-F231)</f>
        <v>250775.23</v>
      </c>
    </row>
    <row r="233" spans="1:6" outlineLevel="1" x14ac:dyDescent="0.25">
      <c r="A233" s="472">
        <f t="shared" si="6"/>
        <v>4</v>
      </c>
      <c r="B233" s="477" t="s">
        <v>2555</v>
      </c>
      <c r="C233" s="549">
        <f>C72</f>
        <v>52072</v>
      </c>
      <c r="D233" s="549">
        <f>D72</f>
        <v>56416</v>
      </c>
      <c r="E233" s="549">
        <f>E72</f>
        <v>38256</v>
      </c>
      <c r="F233" s="549">
        <f>F72</f>
        <v>17810</v>
      </c>
    </row>
    <row r="234" spans="1:6" outlineLevel="1" x14ac:dyDescent="0.25">
      <c r="A234" s="472">
        <f t="shared" si="6"/>
        <v>5</v>
      </c>
      <c r="B234" s="477" t="s">
        <v>2706</v>
      </c>
      <c r="C234" s="549"/>
      <c r="D234" s="549">
        <f>IF((D11-C11+D233-C233)&gt;0,(D11-C11+D233-C233),0)</f>
        <v>49782</v>
      </c>
      <c r="E234" s="549">
        <f>IF((E11-D11+E233-D233)&gt;0,(E11-D11+E233-D233),0)</f>
        <v>0</v>
      </c>
      <c r="F234" s="549">
        <f>IF((F11-E11+F233-E233)&gt;0,(F11-E11+F233-E233),0)</f>
        <v>0</v>
      </c>
    </row>
    <row r="235" spans="1:6" outlineLevel="1" x14ac:dyDescent="0.25">
      <c r="A235" s="472">
        <f t="shared" si="6"/>
        <v>6</v>
      </c>
      <c r="B235" s="477" t="s">
        <v>2663</v>
      </c>
      <c r="C235" s="549">
        <f>C232+C233</f>
        <v>45172.93</v>
      </c>
      <c r="D235" s="549">
        <f>D232+D233</f>
        <v>76075.94</v>
      </c>
      <c r="E235" s="549">
        <f>E232+E233</f>
        <v>381875.98000000004</v>
      </c>
      <c r="F235" s="549">
        <f>F232+F233</f>
        <v>268585.23</v>
      </c>
    </row>
    <row r="236" spans="1:6" outlineLevel="1" x14ac:dyDescent="0.25">
      <c r="A236" s="472">
        <f t="shared" si="6"/>
        <v>7</v>
      </c>
      <c r="B236" s="477" t="s">
        <v>2707</v>
      </c>
      <c r="C236" s="549"/>
      <c r="D236" s="549"/>
      <c r="E236" s="549"/>
      <c r="F236" s="549">
        <f>IF(F230=0,0,NPV(AVERAGE(C237:F237),C235:F235)-SUM(C234:F234))</f>
        <v>149097.78644859625</v>
      </c>
    </row>
    <row r="237" spans="1:6" outlineLevel="1" x14ac:dyDescent="0.25">
      <c r="A237" s="472">
        <f t="shared" si="6"/>
        <v>8</v>
      </c>
      <c r="B237" s="477" t="s">
        <v>2708</v>
      </c>
      <c r="C237" s="517">
        <f>C221</f>
        <v>6.3568780645776549E-2</v>
      </c>
      <c r="D237" s="517">
        <f>D221</f>
        <v>0.47550905327797083</v>
      </c>
      <c r="E237" s="517">
        <f>E221</f>
        <v>1.1648198019130951</v>
      </c>
      <c r="F237" s="517">
        <f>F221</f>
        <v>0.61724100649713654</v>
      </c>
    </row>
    <row r="238" spans="1:6" outlineLevel="1" x14ac:dyDescent="0.25">
      <c r="A238" s="472">
        <f t="shared" si="6"/>
        <v>9</v>
      </c>
      <c r="B238" s="477" t="s">
        <v>2709</v>
      </c>
      <c r="C238" s="523">
        <f>SUM(C252)</f>
        <v>2E-3</v>
      </c>
      <c r="D238" s="523">
        <f>SUM(D252)</f>
        <v>2E-3</v>
      </c>
      <c r="E238" s="523">
        <f>SUM(E252)</f>
        <v>2E-3</v>
      </c>
      <c r="F238" s="523">
        <f>SUM(F252)</f>
        <v>2E-3</v>
      </c>
    </row>
    <row r="239" spans="1:6" outlineLevel="1" x14ac:dyDescent="0.25">
      <c r="A239" s="472">
        <f>A235+1</f>
        <v>7</v>
      </c>
      <c r="B239" s="531" t="s">
        <v>2710</v>
      </c>
      <c r="C239" s="550"/>
      <c r="D239" s="550"/>
      <c r="E239" s="550"/>
      <c r="F239" s="478">
        <f>IF((F237-F238)=0,0,F235/(F237-F238))</f>
        <v>436552.8746680672</v>
      </c>
    </row>
    <row r="240" spans="1:6" outlineLevel="1" x14ac:dyDescent="0.25">
      <c r="A240" s="530">
        <f>A239+1</f>
        <v>8</v>
      </c>
      <c r="B240" s="531" t="s">
        <v>2711</v>
      </c>
      <c r="C240" s="551"/>
      <c r="D240" s="551"/>
      <c r="E240" s="551"/>
      <c r="F240" s="532">
        <f>IF((1+F237)=0,0,F239/(1+F237)^4)</f>
        <v>63817.218822489194</v>
      </c>
    </row>
    <row r="241" spans="1:6" outlineLevel="1" x14ac:dyDescent="0.25">
      <c r="A241" s="552">
        <f>A240+1</f>
        <v>9</v>
      </c>
      <c r="B241" s="521" t="s">
        <v>2712</v>
      </c>
      <c r="C241" s="553"/>
      <c r="D241" s="553"/>
      <c r="E241" s="553"/>
      <c r="F241" s="545">
        <f>F236+F240</f>
        <v>212915.00527108545</v>
      </c>
    </row>
    <row r="242" spans="1:6" outlineLevel="1" x14ac:dyDescent="0.25">
      <c r="A242" s="530">
        <f>A241+1</f>
        <v>10</v>
      </c>
      <c r="B242" s="531" t="s">
        <v>2713</v>
      </c>
      <c r="C242" s="551"/>
      <c r="D242" s="551"/>
      <c r="E242" s="551"/>
      <c r="F242" s="532">
        <f>F43</f>
        <v>101547</v>
      </c>
    </row>
    <row r="243" spans="1:6" outlineLevel="1" x14ac:dyDescent="0.25">
      <c r="A243" s="554">
        <f>A242+1</f>
        <v>11</v>
      </c>
      <c r="B243" s="486" t="s">
        <v>2714</v>
      </c>
      <c r="C243" s="555"/>
      <c r="D243" s="555"/>
      <c r="E243" s="555"/>
      <c r="F243" s="535">
        <f>F241-F242</f>
        <v>111368.00527108545</v>
      </c>
    </row>
    <row r="244" spans="1:6" outlineLevel="1" x14ac:dyDescent="0.25">
      <c r="A244" s="491" t="s">
        <v>2715</v>
      </c>
    </row>
    <row r="245" spans="1:6" outlineLevel="1" x14ac:dyDescent="0.25"/>
    <row r="246" spans="1:6" x14ac:dyDescent="0.25">
      <c r="B246" s="556" t="s">
        <v>2494</v>
      </c>
      <c r="C246" s="557">
        <f>SUM(C1)</f>
        <v>2018</v>
      </c>
      <c r="D246" s="557">
        <f>SUM(D1)</f>
        <v>2017</v>
      </c>
      <c r="E246" s="557">
        <f>SUM(E1)</f>
        <v>2016</v>
      </c>
      <c r="F246" s="557">
        <f>SUM(F1)</f>
        <v>2014</v>
      </c>
    </row>
    <row r="247" spans="1:6" x14ac:dyDescent="0.25">
      <c r="B247" s="558"/>
      <c r="C247" s="559"/>
      <c r="D247" s="559"/>
      <c r="E247" s="559"/>
      <c r="F247" s="559"/>
    </row>
    <row r="248" spans="1:6" x14ac:dyDescent="0.25">
      <c r="B248" s="560" t="s">
        <v>2622</v>
      </c>
      <c r="C248" s="561">
        <v>360</v>
      </c>
      <c r="D248" s="561">
        <v>360</v>
      </c>
      <c r="E248" s="561">
        <v>360</v>
      </c>
      <c r="F248" s="561">
        <v>360</v>
      </c>
    </row>
    <row r="249" spans="1:6" x14ac:dyDescent="0.25">
      <c r="B249" s="562" t="s">
        <v>2623</v>
      </c>
      <c r="C249" s="561">
        <v>360</v>
      </c>
      <c r="D249" s="561">
        <v>360</v>
      </c>
      <c r="E249" s="561">
        <v>360</v>
      </c>
      <c r="F249" s="561">
        <v>360</v>
      </c>
    </row>
    <row r="250" spans="1:6" x14ac:dyDescent="0.25">
      <c r="B250" s="560" t="s">
        <v>2624</v>
      </c>
      <c r="C250" s="561">
        <v>360</v>
      </c>
      <c r="D250" s="561">
        <v>360</v>
      </c>
      <c r="E250" s="561">
        <v>360</v>
      </c>
      <c r="F250" s="561">
        <v>360</v>
      </c>
    </row>
    <row r="251" spans="1:6" x14ac:dyDescent="0.25">
      <c r="B251" s="461" t="s">
        <v>2007</v>
      </c>
      <c r="C251" s="563">
        <v>0.21</v>
      </c>
      <c r="D251" s="563">
        <v>0.21</v>
      </c>
      <c r="E251" s="563">
        <v>0.21</v>
      </c>
      <c r="F251" s="563">
        <v>0.21</v>
      </c>
    </row>
    <row r="252" spans="1:6" x14ac:dyDescent="0.25">
      <c r="B252" s="461" t="s">
        <v>2709</v>
      </c>
      <c r="C252" s="563">
        <v>2E-3</v>
      </c>
      <c r="D252" s="563">
        <v>2E-3</v>
      </c>
      <c r="E252" s="563">
        <v>2E-3</v>
      </c>
      <c r="F252" s="563">
        <v>2E-3</v>
      </c>
    </row>
  </sheetData>
  <pageMargins left="0.7" right="0.7" top="0.75" bottom="0.75" header="0.51180555555555496" footer="0.51180555555555496"/>
  <pageSetup paperSize="9" firstPageNumber="0" orientation="portrait" horizontalDpi="300" verticalDpi="300"/>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25"/>
  <sheetViews>
    <sheetView topLeftCell="A2" zoomScaleNormal="100" workbookViewId="0">
      <selection activeCell="A2" sqref="A2"/>
    </sheetView>
  </sheetViews>
  <sheetFormatPr defaultRowHeight="15" outlineLevelRow="2" x14ac:dyDescent="0.25"/>
  <cols>
    <col min="1" max="1" width="6.140625" customWidth="1"/>
    <col min="2" max="2" width="11.5703125" hidden="1"/>
    <col min="3" max="3" width="67.85546875" customWidth="1"/>
    <col min="4" max="4" width="10.42578125" customWidth="1"/>
    <col min="5" max="6" width="10.85546875" customWidth="1"/>
    <col min="7" max="7" width="10.42578125" customWidth="1"/>
    <col min="8" max="11" width="18.7109375" customWidth="1"/>
    <col min="12" max="12" width="15.140625" customWidth="1"/>
    <col min="13" max="13" width="8.85546875" customWidth="1"/>
    <col min="14" max="1025" width="9.140625" customWidth="1"/>
  </cols>
  <sheetData>
    <row r="1" spans="1:12" ht="23.25" hidden="1" customHeight="1" x14ac:dyDescent="0.25">
      <c r="C1" s="955" t="s">
        <v>2716</v>
      </c>
      <c r="D1" s="955"/>
      <c r="E1" s="955"/>
      <c r="F1" s="955"/>
      <c r="G1" s="955"/>
      <c r="H1" s="955"/>
      <c r="I1" s="955"/>
      <c r="J1" s="955"/>
      <c r="K1" s="955"/>
    </row>
    <row r="2" spans="1:12" ht="24.75" customHeight="1" x14ac:dyDescent="0.25">
      <c r="A2" s="564" t="s">
        <v>155</v>
      </c>
      <c r="B2" s="565" t="s">
        <v>155</v>
      </c>
      <c r="C2" s="565" t="s">
        <v>156</v>
      </c>
      <c r="D2" s="566" t="s">
        <v>2717</v>
      </c>
      <c r="E2" s="566" t="s">
        <v>42</v>
      </c>
      <c r="F2" s="566" t="s">
        <v>43</v>
      </c>
      <c r="G2" s="567" t="s">
        <v>44</v>
      </c>
      <c r="H2" s="566" t="s">
        <v>2717</v>
      </c>
      <c r="I2" s="566" t="s">
        <v>42</v>
      </c>
      <c r="J2" s="566" t="s">
        <v>43</v>
      </c>
      <c r="K2" s="568" t="s">
        <v>44</v>
      </c>
    </row>
    <row r="3" spans="1:12" hidden="1" x14ac:dyDescent="0.25">
      <c r="A3" s="569"/>
      <c r="B3" s="565"/>
      <c r="C3" s="565"/>
      <c r="D3" s="956" t="s">
        <v>2718</v>
      </c>
      <c r="E3" s="956"/>
      <c r="F3" s="956"/>
      <c r="G3" s="956"/>
      <c r="H3" s="956" t="s">
        <v>2719</v>
      </c>
      <c r="I3" s="956"/>
      <c r="J3" s="956"/>
      <c r="K3" s="956"/>
    </row>
    <row r="4" spans="1:12" x14ac:dyDescent="0.25">
      <c r="A4" s="570">
        <v>0</v>
      </c>
      <c r="B4" s="565"/>
      <c r="C4" s="571" t="s">
        <v>45</v>
      </c>
      <c r="D4" s="572">
        <f t="shared" ref="D4:K4" si="0">SUM(D5+D15+D25+D29+D35+D41+D50+D60+D70)</f>
        <v>407507.08999999997</v>
      </c>
      <c r="E4" s="572">
        <f t="shared" si="0"/>
        <v>16403.53</v>
      </c>
      <c r="F4" s="572">
        <f t="shared" si="0"/>
        <v>61840.49</v>
      </c>
      <c r="G4" s="573">
        <f t="shared" si="0"/>
        <v>362070.13000000012</v>
      </c>
      <c r="H4" s="572">
        <f t="shared" si="0"/>
        <v>448375.28000000014</v>
      </c>
      <c r="I4" s="572">
        <f t="shared" si="0"/>
        <v>39495.57</v>
      </c>
      <c r="J4" s="572">
        <f t="shared" si="0"/>
        <v>80363.760000000009</v>
      </c>
      <c r="K4" s="574">
        <f t="shared" si="0"/>
        <v>407507.09000000008</v>
      </c>
    </row>
    <row r="5" spans="1:12" x14ac:dyDescent="0.25">
      <c r="A5" s="575" t="s">
        <v>2160</v>
      </c>
      <c r="B5" s="576"/>
      <c r="C5" s="577" t="s">
        <v>1484</v>
      </c>
      <c r="D5" s="578">
        <f t="shared" ref="D5:K5" si="1">SUM(D6:D14)</f>
        <v>3624.71</v>
      </c>
      <c r="E5" s="578">
        <f t="shared" si="1"/>
        <v>0</v>
      </c>
      <c r="F5" s="578">
        <f t="shared" si="1"/>
        <v>0</v>
      </c>
      <c r="G5" s="579">
        <f t="shared" si="1"/>
        <v>3624.71</v>
      </c>
      <c r="H5" s="578">
        <f t="shared" si="1"/>
        <v>3624.71</v>
      </c>
      <c r="I5" s="578">
        <f t="shared" si="1"/>
        <v>0</v>
      </c>
      <c r="J5" s="578">
        <f t="shared" si="1"/>
        <v>0</v>
      </c>
      <c r="K5" s="580">
        <f t="shared" si="1"/>
        <v>3624.71</v>
      </c>
    </row>
    <row r="6" spans="1:12" outlineLevel="1" x14ac:dyDescent="0.25">
      <c r="A6" s="581" t="str">
        <f t="shared" ref="A6:A11" si="2">LEFT(B6,3)</f>
        <v>010</v>
      </c>
      <c r="B6" s="582" t="s">
        <v>2720</v>
      </c>
      <c r="C6" s="583" t="s">
        <v>2721</v>
      </c>
      <c r="D6" s="584">
        <f>IF(VLOOKUP($A6,'hk2018'!$A:$G,1)=$A6,VLOOKUP($A6,'hk2018'!$A:$G,4),0)</f>
        <v>0</v>
      </c>
      <c r="E6" s="584">
        <f>IF(VLOOKUP($A6,'hk2018'!$A:$G,1)=$A6,VLOOKUP($A6,'hk2018'!$A:$G,6),0)</f>
        <v>0</v>
      </c>
      <c r="F6" s="584">
        <f>IF(VLOOKUP($A6,'hk2018'!$A:$H,1)=$A6,VLOOKUP($A6,'hk2018'!$A:$H,7),0)</f>
        <v>0</v>
      </c>
      <c r="G6" s="585">
        <f t="shared" ref="G6:G13" si="3">SUM(D6+E6-F6)</f>
        <v>0</v>
      </c>
      <c r="H6" s="584">
        <f>IF(VLOOKUP($A6,'hk2017'!$A:$G,1)=$A6,VLOOKUP($A6,'hk2017'!$A:$G,5),0)</f>
        <v>0</v>
      </c>
      <c r="I6" s="584">
        <f>IF(VLOOKUP($A6,'hk2017'!$A:$G,1)=$A6,VLOOKUP($A6,'hk2017'!$A:$G,6),0)</f>
        <v>0</v>
      </c>
      <c r="J6" s="584">
        <f>IF(VLOOKUP($A6,'hk2017'!$A:$H,1)=$A6,VLOOKUP($A6,'hk2017'!$A:$H,7),0)</f>
        <v>0</v>
      </c>
      <c r="K6" s="586">
        <f t="shared" ref="K6:K13" si="4">SUM(H6+I6-J6)</f>
        <v>0</v>
      </c>
    </row>
    <row r="7" spans="1:12" outlineLevel="1" x14ac:dyDescent="0.25">
      <c r="A7" s="581" t="str">
        <f t="shared" si="2"/>
        <v>011</v>
      </c>
      <c r="B7" s="582" t="s">
        <v>2722</v>
      </c>
      <c r="C7" s="582" t="s">
        <v>2723</v>
      </c>
      <c r="D7" s="587">
        <f>IF(VLOOKUP($A7,'hk2018'!$A:$G,1)=$A7,VLOOKUP($A7,'hk2018'!$A:$G,6),0)</f>
        <v>0</v>
      </c>
      <c r="E7" s="587">
        <f>IF(VLOOKUP($A7,'hk2018'!$A:$G,1)=$A7,VLOOKUP($A7,'hk2018'!$A:$G,7),0)</f>
        <v>0</v>
      </c>
      <c r="F7" s="587">
        <f>IF(VLOOKUP($A7,'hk2018'!$A:$H,1)=$A7,VLOOKUP($A7,'hk2018'!$A:$H,8),0)</f>
        <v>0</v>
      </c>
      <c r="G7" s="588">
        <f t="shared" si="3"/>
        <v>0</v>
      </c>
      <c r="H7" s="587">
        <f>IF(VLOOKUP($A7,'hk2017'!$A:$G,1)=$A7,VLOOKUP($A7,'hk2017'!$A:$G,6),0)</f>
        <v>0</v>
      </c>
      <c r="I7" s="587">
        <f>IF(VLOOKUP($A7,'hk2017'!$A:$G,1)=$A7,VLOOKUP($A7,'hk2017'!$A:$G,7),0)</f>
        <v>0</v>
      </c>
      <c r="J7" s="587">
        <f>IF(VLOOKUP($A7,'hk2017'!$A:$H,1)=$A7,VLOOKUP($A7,'hk2017'!$A:$H,8),0)</f>
        <v>0</v>
      </c>
      <c r="K7" s="589">
        <f t="shared" si="4"/>
        <v>0</v>
      </c>
    </row>
    <row r="8" spans="1:12" outlineLevel="1" x14ac:dyDescent="0.25">
      <c r="A8" s="581" t="str">
        <f t="shared" si="2"/>
        <v>012</v>
      </c>
      <c r="B8" s="582" t="s">
        <v>2724</v>
      </c>
      <c r="C8" s="582" t="s">
        <v>2725</v>
      </c>
      <c r="D8" s="587">
        <f>IF(VLOOKUP($A8,'hk2018'!$A:$G,1)=$A8,VLOOKUP($A8,'hk2018'!$A:$G,6),0)</f>
        <v>0</v>
      </c>
      <c r="E8" s="587">
        <f>IF(VLOOKUP($A8,'hk2018'!$A:$G,1)=$A8,VLOOKUP($A8,'hk2018'!$A:$G,7),0)</f>
        <v>0</v>
      </c>
      <c r="F8" s="587">
        <f>IF(VLOOKUP($A8,'hk2018'!$A:$H,1)=$A8,VLOOKUP($A8,'hk2018'!$A:$H,8),0)</f>
        <v>0</v>
      </c>
      <c r="G8" s="588">
        <f t="shared" si="3"/>
        <v>0</v>
      </c>
      <c r="H8" s="587">
        <f>IF(VLOOKUP($A8,'hk2017'!$A:$G,1)=$A8,VLOOKUP($A8,'hk2017'!$A:$G,6),0)</f>
        <v>0</v>
      </c>
      <c r="I8" s="587">
        <f>IF(VLOOKUP($A8,'hk2017'!$A:$G,1)=$A8,VLOOKUP($A8,'hk2017'!$A:$G,7),0)</f>
        <v>0</v>
      </c>
      <c r="J8" s="587">
        <f>IF(VLOOKUP($A8,'hk2017'!$A:$H,1)=$A8,VLOOKUP($A8,'hk2017'!$A:$H,8),0)</f>
        <v>0</v>
      </c>
      <c r="K8" s="589">
        <f t="shared" si="4"/>
        <v>0</v>
      </c>
    </row>
    <row r="9" spans="1:12" outlineLevel="1" x14ac:dyDescent="0.25">
      <c r="A9" s="581" t="str">
        <f t="shared" si="2"/>
        <v>013</v>
      </c>
      <c r="B9" s="582" t="s">
        <v>2726</v>
      </c>
      <c r="C9" s="582" t="s">
        <v>1378</v>
      </c>
      <c r="D9" s="587">
        <f>IF(VLOOKUP($A9,'hk2018'!$A:$G,1)=$A9,VLOOKUP($A9,'hk2018'!$A:$G,6),0)</f>
        <v>99.58</v>
      </c>
      <c r="E9" s="587">
        <f>IF(VLOOKUP($A9,'hk2018'!$A:$G,1)=$A9,VLOOKUP($A9,'hk2018'!$A:$G,7),0)</f>
        <v>0</v>
      </c>
      <c r="F9" s="587">
        <f>IF(VLOOKUP($A9,'hk2018'!$A:$H,1)=$A9,VLOOKUP($A9,'hk2018'!$A:$H,8),0)</f>
        <v>0</v>
      </c>
      <c r="G9" s="588">
        <f t="shared" si="3"/>
        <v>99.58</v>
      </c>
      <c r="H9" s="587">
        <f>IF(VLOOKUP($A9,'hk2017'!$A:$G,1)=$A9,VLOOKUP($A9,'hk2017'!$A:$G,6),0)</f>
        <v>99.58</v>
      </c>
      <c r="I9" s="587">
        <f>IF(VLOOKUP($A9,'hk2017'!$A:$G,1)=$A9,VLOOKUP($A9,'hk2017'!$A:$G,7),0)</f>
        <v>0</v>
      </c>
      <c r="J9" s="587">
        <f>IF(VLOOKUP($A9,'hk2017'!$A:$H,1)=$A9,VLOOKUP($A9,'hk2017'!$A:$H,8),0)</f>
        <v>0</v>
      </c>
      <c r="K9" s="589">
        <f t="shared" si="4"/>
        <v>99.58</v>
      </c>
    </row>
    <row r="10" spans="1:12" outlineLevel="1" x14ac:dyDescent="0.25">
      <c r="A10" s="581" t="str">
        <f t="shared" si="2"/>
        <v>014</v>
      </c>
      <c r="B10" s="582" t="s">
        <v>2727</v>
      </c>
      <c r="C10" s="582" t="s">
        <v>2728</v>
      </c>
      <c r="D10" s="587">
        <f>IF(VLOOKUP($A10,'hk2018'!$A:$G,1)=$A10,VLOOKUP($A10,'hk2018'!$A:$G,6),0)</f>
        <v>0</v>
      </c>
      <c r="E10" s="587">
        <f>IF(VLOOKUP($A10,'hk2018'!$A:$G,1)=$A10,VLOOKUP($A10,'hk2018'!$A:$G,7),0)</f>
        <v>0</v>
      </c>
      <c r="F10" s="587">
        <f>IF(VLOOKUP($A10,'hk2018'!$A:$H,1)=$A10,VLOOKUP($A10,'hk2018'!$A:$H,8),0)</f>
        <v>0</v>
      </c>
      <c r="G10" s="588">
        <f t="shared" si="3"/>
        <v>0</v>
      </c>
      <c r="H10" s="587">
        <f>IF(VLOOKUP($A10,'hk2017'!$A:$G,1)=$A10,VLOOKUP($A10,'hk2017'!$A:$G,6),0)</f>
        <v>0</v>
      </c>
      <c r="I10" s="587">
        <f>IF(VLOOKUP($A10,'hk2017'!$A:$G,1)=$A10,VLOOKUP($A10,'hk2017'!$A:$G,7),0)</f>
        <v>0</v>
      </c>
      <c r="J10" s="587">
        <f>IF(VLOOKUP($A10,'hk2017'!$A:$H,1)=$A10,VLOOKUP($A10,'hk2017'!$A:$H,8),0)</f>
        <v>0</v>
      </c>
      <c r="K10" s="589">
        <f t="shared" si="4"/>
        <v>0</v>
      </c>
    </row>
    <row r="11" spans="1:12" outlineLevel="1" x14ac:dyDescent="0.25">
      <c r="A11" s="581" t="str">
        <f t="shared" si="2"/>
        <v>015</v>
      </c>
      <c r="B11" s="582" t="s">
        <v>2729</v>
      </c>
      <c r="C11" s="582" t="s">
        <v>173</v>
      </c>
      <c r="D11" s="587">
        <f>IF(VLOOKUP($A11,'hk2018'!$A:$G,1)=$A11,VLOOKUP($A11,'hk2018'!$A:$G,6),0)</f>
        <v>0</v>
      </c>
      <c r="E11" s="587">
        <f>IF(VLOOKUP($A11,'hk2018'!$A:$G,1)=$A11,VLOOKUP($A11,'hk2018'!$A:$G,7),0)</f>
        <v>0</v>
      </c>
      <c r="F11" s="587">
        <f>IF(VLOOKUP($A11,'hk2018'!$A:$H,1)=$A11,VLOOKUP($A11,'hk2018'!$A:$H,8),0)</f>
        <v>0</v>
      </c>
      <c r="G11" s="588">
        <f t="shared" si="3"/>
        <v>0</v>
      </c>
      <c r="H11" s="587">
        <f>IF(VLOOKUP($A11,'hk2017'!$A:$G,1)=$A11,VLOOKUP($A11,'hk2017'!$A:$G,6),0)</f>
        <v>0</v>
      </c>
      <c r="I11" s="587">
        <f>IF(VLOOKUP($A11,'hk2017'!$A:$G,1)=$A11,VLOOKUP($A11,'hk2017'!$A:$G,7),0)</f>
        <v>0</v>
      </c>
      <c r="J11" s="587">
        <f>IF(VLOOKUP($A11,'hk2017'!$A:$H,1)=$A11,VLOOKUP($A11,'hk2017'!$A:$H,8),0)</f>
        <v>0</v>
      </c>
      <c r="K11" s="589">
        <f t="shared" si="4"/>
        <v>0</v>
      </c>
    </row>
    <row r="12" spans="1:12" outlineLevel="1" x14ac:dyDescent="0.25">
      <c r="A12" s="581" t="s">
        <v>2730</v>
      </c>
      <c r="B12" s="582"/>
      <c r="C12" s="583" t="s">
        <v>2731</v>
      </c>
      <c r="D12" s="587">
        <f>IF(VLOOKUP($A12,'hk2018'!$A:$G,1)=$A12,VLOOKUP($A12,'hk2018'!$A:$G,6),0)</f>
        <v>0</v>
      </c>
      <c r="E12" s="587">
        <f>IF(VLOOKUP($A12,'hk2018'!$A:$G,1)=$A12,VLOOKUP($A12,'hk2018'!$A:$G,7),0)</f>
        <v>0</v>
      </c>
      <c r="F12" s="587">
        <f>IF(VLOOKUP($A12,'hk2018'!$A:$H,1)=$A12,VLOOKUP($A12,'hk2018'!$A:$H,8),0)</f>
        <v>0</v>
      </c>
      <c r="G12" s="588">
        <f t="shared" si="3"/>
        <v>0</v>
      </c>
      <c r="H12" s="587">
        <f>IF(VLOOKUP($A12,'hk2017'!$A:$G,1)=$A12,VLOOKUP($A12,'hk2017'!$A:$G,6),0)</f>
        <v>0</v>
      </c>
      <c r="I12" s="587">
        <f>IF(VLOOKUP($A12,'hk2017'!$A:$G,1)=$A12,VLOOKUP($A12,'hk2017'!$A:$G,7),0)</f>
        <v>0</v>
      </c>
      <c r="J12" s="587">
        <f>IF(VLOOKUP($A12,'hk2017'!$A:$H,1)=$A12,VLOOKUP($A12,'hk2017'!$A:$H,8),0)</f>
        <v>0</v>
      </c>
      <c r="K12" s="589">
        <f t="shared" si="4"/>
        <v>0</v>
      </c>
    </row>
    <row r="13" spans="1:12" outlineLevel="1" x14ac:dyDescent="0.25">
      <c r="A13" s="581" t="str">
        <f>LEFT(B13,3)</f>
        <v>019</v>
      </c>
      <c r="B13" s="582" t="s">
        <v>2732</v>
      </c>
      <c r="C13" s="582" t="s">
        <v>2733</v>
      </c>
      <c r="D13" s="587">
        <f>IF(VLOOKUP($A13,'hk2018'!$A:$G,1)=$A13,VLOOKUP($A13,'hk2018'!$A:$G,6),0)</f>
        <v>3525.13</v>
      </c>
      <c r="E13" s="587">
        <f>IF(VLOOKUP($A13,'hk2018'!$A:$G,1)=$A13,VLOOKUP($A13,'hk2018'!$A:$G,7),0)</f>
        <v>0</v>
      </c>
      <c r="F13" s="587">
        <f>IF(VLOOKUP($A13,'hk2018'!$A:$H,1)=$A13,VLOOKUP($A13,'hk2018'!$A:$H,8),0)</f>
        <v>0</v>
      </c>
      <c r="G13" s="588">
        <f t="shared" si="3"/>
        <v>3525.13</v>
      </c>
      <c r="H13" s="587">
        <f>IF(VLOOKUP($A13,'hk2017'!$A:$G,1)=$A13,VLOOKUP($A13,'hk2017'!$A:$G,6),0)</f>
        <v>3525.13</v>
      </c>
      <c r="I13" s="587">
        <f>IF(VLOOKUP($A13,'hk2017'!$A:$G,1)=$A13,VLOOKUP($A13,'hk2017'!$A:$G,7),0)</f>
        <v>0</v>
      </c>
      <c r="J13" s="587">
        <f>IF(VLOOKUP($A13,'hk2017'!$A:$H,1)=$A13,VLOOKUP($A13,'hk2017'!$A:$H,8),0)</f>
        <v>0</v>
      </c>
      <c r="K13" s="589">
        <f t="shared" si="4"/>
        <v>3525.13</v>
      </c>
    </row>
    <row r="14" spans="1:12" outlineLevel="1" x14ac:dyDescent="0.25">
      <c r="A14" s="581"/>
      <c r="B14" s="582"/>
      <c r="C14" s="582"/>
      <c r="D14" s="587"/>
      <c r="E14" s="590"/>
      <c r="F14" s="590"/>
      <c r="G14" s="591"/>
      <c r="H14" s="587"/>
      <c r="I14" s="590"/>
      <c r="J14" s="590"/>
      <c r="K14" s="592"/>
    </row>
    <row r="15" spans="1:12" x14ac:dyDescent="0.25">
      <c r="A15" s="575" t="s">
        <v>2161</v>
      </c>
      <c r="B15" s="576"/>
      <c r="C15" s="577" t="s">
        <v>2734</v>
      </c>
      <c r="D15" s="578">
        <f t="shared" ref="D15:K15" si="5">SUM(D16:D24)</f>
        <v>1381135.62</v>
      </c>
      <c r="E15" s="578">
        <f t="shared" si="5"/>
        <v>6134.6</v>
      </c>
      <c r="F15" s="578">
        <f t="shared" si="5"/>
        <v>3634.33</v>
      </c>
      <c r="G15" s="593">
        <f t="shared" si="5"/>
        <v>1383635.8900000001</v>
      </c>
      <c r="H15" s="578">
        <f t="shared" si="5"/>
        <v>1373986.8900000001</v>
      </c>
      <c r="I15" s="578">
        <f t="shared" si="5"/>
        <v>15548.1</v>
      </c>
      <c r="J15" s="578">
        <f t="shared" si="5"/>
        <v>8399.3700000000008</v>
      </c>
      <c r="K15" s="594">
        <f t="shared" si="5"/>
        <v>1381135.62</v>
      </c>
      <c r="L15" s="595"/>
    </row>
    <row r="16" spans="1:12" outlineLevel="2" x14ac:dyDescent="0.25">
      <c r="A16" s="581" t="str">
        <f>LEFT(B16,3)</f>
        <v>021</v>
      </c>
      <c r="B16" s="582" t="s">
        <v>2735</v>
      </c>
      <c r="C16" s="582" t="s">
        <v>1499</v>
      </c>
      <c r="D16" s="587">
        <f>IF(VLOOKUP($A16,'hk2018'!$A:$G,1)=$A16,VLOOKUP($A16,'hk2018'!$A:$G,6),0)</f>
        <v>726899.76</v>
      </c>
      <c r="E16" s="587">
        <f>IF(VLOOKUP($A16,'hk2018'!$A:$G,1)=$A16,VLOOKUP($A16,'hk2018'!$A:$G,7),0)</f>
        <v>0</v>
      </c>
      <c r="F16" s="587">
        <f>IF(VLOOKUP($A16,'hk2018'!$A:$H,1)=$A16,VLOOKUP($A16,'hk2018'!$A:$H,8),0)</f>
        <v>0</v>
      </c>
      <c r="G16" s="588">
        <f t="shared" ref="G16:G23" si="6">SUM(D16+E16-F16)</f>
        <v>726899.76</v>
      </c>
      <c r="H16" s="587">
        <f>IF(VLOOKUP($A16,'hk2017'!$A:$G,1)=$A16,VLOOKUP($A16,'hk2017'!$A:$G,6),0)</f>
        <v>726899.76</v>
      </c>
      <c r="I16" s="587">
        <f>IF(VLOOKUP($A16,'hk2017'!$A:$G,1)=$A16,VLOOKUP($A16,'hk2017'!$A:$G,7),0)</f>
        <v>0</v>
      </c>
      <c r="J16" s="587">
        <f>IF(VLOOKUP($A16,'hk2017'!$A:$H,1)=$A16,VLOOKUP($A16,'hk2017'!$A:$H,8),0)</f>
        <v>0</v>
      </c>
      <c r="K16" s="589">
        <f t="shared" ref="K16:K23" si="7">SUM(H16+I16-J16)</f>
        <v>726899.76</v>
      </c>
      <c r="L16" s="595"/>
    </row>
    <row r="17" spans="1:12" outlineLevel="2" x14ac:dyDescent="0.25">
      <c r="A17" s="581" t="str">
        <f>LEFT(B17,3)</f>
        <v>022</v>
      </c>
      <c r="B17" s="582" t="s">
        <v>2736</v>
      </c>
      <c r="C17" s="582" t="s">
        <v>2737</v>
      </c>
      <c r="D17" s="587">
        <f>IF(VLOOKUP($A17,'hk2018'!$A:$G,1)=$A17,VLOOKUP($A17,'hk2018'!$A:$G,6),0)</f>
        <v>538007.88</v>
      </c>
      <c r="E17" s="587">
        <f>IF(VLOOKUP($A17,'hk2018'!$A:$G,1)=$A17,VLOOKUP($A17,'hk2018'!$A:$G,7),0)</f>
        <v>0</v>
      </c>
      <c r="F17" s="587">
        <f>IF(VLOOKUP($A17,'hk2018'!$A:$H,1)=$A17,VLOOKUP($A17,'hk2018'!$A:$H,8),0)</f>
        <v>0</v>
      </c>
      <c r="G17" s="588">
        <f t="shared" si="6"/>
        <v>538007.88</v>
      </c>
      <c r="H17" s="587">
        <f>IF(VLOOKUP($A17,'hk2017'!$A:$G,1)=$A17,VLOOKUP($A17,'hk2017'!$A:$G,6),0)</f>
        <v>538007.88</v>
      </c>
      <c r="I17" s="587">
        <f>IF(VLOOKUP($A17,'hk2017'!$A:$G,1)=$A17,VLOOKUP($A17,'hk2017'!$A:$G,7),0)</f>
        <v>0</v>
      </c>
      <c r="J17" s="587">
        <f>IF(VLOOKUP($A17,'hk2017'!$A:$H,1)=$A17,VLOOKUP($A17,'hk2017'!$A:$H,8),0)</f>
        <v>0</v>
      </c>
      <c r="K17" s="589">
        <f t="shared" si="7"/>
        <v>538007.88</v>
      </c>
      <c r="L17" s="595"/>
    </row>
    <row r="18" spans="1:12" outlineLevel="2" x14ac:dyDescent="0.25">
      <c r="A18" s="581" t="s">
        <v>2738</v>
      </c>
      <c r="B18" s="582"/>
      <c r="C18" s="583" t="s">
        <v>1386</v>
      </c>
      <c r="D18" s="587">
        <f>IF(VLOOKUP($A18,'hk2018'!$A:$G,1)=$A18,VLOOKUP($A18,'hk2018'!$A:$G,6),0)</f>
        <v>0</v>
      </c>
      <c r="E18" s="587">
        <f>IF(VLOOKUP($A18,'hk2018'!$A:$G,1)=$A18,VLOOKUP($A18,'hk2018'!$A:$G,7),0)</f>
        <v>0</v>
      </c>
      <c r="F18" s="587">
        <f>IF(VLOOKUP($A18,'hk2018'!$A:$H,1)=$A18,VLOOKUP($A18,'hk2018'!$A:$H,8),0)</f>
        <v>0</v>
      </c>
      <c r="G18" s="588">
        <f t="shared" si="6"/>
        <v>0</v>
      </c>
      <c r="H18" s="587">
        <f>IF(VLOOKUP($A18,'hk2017'!$A:$G,1)=$A18,VLOOKUP($A18,'hk2017'!$A:$G,6),0)</f>
        <v>0</v>
      </c>
      <c r="I18" s="587">
        <f>IF(VLOOKUP($A18,'hk2017'!$A:$G,1)=$A18,VLOOKUP($A18,'hk2017'!$A:$G,7),0)</f>
        <v>0</v>
      </c>
      <c r="J18" s="587">
        <f>IF(VLOOKUP($A18,'hk2017'!$A:$H,1)=$A18,VLOOKUP($A18,'hk2017'!$A:$H,8),0)</f>
        <v>0</v>
      </c>
      <c r="K18" s="589">
        <f t="shared" si="7"/>
        <v>0</v>
      </c>
      <c r="L18" s="595"/>
    </row>
    <row r="19" spans="1:12" outlineLevel="2" x14ac:dyDescent="0.25">
      <c r="A19" s="581" t="s">
        <v>2739</v>
      </c>
      <c r="B19" s="582"/>
      <c r="C19" s="583" t="s">
        <v>1390</v>
      </c>
      <c r="D19" s="587">
        <f>IF(VLOOKUP($A19,'hk2018'!$A:$G,1)=$A19,VLOOKUP($A19,'hk2018'!$A:$G,6),0)</f>
        <v>0</v>
      </c>
      <c r="E19" s="587">
        <f>IF(VLOOKUP($A19,'hk2018'!$A:$G,1)=$A19,VLOOKUP($A19,'hk2018'!$A:$G,7),0)</f>
        <v>0</v>
      </c>
      <c r="F19" s="587">
        <f>IF(VLOOKUP($A19,'hk2018'!$A:$H,1)=$A19,VLOOKUP($A19,'hk2018'!$A:$H,8),0)</f>
        <v>0</v>
      </c>
      <c r="G19" s="588">
        <f t="shared" si="6"/>
        <v>0</v>
      </c>
      <c r="H19" s="587">
        <f>IF(VLOOKUP($A19,'hk2017'!$A:$G,1)=$A19,VLOOKUP($A19,'hk2017'!$A:$G,6),0)</f>
        <v>0</v>
      </c>
      <c r="I19" s="587">
        <f>IF(VLOOKUP($A19,'hk2017'!$A:$G,1)=$A19,VLOOKUP($A19,'hk2017'!$A:$G,7),0)</f>
        <v>0</v>
      </c>
      <c r="J19" s="587">
        <f>IF(VLOOKUP($A19,'hk2017'!$A:$H,1)=$A19,VLOOKUP($A19,'hk2017'!$A:$H,8),0)</f>
        <v>0</v>
      </c>
      <c r="K19" s="589">
        <f t="shared" si="7"/>
        <v>0</v>
      </c>
      <c r="L19" s="595"/>
    </row>
    <row r="20" spans="1:12" outlineLevel="2" x14ac:dyDescent="0.25">
      <c r="A20" s="581" t="str">
        <f>LEFT(B20,3)</f>
        <v>025</v>
      </c>
      <c r="B20" s="582" t="s">
        <v>2740</v>
      </c>
      <c r="C20" s="582" t="s">
        <v>2741</v>
      </c>
      <c r="D20" s="587">
        <f>IF(VLOOKUP($A20,'hk2018'!$A:$G,1)=$A20,VLOOKUP($A20,'hk2018'!$A:$G,6),0)</f>
        <v>1000</v>
      </c>
      <c r="E20" s="587">
        <f>IF(VLOOKUP($A20,'hk2018'!$A:$G,1)=$A20,VLOOKUP($A20,'hk2018'!$A:$G,7),0)</f>
        <v>0</v>
      </c>
      <c r="F20" s="587">
        <f>IF(VLOOKUP($A20,'hk2018'!$A:$H,1)=$A20,VLOOKUP($A20,'hk2018'!$A:$H,8),0)</f>
        <v>0</v>
      </c>
      <c r="G20" s="588">
        <f t="shared" si="6"/>
        <v>1000</v>
      </c>
      <c r="H20" s="587">
        <f>IF(VLOOKUP($A20,'hk2017'!$A:$G,1)=$A20,VLOOKUP($A20,'hk2017'!$A:$G,6),0)</f>
        <v>0</v>
      </c>
      <c r="I20" s="587">
        <f>IF(VLOOKUP($A20,'hk2017'!$A:$G,1)=$A20,VLOOKUP($A20,'hk2017'!$A:$G,7),0)</f>
        <v>1000</v>
      </c>
      <c r="J20" s="587">
        <f>IF(VLOOKUP($A20,'hk2017'!$A:$H,1)=$A20,VLOOKUP($A20,'hk2017'!$A:$H,8),0)</f>
        <v>0</v>
      </c>
      <c r="K20" s="589">
        <f t="shared" si="7"/>
        <v>1000</v>
      </c>
      <c r="L20" s="595"/>
    </row>
    <row r="21" spans="1:12" outlineLevel="2" x14ac:dyDescent="0.25">
      <c r="A21" s="581" t="str">
        <f>LEFT(B21,3)</f>
        <v>026</v>
      </c>
      <c r="B21" s="582" t="s">
        <v>2742</v>
      </c>
      <c r="C21" s="582" t="s">
        <v>2743</v>
      </c>
      <c r="D21" s="587">
        <f>IF(VLOOKUP($A21,'hk2018'!$A:$G,1)=$A21,VLOOKUP($A21,'hk2018'!$A:$G,6),0)</f>
        <v>115227.98</v>
      </c>
      <c r="E21" s="587">
        <f>IF(VLOOKUP($A21,'hk2018'!$A:$G,1)=$A21,VLOOKUP($A21,'hk2018'!$A:$G,7),0)</f>
        <v>6134.6</v>
      </c>
      <c r="F21" s="587">
        <f>IF(VLOOKUP($A21,'hk2018'!$A:$H,1)=$A21,VLOOKUP($A21,'hk2018'!$A:$H,8),0)</f>
        <v>3634.33</v>
      </c>
      <c r="G21" s="588">
        <f t="shared" si="6"/>
        <v>117728.25</v>
      </c>
      <c r="H21" s="587">
        <f>IF(VLOOKUP($A21,'hk2017'!$A:$G,1)=$A21,VLOOKUP($A21,'hk2017'!$A:$G,6),0)</f>
        <v>109079.25</v>
      </c>
      <c r="I21" s="587">
        <f>IF(VLOOKUP($A21,'hk2017'!$A:$G,1)=$A21,VLOOKUP($A21,'hk2017'!$A:$G,7),0)</f>
        <v>14548.1</v>
      </c>
      <c r="J21" s="587">
        <f>IF(VLOOKUP($A21,'hk2017'!$A:$H,1)=$A21,VLOOKUP($A21,'hk2017'!$A:$H,8),0)</f>
        <v>8399.3700000000008</v>
      </c>
      <c r="K21" s="589">
        <f t="shared" si="7"/>
        <v>115227.98000000001</v>
      </c>
      <c r="L21" s="595"/>
    </row>
    <row r="22" spans="1:12" outlineLevel="2" x14ac:dyDescent="0.25">
      <c r="A22" s="581" t="s">
        <v>2744</v>
      </c>
      <c r="B22" s="582"/>
      <c r="C22" s="583" t="s">
        <v>2745</v>
      </c>
      <c r="D22" s="587">
        <f>IF(VLOOKUP($A22,'hk2018'!$A:$G,1)=$A22,VLOOKUP($A22,'hk2018'!$A:$G,6),0)</f>
        <v>0</v>
      </c>
      <c r="E22" s="587">
        <f>IF(VLOOKUP($A22,'hk2018'!$A:$G,1)=$A22,VLOOKUP($A22,'hk2018'!$A:$G,7),0)</f>
        <v>0</v>
      </c>
      <c r="F22" s="587">
        <f>IF(VLOOKUP($A22,'hk2018'!$A:$H,1)=$A22,VLOOKUP($A22,'hk2018'!$A:$H,8),0)</f>
        <v>0</v>
      </c>
      <c r="G22" s="588">
        <f t="shared" si="6"/>
        <v>0</v>
      </c>
      <c r="H22" s="587">
        <f>IF(VLOOKUP($A22,'hk2017'!$A:$G,1)=$A22,VLOOKUP($A22,'hk2017'!$A:$G,6),0)</f>
        <v>0</v>
      </c>
      <c r="I22" s="587">
        <f>IF(VLOOKUP($A22,'hk2017'!$A:$G,1)=$A22,VLOOKUP($A22,'hk2017'!$A:$G,7),0)</f>
        <v>0</v>
      </c>
      <c r="J22" s="587">
        <f>IF(VLOOKUP($A22,'hk2017'!$A:$H,1)=$A22,VLOOKUP($A22,'hk2017'!$A:$H,8),0)</f>
        <v>0</v>
      </c>
      <c r="K22" s="589">
        <f t="shared" si="7"/>
        <v>0</v>
      </c>
      <c r="L22" s="595"/>
    </row>
    <row r="23" spans="1:12" outlineLevel="2" x14ac:dyDescent="0.25">
      <c r="A23" s="581" t="str">
        <f>LEFT(B23,3)</f>
        <v>029</v>
      </c>
      <c r="B23" s="582" t="s">
        <v>2746</v>
      </c>
      <c r="C23" s="582" t="s">
        <v>2747</v>
      </c>
      <c r="D23" s="587">
        <f>IF(VLOOKUP($A23,'hk2018'!$A:$G,1)=$A23,VLOOKUP($A23,'hk2018'!$A:$G,6),0)</f>
        <v>0</v>
      </c>
      <c r="E23" s="587">
        <f>IF(VLOOKUP($A23,'hk2018'!$A:$G,1)=$A23,VLOOKUP($A23,'hk2018'!$A:$G,7),0)</f>
        <v>0</v>
      </c>
      <c r="F23" s="587">
        <f>IF(VLOOKUP($A23,'hk2018'!$A:$H,1)=$A23,VLOOKUP($A23,'hk2018'!$A:$H,8),0)</f>
        <v>0</v>
      </c>
      <c r="G23" s="588">
        <f t="shared" si="6"/>
        <v>0</v>
      </c>
      <c r="H23" s="587">
        <f>IF(VLOOKUP($A23,'hk2017'!$A:$G,1)=$A23,VLOOKUP($A23,'hk2017'!$A:$G,6),0)</f>
        <v>0</v>
      </c>
      <c r="I23" s="587">
        <f>IF(VLOOKUP($A23,'hk2017'!$A:$G,1)=$A23,VLOOKUP($A23,'hk2017'!$A:$G,7),0)</f>
        <v>0</v>
      </c>
      <c r="J23" s="587">
        <f>IF(VLOOKUP($A23,'hk2017'!$A:$H,1)=$A23,VLOOKUP($A23,'hk2017'!$A:$H,8),0)</f>
        <v>0</v>
      </c>
      <c r="K23" s="589">
        <f t="shared" si="7"/>
        <v>0</v>
      </c>
      <c r="L23" s="595"/>
    </row>
    <row r="24" spans="1:12" outlineLevel="2" x14ac:dyDescent="0.25">
      <c r="A24" s="581"/>
      <c r="B24" s="582"/>
      <c r="C24" s="582"/>
      <c r="D24" s="590"/>
      <c r="E24" s="590"/>
      <c r="F24" s="590"/>
      <c r="G24" s="591"/>
      <c r="H24" s="590"/>
      <c r="I24" s="590"/>
      <c r="J24" s="590"/>
      <c r="K24" s="592"/>
      <c r="L24" s="595"/>
    </row>
    <row r="25" spans="1:12" x14ac:dyDescent="0.25">
      <c r="A25" s="575" t="s">
        <v>2163</v>
      </c>
      <c r="B25" s="576"/>
      <c r="C25" s="577" t="s">
        <v>2748</v>
      </c>
      <c r="D25" s="578">
        <f t="shared" ref="D25:K25" si="8">SUM(D26:D28)</f>
        <v>0</v>
      </c>
      <c r="E25" s="578">
        <f t="shared" si="8"/>
        <v>0</v>
      </c>
      <c r="F25" s="578">
        <f t="shared" si="8"/>
        <v>0</v>
      </c>
      <c r="G25" s="593">
        <f t="shared" si="8"/>
        <v>0</v>
      </c>
      <c r="H25" s="578">
        <f t="shared" si="8"/>
        <v>0</v>
      </c>
      <c r="I25" s="578">
        <f t="shared" si="8"/>
        <v>0</v>
      </c>
      <c r="J25" s="578">
        <f t="shared" si="8"/>
        <v>0</v>
      </c>
      <c r="K25" s="594">
        <f t="shared" si="8"/>
        <v>0</v>
      </c>
      <c r="L25" s="595"/>
    </row>
    <row r="26" spans="1:12" outlineLevel="1" x14ac:dyDescent="0.25">
      <c r="A26" s="581" t="str">
        <f>LEFT(B26,3)</f>
        <v>031</v>
      </c>
      <c r="B26" s="582" t="s">
        <v>2749</v>
      </c>
      <c r="C26" s="582" t="s">
        <v>1498</v>
      </c>
      <c r="D26" s="587">
        <f>IF(VLOOKUP($A26,'hk2018'!$A:$G,1)=$A26,VLOOKUP($A26,'hk2018'!$A:$G,6),0)</f>
        <v>0</v>
      </c>
      <c r="E26" s="587">
        <f>IF(VLOOKUP($A26,'hk2018'!$A:$G,1)=$A26,VLOOKUP($A26,'hk2018'!$A:$G,7),0)</f>
        <v>0</v>
      </c>
      <c r="F26" s="587">
        <f>IF(VLOOKUP($A26,'hk2018'!$A:$H,1)=$A26,VLOOKUP($A26,'hk2018'!$A:$H,8),0)</f>
        <v>0</v>
      </c>
      <c r="G26" s="588">
        <f>SUM(D26+E26-F26)</f>
        <v>0</v>
      </c>
      <c r="H26" s="587">
        <f>IF(VLOOKUP($A26,'hk2017'!$A:$G,1)=$A26,VLOOKUP($A26,'hk2017'!$A:$G,6),0)</f>
        <v>0</v>
      </c>
      <c r="I26" s="587">
        <f>IF(VLOOKUP($A26,'hk2017'!$A:$G,1)=$A26,VLOOKUP($A26,'hk2017'!$A:$G,7),0)</f>
        <v>0</v>
      </c>
      <c r="J26" s="587">
        <f>IF(VLOOKUP($A26,'hk2017'!$A:$H,1)=$A26,VLOOKUP($A26,'hk2017'!$A:$H,8),0)</f>
        <v>0</v>
      </c>
      <c r="K26" s="589">
        <f>SUM(H26+I26-J26)</f>
        <v>0</v>
      </c>
      <c r="L26" s="595"/>
    </row>
    <row r="27" spans="1:12" outlineLevel="1" x14ac:dyDescent="0.25">
      <c r="A27" s="581" t="str">
        <f>LEFT(B27,3)</f>
        <v>032</v>
      </c>
      <c r="B27" s="582" t="s">
        <v>2750</v>
      </c>
      <c r="C27" s="582" t="s">
        <v>2751</v>
      </c>
      <c r="D27" s="587">
        <f>IF(VLOOKUP($A27,'hk2018'!$A:$G,1)=$A27,VLOOKUP($A27,'hk2018'!$A:$G,6),0)</f>
        <v>0</v>
      </c>
      <c r="E27" s="587">
        <f>IF(VLOOKUP($A27,'hk2018'!$A:$G,1)=$A27,VLOOKUP($A27,'hk2018'!$A:$G,7),0)</f>
        <v>0</v>
      </c>
      <c r="F27" s="587">
        <f>IF(VLOOKUP($A27,'hk2018'!$A:$H,1)=$A27,VLOOKUP($A27,'hk2018'!$A:$H,8),0)</f>
        <v>0</v>
      </c>
      <c r="G27" s="588">
        <f>SUM(D27+E27-F27)</f>
        <v>0</v>
      </c>
      <c r="H27" s="587">
        <f>IF(VLOOKUP($A27,'hk2017'!$A:$G,1)=$A27,VLOOKUP($A27,'hk2017'!$A:$G,6),0)</f>
        <v>0</v>
      </c>
      <c r="I27" s="587">
        <f>IF(VLOOKUP($A27,'hk2017'!$A:$G,1)=$A27,VLOOKUP($A27,'hk2017'!$A:$G,7),0)</f>
        <v>0</v>
      </c>
      <c r="J27" s="587">
        <f>IF(VLOOKUP($A27,'hk2017'!$A:$H,1)=$A27,VLOOKUP($A27,'hk2017'!$A:$H,8),0)</f>
        <v>0</v>
      </c>
      <c r="K27" s="589">
        <f>SUM(H27+I27-J27)</f>
        <v>0</v>
      </c>
      <c r="L27" s="595"/>
    </row>
    <row r="28" spans="1:12" outlineLevel="1" x14ac:dyDescent="0.25">
      <c r="A28" s="596"/>
      <c r="B28" s="597"/>
      <c r="C28" s="597"/>
      <c r="D28" s="590"/>
      <c r="E28" s="590"/>
      <c r="F28" s="590"/>
      <c r="G28" s="591"/>
      <c r="H28" s="590"/>
      <c r="I28" s="590"/>
      <c r="J28" s="590"/>
      <c r="K28" s="592"/>
      <c r="L28" s="595"/>
    </row>
    <row r="29" spans="1:12" x14ac:dyDescent="0.25">
      <c r="A29" s="575" t="s">
        <v>1232</v>
      </c>
      <c r="B29" s="576"/>
      <c r="C29" s="577" t="s">
        <v>210</v>
      </c>
      <c r="D29" s="578">
        <f t="shared" ref="D29:K29" si="9">SUM(D30:D34)</f>
        <v>0</v>
      </c>
      <c r="E29" s="578">
        <f t="shared" si="9"/>
        <v>6634.6</v>
      </c>
      <c r="F29" s="578">
        <f t="shared" si="9"/>
        <v>6134.6</v>
      </c>
      <c r="G29" s="579">
        <f t="shared" si="9"/>
        <v>500</v>
      </c>
      <c r="H29" s="578">
        <f t="shared" si="9"/>
        <v>0</v>
      </c>
      <c r="I29" s="578">
        <f t="shared" si="9"/>
        <v>15548.1</v>
      </c>
      <c r="J29" s="578">
        <f t="shared" si="9"/>
        <v>15548.1</v>
      </c>
      <c r="K29" s="580">
        <f t="shared" si="9"/>
        <v>0</v>
      </c>
      <c r="L29" s="595"/>
    </row>
    <row r="30" spans="1:12" outlineLevel="1" x14ac:dyDescent="0.25">
      <c r="A30" s="598" t="s">
        <v>209</v>
      </c>
      <c r="B30" s="582"/>
      <c r="C30" s="583" t="s">
        <v>2752</v>
      </c>
      <c r="D30" s="587">
        <f>IF(VLOOKUP($A30,'hk2018'!$A:$G,1)=$A30,VLOOKUP($A30,'hk2018'!$A:$G,6),0)</f>
        <v>0</v>
      </c>
      <c r="E30" s="587">
        <f>IF(VLOOKUP($A30,'hk2018'!$A:$G,1)=$A30,VLOOKUP($A30,'hk2018'!$A:$G,7),0)</f>
        <v>0</v>
      </c>
      <c r="F30" s="587">
        <f>IF(VLOOKUP($A30,'hk2018'!$A:$H,1)=$A30,VLOOKUP($A30,'hk2018'!$A:$H,8),0)</f>
        <v>0</v>
      </c>
      <c r="G30" s="588">
        <f>SUM(D30+E30-F30)</f>
        <v>0</v>
      </c>
      <c r="H30" s="587">
        <f>IF(VLOOKUP($A30,'hk2017'!$A:$G,1)=$A30,VLOOKUP($A30,'hk2017'!$A:$G,6),0)</f>
        <v>0</v>
      </c>
      <c r="I30" s="587">
        <f>IF(VLOOKUP($A30,'hk2017'!$A:$G,1)=$A30,VLOOKUP($A30,'hk2017'!$A:$G,7),0)</f>
        <v>0</v>
      </c>
      <c r="J30" s="587">
        <f>IF(VLOOKUP($A30,'hk2017'!$A:$H,1)=$A30,VLOOKUP($A30,'hk2017'!$A:$H,8),0)</f>
        <v>0</v>
      </c>
      <c r="K30" s="589">
        <f>SUM(H30+I30-J30)</f>
        <v>0</v>
      </c>
      <c r="L30" s="595"/>
    </row>
    <row r="31" spans="1:12" outlineLevel="1" x14ac:dyDescent="0.25">
      <c r="A31" s="581" t="str">
        <f>LEFT(B31,3)</f>
        <v>041</v>
      </c>
      <c r="B31" s="582" t="s">
        <v>2753</v>
      </c>
      <c r="C31" s="582" t="s">
        <v>2754</v>
      </c>
      <c r="D31" s="587">
        <f>IF(VLOOKUP($A31,'hk2018'!$A:$G,1)=$A31,VLOOKUP($A31,'hk2018'!$A:$G,6),0)</f>
        <v>0</v>
      </c>
      <c r="E31" s="587">
        <f>IF(VLOOKUP($A31,'hk2018'!$A:$G,1)=$A31,VLOOKUP($A31,'hk2018'!$A:$G,7),0)</f>
        <v>0</v>
      </c>
      <c r="F31" s="587">
        <f>IF(VLOOKUP($A31,'hk2018'!$A:$H,1)=$A31,VLOOKUP($A31,'hk2018'!$A:$H,8),0)</f>
        <v>0</v>
      </c>
      <c r="G31" s="588">
        <f>SUM(D31+E31-F31)</f>
        <v>0</v>
      </c>
      <c r="H31" s="587">
        <f>IF(VLOOKUP($A31,'hk2017'!$A:$G,1)=$A31,VLOOKUP($A31,'hk2017'!$A:$G,6),0)</f>
        <v>0</v>
      </c>
      <c r="I31" s="587">
        <f>IF(VLOOKUP($A31,'hk2017'!$A:$G,1)=$A31,VLOOKUP($A31,'hk2017'!$A:$G,7),0)</f>
        <v>0</v>
      </c>
      <c r="J31" s="587">
        <f>IF(VLOOKUP($A31,'hk2017'!$A:$H,1)=$A31,VLOOKUP($A31,'hk2017'!$A:$H,8),0)</f>
        <v>0</v>
      </c>
      <c r="K31" s="589">
        <f>SUM(H31+I31-J31)</f>
        <v>0</v>
      </c>
      <c r="L31" s="595"/>
    </row>
    <row r="32" spans="1:12" outlineLevel="1" x14ac:dyDescent="0.25">
      <c r="A32" s="581" t="str">
        <f>LEFT(B32,3)</f>
        <v>042</v>
      </c>
      <c r="B32" s="582" t="s">
        <v>2755</v>
      </c>
      <c r="C32" s="582" t="s">
        <v>2756</v>
      </c>
      <c r="D32" s="587">
        <f>IF(VLOOKUP($A32,'hk2018'!$A:$G,1)=$A32,VLOOKUP($A32,'hk2018'!$A:$G,6),0)</f>
        <v>0</v>
      </c>
      <c r="E32" s="587">
        <f>IF(VLOOKUP($A32,'hk2018'!$A:$G,1)=$A32,VLOOKUP($A32,'hk2018'!$A:$G,7),0)</f>
        <v>6634.6</v>
      </c>
      <c r="F32" s="587">
        <f>IF(VLOOKUP($A32,'hk2018'!$A:$H,1)=$A32,VLOOKUP($A32,'hk2018'!$A:$H,8),0)</f>
        <v>6134.6</v>
      </c>
      <c r="G32" s="588">
        <f>SUM(D32+E32-F32)</f>
        <v>500</v>
      </c>
      <c r="H32" s="587">
        <f>IF(VLOOKUP($A32,'hk2017'!$A:$G,1)=$A32,VLOOKUP($A32,'hk2017'!$A:$G,6),0)</f>
        <v>0</v>
      </c>
      <c r="I32" s="587">
        <f>IF(VLOOKUP($A32,'hk2017'!$A:$G,1)=$A32,VLOOKUP($A32,'hk2017'!$A:$G,7),0)</f>
        <v>15548.1</v>
      </c>
      <c r="J32" s="587">
        <f>IF(VLOOKUP($A32,'hk2017'!$A:$H,1)=$A32,VLOOKUP($A32,'hk2017'!$A:$H,8),0)</f>
        <v>15548.1</v>
      </c>
      <c r="K32" s="589">
        <f>SUM(H32+I32-J32)</f>
        <v>0</v>
      </c>
      <c r="L32" s="595"/>
    </row>
    <row r="33" spans="1:12" outlineLevel="1" x14ac:dyDescent="0.25">
      <c r="A33" s="581" t="str">
        <f>LEFT(B33,3)</f>
        <v>043</v>
      </c>
      <c r="B33" s="582" t="s">
        <v>2757</v>
      </c>
      <c r="C33" s="582" t="s">
        <v>2758</v>
      </c>
      <c r="D33" s="587">
        <f>IF(VLOOKUP($A33,'hk2018'!$A:$G,1)=$A33,VLOOKUP($A33,'hk2018'!$A:$G,6),0)</f>
        <v>0</v>
      </c>
      <c r="E33" s="587">
        <f>IF(VLOOKUP($A33,'hk2018'!$A:$G,1)=$A33,VLOOKUP($A33,'hk2018'!$A:$G,7),0)</f>
        <v>0</v>
      </c>
      <c r="F33" s="587">
        <f>IF(VLOOKUP($A33,'hk2018'!$A:$H,1)=$A33,VLOOKUP($A33,'hk2018'!$A:$H,8),0)</f>
        <v>0</v>
      </c>
      <c r="G33" s="588">
        <f>SUM(D33+E33-F33)</f>
        <v>0</v>
      </c>
      <c r="H33" s="587">
        <f>IF(VLOOKUP($A33,'hk2017'!$A:$G,1)=$A33,VLOOKUP($A33,'hk2017'!$A:$G,6),0)</f>
        <v>0</v>
      </c>
      <c r="I33" s="587">
        <f>IF(VLOOKUP($A33,'hk2017'!$A:$G,1)=$A33,VLOOKUP($A33,'hk2017'!$A:$G,7),0)</f>
        <v>0</v>
      </c>
      <c r="J33" s="587">
        <f>IF(VLOOKUP($A33,'hk2017'!$A:$H,1)=$A33,VLOOKUP($A33,'hk2017'!$A:$H,8),0)</f>
        <v>0</v>
      </c>
      <c r="K33" s="589">
        <f>SUM(H33+I33-J33)</f>
        <v>0</v>
      </c>
      <c r="L33" s="595"/>
    </row>
    <row r="34" spans="1:12" outlineLevel="1" x14ac:dyDescent="0.25">
      <c r="A34" s="596"/>
      <c r="B34" s="597"/>
      <c r="C34" s="597"/>
      <c r="D34" s="590"/>
      <c r="E34" s="590"/>
      <c r="F34" s="590"/>
      <c r="G34" s="591"/>
      <c r="H34" s="590"/>
      <c r="I34" s="590"/>
      <c r="J34" s="590"/>
      <c r="K34" s="592"/>
      <c r="L34" s="595"/>
    </row>
    <row r="35" spans="1:12" x14ac:dyDescent="0.25">
      <c r="A35" s="575" t="s">
        <v>1233</v>
      </c>
      <c r="B35" s="576"/>
      <c r="C35" s="577" t="s">
        <v>2759</v>
      </c>
      <c r="D35" s="578">
        <f t="shared" ref="D35:K35" si="10">SUM(D36:D40)</f>
        <v>0</v>
      </c>
      <c r="E35" s="578">
        <f t="shared" si="10"/>
        <v>0</v>
      </c>
      <c r="F35" s="578">
        <f t="shared" si="10"/>
        <v>0</v>
      </c>
      <c r="G35" s="579">
        <f t="shared" si="10"/>
        <v>0</v>
      </c>
      <c r="H35" s="578">
        <f t="shared" si="10"/>
        <v>0</v>
      </c>
      <c r="I35" s="578">
        <f t="shared" si="10"/>
        <v>0</v>
      </c>
      <c r="J35" s="578">
        <f t="shared" si="10"/>
        <v>0</v>
      </c>
      <c r="K35" s="580">
        <f t="shared" si="10"/>
        <v>0</v>
      </c>
      <c r="L35" s="595"/>
    </row>
    <row r="36" spans="1:12" outlineLevel="1" x14ac:dyDescent="0.25">
      <c r="A36" s="598" t="s">
        <v>222</v>
      </c>
      <c r="B36" s="582"/>
      <c r="C36" s="583" t="s">
        <v>2760</v>
      </c>
      <c r="D36" s="587">
        <f>IF(VLOOKUP($A36,'hk2018'!$A:$G,1)=$A36,VLOOKUP($A36,'hk2018'!$A:$G,6),0)</f>
        <v>0</v>
      </c>
      <c r="E36" s="587">
        <f>IF(VLOOKUP($A36,'hk2018'!$A:$G,1)=$A36,VLOOKUP($A36,'hk2018'!$A:$G,7),0)</f>
        <v>0</v>
      </c>
      <c r="F36" s="587">
        <f>IF(VLOOKUP($A36,'hk2018'!$A:$H,1)=$A36,VLOOKUP($A36,'hk2018'!$A:$H,8),0)</f>
        <v>0</v>
      </c>
      <c r="G36" s="588">
        <f>SUM(D36+E36-F36)</f>
        <v>0</v>
      </c>
      <c r="H36" s="587">
        <f>IF(VLOOKUP($A36,'hk2017'!$A:$G,1)=$A36,VLOOKUP($A36,'hk2017'!$A:$G,6),0)</f>
        <v>0</v>
      </c>
      <c r="I36" s="587">
        <f>IF(VLOOKUP($A36,'hk2017'!$A:$G,1)=$A36,VLOOKUP($A36,'hk2017'!$A:$G,7),0)</f>
        <v>0</v>
      </c>
      <c r="J36" s="587">
        <f>IF(VLOOKUP($A36,'hk2017'!$A:$H,1)=$A36,VLOOKUP($A36,'hk2017'!$A:$H,8),0)</f>
        <v>0</v>
      </c>
      <c r="K36" s="589">
        <f>SUM(H36+I36-J36)</f>
        <v>0</v>
      </c>
      <c r="L36" s="595"/>
    </row>
    <row r="37" spans="1:12" outlineLevel="1" x14ac:dyDescent="0.25">
      <c r="A37" s="581" t="str">
        <f>LEFT(B37,3)</f>
        <v>051</v>
      </c>
      <c r="B37" s="582" t="s">
        <v>2761</v>
      </c>
      <c r="C37" s="582" t="s">
        <v>2762</v>
      </c>
      <c r="D37" s="587">
        <f>IF(VLOOKUP($A37,'hk2018'!$A:$G,1)=$A37,VLOOKUP($A37,'hk2018'!$A:$G,6),0)</f>
        <v>0</v>
      </c>
      <c r="E37" s="587">
        <f>IF(VLOOKUP($A37,'hk2018'!$A:$G,1)=$A37,VLOOKUP($A37,'hk2018'!$A:$G,7),0)</f>
        <v>0</v>
      </c>
      <c r="F37" s="587">
        <f>IF(VLOOKUP($A37,'hk2018'!$A:$H,1)=$A37,VLOOKUP($A37,'hk2018'!$A:$H,8),0)</f>
        <v>0</v>
      </c>
      <c r="G37" s="588">
        <f>SUM(D37+E37-F37)</f>
        <v>0</v>
      </c>
      <c r="H37" s="587">
        <f>IF(VLOOKUP($A37,'hk2017'!$A:$G,1)=$A37,VLOOKUP($A37,'hk2017'!$A:$G,6),0)</f>
        <v>0</v>
      </c>
      <c r="I37" s="587">
        <f>IF(VLOOKUP($A37,'hk2017'!$A:$G,1)=$A37,VLOOKUP($A37,'hk2017'!$A:$G,7),0)</f>
        <v>0</v>
      </c>
      <c r="J37" s="587">
        <f>IF(VLOOKUP($A37,'hk2017'!$A:$H,1)=$A37,VLOOKUP($A37,'hk2017'!$A:$H,8),0)</f>
        <v>0</v>
      </c>
      <c r="K37" s="589">
        <f>SUM(H37+I37-J37)</f>
        <v>0</v>
      </c>
      <c r="L37" s="595"/>
    </row>
    <row r="38" spans="1:12" outlineLevel="1" x14ac:dyDescent="0.25">
      <c r="A38" s="581" t="str">
        <f>LEFT(B38,3)</f>
        <v>052</v>
      </c>
      <c r="B38" s="582" t="s">
        <v>2763</v>
      </c>
      <c r="C38" s="582" t="s">
        <v>2764</v>
      </c>
      <c r="D38" s="587">
        <f>IF(VLOOKUP($A38,'hk2018'!$A:$G,1)=$A38,VLOOKUP($A38,'hk2018'!$A:$G,6),0)</f>
        <v>0</v>
      </c>
      <c r="E38" s="587">
        <f>IF(VLOOKUP($A38,'hk2018'!$A:$G,1)=$A38,VLOOKUP($A38,'hk2018'!$A:$G,7),0)</f>
        <v>0</v>
      </c>
      <c r="F38" s="587">
        <f>IF(VLOOKUP($A38,'hk2018'!$A:$H,1)=$A38,VLOOKUP($A38,'hk2018'!$A:$H,8),0)</f>
        <v>0</v>
      </c>
      <c r="G38" s="588">
        <f>SUM(D38+E38-F38)</f>
        <v>0</v>
      </c>
      <c r="H38" s="587">
        <f>IF(VLOOKUP($A38,'hk2017'!$A:$G,1)=$A38,VLOOKUP($A38,'hk2017'!$A:$G,6),0)</f>
        <v>0</v>
      </c>
      <c r="I38" s="587">
        <f>IF(VLOOKUP($A38,'hk2017'!$A:$G,1)=$A38,VLOOKUP($A38,'hk2017'!$A:$G,7),0)</f>
        <v>0</v>
      </c>
      <c r="J38" s="587">
        <f>IF(VLOOKUP($A38,'hk2017'!$A:$H,1)=$A38,VLOOKUP($A38,'hk2017'!$A:$H,8),0)</f>
        <v>0</v>
      </c>
      <c r="K38" s="589">
        <f>SUM(H38+I38-J38)</f>
        <v>0</v>
      </c>
      <c r="L38" s="595"/>
    </row>
    <row r="39" spans="1:12" outlineLevel="1" x14ac:dyDescent="0.25">
      <c r="A39" s="581" t="str">
        <f>LEFT(B39,3)</f>
        <v>053</v>
      </c>
      <c r="B39" s="582" t="s">
        <v>2765</v>
      </c>
      <c r="C39" s="582" t="s">
        <v>2766</v>
      </c>
      <c r="D39" s="587">
        <f>IF(VLOOKUP($A39,'hk2018'!$A:$G,1)=$A39,VLOOKUP($A39,'hk2018'!$A:$G,6),0)</f>
        <v>0</v>
      </c>
      <c r="E39" s="587">
        <f>IF(VLOOKUP($A39,'hk2018'!$A:$G,1)=$A39,VLOOKUP($A39,'hk2018'!$A:$G,7),0)</f>
        <v>0</v>
      </c>
      <c r="F39" s="587">
        <f>IF(VLOOKUP($A39,'hk2018'!$A:$H,1)=$A39,VLOOKUP($A39,'hk2018'!$A:$H,8),0)</f>
        <v>0</v>
      </c>
      <c r="G39" s="588">
        <f>SUM(D39+E39-F39)</f>
        <v>0</v>
      </c>
      <c r="H39" s="587">
        <f>IF(VLOOKUP($A39,'hk2017'!$A:$G,1)=$A39,VLOOKUP($A39,'hk2017'!$A:$G,6),0)</f>
        <v>0</v>
      </c>
      <c r="I39" s="587">
        <f>IF(VLOOKUP($A39,'hk2017'!$A:$G,1)=$A39,VLOOKUP($A39,'hk2017'!$A:$G,7),0)</f>
        <v>0</v>
      </c>
      <c r="J39" s="587">
        <f>IF(VLOOKUP($A39,'hk2017'!$A:$H,1)=$A39,VLOOKUP($A39,'hk2017'!$A:$H,8),0)</f>
        <v>0</v>
      </c>
      <c r="K39" s="589">
        <f>SUM(H39+I39-J39)</f>
        <v>0</v>
      </c>
      <c r="L39" s="595"/>
    </row>
    <row r="40" spans="1:12" outlineLevel="1" x14ac:dyDescent="0.25">
      <c r="A40" s="596"/>
      <c r="B40" s="597"/>
      <c r="C40" s="597"/>
      <c r="D40" s="590"/>
      <c r="E40" s="590"/>
      <c r="F40" s="590"/>
      <c r="G40" s="591"/>
      <c r="H40" s="590"/>
      <c r="I40" s="590"/>
      <c r="J40" s="590"/>
      <c r="K40" s="592"/>
      <c r="L40" s="595"/>
    </row>
    <row r="41" spans="1:12" x14ac:dyDescent="0.25">
      <c r="A41" s="575" t="s">
        <v>1234</v>
      </c>
      <c r="B41" s="576"/>
      <c r="C41" s="577" t="s">
        <v>237</v>
      </c>
      <c r="D41" s="578">
        <f t="shared" ref="D41:K41" si="11">SUM(D42:D49)</f>
        <v>0</v>
      </c>
      <c r="E41" s="578">
        <f t="shared" si="11"/>
        <v>0</v>
      </c>
      <c r="F41" s="578">
        <f t="shared" si="11"/>
        <v>0</v>
      </c>
      <c r="G41" s="593">
        <f t="shared" si="11"/>
        <v>0</v>
      </c>
      <c r="H41" s="578">
        <f t="shared" si="11"/>
        <v>0</v>
      </c>
      <c r="I41" s="578">
        <f t="shared" si="11"/>
        <v>0</v>
      </c>
      <c r="J41" s="578">
        <f t="shared" si="11"/>
        <v>0</v>
      </c>
      <c r="K41" s="594">
        <f t="shared" si="11"/>
        <v>0</v>
      </c>
      <c r="L41" s="595"/>
    </row>
    <row r="42" spans="1:12" outlineLevel="1" x14ac:dyDescent="0.25">
      <c r="A42" s="581" t="str">
        <f t="shared" ref="A42:A48" si="12">LEFT(B42,3)</f>
        <v>061</v>
      </c>
      <c r="B42" s="582" t="s">
        <v>2767</v>
      </c>
      <c r="C42" s="582" t="s">
        <v>2768</v>
      </c>
      <c r="D42" s="587">
        <f>IF(VLOOKUP($A42,'hk2018'!$A:$G,1)=$A42,VLOOKUP($A42,'hk2018'!$A:$G,6),0)</f>
        <v>0</v>
      </c>
      <c r="E42" s="587">
        <f>IF(VLOOKUP($A42,'hk2018'!$A:$G,1)=$A42,VLOOKUP($A42,'hk2018'!$A:$G,7),0)</f>
        <v>0</v>
      </c>
      <c r="F42" s="587">
        <f>IF(VLOOKUP($A42,'hk2018'!$A:$H,1)=$A42,VLOOKUP($A42,'hk2018'!$A:$H,8),0)</f>
        <v>0</v>
      </c>
      <c r="G42" s="588">
        <f t="shared" ref="G42:G48" si="13">SUM(D42+E42-F42)</f>
        <v>0</v>
      </c>
      <c r="H42" s="587">
        <f>IF(VLOOKUP($A42,'hk2017'!$A:$G,1)=$A42,VLOOKUP($A42,'hk2017'!$A:$G,6),0)</f>
        <v>0</v>
      </c>
      <c r="I42" s="587">
        <f>IF(VLOOKUP($A42,'hk2017'!$A:$G,1)=$A42,VLOOKUP($A42,'hk2017'!$A:$G,7),0)</f>
        <v>0</v>
      </c>
      <c r="J42" s="587">
        <f>IF(VLOOKUP($A42,'hk2017'!$A:$H,1)=$A42,VLOOKUP($A42,'hk2017'!$A:$H,8),0)</f>
        <v>0</v>
      </c>
      <c r="K42" s="589">
        <f t="shared" ref="K42:K48" si="14">SUM(H42+I42-J42)</f>
        <v>0</v>
      </c>
      <c r="L42" s="595"/>
    </row>
    <row r="43" spans="1:12" outlineLevel="1" x14ac:dyDescent="0.25">
      <c r="A43" s="581" t="str">
        <f t="shared" si="12"/>
        <v>062</v>
      </c>
      <c r="B43" s="582" t="s">
        <v>2769</v>
      </c>
      <c r="C43" s="582" t="s">
        <v>2770</v>
      </c>
      <c r="D43" s="587">
        <f>IF(VLOOKUP($A43,'hk2018'!$A:$G,1)=$A43,VLOOKUP($A43,'hk2018'!$A:$G,6),0)</f>
        <v>0</v>
      </c>
      <c r="E43" s="587">
        <f>IF(VLOOKUP($A43,'hk2018'!$A:$G,1)=$A43,VLOOKUP($A43,'hk2018'!$A:$G,7),0)</f>
        <v>0</v>
      </c>
      <c r="F43" s="587">
        <f>IF(VLOOKUP($A43,'hk2018'!$A:$H,1)=$A43,VLOOKUP($A43,'hk2018'!$A:$H,8),0)</f>
        <v>0</v>
      </c>
      <c r="G43" s="588">
        <f t="shared" si="13"/>
        <v>0</v>
      </c>
      <c r="H43" s="587">
        <f>IF(VLOOKUP($A43,'hk2017'!$A:$G,1)=$A43,VLOOKUP($A43,'hk2017'!$A:$G,6),0)</f>
        <v>0</v>
      </c>
      <c r="I43" s="587">
        <f>IF(VLOOKUP($A43,'hk2017'!$A:$G,1)=$A43,VLOOKUP($A43,'hk2017'!$A:$G,7),0)</f>
        <v>0</v>
      </c>
      <c r="J43" s="587">
        <f>IF(VLOOKUP($A43,'hk2017'!$A:$H,1)=$A43,VLOOKUP($A43,'hk2017'!$A:$H,8),0)</f>
        <v>0</v>
      </c>
      <c r="K43" s="589">
        <f t="shared" si="14"/>
        <v>0</v>
      </c>
      <c r="L43" s="595"/>
    </row>
    <row r="44" spans="1:12" outlineLevel="1" x14ac:dyDescent="0.25">
      <c r="A44" s="581" t="str">
        <f t="shared" si="12"/>
        <v>063</v>
      </c>
      <c r="B44" s="582" t="s">
        <v>2771</v>
      </c>
      <c r="C44" s="582" t="s">
        <v>2772</v>
      </c>
      <c r="D44" s="587">
        <f>IF(VLOOKUP($A44,'hk2018'!$A:$G,1)=$A44,VLOOKUP($A44,'hk2018'!$A:$G,6),0)</f>
        <v>0</v>
      </c>
      <c r="E44" s="587">
        <f>IF(VLOOKUP($A44,'hk2018'!$A:$G,1)=$A44,VLOOKUP($A44,'hk2018'!$A:$G,7),0)</f>
        <v>0</v>
      </c>
      <c r="F44" s="587">
        <f>IF(VLOOKUP($A44,'hk2018'!$A:$H,1)=$A44,VLOOKUP($A44,'hk2018'!$A:$H,8),0)</f>
        <v>0</v>
      </c>
      <c r="G44" s="588">
        <f t="shared" si="13"/>
        <v>0</v>
      </c>
      <c r="H44" s="587">
        <f>IF(VLOOKUP($A44,'hk2017'!$A:$G,1)=$A44,VLOOKUP($A44,'hk2017'!$A:$G,6),0)</f>
        <v>0</v>
      </c>
      <c r="I44" s="587">
        <f>IF(VLOOKUP($A44,'hk2017'!$A:$G,1)=$A44,VLOOKUP($A44,'hk2017'!$A:$G,7),0)</f>
        <v>0</v>
      </c>
      <c r="J44" s="587">
        <f>IF(VLOOKUP($A44,'hk2017'!$A:$H,1)=$A44,VLOOKUP($A44,'hk2017'!$A:$H,8),0)</f>
        <v>0</v>
      </c>
      <c r="K44" s="589">
        <f t="shared" si="14"/>
        <v>0</v>
      </c>
      <c r="L44" s="595"/>
    </row>
    <row r="45" spans="1:12" outlineLevel="1" x14ac:dyDescent="0.25">
      <c r="A45" s="581" t="str">
        <f t="shared" si="12"/>
        <v>065</v>
      </c>
      <c r="B45" s="582" t="s">
        <v>2773</v>
      </c>
      <c r="C45" s="582" t="s">
        <v>2774</v>
      </c>
      <c r="D45" s="587">
        <f>IF(VLOOKUP($A45,'hk2018'!$A:$G,1)=$A45,VLOOKUP($A45,'hk2018'!$A:$G,6),0)</f>
        <v>0</v>
      </c>
      <c r="E45" s="587">
        <f>IF(VLOOKUP($A45,'hk2018'!$A:$G,1)=$A45,VLOOKUP($A45,'hk2018'!$A:$G,7),0)</f>
        <v>0</v>
      </c>
      <c r="F45" s="587">
        <f>IF(VLOOKUP($A45,'hk2018'!$A:$H,1)=$A45,VLOOKUP($A45,'hk2018'!$A:$H,8),0)</f>
        <v>0</v>
      </c>
      <c r="G45" s="588">
        <f t="shared" si="13"/>
        <v>0</v>
      </c>
      <c r="H45" s="587">
        <f>IF(VLOOKUP($A45,'hk2017'!$A:$G,1)=$A45,VLOOKUP($A45,'hk2017'!$A:$G,6),0)</f>
        <v>0</v>
      </c>
      <c r="I45" s="587">
        <f>IF(VLOOKUP($A45,'hk2017'!$A:$G,1)=$A45,VLOOKUP($A45,'hk2017'!$A:$G,7),0)</f>
        <v>0</v>
      </c>
      <c r="J45" s="587">
        <f>IF(VLOOKUP($A45,'hk2017'!$A:$H,1)=$A45,VLOOKUP($A45,'hk2017'!$A:$H,8),0)</f>
        <v>0</v>
      </c>
      <c r="K45" s="589">
        <f t="shared" si="14"/>
        <v>0</v>
      </c>
      <c r="L45" s="595"/>
    </row>
    <row r="46" spans="1:12" outlineLevel="1" x14ac:dyDescent="0.25">
      <c r="A46" s="581" t="str">
        <f t="shared" si="12"/>
        <v>066</v>
      </c>
      <c r="B46" s="582" t="s">
        <v>2775</v>
      </c>
      <c r="C46" s="582" t="s">
        <v>2776</v>
      </c>
      <c r="D46" s="587">
        <f>IF(VLOOKUP($A46,'hk2018'!$A:$G,1)=$A46,VLOOKUP($A46,'hk2018'!$A:$G,6),0)</f>
        <v>0</v>
      </c>
      <c r="E46" s="587">
        <f>IF(VLOOKUP($A46,'hk2018'!$A:$G,1)=$A46,VLOOKUP($A46,'hk2018'!$A:$G,7),0)</f>
        <v>0</v>
      </c>
      <c r="F46" s="587">
        <f>IF(VLOOKUP($A46,'hk2018'!$A:$H,1)=$A46,VLOOKUP($A46,'hk2018'!$A:$H,8),0)</f>
        <v>0</v>
      </c>
      <c r="G46" s="588">
        <f t="shared" si="13"/>
        <v>0</v>
      </c>
      <c r="H46" s="587">
        <f>IF(VLOOKUP($A46,'hk2017'!$A:$G,1)=$A46,VLOOKUP($A46,'hk2017'!$A:$G,6),0)</f>
        <v>0</v>
      </c>
      <c r="I46" s="587">
        <f>IF(VLOOKUP($A46,'hk2017'!$A:$G,1)=$A46,VLOOKUP($A46,'hk2017'!$A:$G,7),0)</f>
        <v>0</v>
      </c>
      <c r="J46" s="587">
        <f>IF(VLOOKUP($A46,'hk2017'!$A:$H,1)=$A46,VLOOKUP($A46,'hk2017'!$A:$H,8),0)</f>
        <v>0</v>
      </c>
      <c r="K46" s="589">
        <f t="shared" si="14"/>
        <v>0</v>
      </c>
      <c r="L46" s="595"/>
    </row>
    <row r="47" spans="1:12" outlineLevel="1" x14ac:dyDescent="0.25">
      <c r="A47" s="581" t="str">
        <f t="shared" si="12"/>
        <v>067</v>
      </c>
      <c r="B47" s="582" t="s">
        <v>2777</v>
      </c>
      <c r="C47" s="582" t="s">
        <v>1537</v>
      </c>
      <c r="D47" s="587">
        <f>IF(VLOOKUP($A47,'hk2018'!$A:$G,1)=$A47,VLOOKUP($A47,'hk2018'!$A:$G,6),0)</f>
        <v>0</v>
      </c>
      <c r="E47" s="587">
        <f>IF(VLOOKUP($A47,'hk2018'!$A:$G,1)=$A47,VLOOKUP($A47,'hk2018'!$A:$G,7),0)</f>
        <v>0</v>
      </c>
      <c r="F47" s="587">
        <f>IF(VLOOKUP($A47,'hk2018'!$A:$H,1)=$A47,VLOOKUP($A47,'hk2018'!$A:$H,8),0)</f>
        <v>0</v>
      </c>
      <c r="G47" s="588">
        <f t="shared" si="13"/>
        <v>0</v>
      </c>
      <c r="H47" s="587">
        <f>IF(VLOOKUP($A47,'hk2017'!$A:$G,1)=$A47,VLOOKUP($A47,'hk2017'!$A:$G,6),0)</f>
        <v>0</v>
      </c>
      <c r="I47" s="587">
        <f>IF(VLOOKUP($A47,'hk2017'!$A:$G,1)=$A47,VLOOKUP($A47,'hk2017'!$A:$G,7),0)</f>
        <v>0</v>
      </c>
      <c r="J47" s="587">
        <f>IF(VLOOKUP($A47,'hk2017'!$A:$H,1)=$A47,VLOOKUP($A47,'hk2017'!$A:$H,8),0)</f>
        <v>0</v>
      </c>
      <c r="K47" s="589">
        <f t="shared" si="14"/>
        <v>0</v>
      </c>
      <c r="L47" s="595"/>
    </row>
    <row r="48" spans="1:12" outlineLevel="1" x14ac:dyDescent="0.25">
      <c r="A48" s="581" t="str">
        <f t="shared" si="12"/>
        <v>069</v>
      </c>
      <c r="B48" s="582" t="s">
        <v>2778</v>
      </c>
      <c r="C48" s="582" t="s">
        <v>2779</v>
      </c>
      <c r="D48" s="587">
        <f>IF(VLOOKUP($A48,'hk2018'!$A:$G,1)=$A48,VLOOKUP($A48,'hk2018'!$A:$G,6),0)</f>
        <v>0</v>
      </c>
      <c r="E48" s="587">
        <f>IF(VLOOKUP($A48,'hk2018'!$A:$G,1)=$A48,VLOOKUP($A48,'hk2018'!$A:$G,7),0)</f>
        <v>0</v>
      </c>
      <c r="F48" s="587">
        <f>IF(VLOOKUP($A48,'hk2018'!$A:$H,1)=$A48,VLOOKUP($A48,'hk2018'!$A:$H,8),0)</f>
        <v>0</v>
      </c>
      <c r="G48" s="588">
        <f t="shared" si="13"/>
        <v>0</v>
      </c>
      <c r="H48" s="587">
        <f>IF(VLOOKUP($A48,'hk2017'!$A:$G,1)=$A48,VLOOKUP($A48,'hk2017'!$A:$G,6),0)</f>
        <v>0</v>
      </c>
      <c r="I48" s="587">
        <f>IF(VLOOKUP($A48,'hk2017'!$A:$G,1)=$A48,VLOOKUP($A48,'hk2017'!$A:$G,7),0)</f>
        <v>0</v>
      </c>
      <c r="J48" s="587">
        <f>IF(VLOOKUP($A48,'hk2017'!$A:$H,1)=$A48,VLOOKUP($A48,'hk2017'!$A:$H,8),0)</f>
        <v>0</v>
      </c>
      <c r="K48" s="589">
        <f t="shared" si="14"/>
        <v>0</v>
      </c>
      <c r="L48" s="595"/>
    </row>
    <row r="49" spans="1:12" outlineLevel="1" x14ac:dyDescent="0.25">
      <c r="A49" s="596"/>
      <c r="B49" s="597"/>
      <c r="C49" s="597"/>
      <c r="D49" s="590"/>
      <c r="E49" s="590"/>
      <c r="F49" s="590"/>
      <c r="G49" s="591"/>
      <c r="H49" s="590"/>
      <c r="I49" s="590"/>
      <c r="J49" s="590"/>
      <c r="K49" s="592"/>
      <c r="L49" s="595"/>
    </row>
    <row r="50" spans="1:12" x14ac:dyDescent="0.25">
      <c r="A50" s="575" t="s">
        <v>1235</v>
      </c>
      <c r="B50" s="576"/>
      <c r="C50" s="577" t="s">
        <v>2780</v>
      </c>
      <c r="D50" s="578">
        <f t="shared" ref="D50:K50" si="15">SUM(D52:D59)</f>
        <v>-3624.71</v>
      </c>
      <c r="E50" s="578">
        <f t="shared" si="15"/>
        <v>0</v>
      </c>
      <c r="F50" s="578">
        <f t="shared" si="15"/>
        <v>0</v>
      </c>
      <c r="G50" s="593">
        <f t="shared" si="15"/>
        <v>-3624.71</v>
      </c>
      <c r="H50" s="578">
        <f t="shared" si="15"/>
        <v>-3624.71</v>
      </c>
      <c r="I50" s="578">
        <f t="shared" si="15"/>
        <v>0</v>
      </c>
      <c r="J50" s="578">
        <f t="shared" si="15"/>
        <v>0</v>
      </c>
      <c r="K50" s="594">
        <f t="shared" si="15"/>
        <v>-3624.71</v>
      </c>
      <c r="L50" s="595"/>
    </row>
    <row r="51" spans="1:12" outlineLevel="1" x14ac:dyDescent="0.25">
      <c r="A51" s="599" t="s">
        <v>266</v>
      </c>
      <c r="B51" s="600"/>
      <c r="C51" s="583" t="s">
        <v>2781</v>
      </c>
      <c r="D51" s="587">
        <f>IF(VLOOKUP($A51,'hk2018'!$A:$G,1)=$A51,VLOOKUP($A51,'hk2018'!$A:$G,6),0)</f>
        <v>0</v>
      </c>
      <c r="E51" s="587">
        <f>IF(VLOOKUP($A51,'hk2018'!$A:$G,1)=$A51,VLOOKUP($A51,'hk2018'!$A:$G,7),0)</f>
        <v>0</v>
      </c>
      <c r="F51" s="587">
        <f>IF(VLOOKUP($A51,'hk2018'!$A:$H,1)=$A51,VLOOKUP($A51,'hk2018'!$A:$H,8),0)</f>
        <v>0</v>
      </c>
      <c r="G51" s="588">
        <f t="shared" ref="G51:G58" si="16">SUM(D51+E51-F51)</f>
        <v>0</v>
      </c>
      <c r="H51" s="587">
        <f>IF(VLOOKUP($A51,'hk2017'!$A:$G,1)=$A51,VLOOKUP($A51,'hk2017'!$A:$G,6),0)</f>
        <v>0</v>
      </c>
      <c r="I51" s="587">
        <f>IF(VLOOKUP($A51,'hk2017'!$A:$G,1)=$A51,VLOOKUP($A51,'hk2017'!$A:$G,7),0)</f>
        <v>0</v>
      </c>
      <c r="J51" s="587">
        <f>IF(VLOOKUP($A51,'hk2017'!$A:$H,1)=$A51,VLOOKUP($A51,'hk2017'!$A:$H,8),0)</f>
        <v>0</v>
      </c>
      <c r="K51" s="589">
        <f t="shared" ref="K51:K58" si="17">SUM(H51+I51-J51)</f>
        <v>0</v>
      </c>
      <c r="L51" s="595"/>
    </row>
    <row r="52" spans="1:12" outlineLevel="1" x14ac:dyDescent="0.25">
      <c r="A52" s="581" t="str">
        <f>LEFT(B52,3)</f>
        <v>071</v>
      </c>
      <c r="B52" s="582" t="s">
        <v>2782</v>
      </c>
      <c r="C52" s="582" t="s">
        <v>2783</v>
      </c>
      <c r="D52" s="587">
        <f>IF(VLOOKUP($A52,'hk2018'!$A:$G,1)=$A52,VLOOKUP($A52,'hk2018'!$A:$G,6),0)</f>
        <v>0</v>
      </c>
      <c r="E52" s="587">
        <f>IF(VLOOKUP($A52,'hk2018'!$A:$G,1)=$A52,VLOOKUP($A52,'hk2018'!$A:$G,7),0)</f>
        <v>0</v>
      </c>
      <c r="F52" s="587">
        <f>IF(VLOOKUP($A52,'hk2018'!$A:$H,1)=$A52,VLOOKUP($A52,'hk2018'!$A:$H,8),0)</f>
        <v>0</v>
      </c>
      <c r="G52" s="588">
        <f t="shared" si="16"/>
        <v>0</v>
      </c>
      <c r="H52" s="587">
        <f>IF(VLOOKUP($A52,'hk2017'!$A:$G,1)=$A52,VLOOKUP($A52,'hk2017'!$A:$G,6),0)</f>
        <v>0</v>
      </c>
      <c r="I52" s="587">
        <f>IF(VLOOKUP($A52,'hk2017'!$A:$G,1)=$A52,VLOOKUP($A52,'hk2017'!$A:$G,7),0)</f>
        <v>0</v>
      </c>
      <c r="J52" s="587">
        <f>IF(VLOOKUP($A52,'hk2017'!$A:$H,1)=$A52,VLOOKUP($A52,'hk2017'!$A:$H,8),0)</f>
        <v>0</v>
      </c>
      <c r="K52" s="589">
        <f t="shared" si="17"/>
        <v>0</v>
      </c>
      <c r="L52" s="595"/>
    </row>
    <row r="53" spans="1:12" outlineLevel="1" x14ac:dyDescent="0.25">
      <c r="A53" s="581" t="str">
        <f>LEFT(B53,3)</f>
        <v>072</v>
      </c>
      <c r="B53" s="582" t="s">
        <v>2784</v>
      </c>
      <c r="C53" s="582" t="s">
        <v>2785</v>
      </c>
      <c r="D53" s="587">
        <f>IF(VLOOKUP($A53,'hk2018'!$A:$G,1)=$A53,VLOOKUP($A53,'hk2018'!$A:$G,6),0)</f>
        <v>0</v>
      </c>
      <c r="E53" s="587">
        <f>IF(VLOOKUP($A53,'hk2018'!$A:$G,1)=$A53,VLOOKUP($A53,'hk2018'!$A:$G,7),0)</f>
        <v>0</v>
      </c>
      <c r="F53" s="587">
        <f>IF(VLOOKUP($A53,'hk2018'!$A:$H,1)=$A53,VLOOKUP($A53,'hk2018'!$A:$H,8),0)</f>
        <v>0</v>
      </c>
      <c r="G53" s="588">
        <f t="shared" si="16"/>
        <v>0</v>
      </c>
      <c r="H53" s="587">
        <f>IF(VLOOKUP($A53,'hk2017'!$A:$G,1)=$A53,VLOOKUP($A53,'hk2017'!$A:$G,6),0)</f>
        <v>0</v>
      </c>
      <c r="I53" s="587">
        <f>IF(VLOOKUP($A53,'hk2017'!$A:$G,1)=$A53,VLOOKUP($A53,'hk2017'!$A:$G,7),0)</f>
        <v>0</v>
      </c>
      <c r="J53" s="587">
        <f>IF(VLOOKUP($A53,'hk2017'!$A:$H,1)=$A53,VLOOKUP($A53,'hk2017'!$A:$H,8),0)</f>
        <v>0</v>
      </c>
      <c r="K53" s="589">
        <f t="shared" si="17"/>
        <v>0</v>
      </c>
      <c r="L53" s="595"/>
    </row>
    <row r="54" spans="1:12" outlineLevel="1" x14ac:dyDescent="0.25">
      <c r="A54" s="581" t="str">
        <f>LEFT(B54,3)</f>
        <v>073</v>
      </c>
      <c r="B54" s="582" t="s">
        <v>2786</v>
      </c>
      <c r="C54" s="582" t="s">
        <v>2787</v>
      </c>
      <c r="D54" s="587">
        <f>IF(VLOOKUP($A54,'hk2018'!$A:$G,1)=$A54,VLOOKUP($A54,'hk2018'!$A:$G,6),0)</f>
        <v>-99.58</v>
      </c>
      <c r="E54" s="587">
        <f>IF(VLOOKUP($A54,'hk2018'!$A:$G,1)=$A54,VLOOKUP($A54,'hk2018'!$A:$G,7),0)</f>
        <v>0</v>
      </c>
      <c r="F54" s="587">
        <f>IF(VLOOKUP($A54,'hk2018'!$A:$H,1)=$A54,VLOOKUP($A54,'hk2018'!$A:$H,8),0)</f>
        <v>0</v>
      </c>
      <c r="G54" s="588">
        <f t="shared" si="16"/>
        <v>-99.58</v>
      </c>
      <c r="H54" s="587">
        <f>IF(VLOOKUP($A54,'hk2017'!$A:$G,1)=$A54,VLOOKUP($A54,'hk2017'!$A:$G,6),0)</f>
        <v>-99.58</v>
      </c>
      <c r="I54" s="587">
        <f>IF(VLOOKUP($A54,'hk2017'!$A:$G,1)=$A54,VLOOKUP($A54,'hk2017'!$A:$G,7),0)</f>
        <v>0</v>
      </c>
      <c r="J54" s="587">
        <f>IF(VLOOKUP($A54,'hk2017'!$A:$H,1)=$A54,VLOOKUP($A54,'hk2017'!$A:$H,8),0)</f>
        <v>0</v>
      </c>
      <c r="K54" s="589">
        <f t="shared" si="17"/>
        <v>-99.58</v>
      </c>
      <c r="L54" s="595"/>
    </row>
    <row r="55" spans="1:12" outlineLevel="1" x14ac:dyDescent="0.25">
      <c r="A55" s="581" t="str">
        <f>LEFT(B55,3)</f>
        <v>074</v>
      </c>
      <c r="B55" s="582" t="s">
        <v>2788</v>
      </c>
      <c r="C55" s="582" t="s">
        <v>2789</v>
      </c>
      <c r="D55" s="587">
        <f>IF(VLOOKUP($A55,'hk2018'!$A:$G,1)=$A55,VLOOKUP($A55,'hk2018'!$A:$G,6),0)</f>
        <v>0</v>
      </c>
      <c r="E55" s="587">
        <f>IF(VLOOKUP($A55,'hk2018'!$A:$G,1)=$A55,VLOOKUP($A55,'hk2018'!$A:$G,7),0)</f>
        <v>0</v>
      </c>
      <c r="F55" s="587">
        <f>IF(VLOOKUP($A55,'hk2018'!$A:$H,1)=$A55,VLOOKUP($A55,'hk2018'!$A:$H,8),0)</f>
        <v>0</v>
      </c>
      <c r="G55" s="588">
        <f t="shared" si="16"/>
        <v>0</v>
      </c>
      <c r="H55" s="587">
        <f>IF(VLOOKUP($A55,'hk2017'!$A:$G,1)=$A55,VLOOKUP($A55,'hk2017'!$A:$G,6),0)</f>
        <v>0</v>
      </c>
      <c r="I55" s="587">
        <f>IF(VLOOKUP($A55,'hk2017'!$A:$G,1)=$A55,VLOOKUP($A55,'hk2017'!$A:$G,7),0)</f>
        <v>0</v>
      </c>
      <c r="J55" s="587">
        <f>IF(VLOOKUP($A55,'hk2017'!$A:$H,1)=$A55,VLOOKUP($A55,'hk2017'!$A:$H,8),0)</f>
        <v>0</v>
      </c>
      <c r="K55" s="589">
        <f t="shared" si="17"/>
        <v>0</v>
      </c>
      <c r="L55" s="595"/>
    </row>
    <row r="56" spans="1:12" outlineLevel="1" x14ac:dyDescent="0.25">
      <c r="A56" s="581" t="str">
        <f>LEFT(B56,3)</f>
        <v>075</v>
      </c>
      <c r="B56" s="582" t="s">
        <v>2790</v>
      </c>
      <c r="C56" s="582" t="s">
        <v>2791</v>
      </c>
      <c r="D56" s="587">
        <f>IF(VLOOKUP($A56,'hk2018'!$A:$G,1)=$A56,VLOOKUP($A56,'hk2018'!$A:$G,6),0)</f>
        <v>0</v>
      </c>
      <c r="E56" s="587">
        <f>IF(VLOOKUP($A56,'hk2018'!$A:$G,1)=$A56,VLOOKUP($A56,'hk2018'!$A:$G,7),0)</f>
        <v>0</v>
      </c>
      <c r="F56" s="587">
        <f>IF(VLOOKUP($A56,'hk2018'!$A:$H,1)=$A56,VLOOKUP($A56,'hk2018'!$A:$H,8),0)</f>
        <v>0</v>
      </c>
      <c r="G56" s="588">
        <f t="shared" si="16"/>
        <v>0</v>
      </c>
      <c r="H56" s="587">
        <f>IF(VLOOKUP($A56,'hk2017'!$A:$G,1)=$A56,VLOOKUP($A56,'hk2017'!$A:$G,6),0)</f>
        <v>0</v>
      </c>
      <c r="I56" s="587">
        <f>IF(VLOOKUP($A56,'hk2017'!$A:$G,1)=$A56,VLOOKUP($A56,'hk2017'!$A:$G,7),0)</f>
        <v>0</v>
      </c>
      <c r="J56" s="587">
        <f>IF(VLOOKUP($A56,'hk2017'!$A:$H,1)=$A56,VLOOKUP($A56,'hk2017'!$A:$H,8),0)</f>
        <v>0</v>
      </c>
      <c r="K56" s="589">
        <f t="shared" si="17"/>
        <v>0</v>
      </c>
      <c r="L56" s="595"/>
    </row>
    <row r="57" spans="1:12" outlineLevel="1" x14ac:dyDescent="0.25">
      <c r="A57" s="581" t="s">
        <v>2792</v>
      </c>
      <c r="B57" s="582"/>
      <c r="C57" s="583" t="s">
        <v>2793</v>
      </c>
      <c r="D57" s="587">
        <f>IF(VLOOKUP($A57,'hk2018'!$A:$G,1)=$A57,VLOOKUP($A57,'hk2018'!$A:$G,6),0)</f>
        <v>0</v>
      </c>
      <c r="E57" s="587">
        <f>IF(VLOOKUP($A57,'hk2018'!$A:$G,1)=$A57,VLOOKUP($A57,'hk2018'!$A:$G,7),0)</f>
        <v>0</v>
      </c>
      <c r="F57" s="587">
        <f>IF(VLOOKUP($A57,'hk2018'!$A:$H,1)=$A57,VLOOKUP($A57,'hk2018'!$A:$H,8),0)</f>
        <v>0</v>
      </c>
      <c r="G57" s="588">
        <f t="shared" si="16"/>
        <v>0</v>
      </c>
      <c r="H57" s="587">
        <f>IF(VLOOKUP($A57,'hk2017'!$A:$G,1)=$A57,VLOOKUP($A57,'hk2017'!$A:$G,6),0)</f>
        <v>0</v>
      </c>
      <c r="I57" s="587">
        <f>IF(VLOOKUP($A57,'hk2017'!$A:$G,1)=$A57,VLOOKUP($A57,'hk2017'!$A:$G,7),0)</f>
        <v>0</v>
      </c>
      <c r="J57" s="587">
        <f>IF(VLOOKUP($A57,'hk2017'!$A:$H,1)=$A57,VLOOKUP($A57,'hk2017'!$A:$H,8),0)</f>
        <v>0</v>
      </c>
      <c r="K57" s="589">
        <f t="shared" si="17"/>
        <v>0</v>
      </c>
      <c r="L57" s="595"/>
    </row>
    <row r="58" spans="1:12" outlineLevel="1" x14ac:dyDescent="0.25">
      <c r="A58" s="581" t="str">
        <f>LEFT(B58,3)</f>
        <v>079</v>
      </c>
      <c r="B58" s="582" t="s">
        <v>2794</v>
      </c>
      <c r="C58" s="582" t="s">
        <v>2795</v>
      </c>
      <c r="D58" s="587">
        <f>IF(VLOOKUP($A58,'hk2018'!$A:$G,1)=$A58,VLOOKUP($A58,'hk2018'!$A:$G,6),0)</f>
        <v>-3525.13</v>
      </c>
      <c r="E58" s="587">
        <f>IF(VLOOKUP($A58,'hk2018'!$A:$G,1)=$A58,VLOOKUP($A58,'hk2018'!$A:$G,7),0)</f>
        <v>0</v>
      </c>
      <c r="F58" s="587">
        <f>IF(VLOOKUP($A58,'hk2018'!$A:$H,1)=$A58,VLOOKUP($A58,'hk2018'!$A:$H,8),0)</f>
        <v>0</v>
      </c>
      <c r="G58" s="588">
        <f t="shared" si="16"/>
        <v>-3525.13</v>
      </c>
      <c r="H58" s="587">
        <f>IF(VLOOKUP($A58,'hk2017'!$A:$G,1)=$A58,VLOOKUP($A58,'hk2017'!$A:$G,6),0)</f>
        <v>-3525.13</v>
      </c>
      <c r="I58" s="587">
        <f>IF(VLOOKUP($A58,'hk2017'!$A:$G,1)=$A58,VLOOKUP($A58,'hk2017'!$A:$G,7),0)</f>
        <v>0</v>
      </c>
      <c r="J58" s="587">
        <f>IF(VLOOKUP($A58,'hk2017'!$A:$H,1)=$A58,VLOOKUP($A58,'hk2017'!$A:$H,8),0)</f>
        <v>0</v>
      </c>
      <c r="K58" s="589">
        <f t="shared" si="17"/>
        <v>-3525.13</v>
      </c>
      <c r="L58" s="595"/>
    </row>
    <row r="59" spans="1:12" outlineLevel="1" x14ac:dyDescent="0.25">
      <c r="A59" s="596"/>
      <c r="B59" s="597"/>
      <c r="C59" s="597"/>
      <c r="D59" s="590"/>
      <c r="E59" s="590"/>
      <c r="F59" s="590"/>
      <c r="G59" s="591"/>
      <c r="H59" s="590"/>
      <c r="I59" s="590"/>
      <c r="J59" s="590"/>
      <c r="K59" s="592"/>
      <c r="L59" s="595"/>
    </row>
    <row r="60" spans="1:12" x14ac:dyDescent="0.25">
      <c r="A60" s="575" t="s">
        <v>1236</v>
      </c>
      <c r="B60" s="576"/>
      <c r="C60" s="577" t="s">
        <v>2796</v>
      </c>
      <c r="D60" s="578">
        <f t="shared" ref="D60:K60" si="18">SUM(D61:D69)</f>
        <v>-973628.53000000014</v>
      </c>
      <c r="E60" s="578">
        <f t="shared" si="18"/>
        <v>3634.33</v>
      </c>
      <c r="F60" s="578">
        <f t="shared" si="18"/>
        <v>52071.56</v>
      </c>
      <c r="G60" s="593">
        <f t="shared" si="18"/>
        <v>-1022065.76</v>
      </c>
      <c r="H60" s="578">
        <f t="shared" si="18"/>
        <v>-925611.61</v>
      </c>
      <c r="I60" s="578">
        <f t="shared" si="18"/>
        <v>8399.3700000000008</v>
      </c>
      <c r="J60" s="578">
        <f t="shared" si="18"/>
        <v>56416.290000000008</v>
      </c>
      <c r="K60" s="594">
        <f t="shared" si="18"/>
        <v>-973628.53</v>
      </c>
      <c r="L60" s="595"/>
    </row>
    <row r="61" spans="1:12" outlineLevel="1" x14ac:dyDescent="0.25">
      <c r="A61" s="581" t="str">
        <f>LEFT(B61,3)</f>
        <v>081</v>
      </c>
      <c r="B61" s="582" t="s">
        <v>2797</v>
      </c>
      <c r="C61" s="582" t="s">
        <v>2798</v>
      </c>
      <c r="D61" s="587">
        <f>IF(VLOOKUP($A61,'hk2018'!$A:$G,1)=$A61,VLOOKUP($A61,'hk2018'!$A:$G,6),0)</f>
        <v>-359088.08</v>
      </c>
      <c r="E61" s="587">
        <f>IF(VLOOKUP($A61,'hk2018'!$A:$G,1)=$A61,VLOOKUP($A61,'hk2018'!$A:$G,7),0)</f>
        <v>0</v>
      </c>
      <c r="F61" s="587">
        <f>IF(VLOOKUP($A61,'hk2018'!$A:$H,1)=$A61,VLOOKUP($A61,'hk2018'!$A:$H,8),0)</f>
        <v>32802</v>
      </c>
      <c r="G61" s="588">
        <f t="shared" ref="G61:G68" si="19">SUM(D61+E61-F61)</f>
        <v>-391890.08</v>
      </c>
      <c r="H61" s="587">
        <f>IF(VLOOKUP($A61,'hk2017'!$A:$G,1)=$A61,VLOOKUP($A61,'hk2017'!$A:$G,6),0)</f>
        <v>-325524.28999999998</v>
      </c>
      <c r="I61" s="587">
        <f>IF(VLOOKUP($A61,'hk2017'!$A:$G,1)=$A61,VLOOKUP($A61,'hk2017'!$A:$G,7),0)</f>
        <v>0</v>
      </c>
      <c r="J61" s="587">
        <f>IF(VLOOKUP($A61,'hk2017'!$A:$H,1)=$A61,VLOOKUP($A61,'hk2017'!$A:$H,8),0)</f>
        <v>33563.79</v>
      </c>
      <c r="K61" s="589">
        <f t="shared" ref="K61:K68" si="20">SUM(H61+I61-J61)</f>
        <v>-359088.07999999996</v>
      </c>
      <c r="L61" s="595"/>
    </row>
    <row r="62" spans="1:12" outlineLevel="1" x14ac:dyDescent="0.25">
      <c r="A62" s="581" t="str">
        <f>LEFT(B62,3)</f>
        <v>082</v>
      </c>
      <c r="B62" s="582" t="s">
        <v>2799</v>
      </c>
      <c r="C62" s="582" t="s">
        <v>2800</v>
      </c>
      <c r="D62" s="587">
        <f>IF(VLOOKUP($A62,'hk2018'!$A:$G,1)=$A62,VLOOKUP($A62,'hk2018'!$A:$G,6),0)</f>
        <v>-534867.28</v>
      </c>
      <c r="E62" s="587">
        <f>IF(VLOOKUP($A62,'hk2018'!$A:$G,1)=$A62,VLOOKUP($A62,'hk2018'!$A:$G,7),0)</f>
        <v>0</v>
      </c>
      <c r="F62" s="587">
        <f>IF(VLOOKUP($A62,'hk2018'!$A:$H,1)=$A62,VLOOKUP($A62,'hk2018'!$A:$H,8),0)</f>
        <v>3140.6</v>
      </c>
      <c r="G62" s="588">
        <f t="shared" si="19"/>
        <v>-538007.88</v>
      </c>
      <c r="H62" s="587">
        <f>IF(VLOOKUP($A62,'hk2017'!$A:$G,1)=$A62,VLOOKUP($A62,'hk2017'!$A:$G,6),0)</f>
        <v>-531436.48</v>
      </c>
      <c r="I62" s="587">
        <f>IF(VLOOKUP($A62,'hk2017'!$A:$G,1)=$A62,VLOOKUP($A62,'hk2017'!$A:$G,7),0)</f>
        <v>0</v>
      </c>
      <c r="J62" s="587">
        <f>IF(VLOOKUP($A62,'hk2017'!$A:$H,1)=$A62,VLOOKUP($A62,'hk2017'!$A:$H,8),0)</f>
        <v>3430.8</v>
      </c>
      <c r="K62" s="589">
        <f t="shared" si="20"/>
        <v>-534867.28</v>
      </c>
      <c r="L62" s="595"/>
    </row>
    <row r="63" spans="1:12" outlineLevel="1" x14ac:dyDescent="0.25">
      <c r="A63" s="569" t="s">
        <v>2801</v>
      </c>
      <c r="B63" s="582"/>
      <c r="C63" s="583" t="s">
        <v>2802</v>
      </c>
      <c r="D63" s="587">
        <f>IF(VLOOKUP($A63,'hk2018'!$A:$G,1)=$A63,VLOOKUP($A63,'hk2018'!$A:$G,6),0)</f>
        <v>0</v>
      </c>
      <c r="E63" s="587">
        <f>IF(VLOOKUP($A63,'hk2018'!$A:$G,1)=$A63,VLOOKUP($A63,'hk2018'!$A:$G,7),0)</f>
        <v>0</v>
      </c>
      <c r="F63" s="587">
        <f>IF(VLOOKUP($A63,'hk2018'!$A:$H,1)=$A63,VLOOKUP($A63,'hk2018'!$A:$H,8),0)</f>
        <v>0</v>
      </c>
      <c r="G63" s="588">
        <f t="shared" si="19"/>
        <v>0</v>
      </c>
      <c r="H63" s="587">
        <f>IF(VLOOKUP($A63,'hk2017'!$A:$G,1)=$A63,VLOOKUP($A63,'hk2017'!$A:$G,6),0)</f>
        <v>0</v>
      </c>
      <c r="I63" s="587">
        <f>IF(VLOOKUP($A63,'hk2017'!$A:$G,1)=$A63,VLOOKUP($A63,'hk2017'!$A:$G,7),0)</f>
        <v>0</v>
      </c>
      <c r="J63" s="587">
        <f>IF(VLOOKUP($A63,'hk2017'!$A:$H,1)=$A63,VLOOKUP($A63,'hk2017'!$A:$H,8),0)</f>
        <v>0</v>
      </c>
      <c r="K63" s="589">
        <f t="shared" si="20"/>
        <v>0</v>
      </c>
      <c r="L63" s="595"/>
    </row>
    <row r="64" spans="1:12" outlineLevel="1" x14ac:dyDescent="0.25">
      <c r="A64" s="569" t="s">
        <v>2803</v>
      </c>
      <c r="B64" s="582"/>
      <c r="C64" s="583" t="s">
        <v>2804</v>
      </c>
      <c r="D64" s="587">
        <f>IF(VLOOKUP($A64,'hk2018'!$A:$G,1)=$A64,VLOOKUP($A64,'hk2018'!$A:$G,6),0)</f>
        <v>0</v>
      </c>
      <c r="E64" s="587">
        <f>IF(VLOOKUP($A64,'hk2018'!$A:$G,1)=$A64,VLOOKUP($A64,'hk2018'!$A:$G,7),0)</f>
        <v>0</v>
      </c>
      <c r="F64" s="587">
        <f>IF(VLOOKUP($A64,'hk2018'!$A:$H,1)=$A64,VLOOKUP($A64,'hk2018'!$A:$H,8),0)</f>
        <v>0</v>
      </c>
      <c r="G64" s="588">
        <f t="shared" si="19"/>
        <v>0</v>
      </c>
      <c r="H64" s="587">
        <f>IF(VLOOKUP($A64,'hk2017'!$A:$G,1)=$A64,VLOOKUP($A64,'hk2017'!$A:$G,6),0)</f>
        <v>0</v>
      </c>
      <c r="I64" s="587">
        <f>IF(VLOOKUP($A64,'hk2017'!$A:$G,1)=$A64,VLOOKUP($A64,'hk2017'!$A:$G,7),0)</f>
        <v>0</v>
      </c>
      <c r="J64" s="587">
        <f>IF(VLOOKUP($A64,'hk2017'!$A:$H,1)=$A64,VLOOKUP($A64,'hk2017'!$A:$H,8),0)</f>
        <v>0</v>
      </c>
      <c r="K64" s="589">
        <f t="shared" si="20"/>
        <v>0</v>
      </c>
      <c r="L64" s="595"/>
    </row>
    <row r="65" spans="1:12" outlineLevel="1" x14ac:dyDescent="0.25">
      <c r="A65" s="581" t="str">
        <f>LEFT(B65,3)</f>
        <v>085</v>
      </c>
      <c r="B65" s="582" t="s">
        <v>2805</v>
      </c>
      <c r="C65" s="582" t="s">
        <v>2806</v>
      </c>
      <c r="D65" s="587">
        <f>IF(VLOOKUP($A65,'hk2018'!$A:$G,1)=$A65,VLOOKUP($A65,'hk2018'!$A:$G,6),0)</f>
        <v>0</v>
      </c>
      <c r="E65" s="587">
        <f>IF(VLOOKUP($A65,'hk2018'!$A:$G,1)=$A65,VLOOKUP($A65,'hk2018'!$A:$G,7),0)</f>
        <v>0</v>
      </c>
      <c r="F65" s="587">
        <f>IF(VLOOKUP($A65,'hk2018'!$A:$H,1)=$A65,VLOOKUP($A65,'hk2018'!$A:$H,8),0)</f>
        <v>0</v>
      </c>
      <c r="G65" s="588">
        <f t="shared" si="19"/>
        <v>0</v>
      </c>
      <c r="H65" s="587">
        <f>IF(VLOOKUP($A65,'hk2017'!$A:$G,1)=$A65,VLOOKUP($A65,'hk2017'!$A:$G,6),0)</f>
        <v>0</v>
      </c>
      <c r="I65" s="587">
        <f>IF(VLOOKUP($A65,'hk2017'!$A:$G,1)=$A65,VLOOKUP($A65,'hk2017'!$A:$G,7),0)</f>
        <v>0</v>
      </c>
      <c r="J65" s="587">
        <f>IF(VLOOKUP($A65,'hk2017'!$A:$H,1)=$A65,VLOOKUP($A65,'hk2017'!$A:$H,8),0)</f>
        <v>0</v>
      </c>
      <c r="K65" s="589">
        <f t="shared" si="20"/>
        <v>0</v>
      </c>
      <c r="L65" s="595"/>
    </row>
    <row r="66" spans="1:12" outlineLevel="1" x14ac:dyDescent="0.25">
      <c r="A66" s="581" t="str">
        <f>LEFT(B66,3)</f>
        <v>086</v>
      </c>
      <c r="B66" s="582" t="s">
        <v>2807</v>
      </c>
      <c r="C66" s="582" t="s">
        <v>2808</v>
      </c>
      <c r="D66" s="587">
        <f>IF(VLOOKUP($A66,'hk2018'!$A:$G,1)=$A66,VLOOKUP($A66,'hk2018'!$A:$G,6),0)</f>
        <v>-79673.17</v>
      </c>
      <c r="E66" s="587">
        <f>IF(VLOOKUP($A66,'hk2018'!$A:$G,1)=$A66,VLOOKUP($A66,'hk2018'!$A:$G,7),0)</f>
        <v>3634.33</v>
      </c>
      <c r="F66" s="587">
        <f>IF(VLOOKUP($A66,'hk2018'!$A:$H,1)=$A66,VLOOKUP($A66,'hk2018'!$A:$H,8),0)</f>
        <v>16128.96</v>
      </c>
      <c r="G66" s="588">
        <f t="shared" si="19"/>
        <v>-92167.799999999988</v>
      </c>
      <c r="H66" s="587">
        <f>IF(VLOOKUP($A66,'hk2017'!$A:$G,1)=$A66,VLOOKUP($A66,'hk2017'!$A:$G,6),0)</f>
        <v>-68650.84</v>
      </c>
      <c r="I66" s="587">
        <f>IF(VLOOKUP($A66,'hk2017'!$A:$G,1)=$A66,VLOOKUP($A66,'hk2017'!$A:$G,7),0)</f>
        <v>8399.3700000000008</v>
      </c>
      <c r="J66" s="587">
        <f>IF(VLOOKUP($A66,'hk2017'!$A:$H,1)=$A66,VLOOKUP($A66,'hk2017'!$A:$H,8),0)</f>
        <v>19421.7</v>
      </c>
      <c r="K66" s="589">
        <f t="shared" si="20"/>
        <v>-79673.17</v>
      </c>
      <c r="L66" s="595"/>
    </row>
    <row r="67" spans="1:12" outlineLevel="1" x14ac:dyDescent="0.25">
      <c r="A67" s="581" t="s">
        <v>2809</v>
      </c>
      <c r="B67" s="582"/>
      <c r="C67" s="583" t="s">
        <v>2810</v>
      </c>
      <c r="D67" s="587">
        <f>IF(VLOOKUP($A67,'hk2018'!$A:$G,1)=$A67,VLOOKUP($A67,'hk2018'!$A:$G,6),0)</f>
        <v>0</v>
      </c>
      <c r="E67" s="587">
        <f>IF(VLOOKUP($A67,'hk2018'!$A:$G,1)=$A67,VLOOKUP($A67,'hk2018'!$A:$G,7),0)</f>
        <v>0</v>
      </c>
      <c r="F67" s="587">
        <f>IF(VLOOKUP($A67,'hk2018'!$A:$H,1)=$A67,VLOOKUP($A67,'hk2018'!$A:$H,8),0)</f>
        <v>0</v>
      </c>
      <c r="G67" s="588">
        <f t="shared" si="19"/>
        <v>0</v>
      </c>
      <c r="H67" s="587">
        <f>IF(VLOOKUP($A67,'hk2017'!$A:$G,1)=$A67,VLOOKUP($A67,'hk2017'!$A:$G,6),0)</f>
        <v>0</v>
      </c>
      <c r="I67" s="587">
        <f>IF(VLOOKUP($A67,'hk2017'!$A:$G,1)=$A67,VLOOKUP($A67,'hk2017'!$A:$G,7),0)</f>
        <v>0</v>
      </c>
      <c r="J67" s="587">
        <f>IF(VLOOKUP($A67,'hk2017'!$A:$H,1)=$A67,VLOOKUP($A67,'hk2017'!$A:$H,8),0)</f>
        <v>0</v>
      </c>
      <c r="K67" s="589">
        <f t="shared" si="20"/>
        <v>0</v>
      </c>
      <c r="L67" s="595"/>
    </row>
    <row r="68" spans="1:12" outlineLevel="1" x14ac:dyDescent="0.25">
      <c r="A68" s="581" t="str">
        <f>LEFT(B68,3)</f>
        <v>089</v>
      </c>
      <c r="B68" s="582" t="s">
        <v>2811</v>
      </c>
      <c r="C68" s="582" t="s">
        <v>2812</v>
      </c>
      <c r="D68" s="587">
        <f>IF(VLOOKUP($A68,'hk2018'!$A:$G,1)=$A68,VLOOKUP($A68,'hk2018'!$A:$G,6),0)</f>
        <v>0</v>
      </c>
      <c r="E68" s="587">
        <f>IF(VLOOKUP($A68,'hk2018'!$A:$G,1)=$A68,VLOOKUP($A68,'hk2018'!$A:$G,7),0)</f>
        <v>0</v>
      </c>
      <c r="F68" s="587">
        <f>IF(VLOOKUP($A68,'hk2018'!$A:$H,1)=$A68,VLOOKUP($A68,'hk2018'!$A:$H,8),0)</f>
        <v>0</v>
      </c>
      <c r="G68" s="588">
        <f t="shared" si="19"/>
        <v>0</v>
      </c>
      <c r="H68" s="587">
        <f>IF(VLOOKUP($A68,'hk2017'!$A:$G,1)=$A68,VLOOKUP($A68,'hk2017'!$A:$G,6),0)</f>
        <v>0</v>
      </c>
      <c r="I68" s="587">
        <f>IF(VLOOKUP($A68,'hk2017'!$A:$G,1)=$A68,VLOOKUP($A68,'hk2017'!$A:$G,7),0)</f>
        <v>0</v>
      </c>
      <c r="J68" s="587">
        <f>IF(VLOOKUP($A68,'hk2017'!$A:$H,1)=$A68,VLOOKUP($A68,'hk2017'!$A:$H,8),0)</f>
        <v>0</v>
      </c>
      <c r="K68" s="589">
        <f t="shared" si="20"/>
        <v>0</v>
      </c>
      <c r="L68" s="595"/>
    </row>
    <row r="69" spans="1:12" outlineLevel="1" x14ac:dyDescent="0.25">
      <c r="A69" s="596"/>
      <c r="B69" s="597"/>
      <c r="C69" s="597"/>
      <c r="D69" s="590"/>
      <c r="E69" s="590"/>
      <c r="F69" s="590"/>
      <c r="G69" s="591"/>
      <c r="H69" s="590"/>
      <c r="I69" s="590"/>
      <c r="J69" s="590"/>
      <c r="K69" s="592"/>
      <c r="L69" s="595"/>
    </row>
    <row r="70" spans="1:12" x14ac:dyDescent="0.25">
      <c r="A70" s="575" t="s">
        <v>2170</v>
      </c>
      <c r="B70" s="576"/>
      <c r="C70" s="577" t="s">
        <v>2813</v>
      </c>
      <c r="D70" s="578">
        <f t="shared" ref="D70:K70" si="21">SUM(D71:D79)</f>
        <v>0</v>
      </c>
      <c r="E70" s="578">
        <f t="shared" si="21"/>
        <v>0</v>
      </c>
      <c r="F70" s="578">
        <f t="shared" si="21"/>
        <v>0</v>
      </c>
      <c r="G70" s="593">
        <f t="shared" si="21"/>
        <v>0</v>
      </c>
      <c r="H70" s="578">
        <f t="shared" si="21"/>
        <v>0</v>
      </c>
      <c r="I70" s="578">
        <f t="shared" si="21"/>
        <v>0</v>
      </c>
      <c r="J70" s="578">
        <f t="shared" si="21"/>
        <v>0</v>
      </c>
      <c r="K70" s="594">
        <f t="shared" si="21"/>
        <v>0</v>
      </c>
      <c r="L70" s="595"/>
    </row>
    <row r="71" spans="1:12" outlineLevel="1" x14ac:dyDescent="0.25">
      <c r="A71" s="581" t="str">
        <f t="shared" ref="A71:A78" si="22">LEFT(B71,3)</f>
        <v>091</v>
      </c>
      <c r="B71" s="582" t="s">
        <v>2814</v>
      </c>
      <c r="C71" s="582" t="s">
        <v>2815</v>
      </c>
      <c r="D71" s="587">
        <f>IF(VLOOKUP($A71,'hk2018'!$A:$G,1)=$A71,VLOOKUP($A71,'hk2018'!$A:$G,6),0)</f>
        <v>0</v>
      </c>
      <c r="E71" s="587">
        <f>IF(VLOOKUP($A71,'hk2018'!$A:$G,1)=$A71,VLOOKUP($A71,'hk2018'!$A:$G,7),0)</f>
        <v>0</v>
      </c>
      <c r="F71" s="587">
        <f>IF(VLOOKUP($A71,'hk2018'!$A:$H,1)=$A71,VLOOKUP($A71,'hk2018'!$A:$H,8),0)</f>
        <v>0</v>
      </c>
      <c r="G71" s="588">
        <f t="shared" ref="G71:G78" si="23">SUM(D71+E71-F71)</f>
        <v>0</v>
      </c>
      <c r="H71" s="587">
        <f>IF(VLOOKUP($A71,'hk2017'!$A:$G,1)=$A71,VLOOKUP($A71,'hk2017'!$A:$G,6),0)</f>
        <v>0</v>
      </c>
      <c r="I71" s="587">
        <f>IF(VLOOKUP($A71,'hk2017'!$A:$G,1)=$A71,VLOOKUP($A71,'hk2017'!$A:$G,7),0)</f>
        <v>0</v>
      </c>
      <c r="J71" s="587">
        <f>IF(VLOOKUP($A71,'hk2017'!$A:$H,1)=$A71,VLOOKUP($A71,'hk2017'!$A:$H,8),0)</f>
        <v>0</v>
      </c>
      <c r="K71" s="589">
        <f t="shared" ref="K71:K78" si="24">SUM(H71+I71-J71)</f>
        <v>0</v>
      </c>
      <c r="L71" s="595"/>
    </row>
    <row r="72" spans="1:12" outlineLevel="1" x14ac:dyDescent="0.25">
      <c r="A72" s="581" t="str">
        <f t="shared" si="22"/>
        <v>092</v>
      </c>
      <c r="B72" s="582" t="s">
        <v>2816</v>
      </c>
      <c r="C72" s="582" t="s">
        <v>2817</v>
      </c>
      <c r="D72" s="587">
        <f>IF(VLOOKUP($A72,'hk2018'!$A:$G,1)=$A72,VLOOKUP($A72,'hk2018'!$A:$G,6),0)</f>
        <v>0</v>
      </c>
      <c r="E72" s="587">
        <f>IF(VLOOKUP($A72,'hk2018'!$A:$G,1)=$A72,VLOOKUP($A72,'hk2018'!$A:$G,7),0)</f>
        <v>0</v>
      </c>
      <c r="F72" s="587">
        <f>IF(VLOOKUP($A72,'hk2018'!$A:$H,1)=$A72,VLOOKUP($A72,'hk2018'!$A:$H,8),0)</f>
        <v>0</v>
      </c>
      <c r="G72" s="588">
        <f t="shared" si="23"/>
        <v>0</v>
      </c>
      <c r="H72" s="587">
        <f>IF(VLOOKUP($A72,'hk2017'!$A:$G,1)=$A72,VLOOKUP($A72,'hk2017'!$A:$G,6),0)</f>
        <v>0</v>
      </c>
      <c r="I72" s="587">
        <f>IF(VLOOKUP($A72,'hk2017'!$A:$G,1)=$A72,VLOOKUP($A72,'hk2017'!$A:$G,7),0)</f>
        <v>0</v>
      </c>
      <c r="J72" s="587">
        <f>IF(VLOOKUP($A72,'hk2017'!$A:$H,1)=$A72,VLOOKUP($A72,'hk2017'!$A:$H,8),0)</f>
        <v>0</v>
      </c>
      <c r="K72" s="589">
        <f t="shared" si="24"/>
        <v>0</v>
      </c>
      <c r="L72" s="595"/>
    </row>
    <row r="73" spans="1:12" outlineLevel="1" x14ac:dyDescent="0.25">
      <c r="A73" s="581" t="str">
        <f t="shared" si="22"/>
        <v>093</v>
      </c>
      <c r="B73" s="582" t="s">
        <v>2818</v>
      </c>
      <c r="C73" s="582" t="s">
        <v>2819</v>
      </c>
      <c r="D73" s="587">
        <f>IF(VLOOKUP($A73,'hk2018'!$A:$G,1)=$A73,VLOOKUP($A73,'hk2018'!$A:$G,6),0)</f>
        <v>0</v>
      </c>
      <c r="E73" s="587">
        <f>IF(VLOOKUP($A73,'hk2018'!$A:$G,1)=$A73,VLOOKUP($A73,'hk2018'!$A:$G,7),0)</f>
        <v>0</v>
      </c>
      <c r="F73" s="587">
        <f>IF(VLOOKUP($A73,'hk2018'!$A:$H,1)=$A73,VLOOKUP($A73,'hk2018'!$A:$H,8),0)</f>
        <v>0</v>
      </c>
      <c r="G73" s="588">
        <f t="shared" si="23"/>
        <v>0</v>
      </c>
      <c r="H73" s="587">
        <f>IF(VLOOKUP($A73,'hk2017'!$A:$G,1)=$A73,VLOOKUP($A73,'hk2017'!$A:$G,6),0)</f>
        <v>0</v>
      </c>
      <c r="I73" s="587">
        <f>IF(VLOOKUP($A73,'hk2017'!$A:$G,1)=$A73,VLOOKUP($A73,'hk2017'!$A:$G,7),0)</f>
        <v>0</v>
      </c>
      <c r="J73" s="587">
        <f>IF(VLOOKUP($A73,'hk2017'!$A:$H,1)=$A73,VLOOKUP($A73,'hk2017'!$A:$H,8),0)</f>
        <v>0</v>
      </c>
      <c r="K73" s="589">
        <f t="shared" si="24"/>
        <v>0</v>
      </c>
      <c r="L73" s="595"/>
    </row>
    <row r="74" spans="1:12" outlineLevel="1" x14ac:dyDescent="0.25">
      <c r="A74" s="581" t="str">
        <f t="shared" si="22"/>
        <v>094</v>
      </c>
      <c r="B74" s="582" t="s">
        <v>2820</v>
      </c>
      <c r="C74" s="582" t="s">
        <v>2821</v>
      </c>
      <c r="D74" s="587">
        <f>IF(VLOOKUP($A74,'hk2018'!$A:$G,1)=$A74,VLOOKUP($A74,'hk2018'!$A:$G,6),0)</f>
        <v>0</v>
      </c>
      <c r="E74" s="587">
        <f>IF(VLOOKUP($A74,'hk2018'!$A:$G,1)=$A74,VLOOKUP($A74,'hk2018'!$A:$G,7),0)</f>
        <v>0</v>
      </c>
      <c r="F74" s="587">
        <f>IF(VLOOKUP($A74,'hk2018'!$A:$H,1)=$A74,VLOOKUP($A74,'hk2018'!$A:$H,8),0)</f>
        <v>0</v>
      </c>
      <c r="G74" s="588">
        <f t="shared" si="23"/>
        <v>0</v>
      </c>
      <c r="H74" s="587">
        <f>IF(VLOOKUP($A74,'hk2017'!$A:$G,1)=$A74,VLOOKUP($A74,'hk2017'!$A:$G,6),0)</f>
        <v>0</v>
      </c>
      <c r="I74" s="587">
        <f>IF(VLOOKUP($A74,'hk2017'!$A:$G,1)=$A74,VLOOKUP($A74,'hk2017'!$A:$G,7),0)</f>
        <v>0</v>
      </c>
      <c r="J74" s="587">
        <f>IF(VLOOKUP($A74,'hk2017'!$A:$H,1)=$A74,VLOOKUP($A74,'hk2017'!$A:$H,8),0)</f>
        <v>0</v>
      </c>
      <c r="K74" s="589">
        <f t="shared" si="24"/>
        <v>0</v>
      </c>
      <c r="L74" s="595"/>
    </row>
    <row r="75" spans="1:12" outlineLevel="1" x14ac:dyDescent="0.25">
      <c r="A75" s="581" t="str">
        <f t="shared" si="22"/>
        <v>095</v>
      </c>
      <c r="B75" s="582" t="s">
        <v>2822</v>
      </c>
      <c r="C75" s="582" t="s">
        <v>2823</v>
      </c>
      <c r="D75" s="587">
        <f>IF(VLOOKUP($A75,'hk2018'!$A:$G,1)=$A75,VLOOKUP($A75,'hk2018'!$A:$G,6),0)</f>
        <v>0</v>
      </c>
      <c r="E75" s="587">
        <f>IF(VLOOKUP($A75,'hk2018'!$A:$G,1)=$A75,VLOOKUP($A75,'hk2018'!$A:$G,7),0)</f>
        <v>0</v>
      </c>
      <c r="F75" s="587">
        <f>IF(VLOOKUP($A75,'hk2018'!$A:$H,1)=$A75,VLOOKUP($A75,'hk2018'!$A:$H,8),0)</f>
        <v>0</v>
      </c>
      <c r="G75" s="588">
        <f t="shared" si="23"/>
        <v>0</v>
      </c>
      <c r="H75" s="587">
        <f>IF(VLOOKUP($A75,'hk2017'!$A:$G,1)=$A75,VLOOKUP($A75,'hk2017'!$A:$G,6),0)</f>
        <v>0</v>
      </c>
      <c r="I75" s="587">
        <f>IF(VLOOKUP($A75,'hk2017'!$A:$G,1)=$A75,VLOOKUP($A75,'hk2017'!$A:$G,7),0)</f>
        <v>0</v>
      </c>
      <c r="J75" s="587">
        <f>IF(VLOOKUP($A75,'hk2017'!$A:$H,1)=$A75,VLOOKUP($A75,'hk2017'!$A:$H,8),0)</f>
        <v>0</v>
      </c>
      <c r="K75" s="589">
        <f t="shared" si="24"/>
        <v>0</v>
      </c>
      <c r="L75" s="595"/>
    </row>
    <row r="76" spans="1:12" outlineLevel="1" x14ac:dyDescent="0.25">
      <c r="A76" s="581" t="str">
        <f t="shared" si="22"/>
        <v>096</v>
      </c>
      <c r="B76" s="582" t="s">
        <v>2824</v>
      </c>
      <c r="C76" s="582" t="s">
        <v>2825</v>
      </c>
      <c r="D76" s="587">
        <f>IF(VLOOKUP($A76,'hk2018'!$A:$G,1)=$A76,VLOOKUP($A76,'hk2018'!$A:$G,6),0)</f>
        <v>0</v>
      </c>
      <c r="E76" s="587">
        <f>IF(VLOOKUP($A76,'hk2018'!$A:$G,1)=$A76,VLOOKUP($A76,'hk2018'!$A:$G,7),0)</f>
        <v>0</v>
      </c>
      <c r="F76" s="587">
        <f>IF(VLOOKUP($A76,'hk2018'!$A:$H,1)=$A76,VLOOKUP($A76,'hk2018'!$A:$H,8),0)</f>
        <v>0</v>
      </c>
      <c r="G76" s="588">
        <f t="shared" si="23"/>
        <v>0</v>
      </c>
      <c r="H76" s="587">
        <f>IF(VLOOKUP($A76,'hk2017'!$A:$G,1)=$A76,VLOOKUP($A76,'hk2017'!$A:$G,6),0)</f>
        <v>0</v>
      </c>
      <c r="I76" s="587">
        <f>IF(VLOOKUP($A76,'hk2017'!$A:$G,1)=$A76,VLOOKUP($A76,'hk2017'!$A:$G,7),0)</f>
        <v>0</v>
      </c>
      <c r="J76" s="587">
        <f>IF(VLOOKUP($A76,'hk2017'!$A:$H,1)=$A76,VLOOKUP($A76,'hk2017'!$A:$H,8),0)</f>
        <v>0</v>
      </c>
      <c r="K76" s="589">
        <f t="shared" si="24"/>
        <v>0</v>
      </c>
      <c r="L76" s="595"/>
    </row>
    <row r="77" spans="1:12" outlineLevel="1" x14ac:dyDescent="0.25">
      <c r="A77" s="581" t="str">
        <f t="shared" si="22"/>
        <v>097</v>
      </c>
      <c r="B77" s="582" t="s">
        <v>2826</v>
      </c>
      <c r="C77" s="582" t="s">
        <v>2827</v>
      </c>
      <c r="D77" s="587">
        <f>IF(VLOOKUP($A77,'hk2018'!$A:$G,1)=$A77,VLOOKUP($A77,'hk2018'!$A:$G,6),0)</f>
        <v>0</v>
      </c>
      <c r="E77" s="587">
        <f>IF(VLOOKUP($A77,'hk2018'!$A:$G,1)=$A77,VLOOKUP($A77,'hk2018'!$A:$G,7),0)</f>
        <v>0</v>
      </c>
      <c r="F77" s="587">
        <f>IF(VLOOKUP($A77,'hk2018'!$A:$H,1)=$A77,VLOOKUP($A77,'hk2018'!$A:$H,8),0)</f>
        <v>0</v>
      </c>
      <c r="G77" s="588">
        <f t="shared" si="23"/>
        <v>0</v>
      </c>
      <c r="H77" s="587">
        <f>IF(VLOOKUP($A77,'hk2017'!$A:$G,1)=$A77,VLOOKUP($A77,'hk2017'!$A:$G,6),0)</f>
        <v>0</v>
      </c>
      <c r="I77" s="587">
        <f>IF(VLOOKUP($A77,'hk2017'!$A:$G,1)=$A77,VLOOKUP($A77,'hk2017'!$A:$G,7),0)</f>
        <v>0</v>
      </c>
      <c r="J77" s="587">
        <f>IF(VLOOKUP($A77,'hk2017'!$A:$H,1)=$A77,VLOOKUP($A77,'hk2017'!$A:$H,8),0)</f>
        <v>0</v>
      </c>
      <c r="K77" s="589">
        <f t="shared" si="24"/>
        <v>0</v>
      </c>
      <c r="L77" s="595"/>
    </row>
    <row r="78" spans="1:12" outlineLevel="1" x14ac:dyDescent="0.25">
      <c r="A78" s="581" t="str">
        <f t="shared" si="22"/>
        <v>098</v>
      </c>
      <c r="B78" s="582" t="s">
        <v>2828</v>
      </c>
      <c r="C78" s="582" t="s">
        <v>2829</v>
      </c>
      <c r="D78" s="587">
        <f>IF(VLOOKUP($A78,'hk2018'!$A:$G,1)=$A78,VLOOKUP($A78,'hk2018'!$A:$G,6),0)</f>
        <v>0</v>
      </c>
      <c r="E78" s="587">
        <f>IF(VLOOKUP($A78,'hk2018'!$A:$G,1)=$A78,VLOOKUP($A78,'hk2018'!$A:$G,7),0)</f>
        <v>0</v>
      </c>
      <c r="F78" s="587">
        <f>IF(VLOOKUP($A78,'hk2018'!$A:$H,1)=$A78,VLOOKUP($A78,'hk2018'!$A:$H,8),0)</f>
        <v>0</v>
      </c>
      <c r="G78" s="588">
        <f t="shared" si="23"/>
        <v>0</v>
      </c>
      <c r="H78" s="587">
        <f>IF(VLOOKUP($A78,'hk2017'!$A:$G,1)=$A78,VLOOKUP($A78,'hk2017'!$A:$G,6),0)</f>
        <v>0</v>
      </c>
      <c r="I78" s="587">
        <f>IF(VLOOKUP($A78,'hk2017'!$A:$G,1)=$A78,VLOOKUP($A78,'hk2017'!$A:$G,7),0)</f>
        <v>0</v>
      </c>
      <c r="J78" s="587">
        <f>IF(VLOOKUP($A78,'hk2017'!$A:$H,1)=$A78,VLOOKUP($A78,'hk2017'!$A:$H,8),0)</f>
        <v>0</v>
      </c>
      <c r="K78" s="589">
        <f t="shared" si="24"/>
        <v>0</v>
      </c>
      <c r="L78" s="595"/>
    </row>
    <row r="79" spans="1:12" outlineLevel="1" x14ac:dyDescent="0.25">
      <c r="A79" s="596"/>
      <c r="B79" s="597"/>
      <c r="C79" s="597"/>
      <c r="D79" s="590"/>
      <c r="E79" s="590"/>
      <c r="F79" s="590"/>
      <c r="G79" s="591"/>
      <c r="H79" s="590"/>
      <c r="I79" s="590"/>
      <c r="J79" s="590"/>
      <c r="K79" s="592"/>
      <c r="L79" s="595"/>
    </row>
    <row r="80" spans="1:12" x14ac:dyDescent="0.25">
      <c r="A80" s="570" t="s">
        <v>32</v>
      </c>
      <c r="B80" s="565"/>
      <c r="C80" s="571" t="s">
        <v>47</v>
      </c>
      <c r="D80" s="601">
        <f t="shared" ref="D80:K80" si="25">SUM(D81+D86+D92+D98)</f>
        <v>49129.08</v>
      </c>
      <c r="E80" s="601">
        <f t="shared" si="25"/>
        <v>175063.5</v>
      </c>
      <c r="F80" s="601">
        <f t="shared" si="25"/>
        <v>172062.14</v>
      </c>
      <c r="G80" s="602">
        <f t="shared" si="25"/>
        <v>52130.44</v>
      </c>
      <c r="H80" s="601">
        <f t="shared" si="25"/>
        <v>68699.340000000011</v>
      </c>
      <c r="I80" s="601">
        <f t="shared" si="25"/>
        <v>184750.1</v>
      </c>
      <c r="J80" s="601">
        <f t="shared" si="25"/>
        <v>204320.36</v>
      </c>
      <c r="K80" s="603">
        <f t="shared" si="25"/>
        <v>49129.079999999994</v>
      </c>
      <c r="L80" s="595"/>
    </row>
    <row r="81" spans="1:12" x14ac:dyDescent="0.25">
      <c r="A81" s="604">
        <v>11</v>
      </c>
      <c r="B81" s="605"/>
      <c r="C81" s="606" t="s">
        <v>1631</v>
      </c>
      <c r="D81" s="578">
        <f t="shared" ref="D81:K81" si="26">SUM(D82:D85)</f>
        <v>5545.16</v>
      </c>
      <c r="E81" s="578">
        <f t="shared" si="26"/>
        <v>89985.84</v>
      </c>
      <c r="F81" s="578">
        <f t="shared" si="26"/>
        <v>91485.32</v>
      </c>
      <c r="G81" s="593">
        <f t="shared" si="26"/>
        <v>4045.6800000000076</v>
      </c>
      <c r="H81" s="578">
        <f t="shared" si="26"/>
        <v>5304.99</v>
      </c>
      <c r="I81" s="578">
        <f t="shared" si="26"/>
        <v>78926.850000000006</v>
      </c>
      <c r="J81" s="578">
        <f t="shared" si="26"/>
        <v>78686.679999999993</v>
      </c>
      <c r="K81" s="594">
        <f t="shared" si="26"/>
        <v>5545.1599999999962</v>
      </c>
      <c r="L81" s="595"/>
    </row>
    <row r="82" spans="1:12" outlineLevel="1" x14ac:dyDescent="0.25">
      <c r="A82" s="581" t="str">
        <f>LEFT(B82,3)</f>
        <v>111</v>
      </c>
      <c r="B82" s="582" t="s">
        <v>2830</v>
      </c>
      <c r="C82" s="582" t="s">
        <v>2831</v>
      </c>
      <c r="D82" s="587">
        <f>IF(VLOOKUP($A82,'hk2018'!$A:$G,1)=$A82,VLOOKUP($A82,'hk2018'!$A:$G,6),0)</f>
        <v>0</v>
      </c>
      <c r="E82" s="587">
        <f>IF(VLOOKUP($A82,'hk2018'!$A:$G,1)=$A82,VLOOKUP($A82,'hk2018'!$A:$G,7),0)</f>
        <v>45300.79</v>
      </c>
      <c r="F82" s="587">
        <f>IF(VLOOKUP($A82,'hk2018'!$A:$H,1)=$A82,VLOOKUP($A82,'hk2018'!$A:$H,8),0)</f>
        <v>45300.79</v>
      </c>
      <c r="G82" s="588">
        <f>SUM(D82+E82-F82)</f>
        <v>0</v>
      </c>
      <c r="H82" s="587">
        <f>IF(VLOOKUP($A82,'hk2017'!$A:$G,1)=$A82,VLOOKUP($A82,'hk2017'!$A:$G,6),0)</f>
        <v>0</v>
      </c>
      <c r="I82" s="587">
        <f>IF(VLOOKUP($A82,'hk2017'!$A:$G,1)=$A82,VLOOKUP($A82,'hk2017'!$A:$G,7),0)</f>
        <v>39624.199999999997</v>
      </c>
      <c r="J82" s="587">
        <f>IF(VLOOKUP($A82,'hk2017'!$A:$H,1)=$A82,VLOOKUP($A82,'hk2017'!$A:$H,8),0)</f>
        <v>39624.199999999997</v>
      </c>
      <c r="K82" s="589">
        <f>SUM(H82+I82-J82)</f>
        <v>0</v>
      </c>
      <c r="L82" s="595"/>
    </row>
    <row r="83" spans="1:12" outlineLevel="1" x14ac:dyDescent="0.25">
      <c r="A83" s="581" t="str">
        <f>LEFT(B83,3)</f>
        <v>112</v>
      </c>
      <c r="B83" s="582" t="s">
        <v>2832</v>
      </c>
      <c r="C83" s="582" t="s">
        <v>2833</v>
      </c>
      <c r="D83" s="587">
        <f>IF(VLOOKUP($A83,'hk2018'!$A:$G,1)=$A83,VLOOKUP($A83,'hk2018'!$A:$G,6),0)</f>
        <v>5545.16</v>
      </c>
      <c r="E83" s="587">
        <f>IF(VLOOKUP($A83,'hk2018'!$A:$G,1)=$A83,VLOOKUP($A83,'hk2018'!$A:$G,7),0)</f>
        <v>44685.05</v>
      </c>
      <c r="F83" s="587">
        <f>IF(VLOOKUP($A83,'hk2018'!$A:$H,1)=$A83,VLOOKUP($A83,'hk2018'!$A:$H,8),0)</f>
        <v>46184.53</v>
      </c>
      <c r="G83" s="588">
        <f>SUM(D83+E83-F83)</f>
        <v>4045.6800000000076</v>
      </c>
      <c r="H83" s="587">
        <f>IF(VLOOKUP($A83,'hk2017'!$A:$G,1)=$A83,VLOOKUP($A83,'hk2017'!$A:$G,6),0)</f>
        <v>5304.99</v>
      </c>
      <c r="I83" s="587">
        <f>IF(VLOOKUP($A83,'hk2017'!$A:$G,1)=$A83,VLOOKUP($A83,'hk2017'!$A:$G,7),0)</f>
        <v>39302.65</v>
      </c>
      <c r="J83" s="587">
        <f>IF(VLOOKUP($A83,'hk2017'!$A:$H,1)=$A83,VLOOKUP($A83,'hk2017'!$A:$H,8),0)</f>
        <v>39062.480000000003</v>
      </c>
      <c r="K83" s="589">
        <f>SUM(H83+I83-J83)</f>
        <v>5545.1599999999962</v>
      </c>
      <c r="L83" s="595"/>
    </row>
    <row r="84" spans="1:12" outlineLevel="1" x14ac:dyDescent="0.25">
      <c r="A84" s="581" t="str">
        <f>LEFT(B84,3)</f>
        <v>119</v>
      </c>
      <c r="B84" s="582" t="s">
        <v>2834</v>
      </c>
      <c r="C84" s="582" t="s">
        <v>2835</v>
      </c>
      <c r="D84" s="587">
        <f>IF(VLOOKUP($A84,'hk2018'!$A:$G,1)=$A84,VLOOKUP($A84,'hk2018'!$A:$G,6),0)</f>
        <v>0</v>
      </c>
      <c r="E84" s="587">
        <f>IF(VLOOKUP($A84,'hk2018'!$A:$G,1)=$A84,VLOOKUP($A84,'hk2018'!$A:$G,7),0)</f>
        <v>0</v>
      </c>
      <c r="F84" s="587">
        <f>IF(VLOOKUP($A84,'hk2018'!$A:$H,1)=$A84,VLOOKUP($A84,'hk2018'!$A:$H,8),0)</f>
        <v>0</v>
      </c>
      <c r="G84" s="588">
        <f>SUM(D84+E84-F84)</f>
        <v>0</v>
      </c>
      <c r="H84" s="587">
        <f>IF(VLOOKUP($A84,'hk2017'!$A:$G,1)=$A84,VLOOKUP($A84,'hk2017'!$A:$G,6),0)</f>
        <v>0</v>
      </c>
      <c r="I84" s="587">
        <f>IF(VLOOKUP($A84,'hk2017'!$A:$G,1)=$A84,VLOOKUP($A84,'hk2017'!$A:$G,7),0)</f>
        <v>0</v>
      </c>
      <c r="J84" s="587">
        <f>IF(VLOOKUP($A84,'hk2017'!$A:$H,1)=$A84,VLOOKUP($A84,'hk2017'!$A:$H,8),0)</f>
        <v>0</v>
      </c>
      <c r="K84" s="589">
        <f>SUM(H84+I84-J84)</f>
        <v>0</v>
      </c>
      <c r="L84" s="595"/>
    </row>
    <row r="85" spans="1:12" outlineLevel="1" x14ac:dyDescent="0.25">
      <c r="A85" s="596"/>
      <c r="B85" s="597"/>
      <c r="C85" s="597"/>
      <c r="D85" s="590"/>
      <c r="E85" s="590"/>
      <c r="F85" s="590"/>
      <c r="G85" s="591"/>
      <c r="H85" s="590"/>
      <c r="I85" s="590"/>
      <c r="J85" s="590"/>
      <c r="K85" s="592"/>
      <c r="L85" s="595"/>
    </row>
    <row r="86" spans="1:12" x14ac:dyDescent="0.25">
      <c r="A86" s="604" t="s">
        <v>1237</v>
      </c>
      <c r="B86" s="605"/>
      <c r="C86" s="606" t="s">
        <v>2836</v>
      </c>
      <c r="D86" s="578">
        <f t="shared" ref="D86:K86" si="27">SUM(D87:D91)</f>
        <v>43583.920000000006</v>
      </c>
      <c r="E86" s="578">
        <f t="shared" si="27"/>
        <v>85077.66</v>
      </c>
      <c r="F86" s="578">
        <f t="shared" si="27"/>
        <v>80576.820000000007</v>
      </c>
      <c r="G86" s="593">
        <f t="shared" si="27"/>
        <v>48084.759999999995</v>
      </c>
      <c r="H86" s="578">
        <f t="shared" si="27"/>
        <v>63394.350000000006</v>
      </c>
      <c r="I86" s="578">
        <f t="shared" si="27"/>
        <v>105823.25</v>
      </c>
      <c r="J86" s="578">
        <f t="shared" si="27"/>
        <v>125633.68</v>
      </c>
      <c r="K86" s="594">
        <f t="shared" si="27"/>
        <v>43583.92</v>
      </c>
      <c r="L86" s="595"/>
    </row>
    <row r="87" spans="1:12" outlineLevel="1" x14ac:dyDescent="0.25">
      <c r="A87" s="581" t="str">
        <f>LEFT(B87,3)</f>
        <v>121</v>
      </c>
      <c r="B87" s="582" t="s">
        <v>2837</v>
      </c>
      <c r="C87" s="582" t="s">
        <v>1945</v>
      </c>
      <c r="D87" s="587">
        <f>IF(VLOOKUP($A87,'hk2018'!$A:$G,1)=$A87,VLOOKUP($A87,'hk2018'!$A:$G,6),0)</f>
        <v>2396.9</v>
      </c>
      <c r="E87" s="587">
        <f>IF(VLOOKUP($A87,'hk2018'!$A:$G,1)=$A87,VLOOKUP($A87,'hk2018'!$A:$G,7),0)</f>
        <v>10487.39</v>
      </c>
      <c r="F87" s="587">
        <f>IF(VLOOKUP($A87,'hk2018'!$A:$H,1)=$A87,VLOOKUP($A87,'hk2018'!$A:$H,8),0)</f>
        <v>0</v>
      </c>
      <c r="G87" s="588">
        <f>SUM(D87+E87-F87)</f>
        <v>12884.289999999999</v>
      </c>
      <c r="H87" s="587">
        <f>IF(VLOOKUP($A87,'hk2017'!$A:$G,1)=$A87,VLOOKUP($A87,'hk2017'!$A:$G,6),0)</f>
        <v>14149.86</v>
      </c>
      <c r="I87" s="587">
        <f>IF(VLOOKUP($A87,'hk2017'!$A:$G,1)=$A87,VLOOKUP($A87,'hk2017'!$A:$G,7),0)</f>
        <v>-11752.96</v>
      </c>
      <c r="J87" s="587">
        <f>IF(VLOOKUP($A87,'hk2017'!$A:$H,1)=$A87,VLOOKUP($A87,'hk2017'!$A:$H,8),0)</f>
        <v>0</v>
      </c>
      <c r="K87" s="589">
        <f>SUM(H87+I87-J87)</f>
        <v>2396.9000000000015</v>
      </c>
      <c r="L87" s="595"/>
    </row>
    <row r="88" spans="1:12" outlineLevel="1" x14ac:dyDescent="0.25">
      <c r="A88" s="581" t="str">
        <f>LEFT(B88,3)</f>
        <v>122</v>
      </c>
      <c r="B88" s="582" t="s">
        <v>2838</v>
      </c>
      <c r="C88" s="582" t="s">
        <v>2839</v>
      </c>
      <c r="D88" s="587">
        <f>IF(VLOOKUP($A88,'hk2018'!$A:$G,1)=$A88,VLOOKUP($A88,'hk2018'!$A:$G,6),0)</f>
        <v>0</v>
      </c>
      <c r="E88" s="587">
        <f>IF(VLOOKUP($A88,'hk2018'!$A:$G,1)=$A88,VLOOKUP($A88,'hk2018'!$A:$G,7),0)</f>
        <v>0</v>
      </c>
      <c r="F88" s="587">
        <f>IF(VLOOKUP($A88,'hk2018'!$A:$H,1)=$A88,VLOOKUP($A88,'hk2018'!$A:$H,8),0)</f>
        <v>0</v>
      </c>
      <c r="G88" s="588">
        <f>SUM(D88+E88-F88)</f>
        <v>0</v>
      </c>
      <c r="H88" s="587">
        <f>IF(VLOOKUP($A88,'hk2017'!$A:$G,1)=$A88,VLOOKUP($A88,'hk2017'!$A:$G,6),0)</f>
        <v>0</v>
      </c>
      <c r="I88" s="587">
        <f>IF(VLOOKUP($A88,'hk2017'!$A:$G,1)=$A88,VLOOKUP($A88,'hk2017'!$A:$G,7),0)</f>
        <v>0</v>
      </c>
      <c r="J88" s="587">
        <f>IF(VLOOKUP($A88,'hk2017'!$A:$H,1)=$A88,VLOOKUP($A88,'hk2017'!$A:$H,8),0)</f>
        <v>0</v>
      </c>
      <c r="K88" s="589">
        <f>SUM(H88+I88-J88)</f>
        <v>0</v>
      </c>
      <c r="L88" s="607"/>
    </row>
    <row r="89" spans="1:12" outlineLevel="1" x14ac:dyDescent="0.25">
      <c r="A89" s="581" t="str">
        <f>LEFT(B89,3)</f>
        <v>123</v>
      </c>
      <c r="B89" s="582" t="s">
        <v>2840</v>
      </c>
      <c r="C89" s="582" t="s">
        <v>1634</v>
      </c>
      <c r="D89" s="587">
        <f>IF(VLOOKUP($A89,'hk2018'!$A:$G,1)=$A89,VLOOKUP($A89,'hk2018'!$A:$G,6),0)</f>
        <v>38846.54</v>
      </c>
      <c r="E89" s="587">
        <f>IF(VLOOKUP($A89,'hk2018'!$A:$G,1)=$A89,VLOOKUP($A89,'hk2018'!$A:$G,7),0)</f>
        <v>59997.39</v>
      </c>
      <c r="F89" s="587">
        <f>IF(VLOOKUP($A89,'hk2018'!$A:$H,1)=$A89,VLOOKUP($A89,'hk2018'!$A:$H,8),0)</f>
        <v>67022.94</v>
      </c>
      <c r="G89" s="588">
        <f>SUM(D89+E89-F89)</f>
        <v>31820.989999999991</v>
      </c>
      <c r="H89" s="587">
        <f>IF(VLOOKUP($A89,'hk2017'!$A:$G,1)=$A89,VLOOKUP($A89,'hk2017'!$A:$G,6),0)</f>
        <v>42656.4</v>
      </c>
      <c r="I89" s="587">
        <f>IF(VLOOKUP($A89,'hk2017'!$A:$G,1)=$A89,VLOOKUP($A89,'hk2017'!$A:$G,7),0)</f>
        <v>96829.93</v>
      </c>
      <c r="J89" s="587">
        <f>IF(VLOOKUP($A89,'hk2017'!$A:$H,1)=$A89,VLOOKUP($A89,'hk2017'!$A:$H,8),0)</f>
        <v>100639.79</v>
      </c>
      <c r="K89" s="589">
        <f>SUM(H89+I89-J89)</f>
        <v>38846.539999999994</v>
      </c>
      <c r="L89" s="607"/>
    </row>
    <row r="90" spans="1:12" outlineLevel="1" x14ac:dyDescent="0.25">
      <c r="A90" s="581" t="str">
        <f>LEFT(B90,3)</f>
        <v>124</v>
      </c>
      <c r="B90" s="582" t="s">
        <v>2841</v>
      </c>
      <c r="C90" s="582" t="s">
        <v>1635</v>
      </c>
      <c r="D90" s="587">
        <f>IF(VLOOKUP($A90,'hk2018'!$A:$G,1)=$A90,VLOOKUP($A90,'hk2018'!$A:$G,6),0)</f>
        <v>2340.48</v>
      </c>
      <c r="E90" s="587">
        <f>IF(VLOOKUP($A90,'hk2018'!$A:$G,1)=$A90,VLOOKUP($A90,'hk2018'!$A:$G,7),0)</f>
        <v>14592.88</v>
      </c>
      <c r="F90" s="587">
        <f>IF(VLOOKUP($A90,'hk2018'!$A:$H,1)=$A90,VLOOKUP($A90,'hk2018'!$A:$H,8),0)</f>
        <v>13553.88</v>
      </c>
      <c r="G90" s="588">
        <f>SUM(D90+E90-F90)</f>
        <v>3379.4800000000014</v>
      </c>
      <c r="H90" s="587">
        <f>IF(VLOOKUP($A90,'hk2017'!$A:$G,1)=$A90,VLOOKUP($A90,'hk2017'!$A:$G,6),0)</f>
        <v>6588.09</v>
      </c>
      <c r="I90" s="587">
        <f>IF(VLOOKUP($A90,'hk2017'!$A:$G,1)=$A90,VLOOKUP($A90,'hk2017'!$A:$G,7),0)</f>
        <v>20746.28</v>
      </c>
      <c r="J90" s="587">
        <f>IF(VLOOKUP($A90,'hk2017'!$A:$H,1)=$A90,VLOOKUP($A90,'hk2017'!$A:$H,8),0)</f>
        <v>24993.89</v>
      </c>
      <c r="K90" s="589">
        <f>SUM(H90+I90-J90)</f>
        <v>2340.4799999999996</v>
      </c>
    </row>
    <row r="91" spans="1:12" outlineLevel="1" x14ac:dyDescent="0.25">
      <c r="A91" s="596"/>
      <c r="B91" s="597"/>
      <c r="C91" s="597"/>
      <c r="D91" s="590"/>
      <c r="E91" s="590"/>
      <c r="F91" s="590"/>
      <c r="G91" s="591"/>
      <c r="H91" s="590"/>
      <c r="I91" s="590"/>
      <c r="J91" s="590"/>
      <c r="K91" s="592"/>
    </row>
    <row r="92" spans="1:12" x14ac:dyDescent="0.25">
      <c r="A92" s="604" t="s">
        <v>1238</v>
      </c>
      <c r="B92" s="605"/>
      <c r="C92" s="606" t="s">
        <v>1636</v>
      </c>
      <c r="D92" s="578">
        <f t="shared" ref="D92:K92" si="28">SUM(D93:D97)</f>
        <v>0</v>
      </c>
      <c r="E92" s="578">
        <f t="shared" si="28"/>
        <v>0</v>
      </c>
      <c r="F92" s="578">
        <f t="shared" si="28"/>
        <v>0</v>
      </c>
      <c r="G92" s="593">
        <f t="shared" si="28"/>
        <v>0</v>
      </c>
      <c r="H92" s="578">
        <f t="shared" si="28"/>
        <v>0</v>
      </c>
      <c r="I92" s="578">
        <f t="shared" si="28"/>
        <v>0</v>
      </c>
      <c r="J92" s="578">
        <f t="shared" si="28"/>
        <v>0</v>
      </c>
      <c r="K92" s="594">
        <f t="shared" si="28"/>
        <v>0</v>
      </c>
    </row>
    <row r="93" spans="1:12" outlineLevel="1" x14ac:dyDescent="0.25">
      <c r="A93" s="581" t="str">
        <f>LEFT(B93,3)</f>
        <v>131</v>
      </c>
      <c r="B93" s="582" t="s">
        <v>2842</v>
      </c>
      <c r="C93" s="582" t="s">
        <v>2843</v>
      </c>
      <c r="D93" s="587">
        <f>IF(VLOOKUP($A93,'hk2018'!$A:$G,1)=$A93,VLOOKUP($A93,'hk2018'!$A:$G,6),0)</f>
        <v>0</v>
      </c>
      <c r="E93" s="587">
        <f>IF(VLOOKUP($A93,'hk2018'!$A:$G,1)=$A93,VLOOKUP($A93,'hk2018'!$A:$G,7),0)</f>
        <v>0</v>
      </c>
      <c r="F93" s="587">
        <f>IF(VLOOKUP($A93,'hk2018'!$A:$H,1)=$A93,VLOOKUP($A93,'hk2018'!$A:$H,8),0)</f>
        <v>0</v>
      </c>
      <c r="G93" s="588">
        <f>SUM(D93+E93-F93)</f>
        <v>0</v>
      </c>
      <c r="H93" s="587">
        <f>IF(VLOOKUP($A93,'hk2017'!$A:$G,1)=$A93,VLOOKUP($A93,'hk2017'!$A:$G,6),0)</f>
        <v>0</v>
      </c>
      <c r="I93" s="587">
        <f>IF(VLOOKUP($A93,'hk2017'!$A:$G,1)=$A93,VLOOKUP($A93,'hk2017'!$A:$G,7),0)</f>
        <v>0</v>
      </c>
      <c r="J93" s="587">
        <f>IF(VLOOKUP($A93,'hk2017'!$A:$H,1)=$A93,VLOOKUP($A93,'hk2017'!$A:$H,8),0)</f>
        <v>0</v>
      </c>
      <c r="K93" s="589">
        <f>SUM(H93+I93-J93)</f>
        <v>0</v>
      </c>
    </row>
    <row r="94" spans="1:12" outlineLevel="1" x14ac:dyDescent="0.25">
      <c r="A94" s="581" t="str">
        <f>LEFT(B94,3)</f>
        <v>132</v>
      </c>
      <c r="B94" s="582" t="s">
        <v>2844</v>
      </c>
      <c r="C94" s="582" t="s">
        <v>2845</v>
      </c>
      <c r="D94" s="587">
        <f>IF(VLOOKUP($A94,'hk2018'!$A:$G,1)=$A94,VLOOKUP($A94,'hk2018'!$A:$G,6),0)</f>
        <v>0</v>
      </c>
      <c r="E94" s="587">
        <f>IF(VLOOKUP($A94,'hk2018'!$A:$G,1)=$A94,VLOOKUP($A94,'hk2018'!$A:$G,7),0)</f>
        <v>0</v>
      </c>
      <c r="F94" s="587">
        <f>IF(VLOOKUP($A94,'hk2018'!$A:$H,1)=$A94,VLOOKUP($A94,'hk2018'!$A:$H,8),0)</f>
        <v>0</v>
      </c>
      <c r="G94" s="588">
        <f>SUM(D94+E94-F94)</f>
        <v>0</v>
      </c>
      <c r="H94" s="587">
        <f>IF(VLOOKUP($A94,'hk2017'!$A:$G,1)=$A94,VLOOKUP($A94,'hk2017'!$A:$G,6),0)</f>
        <v>0</v>
      </c>
      <c r="I94" s="587">
        <f>IF(VLOOKUP($A94,'hk2017'!$A:$G,1)=$A94,VLOOKUP($A94,'hk2017'!$A:$G,7),0)</f>
        <v>0</v>
      </c>
      <c r="J94" s="587">
        <f>IF(VLOOKUP($A94,'hk2017'!$A:$H,1)=$A94,VLOOKUP($A94,'hk2017'!$A:$H,8),0)</f>
        <v>0</v>
      </c>
      <c r="K94" s="589">
        <f>SUM(H94+I94-J94)</f>
        <v>0</v>
      </c>
    </row>
    <row r="95" spans="1:12" outlineLevel="1" x14ac:dyDescent="0.25">
      <c r="A95" s="608" t="s">
        <v>379</v>
      </c>
      <c r="B95" s="609"/>
      <c r="C95" s="609" t="s">
        <v>380</v>
      </c>
      <c r="D95" s="587">
        <f>IF(VLOOKUP($A95,'hk2018'!$A:$G,1)=$A95,VLOOKUP($A95,'hk2018'!$A:$G,6),0)</f>
        <v>0</v>
      </c>
      <c r="E95" s="587">
        <f>IF(VLOOKUP($A95,'hk2018'!$A:$G,1)=$A95,VLOOKUP($A95,'hk2018'!$A:$G,7),0)</f>
        <v>0</v>
      </c>
      <c r="F95" s="587">
        <f>IF(VLOOKUP($A95,'hk2018'!$A:$H,1)=$A95,VLOOKUP($A95,'hk2018'!$A:$H,8),0)</f>
        <v>0</v>
      </c>
      <c r="G95" s="588">
        <f>SUM(D95+E95-F95)</f>
        <v>0</v>
      </c>
      <c r="H95" s="587">
        <f>IF(VLOOKUP($A95,'hk2017'!$A:$G,1)=$A95,VLOOKUP($A95,'hk2017'!$A:$G,6),0)</f>
        <v>0</v>
      </c>
      <c r="I95" s="587">
        <f>IF(VLOOKUP($A95,'hk2017'!$A:$G,1)=$A95,VLOOKUP($A95,'hk2017'!$A:$G,7),0)</f>
        <v>0</v>
      </c>
      <c r="J95" s="587">
        <f>IF(VLOOKUP($A95,'hk2017'!$A:$H,1)=$A95,VLOOKUP($A95,'hk2017'!$A:$H,8),0)</f>
        <v>0</v>
      </c>
      <c r="K95" s="589">
        <f>SUM(H95+I95-J95)</f>
        <v>0</v>
      </c>
    </row>
    <row r="96" spans="1:12" outlineLevel="1" x14ac:dyDescent="0.25">
      <c r="A96" s="581" t="str">
        <f>LEFT(B96,3)</f>
        <v>139</v>
      </c>
      <c r="B96" s="582" t="s">
        <v>2846</v>
      </c>
      <c r="C96" s="582" t="s">
        <v>2847</v>
      </c>
      <c r="D96" s="587">
        <f>IF(VLOOKUP($A96,'hk2018'!$A:$G,1)=$A96,VLOOKUP($A96,'hk2018'!$A:$G,6),0)</f>
        <v>0</v>
      </c>
      <c r="E96" s="587">
        <f>IF(VLOOKUP($A96,'hk2018'!$A:$G,1)=$A96,VLOOKUP($A96,'hk2018'!$A:$G,7),0)</f>
        <v>0</v>
      </c>
      <c r="F96" s="587">
        <f>IF(VLOOKUP($A96,'hk2018'!$A:$H,1)=$A96,VLOOKUP($A96,'hk2018'!$A:$H,8),0)</f>
        <v>0</v>
      </c>
      <c r="G96" s="588">
        <f>SUM(D96+E96-F96)</f>
        <v>0</v>
      </c>
      <c r="H96" s="587">
        <f>IF(VLOOKUP($A96,'hk2017'!$A:$G,1)=$A96,VLOOKUP($A96,'hk2017'!$A:$G,6),0)</f>
        <v>0</v>
      </c>
      <c r="I96" s="587">
        <f>IF(VLOOKUP($A96,'hk2017'!$A:$G,1)=$A96,VLOOKUP($A96,'hk2017'!$A:$G,7),0)</f>
        <v>0</v>
      </c>
      <c r="J96" s="587">
        <f>IF(VLOOKUP($A96,'hk2017'!$A:$H,1)=$A96,VLOOKUP($A96,'hk2017'!$A:$H,8),0)</f>
        <v>0</v>
      </c>
      <c r="K96" s="589">
        <f>SUM(H96+I96-J96)</f>
        <v>0</v>
      </c>
    </row>
    <row r="97" spans="1:11" outlineLevel="1" x14ac:dyDescent="0.25">
      <c r="A97" s="596"/>
      <c r="B97" s="597"/>
      <c r="C97" s="597"/>
      <c r="D97" s="590"/>
      <c r="E97" s="590"/>
      <c r="F97" s="590"/>
      <c r="G97" s="591"/>
      <c r="H97" s="590"/>
      <c r="I97" s="590"/>
      <c r="J97" s="590"/>
      <c r="K97" s="592"/>
    </row>
    <row r="98" spans="1:11" x14ac:dyDescent="0.25">
      <c r="A98" s="604" t="s">
        <v>1246</v>
      </c>
      <c r="B98" s="605"/>
      <c r="C98" s="606" t="s">
        <v>2848</v>
      </c>
      <c r="D98" s="578">
        <f t="shared" ref="D98:K98" si="29">SUM(D99:D105)</f>
        <v>0</v>
      </c>
      <c r="E98" s="578">
        <f t="shared" si="29"/>
        <v>0</v>
      </c>
      <c r="F98" s="578">
        <f t="shared" si="29"/>
        <v>0</v>
      </c>
      <c r="G98" s="593">
        <f t="shared" si="29"/>
        <v>0</v>
      </c>
      <c r="H98" s="578">
        <f t="shared" si="29"/>
        <v>0</v>
      </c>
      <c r="I98" s="578">
        <f t="shared" si="29"/>
        <v>0</v>
      </c>
      <c r="J98" s="578">
        <f t="shared" si="29"/>
        <v>0</v>
      </c>
      <c r="K98" s="594">
        <f t="shared" si="29"/>
        <v>0</v>
      </c>
    </row>
    <row r="99" spans="1:11" outlineLevel="1" x14ac:dyDescent="0.25">
      <c r="A99" s="581" t="str">
        <f t="shared" ref="A99:A104" si="30">LEFT(B99,3)</f>
        <v>191</v>
      </c>
      <c r="B99" s="582" t="s">
        <v>2849</v>
      </c>
      <c r="C99" s="582" t="s">
        <v>2850</v>
      </c>
      <c r="D99" s="587">
        <f>IF(VLOOKUP($A99,'hk2018'!$A:$G,1)=$A99,VLOOKUP($A99,'hk2018'!$A:$G,6),0)</f>
        <v>0</v>
      </c>
      <c r="E99" s="587">
        <f>IF(VLOOKUP($A99,'hk2018'!$A:$G,1)=$A99,VLOOKUP($A99,'hk2018'!$A:$G,7),0)</f>
        <v>0</v>
      </c>
      <c r="F99" s="587">
        <f>IF(VLOOKUP($A99,'hk2018'!$A:$H,1)=$A99,VLOOKUP($A99,'hk2018'!$A:$H,8),0)</f>
        <v>0</v>
      </c>
      <c r="G99" s="588">
        <f t="shared" ref="G99:G104" si="31">SUM(D99+E99-F99)</f>
        <v>0</v>
      </c>
      <c r="H99" s="587">
        <f>IF(VLOOKUP($A99,'hk2017'!$A:$G,1)=$A99,VLOOKUP($A99,'hk2017'!$A:$G,6),0)</f>
        <v>0</v>
      </c>
      <c r="I99" s="587">
        <f>IF(VLOOKUP($A99,'hk2017'!$A:$G,1)=$A99,VLOOKUP($A99,'hk2017'!$A:$G,7),0)</f>
        <v>0</v>
      </c>
      <c r="J99" s="587">
        <f>IF(VLOOKUP($A99,'hk2017'!$A:$H,1)=$A99,VLOOKUP($A99,'hk2017'!$A:$H,8),0)</f>
        <v>0</v>
      </c>
      <c r="K99" s="589">
        <f t="shared" ref="K99:K104" si="32">SUM(H99+I99-J99)</f>
        <v>0</v>
      </c>
    </row>
    <row r="100" spans="1:11" outlineLevel="1" x14ac:dyDescent="0.25">
      <c r="A100" s="581" t="str">
        <f t="shared" si="30"/>
        <v>192</v>
      </c>
      <c r="B100" s="582" t="s">
        <v>2851</v>
      </c>
      <c r="C100" s="582" t="s">
        <v>2852</v>
      </c>
      <c r="D100" s="587">
        <f>IF(VLOOKUP($A100,'hk2018'!$A:$G,1)=$A100,VLOOKUP($A100,'hk2018'!$A:$G,6),0)</f>
        <v>0</v>
      </c>
      <c r="E100" s="587">
        <f>IF(VLOOKUP($A100,'hk2018'!$A:$G,1)=$A100,VLOOKUP($A100,'hk2018'!$A:$G,7),0)</f>
        <v>0</v>
      </c>
      <c r="F100" s="587">
        <f>IF(VLOOKUP($A100,'hk2018'!$A:$H,1)=$A100,VLOOKUP($A100,'hk2018'!$A:$H,8),0)</f>
        <v>0</v>
      </c>
      <c r="G100" s="588">
        <f t="shared" si="31"/>
        <v>0</v>
      </c>
      <c r="H100" s="587">
        <f>IF(VLOOKUP($A100,'hk2017'!$A:$G,1)=$A100,VLOOKUP($A100,'hk2017'!$A:$G,6),0)</f>
        <v>0</v>
      </c>
      <c r="I100" s="587">
        <f>IF(VLOOKUP($A100,'hk2017'!$A:$G,1)=$A100,VLOOKUP($A100,'hk2017'!$A:$G,7),0)</f>
        <v>0</v>
      </c>
      <c r="J100" s="587">
        <f>IF(VLOOKUP($A100,'hk2017'!$A:$H,1)=$A100,VLOOKUP($A100,'hk2017'!$A:$H,8),0)</f>
        <v>0</v>
      </c>
      <c r="K100" s="589">
        <f t="shared" si="32"/>
        <v>0</v>
      </c>
    </row>
    <row r="101" spans="1:11" outlineLevel="1" x14ac:dyDescent="0.25">
      <c r="A101" s="581" t="str">
        <f t="shared" si="30"/>
        <v>193</v>
      </c>
      <c r="B101" s="582" t="s">
        <v>2853</v>
      </c>
      <c r="C101" s="582" t="s">
        <v>2854</v>
      </c>
      <c r="D101" s="587">
        <f>IF(VLOOKUP($A101,'hk2018'!$A:$G,1)=$A101,VLOOKUP($A101,'hk2018'!$A:$G,6),0)</f>
        <v>0</v>
      </c>
      <c r="E101" s="587">
        <f>IF(VLOOKUP($A101,'hk2018'!$A:$G,1)=$A101,VLOOKUP($A101,'hk2018'!$A:$G,7),0)</f>
        <v>0</v>
      </c>
      <c r="F101" s="587">
        <f>IF(VLOOKUP($A101,'hk2018'!$A:$H,1)=$A101,VLOOKUP($A101,'hk2018'!$A:$H,8),0)</f>
        <v>0</v>
      </c>
      <c r="G101" s="588">
        <f t="shared" si="31"/>
        <v>0</v>
      </c>
      <c r="H101" s="587">
        <f>IF(VLOOKUP($A101,'hk2017'!$A:$G,1)=$A101,VLOOKUP($A101,'hk2017'!$A:$G,6),0)</f>
        <v>0</v>
      </c>
      <c r="I101" s="587">
        <f>IF(VLOOKUP($A101,'hk2017'!$A:$G,1)=$A101,VLOOKUP($A101,'hk2017'!$A:$G,7),0)</f>
        <v>0</v>
      </c>
      <c r="J101" s="587">
        <f>IF(VLOOKUP($A101,'hk2017'!$A:$H,1)=$A101,VLOOKUP($A101,'hk2017'!$A:$H,8),0)</f>
        <v>0</v>
      </c>
      <c r="K101" s="589">
        <f t="shared" si="32"/>
        <v>0</v>
      </c>
    </row>
    <row r="102" spans="1:11" outlineLevel="1" x14ac:dyDescent="0.25">
      <c r="A102" s="581" t="str">
        <f t="shared" si="30"/>
        <v>194</v>
      </c>
      <c r="B102" s="582" t="s">
        <v>2855</v>
      </c>
      <c r="C102" s="582" t="s">
        <v>2856</v>
      </c>
      <c r="D102" s="587">
        <f>IF(VLOOKUP($A102,'hk2018'!$A:$G,1)=$A102,VLOOKUP($A102,'hk2018'!$A:$G,6),0)</f>
        <v>0</v>
      </c>
      <c r="E102" s="587">
        <f>IF(VLOOKUP($A102,'hk2018'!$A:$G,1)=$A102,VLOOKUP($A102,'hk2018'!$A:$G,7),0)</f>
        <v>0</v>
      </c>
      <c r="F102" s="587">
        <f>IF(VLOOKUP($A102,'hk2018'!$A:$H,1)=$A102,VLOOKUP($A102,'hk2018'!$A:$H,8),0)</f>
        <v>0</v>
      </c>
      <c r="G102" s="588">
        <f t="shared" si="31"/>
        <v>0</v>
      </c>
      <c r="H102" s="587">
        <f>IF(VLOOKUP($A102,'hk2017'!$A:$G,1)=$A102,VLOOKUP($A102,'hk2017'!$A:$G,6),0)</f>
        <v>0</v>
      </c>
      <c r="I102" s="587">
        <f>IF(VLOOKUP($A102,'hk2017'!$A:$G,1)=$A102,VLOOKUP($A102,'hk2017'!$A:$G,7),0)</f>
        <v>0</v>
      </c>
      <c r="J102" s="587">
        <f>IF(VLOOKUP($A102,'hk2017'!$A:$H,1)=$A102,VLOOKUP($A102,'hk2017'!$A:$H,8),0)</f>
        <v>0</v>
      </c>
      <c r="K102" s="589">
        <f t="shared" si="32"/>
        <v>0</v>
      </c>
    </row>
    <row r="103" spans="1:11" outlineLevel="1" x14ac:dyDescent="0.25">
      <c r="A103" s="581" t="str">
        <f t="shared" si="30"/>
        <v>195</v>
      </c>
      <c r="B103" s="582" t="s">
        <v>2857</v>
      </c>
      <c r="C103" s="582" t="s">
        <v>2858</v>
      </c>
      <c r="D103" s="587">
        <f>IF(VLOOKUP($A103,'hk2018'!$A:$G,1)=$A103,VLOOKUP($A103,'hk2018'!$A:$G,6),0)</f>
        <v>0</v>
      </c>
      <c r="E103" s="587">
        <f>IF(VLOOKUP($A103,'hk2018'!$A:$G,1)=$A103,VLOOKUP($A103,'hk2018'!$A:$G,7),0)</f>
        <v>0</v>
      </c>
      <c r="F103" s="587">
        <f>IF(VLOOKUP($A103,'hk2018'!$A:$H,1)=$A103,VLOOKUP($A103,'hk2018'!$A:$H,8),0)</f>
        <v>0</v>
      </c>
      <c r="G103" s="588">
        <f t="shared" si="31"/>
        <v>0</v>
      </c>
      <c r="H103" s="587">
        <f>IF(VLOOKUP($A103,'hk2017'!$A:$G,1)=$A103,VLOOKUP($A103,'hk2017'!$A:$G,6),0)</f>
        <v>0</v>
      </c>
      <c r="I103" s="587">
        <f>IF(VLOOKUP($A103,'hk2017'!$A:$G,1)=$A103,VLOOKUP($A103,'hk2017'!$A:$G,7),0)</f>
        <v>0</v>
      </c>
      <c r="J103" s="587">
        <f>IF(VLOOKUP($A103,'hk2017'!$A:$H,1)=$A103,VLOOKUP($A103,'hk2017'!$A:$H,8),0)</f>
        <v>0</v>
      </c>
      <c r="K103" s="589">
        <f t="shared" si="32"/>
        <v>0</v>
      </c>
    </row>
    <row r="104" spans="1:11" outlineLevel="1" x14ac:dyDescent="0.25">
      <c r="A104" s="581" t="str">
        <f t="shared" si="30"/>
        <v>196</v>
      </c>
      <c r="B104" s="582" t="s">
        <v>2859</v>
      </c>
      <c r="C104" s="582" t="s">
        <v>2860</v>
      </c>
      <c r="D104" s="587">
        <f>IF(VLOOKUP($A104,'hk2018'!$A:$G,1)=$A104,VLOOKUP($A104,'hk2018'!$A:$G,6),0)</f>
        <v>0</v>
      </c>
      <c r="E104" s="587">
        <f>IF(VLOOKUP($A104,'hk2018'!$A:$G,1)=$A104,VLOOKUP($A104,'hk2018'!$A:$G,7),0)</f>
        <v>0</v>
      </c>
      <c r="F104" s="587">
        <f>IF(VLOOKUP($A104,'hk2018'!$A:$H,1)=$A104,VLOOKUP($A104,'hk2018'!$A:$H,8),0)</f>
        <v>0</v>
      </c>
      <c r="G104" s="588">
        <f t="shared" si="31"/>
        <v>0</v>
      </c>
      <c r="H104" s="587">
        <f>IF(VLOOKUP($A104,'hk2017'!$A:$G,1)=$A104,VLOOKUP($A104,'hk2017'!$A:$G,6),0)</f>
        <v>0</v>
      </c>
      <c r="I104" s="587">
        <f>IF(VLOOKUP($A104,'hk2017'!$A:$G,1)=$A104,VLOOKUP($A104,'hk2017'!$A:$G,7),0)</f>
        <v>0</v>
      </c>
      <c r="J104" s="587">
        <f>IF(VLOOKUP($A104,'hk2017'!$A:$H,1)=$A104,VLOOKUP($A104,'hk2017'!$A:$H,8),0)</f>
        <v>0</v>
      </c>
      <c r="K104" s="589">
        <f t="shared" si="32"/>
        <v>0</v>
      </c>
    </row>
    <row r="105" spans="1:11" outlineLevel="1" x14ac:dyDescent="0.25">
      <c r="A105" s="596"/>
      <c r="B105" s="597"/>
      <c r="C105" s="597"/>
      <c r="D105" s="590"/>
      <c r="E105" s="590"/>
      <c r="F105" s="590"/>
      <c r="G105" s="591"/>
      <c r="H105" s="590"/>
      <c r="I105" s="590"/>
      <c r="J105" s="590"/>
      <c r="K105" s="592"/>
    </row>
    <row r="106" spans="1:11" outlineLevel="1" x14ac:dyDescent="0.25">
      <c r="A106" s="569"/>
      <c r="B106" s="565"/>
      <c r="C106" s="565"/>
      <c r="H106" s="610"/>
      <c r="I106" s="610"/>
      <c r="J106" s="610"/>
      <c r="K106" s="611"/>
    </row>
    <row r="107" spans="1:11" x14ac:dyDescent="0.25">
      <c r="A107" s="570" t="s">
        <v>33</v>
      </c>
      <c r="B107" s="565"/>
      <c r="C107" s="571" t="s">
        <v>48</v>
      </c>
      <c r="D107" s="601">
        <f t="shared" ref="D107:K107" si="33">SUM(D108+D113+D116+D120+D124+D133+D136)</f>
        <v>-142807.17000000001</v>
      </c>
      <c r="E107" s="601">
        <f t="shared" si="33"/>
        <v>1196210.58</v>
      </c>
      <c r="F107" s="601">
        <f t="shared" si="33"/>
        <v>1209822.6100000001</v>
      </c>
      <c r="G107" s="602">
        <f t="shared" si="33"/>
        <v>-156419.19999999998</v>
      </c>
      <c r="H107" s="601">
        <f t="shared" si="33"/>
        <v>-126477.13999999998</v>
      </c>
      <c r="I107" s="601">
        <f t="shared" si="33"/>
        <v>1295586.67</v>
      </c>
      <c r="J107" s="601">
        <f t="shared" si="33"/>
        <v>1311916.7000000002</v>
      </c>
      <c r="K107" s="603">
        <f t="shared" si="33"/>
        <v>-142807.1700000001</v>
      </c>
    </row>
    <row r="108" spans="1:11" x14ac:dyDescent="0.25">
      <c r="A108" s="604" t="s">
        <v>2181</v>
      </c>
      <c r="B108" s="605"/>
      <c r="C108" s="606" t="s">
        <v>2861</v>
      </c>
      <c r="D108" s="578">
        <f t="shared" ref="D108:K108" si="34">SUM(D109:D111)</f>
        <v>20278.18</v>
      </c>
      <c r="E108" s="578">
        <f t="shared" si="34"/>
        <v>112912.89</v>
      </c>
      <c r="F108" s="578">
        <f t="shared" si="34"/>
        <v>116102.78</v>
      </c>
      <c r="G108" s="579">
        <f t="shared" si="34"/>
        <v>17088.290000000008</v>
      </c>
      <c r="H108" s="578">
        <f t="shared" si="34"/>
        <v>-1131.23</v>
      </c>
      <c r="I108" s="578">
        <f t="shared" si="34"/>
        <v>136686.70000000001</v>
      </c>
      <c r="J108" s="578">
        <f t="shared" si="34"/>
        <v>115277.29000000001</v>
      </c>
      <c r="K108" s="580">
        <f t="shared" si="34"/>
        <v>20278.18</v>
      </c>
    </row>
    <row r="109" spans="1:11" outlineLevel="1" x14ac:dyDescent="0.25">
      <c r="A109" s="581" t="s">
        <v>413</v>
      </c>
      <c r="B109" s="582"/>
      <c r="C109" s="583" t="s">
        <v>2861</v>
      </c>
      <c r="D109" s="587">
        <f>IF(VLOOKUP($A109,'hk2018'!$A:$G,1)=$A109,VLOOKUP($A109,'hk2018'!$A:$G,6),0)</f>
        <v>0</v>
      </c>
      <c r="E109" s="587">
        <f>IF(VLOOKUP($A109,'hk2018'!$A:$G,1)=$A109,VLOOKUP($A109,'hk2018'!$A:$G,7),0)</f>
        <v>0</v>
      </c>
      <c r="F109" s="587">
        <f>IF(VLOOKUP($A109,'hk2018'!$A:$H,1)=$A109,VLOOKUP($A109,'hk2018'!$A:$H,8),0)</f>
        <v>0</v>
      </c>
      <c r="G109" s="588">
        <f>SUM(D109+E109-F109)</f>
        <v>0</v>
      </c>
      <c r="H109" s="587">
        <f>IF(VLOOKUP($A109,'hk2017'!$A:$G,1)=$A109,VLOOKUP($A109,'hk2017'!$A:$G,6),0)</f>
        <v>0</v>
      </c>
      <c r="I109" s="587">
        <f>IF(VLOOKUP($A109,'hk2017'!$A:$G,1)=$A109,VLOOKUP($A109,'hk2017'!$A:$G,7),0)</f>
        <v>0</v>
      </c>
      <c r="J109" s="587">
        <f>IF(VLOOKUP($A109,'hk2017'!$A:$H,1)=$A109,VLOOKUP($A109,'hk2017'!$A:$H,8),0)</f>
        <v>0</v>
      </c>
      <c r="K109" s="589">
        <f>SUM(H109+I109-J109)</f>
        <v>0</v>
      </c>
    </row>
    <row r="110" spans="1:11" outlineLevel="1" x14ac:dyDescent="0.25">
      <c r="A110" s="581" t="str">
        <f>LEFT(B110,3)</f>
        <v>211</v>
      </c>
      <c r="B110" s="582" t="s">
        <v>2862</v>
      </c>
      <c r="C110" s="582" t="s">
        <v>2863</v>
      </c>
      <c r="D110" s="587">
        <f>IF(VLOOKUP($A110,'hk2018'!$A:$G,1)=$A110,VLOOKUP($A110,'hk2018'!$A:$G,6),0)</f>
        <v>18668.689999999999</v>
      </c>
      <c r="E110" s="587">
        <f>IF(VLOOKUP($A110,'hk2018'!$A:$G,1)=$A110,VLOOKUP($A110,'hk2018'!$A:$G,7),0)</f>
        <v>100514.3</v>
      </c>
      <c r="F110" s="587">
        <f>IF(VLOOKUP($A110,'hk2018'!$A:$H,1)=$A110,VLOOKUP($A110,'hk2018'!$A:$H,8),0)</f>
        <v>102853.51</v>
      </c>
      <c r="G110" s="588">
        <f>SUM(D110+E110-F110)</f>
        <v>16329.48000000001</v>
      </c>
      <c r="H110" s="587">
        <f>IF(VLOOKUP($A110,'hk2017'!$A:$G,1)=$A110,VLOOKUP($A110,'hk2017'!$A:$G,6),0)</f>
        <v>385.7</v>
      </c>
      <c r="I110" s="587">
        <f>IF(VLOOKUP($A110,'hk2017'!$A:$G,1)=$A110,VLOOKUP($A110,'hk2017'!$A:$G,7),0)</f>
        <v>120313.21</v>
      </c>
      <c r="J110" s="587">
        <f>IF(VLOOKUP($A110,'hk2017'!$A:$H,1)=$A110,VLOOKUP($A110,'hk2017'!$A:$H,8),0)</f>
        <v>102030.22</v>
      </c>
      <c r="K110" s="589">
        <f>SUM(H110+I110-J110)</f>
        <v>18668.690000000002</v>
      </c>
    </row>
    <row r="111" spans="1:11" outlineLevel="1" x14ac:dyDescent="0.25">
      <c r="A111" s="581" t="str">
        <f>LEFT(B111,3)</f>
        <v>213</v>
      </c>
      <c r="B111" s="582" t="s">
        <v>2864</v>
      </c>
      <c r="C111" s="582" t="s">
        <v>2865</v>
      </c>
      <c r="D111" s="587">
        <f>IF(VLOOKUP($A111,'hk2018'!$A:$G,1)=$A111,VLOOKUP($A111,'hk2018'!$A:$G,6),0)</f>
        <v>1609.49</v>
      </c>
      <c r="E111" s="587">
        <f>IF(VLOOKUP($A111,'hk2018'!$A:$G,1)=$A111,VLOOKUP($A111,'hk2018'!$A:$G,7),0)</f>
        <v>12398.59</v>
      </c>
      <c r="F111" s="587">
        <f>IF(VLOOKUP($A111,'hk2018'!$A:$H,1)=$A111,VLOOKUP($A111,'hk2018'!$A:$H,8),0)</f>
        <v>13249.27</v>
      </c>
      <c r="G111" s="588">
        <f>SUM(D111+E111-F111)</f>
        <v>758.80999999999949</v>
      </c>
      <c r="H111" s="587">
        <f>IF(VLOOKUP($A111,'hk2017'!$A:$G,1)=$A111,VLOOKUP($A111,'hk2017'!$A:$G,6),0)</f>
        <v>-1516.93</v>
      </c>
      <c r="I111" s="587">
        <f>IF(VLOOKUP($A111,'hk2017'!$A:$G,1)=$A111,VLOOKUP($A111,'hk2017'!$A:$G,7),0)</f>
        <v>16373.49</v>
      </c>
      <c r="J111" s="587">
        <f>IF(VLOOKUP($A111,'hk2017'!$A:$H,1)=$A111,VLOOKUP($A111,'hk2017'!$A:$H,8),0)</f>
        <v>13247.07</v>
      </c>
      <c r="K111" s="589">
        <f>SUM(H111+I111-J111)</f>
        <v>1609.4899999999998</v>
      </c>
    </row>
    <row r="112" spans="1:11" outlineLevel="1" x14ac:dyDescent="0.25">
      <c r="A112" s="596"/>
      <c r="B112" s="597"/>
      <c r="C112" s="597"/>
      <c r="D112" s="590"/>
      <c r="E112" s="590"/>
      <c r="F112" s="590"/>
      <c r="G112" s="591"/>
      <c r="H112" s="590"/>
      <c r="I112" s="590"/>
      <c r="J112" s="590"/>
      <c r="K112" s="592"/>
    </row>
    <row r="113" spans="1:12" x14ac:dyDescent="0.25">
      <c r="A113" s="604" t="s">
        <v>1217</v>
      </c>
      <c r="B113" s="605"/>
      <c r="C113" s="606" t="s">
        <v>1724</v>
      </c>
      <c r="D113" s="578">
        <f t="shared" ref="D113:K113" si="35">SUM(D114:D115)</f>
        <v>-157045.35</v>
      </c>
      <c r="E113" s="578">
        <f t="shared" si="35"/>
        <v>676961.87</v>
      </c>
      <c r="F113" s="578">
        <f t="shared" si="35"/>
        <v>690384.01</v>
      </c>
      <c r="G113" s="579">
        <f t="shared" si="35"/>
        <v>-170467.49</v>
      </c>
      <c r="H113" s="578">
        <f t="shared" si="35"/>
        <v>-119305.90999999999</v>
      </c>
      <c r="I113" s="578">
        <f t="shared" si="35"/>
        <v>713346.48</v>
      </c>
      <c r="J113" s="578">
        <f t="shared" si="35"/>
        <v>751085.92</v>
      </c>
      <c r="K113" s="580">
        <f t="shared" si="35"/>
        <v>-157045.35000000009</v>
      </c>
      <c r="L113" s="595"/>
    </row>
    <row r="114" spans="1:12" outlineLevel="1" x14ac:dyDescent="0.25">
      <c r="A114" s="581" t="str">
        <f>LEFT(B114,3)</f>
        <v>221</v>
      </c>
      <c r="B114" s="582" t="s">
        <v>2866</v>
      </c>
      <c r="C114" s="582" t="s">
        <v>2867</v>
      </c>
      <c r="D114" s="587">
        <f>IF(VLOOKUP($A114,'hk2018'!$A:$G,1)=$A114,VLOOKUP($A114,'hk2018'!$A:$G,6),0)</f>
        <v>-157045.35</v>
      </c>
      <c r="E114" s="587">
        <f>IF(VLOOKUP($A114,'hk2018'!$A:$G,1)=$A114,VLOOKUP($A114,'hk2018'!$A:$G,7),0)</f>
        <v>676961.87</v>
      </c>
      <c r="F114" s="587">
        <f>IF(VLOOKUP($A114,'hk2018'!$A:$H,1)=$A114,VLOOKUP($A114,'hk2018'!$A:$H,8),0)</f>
        <v>690384.01</v>
      </c>
      <c r="G114" s="588">
        <f>SUM(D114+E114-F114)</f>
        <v>-170467.49</v>
      </c>
      <c r="H114" s="587">
        <f>IF(VLOOKUP($A114,'hk2017'!$A:$G,1)=$A114,VLOOKUP($A114,'hk2017'!$A:$G,6),0)</f>
        <v>-119305.90999999999</v>
      </c>
      <c r="I114" s="587">
        <f>IF(VLOOKUP($A114,'hk2017'!$A:$G,1)=$A114,VLOOKUP($A114,'hk2017'!$A:$G,7),0)</f>
        <v>713346.48</v>
      </c>
      <c r="J114" s="587">
        <f>IF(VLOOKUP($A114,'hk2017'!$A:$H,1)=$A114,VLOOKUP($A114,'hk2017'!$A:$H,8),0)</f>
        <v>751085.92</v>
      </c>
      <c r="K114" s="589">
        <f>SUM(H114+I114-J114)</f>
        <v>-157045.35000000009</v>
      </c>
      <c r="L114" s="595"/>
    </row>
    <row r="115" spans="1:12" s="613" customFormat="1" outlineLevel="1" x14ac:dyDescent="0.25">
      <c r="A115" s="569" t="s">
        <v>2868</v>
      </c>
      <c r="B115" s="612"/>
      <c r="C115" s="583" t="s">
        <v>2869</v>
      </c>
      <c r="D115" s="587">
        <f>IF(VLOOKUP($A115,'hk2018'!$A:$G,1)=$A115,VLOOKUP($A115,'hk2018'!$A:$G,6),0)</f>
        <v>0</v>
      </c>
      <c r="E115" s="587">
        <f>IF(VLOOKUP($A115,'hk2018'!$A:$G,1)=$A115,VLOOKUP($A115,'hk2018'!$A:$G,7),0)</f>
        <v>0</v>
      </c>
      <c r="F115" s="587">
        <f>IF(VLOOKUP($A115,'hk2018'!$A:$H,1)=$A115,VLOOKUP($A115,'hk2018'!$A:$H,8),0)</f>
        <v>0</v>
      </c>
      <c r="G115" s="588">
        <f>SUM(D115+E115-F115)</f>
        <v>0</v>
      </c>
      <c r="H115" s="587">
        <f>IF(VLOOKUP($A115,'hk2017'!$A:$G,1)=$A115,VLOOKUP($A115,'hk2017'!$A:$G,6),0)</f>
        <v>0</v>
      </c>
      <c r="I115" s="587">
        <f>IF(VLOOKUP($A115,'hk2017'!$A:$G,1)=$A115,VLOOKUP($A115,'hk2017'!$A:$G,7),0)</f>
        <v>0</v>
      </c>
      <c r="J115" s="587">
        <f>IF(VLOOKUP($A115,'hk2017'!$A:$H,1)=$A115,VLOOKUP($A115,'hk2017'!$A:$H,8),0)</f>
        <v>0</v>
      </c>
      <c r="K115" s="589">
        <f>SUM(H115+I115-J115)</f>
        <v>0</v>
      </c>
      <c r="L115" s="595"/>
    </row>
    <row r="116" spans="1:12" x14ac:dyDescent="0.25">
      <c r="A116" s="604">
        <v>23</v>
      </c>
      <c r="B116" s="605"/>
      <c r="C116" s="606" t="s">
        <v>2870</v>
      </c>
      <c r="D116" s="578">
        <f t="shared" ref="D116:K116" si="36">SUM(D117:D118)</f>
        <v>0</v>
      </c>
      <c r="E116" s="578">
        <f t="shared" si="36"/>
        <v>0</v>
      </c>
      <c r="F116" s="578">
        <f t="shared" si="36"/>
        <v>0</v>
      </c>
      <c r="G116" s="593">
        <f t="shared" si="36"/>
        <v>0</v>
      </c>
      <c r="H116" s="578">
        <f t="shared" si="36"/>
        <v>0</v>
      </c>
      <c r="I116" s="578">
        <f t="shared" si="36"/>
        <v>0</v>
      </c>
      <c r="J116" s="578">
        <f t="shared" si="36"/>
        <v>0</v>
      </c>
      <c r="K116" s="594">
        <f t="shared" si="36"/>
        <v>0</v>
      </c>
      <c r="L116" s="595"/>
    </row>
    <row r="117" spans="1:12" outlineLevel="1" x14ac:dyDescent="0.25">
      <c r="A117" s="581" t="str">
        <f>LEFT(B117,3)</f>
        <v>231</v>
      </c>
      <c r="B117" s="582" t="s">
        <v>2871</v>
      </c>
      <c r="C117" s="582" t="s">
        <v>2872</v>
      </c>
      <c r="D117" s="587">
        <f>IF(VLOOKUP($A117,'hk2018'!$A:$G,1)=$A117,VLOOKUP($A117,'hk2018'!$A:$G,6),0)</f>
        <v>0</v>
      </c>
      <c r="E117" s="587">
        <f>IF(VLOOKUP($A117,'hk2018'!$A:$G,1)=$A117,VLOOKUP($A117,'hk2018'!$A:$G,7),0)</f>
        <v>0</v>
      </c>
      <c r="F117" s="587">
        <f>IF(VLOOKUP($A117,'hk2018'!$A:$H,1)=$A117,VLOOKUP($A117,'hk2018'!$A:$H,8),0)</f>
        <v>0</v>
      </c>
      <c r="G117" s="588">
        <f>SUM(D117+E117-F117)</f>
        <v>0</v>
      </c>
      <c r="H117" s="587">
        <f>IF(VLOOKUP($A117,'hk2017'!$A:$G,1)=$A117,VLOOKUP($A117,'hk2017'!$A:$G,6),0)</f>
        <v>0</v>
      </c>
      <c r="I117" s="587">
        <f>IF(VLOOKUP($A117,'hk2017'!$A:$G,1)=$A117,VLOOKUP($A117,'hk2017'!$A:$G,7),0)</f>
        <v>0</v>
      </c>
      <c r="J117" s="587">
        <f>IF(VLOOKUP($A117,'hk2017'!$A:$H,1)=$A117,VLOOKUP($A117,'hk2017'!$A:$H,8),0)</f>
        <v>0</v>
      </c>
      <c r="K117" s="589">
        <f>SUM(H117+I117-J117)</f>
        <v>0</v>
      </c>
      <c r="L117" s="595"/>
    </row>
    <row r="118" spans="1:12" outlineLevel="1" x14ac:dyDescent="0.25">
      <c r="A118" s="581" t="str">
        <f>LEFT(B118,3)</f>
        <v>232</v>
      </c>
      <c r="B118" s="582" t="s">
        <v>2873</v>
      </c>
      <c r="C118" s="582" t="s">
        <v>2874</v>
      </c>
      <c r="D118" s="587">
        <f>IF(VLOOKUP($A118,'hk2018'!$A:$G,1)=$A118,VLOOKUP($A118,'hk2018'!$A:$G,6),0)</f>
        <v>0</v>
      </c>
      <c r="E118" s="587">
        <f>IF(VLOOKUP($A118,'hk2018'!$A:$G,1)=$A118,VLOOKUP($A118,'hk2018'!$A:$G,7),0)</f>
        <v>0</v>
      </c>
      <c r="F118" s="587">
        <f>IF(VLOOKUP($A118,'hk2018'!$A:$H,1)=$A118,VLOOKUP($A118,'hk2018'!$A:$H,8),0)</f>
        <v>0</v>
      </c>
      <c r="G118" s="588">
        <f>SUM(D118+E118-F118)</f>
        <v>0</v>
      </c>
      <c r="H118" s="587">
        <f>IF(VLOOKUP($A118,'hk2017'!$A:$G,1)=$A118,VLOOKUP($A118,'hk2017'!$A:$G,6),0)</f>
        <v>0</v>
      </c>
      <c r="I118" s="587">
        <f>IF(VLOOKUP($A118,'hk2017'!$A:$G,1)=$A118,VLOOKUP($A118,'hk2017'!$A:$G,7),0)</f>
        <v>0</v>
      </c>
      <c r="J118" s="587">
        <f>IF(VLOOKUP($A118,'hk2017'!$A:$H,1)=$A118,VLOOKUP($A118,'hk2017'!$A:$H,8),0)</f>
        <v>0</v>
      </c>
      <c r="K118" s="589">
        <f>SUM(H118+I118-J118)</f>
        <v>0</v>
      </c>
      <c r="L118" s="595"/>
    </row>
    <row r="119" spans="1:12" outlineLevel="1" x14ac:dyDescent="0.25">
      <c r="A119" s="596"/>
      <c r="B119" s="597"/>
      <c r="C119" s="597"/>
      <c r="D119" s="590"/>
      <c r="E119" s="590"/>
      <c r="F119" s="590"/>
      <c r="G119" s="591"/>
      <c r="H119" s="590"/>
      <c r="I119" s="590"/>
      <c r="J119" s="590"/>
      <c r="K119" s="592"/>
      <c r="L119" s="595"/>
    </row>
    <row r="120" spans="1:12" x14ac:dyDescent="0.25">
      <c r="A120" s="604" t="s">
        <v>1222</v>
      </c>
      <c r="B120" s="605"/>
      <c r="C120" s="606" t="s">
        <v>2875</v>
      </c>
      <c r="D120" s="578">
        <f t="shared" ref="D120:K120" si="37">SUM(D121:D122)</f>
        <v>-6040</v>
      </c>
      <c r="E120" s="578">
        <f t="shared" si="37"/>
        <v>3000</v>
      </c>
      <c r="F120" s="578">
        <f t="shared" si="37"/>
        <v>0</v>
      </c>
      <c r="G120" s="593">
        <f t="shared" si="37"/>
        <v>-3040</v>
      </c>
      <c r="H120" s="578">
        <f t="shared" si="37"/>
        <v>-6040</v>
      </c>
      <c r="I120" s="578">
        <f t="shared" si="37"/>
        <v>0</v>
      </c>
      <c r="J120" s="578">
        <f t="shared" si="37"/>
        <v>0</v>
      </c>
      <c r="K120" s="594">
        <f t="shared" si="37"/>
        <v>-6040</v>
      </c>
      <c r="L120" s="595"/>
    </row>
    <row r="121" spans="1:12" outlineLevel="1" x14ac:dyDescent="0.25">
      <c r="A121" s="581" t="str">
        <f>LEFT(B121,3)</f>
        <v>241</v>
      </c>
      <c r="B121" s="582" t="s">
        <v>2876</v>
      </c>
      <c r="C121" s="582" t="s">
        <v>2877</v>
      </c>
      <c r="D121" s="587">
        <f>IF(VLOOKUP($A121,'hk2018'!$A:$G,1)=$A121,VLOOKUP($A121,'hk2018'!$A:$G,6),0)</f>
        <v>0</v>
      </c>
      <c r="E121" s="587">
        <f>IF(VLOOKUP($A121,'hk2018'!$A:$G,1)=$A121,VLOOKUP($A121,'hk2018'!$A:$G,7),0)</f>
        <v>0</v>
      </c>
      <c r="F121" s="587">
        <f>IF(VLOOKUP($A121,'hk2018'!$A:$H,1)=$A121,VLOOKUP($A121,'hk2018'!$A:$H,8),0)</f>
        <v>0</v>
      </c>
      <c r="G121" s="588">
        <f>SUM(D121+E121-F121)</f>
        <v>0</v>
      </c>
      <c r="H121" s="587">
        <f>IF(VLOOKUP($A121,'hk2017'!$A:$G,1)=$A121,VLOOKUP($A121,'hk2017'!$A:$G,6),0)</f>
        <v>0</v>
      </c>
      <c r="I121" s="587">
        <f>IF(VLOOKUP($A121,'hk2017'!$A:$G,1)=$A121,VLOOKUP($A121,'hk2017'!$A:$G,7),0)</f>
        <v>0</v>
      </c>
      <c r="J121" s="587">
        <f>IF(VLOOKUP($A121,'hk2017'!$A:$H,1)=$A121,VLOOKUP($A121,'hk2017'!$A:$H,8),0)</f>
        <v>0</v>
      </c>
      <c r="K121" s="589">
        <f>SUM(H121+I121-J121)</f>
        <v>0</v>
      </c>
      <c r="L121" s="595"/>
    </row>
    <row r="122" spans="1:12" outlineLevel="1" x14ac:dyDescent="0.25">
      <c r="A122" s="581" t="str">
        <f>LEFT(B122,3)</f>
        <v>249</v>
      </c>
      <c r="B122" s="582" t="s">
        <v>2878</v>
      </c>
      <c r="C122" s="582" t="s">
        <v>2879</v>
      </c>
      <c r="D122" s="587">
        <f>IF(VLOOKUP($A122,'hk2018'!$A:$G,1)=$A122,VLOOKUP($A122,'hk2018'!$A:$G,6),0)</f>
        <v>-6040</v>
      </c>
      <c r="E122" s="587">
        <f>IF(VLOOKUP($A122,'hk2018'!$A:$G,1)=$A122,VLOOKUP($A122,'hk2018'!$A:$G,7),0)</f>
        <v>3000</v>
      </c>
      <c r="F122" s="587">
        <f>IF(VLOOKUP($A122,'hk2018'!$A:$H,1)=$A122,VLOOKUP($A122,'hk2018'!$A:$H,8),0)</f>
        <v>0</v>
      </c>
      <c r="G122" s="588">
        <f>SUM(D122+E122-F122)</f>
        <v>-3040</v>
      </c>
      <c r="H122" s="587">
        <f>IF(VLOOKUP($A122,'hk2017'!$A:$G,1)=$A122,VLOOKUP($A122,'hk2017'!$A:$G,6),0)</f>
        <v>-6040</v>
      </c>
      <c r="I122" s="587">
        <f>IF(VLOOKUP($A122,'hk2017'!$A:$G,1)=$A122,VLOOKUP($A122,'hk2017'!$A:$G,7),0)</f>
        <v>0</v>
      </c>
      <c r="J122" s="587">
        <f>IF(VLOOKUP($A122,'hk2017'!$A:$H,1)=$A122,VLOOKUP($A122,'hk2017'!$A:$H,8),0)</f>
        <v>0</v>
      </c>
      <c r="K122" s="589">
        <f>SUM(H122+I122-J122)</f>
        <v>-6040</v>
      </c>
      <c r="L122" s="595"/>
    </row>
    <row r="123" spans="1:12" outlineLevel="1" x14ac:dyDescent="0.25">
      <c r="A123" s="596"/>
      <c r="B123" s="597"/>
      <c r="C123" s="597"/>
      <c r="D123" s="590"/>
      <c r="E123" s="590"/>
      <c r="F123" s="590"/>
      <c r="G123" s="591"/>
      <c r="H123" s="590"/>
      <c r="I123" s="590"/>
      <c r="J123" s="590"/>
      <c r="K123" s="592"/>
      <c r="L123" s="595"/>
    </row>
    <row r="124" spans="1:12" x14ac:dyDescent="0.25">
      <c r="A124" s="604" t="s">
        <v>1225</v>
      </c>
      <c r="B124" s="605"/>
      <c r="C124" s="606" t="s">
        <v>1728</v>
      </c>
      <c r="D124" s="578">
        <f t="shared" ref="D124:K124" si="38">SUM(D125:D131)</f>
        <v>0</v>
      </c>
      <c r="E124" s="578">
        <f t="shared" si="38"/>
        <v>0</v>
      </c>
      <c r="F124" s="578">
        <f t="shared" si="38"/>
        <v>0</v>
      </c>
      <c r="G124" s="593">
        <f t="shared" si="38"/>
        <v>0</v>
      </c>
      <c r="H124" s="578">
        <f t="shared" si="38"/>
        <v>0</v>
      </c>
      <c r="I124" s="578">
        <f t="shared" si="38"/>
        <v>0</v>
      </c>
      <c r="J124" s="578">
        <f t="shared" si="38"/>
        <v>0</v>
      </c>
      <c r="K124" s="594">
        <f t="shared" si="38"/>
        <v>0</v>
      </c>
      <c r="L124" s="595"/>
    </row>
    <row r="125" spans="1:12" outlineLevel="1" x14ac:dyDescent="0.25">
      <c r="A125" s="581" t="str">
        <f t="shared" ref="A125:A131" si="39">LEFT(B125,3)</f>
        <v>251</v>
      </c>
      <c r="B125" s="582" t="s">
        <v>2880</v>
      </c>
      <c r="C125" s="582" t="s">
        <v>2881</v>
      </c>
      <c r="D125" s="587">
        <f>IF(VLOOKUP($A125,'hk2018'!$A:$G,1)=$A125,VLOOKUP($A125,'hk2018'!$A:$G,6),0)</f>
        <v>0</v>
      </c>
      <c r="E125" s="587">
        <f>IF(VLOOKUP($A125,'hk2018'!$A:$G,1)=$A125,VLOOKUP($A125,'hk2018'!$A:$G,7),0)</f>
        <v>0</v>
      </c>
      <c r="F125" s="587">
        <f>IF(VLOOKUP($A125,'hk2018'!$A:$H,1)=$A125,VLOOKUP($A125,'hk2018'!$A:$H,8),0)</f>
        <v>0</v>
      </c>
      <c r="G125" s="588">
        <f t="shared" ref="G125:G131" si="40">SUM(D125+E125-F125)</f>
        <v>0</v>
      </c>
      <c r="H125" s="587">
        <f>IF(VLOOKUP($A125,'hk2017'!$A:$G,1)=$A125,VLOOKUP($A125,'hk2017'!$A:$G,6),0)</f>
        <v>0</v>
      </c>
      <c r="I125" s="587">
        <f>IF(VLOOKUP($A125,'hk2017'!$A:$G,1)=$A125,VLOOKUP($A125,'hk2017'!$A:$G,7),0)</f>
        <v>0</v>
      </c>
      <c r="J125" s="587">
        <f>IF(VLOOKUP($A125,'hk2017'!$A:$H,1)=$A125,VLOOKUP($A125,'hk2017'!$A:$H,8),0)</f>
        <v>0</v>
      </c>
      <c r="K125" s="589">
        <f t="shared" ref="K125:K131" si="41">SUM(H125+I125-J125)</f>
        <v>0</v>
      </c>
      <c r="L125" s="595"/>
    </row>
    <row r="126" spans="1:12" outlineLevel="1" x14ac:dyDescent="0.25">
      <c r="A126" s="581" t="str">
        <f t="shared" si="39"/>
        <v>252</v>
      </c>
      <c r="B126" s="582" t="s">
        <v>2882</v>
      </c>
      <c r="C126" s="582" t="s">
        <v>1762</v>
      </c>
      <c r="D126" s="587">
        <f>IF(VLOOKUP($A126,'hk2018'!$A:$G,1)=$A126,VLOOKUP($A126,'hk2018'!$A:$G,6),0)</f>
        <v>0</v>
      </c>
      <c r="E126" s="587">
        <f>IF(VLOOKUP($A126,'hk2018'!$A:$G,1)=$A126,VLOOKUP($A126,'hk2018'!$A:$G,7),0)</f>
        <v>0</v>
      </c>
      <c r="F126" s="587">
        <f>IF(VLOOKUP($A126,'hk2018'!$A:$H,1)=$A126,VLOOKUP($A126,'hk2018'!$A:$H,8),0)</f>
        <v>0</v>
      </c>
      <c r="G126" s="588">
        <f t="shared" si="40"/>
        <v>0</v>
      </c>
      <c r="H126" s="587">
        <f>IF(VLOOKUP($A126,'hk2017'!$A:$G,1)=$A126,VLOOKUP($A126,'hk2017'!$A:$G,6),0)</f>
        <v>0</v>
      </c>
      <c r="I126" s="587">
        <f>IF(VLOOKUP($A126,'hk2017'!$A:$G,1)=$A126,VLOOKUP($A126,'hk2017'!$A:$G,7),0)</f>
        <v>0</v>
      </c>
      <c r="J126" s="587">
        <f>IF(VLOOKUP($A126,'hk2017'!$A:$H,1)=$A126,VLOOKUP($A126,'hk2017'!$A:$H,8),0)</f>
        <v>0</v>
      </c>
      <c r="K126" s="589">
        <f t="shared" si="41"/>
        <v>0</v>
      </c>
      <c r="L126" s="595"/>
    </row>
    <row r="127" spans="1:12" outlineLevel="1" x14ac:dyDescent="0.25">
      <c r="A127" s="581" t="str">
        <f t="shared" si="39"/>
        <v>253</v>
      </c>
      <c r="B127" s="582" t="s">
        <v>2883</v>
      </c>
      <c r="C127" s="582" t="s">
        <v>2884</v>
      </c>
      <c r="D127" s="587">
        <f>IF(VLOOKUP($A127,'hk2018'!$A:$G,1)=$A127,VLOOKUP($A127,'hk2018'!$A:$G,6),0)</f>
        <v>0</v>
      </c>
      <c r="E127" s="587">
        <f>IF(VLOOKUP($A127,'hk2018'!$A:$G,1)=$A127,VLOOKUP($A127,'hk2018'!$A:$G,7),0)</f>
        <v>0</v>
      </c>
      <c r="F127" s="587">
        <f>IF(VLOOKUP($A127,'hk2018'!$A:$H,1)=$A127,VLOOKUP($A127,'hk2018'!$A:$H,8),0)</f>
        <v>0</v>
      </c>
      <c r="G127" s="588">
        <f t="shared" si="40"/>
        <v>0</v>
      </c>
      <c r="H127" s="587">
        <f>IF(VLOOKUP($A127,'hk2017'!$A:$G,1)=$A127,VLOOKUP($A127,'hk2017'!$A:$G,6),0)</f>
        <v>0</v>
      </c>
      <c r="I127" s="587">
        <f>IF(VLOOKUP($A127,'hk2017'!$A:$G,1)=$A127,VLOOKUP($A127,'hk2017'!$A:$G,7),0)</f>
        <v>0</v>
      </c>
      <c r="J127" s="587">
        <f>IF(VLOOKUP($A127,'hk2017'!$A:$H,1)=$A127,VLOOKUP($A127,'hk2017'!$A:$H,8),0)</f>
        <v>0</v>
      </c>
      <c r="K127" s="589">
        <f t="shared" si="41"/>
        <v>0</v>
      </c>
      <c r="L127" s="595"/>
    </row>
    <row r="128" spans="1:12" outlineLevel="1" x14ac:dyDescent="0.25">
      <c r="A128" s="581" t="str">
        <f t="shared" si="39"/>
        <v>255</v>
      </c>
      <c r="B128" s="582" t="s">
        <v>2885</v>
      </c>
      <c r="C128" s="582" t="s">
        <v>2886</v>
      </c>
      <c r="D128" s="587">
        <f>IF(VLOOKUP($A128,'hk2018'!$A:$G,1)=$A128,VLOOKUP($A128,'hk2018'!$A:$G,6),0)</f>
        <v>0</v>
      </c>
      <c r="E128" s="587">
        <f>IF(VLOOKUP($A128,'hk2018'!$A:$G,1)=$A128,VLOOKUP($A128,'hk2018'!$A:$G,7),0)</f>
        <v>0</v>
      </c>
      <c r="F128" s="587">
        <f>IF(VLOOKUP($A128,'hk2018'!$A:$H,1)=$A128,VLOOKUP($A128,'hk2018'!$A:$H,8),0)</f>
        <v>0</v>
      </c>
      <c r="G128" s="588">
        <f t="shared" si="40"/>
        <v>0</v>
      </c>
      <c r="H128" s="587">
        <f>IF(VLOOKUP($A128,'hk2017'!$A:$G,1)=$A128,VLOOKUP($A128,'hk2017'!$A:$G,6),0)</f>
        <v>0</v>
      </c>
      <c r="I128" s="587">
        <f>IF(VLOOKUP($A128,'hk2017'!$A:$G,1)=$A128,VLOOKUP($A128,'hk2017'!$A:$G,7),0)</f>
        <v>0</v>
      </c>
      <c r="J128" s="587">
        <f>IF(VLOOKUP($A128,'hk2017'!$A:$H,1)=$A128,VLOOKUP($A128,'hk2017'!$A:$H,8),0)</f>
        <v>0</v>
      </c>
      <c r="K128" s="589">
        <f t="shared" si="41"/>
        <v>0</v>
      </c>
      <c r="L128" s="595"/>
    </row>
    <row r="129" spans="1:12" outlineLevel="1" x14ac:dyDescent="0.25">
      <c r="A129" s="581" t="str">
        <f t="shared" si="39"/>
        <v>256</v>
      </c>
      <c r="B129" s="582" t="s">
        <v>2887</v>
      </c>
      <c r="C129" s="582" t="s">
        <v>2888</v>
      </c>
      <c r="D129" s="587">
        <f>IF(VLOOKUP($A129,'hk2018'!$A:$G,1)=$A129,VLOOKUP($A129,'hk2018'!$A:$G,6),0)</f>
        <v>0</v>
      </c>
      <c r="E129" s="587">
        <f>IF(VLOOKUP($A129,'hk2018'!$A:$G,1)=$A129,VLOOKUP($A129,'hk2018'!$A:$G,7),0)</f>
        <v>0</v>
      </c>
      <c r="F129" s="587">
        <f>IF(VLOOKUP($A129,'hk2018'!$A:$H,1)=$A129,VLOOKUP($A129,'hk2018'!$A:$H,8),0)</f>
        <v>0</v>
      </c>
      <c r="G129" s="588">
        <f t="shared" si="40"/>
        <v>0</v>
      </c>
      <c r="H129" s="587">
        <f>IF(VLOOKUP($A129,'hk2017'!$A:$G,1)=$A129,VLOOKUP($A129,'hk2017'!$A:$G,6),0)</f>
        <v>0</v>
      </c>
      <c r="I129" s="587">
        <f>IF(VLOOKUP($A129,'hk2017'!$A:$G,1)=$A129,VLOOKUP($A129,'hk2017'!$A:$G,7),0)</f>
        <v>0</v>
      </c>
      <c r="J129" s="587">
        <f>IF(VLOOKUP($A129,'hk2017'!$A:$H,1)=$A129,VLOOKUP($A129,'hk2017'!$A:$H,8),0)</f>
        <v>0</v>
      </c>
      <c r="K129" s="589">
        <f t="shared" si="41"/>
        <v>0</v>
      </c>
      <c r="L129" s="595"/>
    </row>
    <row r="130" spans="1:12" outlineLevel="1" x14ac:dyDescent="0.25">
      <c r="A130" s="581" t="str">
        <f t="shared" si="39"/>
        <v>257</v>
      </c>
      <c r="B130" s="582" t="s">
        <v>2889</v>
      </c>
      <c r="C130" s="582" t="s">
        <v>2890</v>
      </c>
      <c r="D130" s="587">
        <f>IF(VLOOKUP($A130,'hk2018'!$A:$G,1)=$A130,VLOOKUP($A130,'hk2018'!$A:$G,6),0)</f>
        <v>0</v>
      </c>
      <c r="E130" s="587">
        <f>IF(VLOOKUP($A130,'hk2018'!$A:$G,1)=$A130,VLOOKUP($A130,'hk2018'!$A:$G,7),0)</f>
        <v>0</v>
      </c>
      <c r="F130" s="587">
        <f>IF(VLOOKUP($A130,'hk2018'!$A:$H,1)=$A130,VLOOKUP($A130,'hk2018'!$A:$H,8),0)</f>
        <v>0</v>
      </c>
      <c r="G130" s="588">
        <f t="shared" si="40"/>
        <v>0</v>
      </c>
      <c r="H130" s="587">
        <f>IF(VLOOKUP($A130,'hk2017'!$A:$G,1)=$A130,VLOOKUP($A130,'hk2017'!$A:$G,6),0)</f>
        <v>0</v>
      </c>
      <c r="I130" s="587">
        <f>IF(VLOOKUP($A130,'hk2017'!$A:$G,1)=$A130,VLOOKUP($A130,'hk2017'!$A:$G,7),0)</f>
        <v>0</v>
      </c>
      <c r="J130" s="587">
        <f>IF(VLOOKUP($A130,'hk2017'!$A:$H,1)=$A130,VLOOKUP($A130,'hk2017'!$A:$H,8),0)</f>
        <v>0</v>
      </c>
      <c r="K130" s="589">
        <f t="shared" si="41"/>
        <v>0</v>
      </c>
      <c r="L130" s="595"/>
    </row>
    <row r="131" spans="1:12" outlineLevel="1" x14ac:dyDescent="0.25">
      <c r="A131" s="581" t="str">
        <f t="shared" si="39"/>
        <v>259</v>
      </c>
      <c r="B131" s="582" t="s">
        <v>2891</v>
      </c>
      <c r="C131" s="582" t="s">
        <v>2892</v>
      </c>
      <c r="D131" s="587">
        <f>IF(VLOOKUP($A131,'hk2018'!$A:$G,1)=$A131,VLOOKUP($A131,'hk2018'!$A:$G,6),0)</f>
        <v>0</v>
      </c>
      <c r="E131" s="587">
        <f>IF(VLOOKUP($A131,'hk2018'!$A:$G,1)=$A131,VLOOKUP($A131,'hk2018'!$A:$G,7),0)</f>
        <v>0</v>
      </c>
      <c r="F131" s="587">
        <f>IF(VLOOKUP($A131,'hk2018'!$A:$H,1)=$A131,VLOOKUP($A131,'hk2018'!$A:$H,8),0)</f>
        <v>0</v>
      </c>
      <c r="G131" s="588">
        <f t="shared" si="40"/>
        <v>0</v>
      </c>
      <c r="H131" s="587">
        <f>IF(VLOOKUP($A131,'hk2017'!$A:$G,1)=$A131,VLOOKUP($A131,'hk2017'!$A:$G,6),0)</f>
        <v>0</v>
      </c>
      <c r="I131" s="587">
        <f>IF(VLOOKUP($A131,'hk2017'!$A:$G,1)=$A131,VLOOKUP($A131,'hk2017'!$A:$G,7),0)</f>
        <v>0</v>
      </c>
      <c r="J131" s="587">
        <f>IF(VLOOKUP($A131,'hk2017'!$A:$H,1)=$A131,VLOOKUP($A131,'hk2017'!$A:$H,8),0)</f>
        <v>0</v>
      </c>
      <c r="K131" s="589">
        <f t="shared" si="41"/>
        <v>0</v>
      </c>
      <c r="L131" s="595"/>
    </row>
    <row r="132" spans="1:12" outlineLevel="1" x14ac:dyDescent="0.25">
      <c r="A132" s="596"/>
      <c r="B132" s="597"/>
      <c r="C132" s="597"/>
      <c r="D132" s="590"/>
      <c r="E132" s="590"/>
      <c r="F132" s="590"/>
      <c r="G132" s="591"/>
      <c r="H132" s="590"/>
      <c r="I132" s="590"/>
      <c r="J132" s="590"/>
      <c r="K132" s="592"/>
      <c r="L132" s="595"/>
    </row>
    <row r="133" spans="1:12" x14ac:dyDescent="0.25">
      <c r="A133" s="604" t="s">
        <v>1226</v>
      </c>
      <c r="B133" s="605"/>
      <c r="C133" s="606" t="s">
        <v>2893</v>
      </c>
      <c r="D133" s="578">
        <f t="shared" ref="D133:K133" si="42">SUM(D134)</f>
        <v>0</v>
      </c>
      <c r="E133" s="578">
        <f t="shared" si="42"/>
        <v>403335.82</v>
      </c>
      <c r="F133" s="578">
        <f t="shared" si="42"/>
        <v>403335.82</v>
      </c>
      <c r="G133" s="593">
        <f t="shared" si="42"/>
        <v>0</v>
      </c>
      <c r="H133" s="578">
        <f t="shared" si="42"/>
        <v>0</v>
      </c>
      <c r="I133" s="578">
        <f t="shared" si="42"/>
        <v>445553.49</v>
      </c>
      <c r="J133" s="578">
        <f t="shared" si="42"/>
        <v>445553.49</v>
      </c>
      <c r="K133" s="594">
        <f t="shared" si="42"/>
        <v>0</v>
      </c>
      <c r="L133" s="595"/>
    </row>
    <row r="134" spans="1:12" outlineLevel="1" x14ac:dyDescent="0.25">
      <c r="A134" s="581" t="str">
        <f>LEFT(B134,3)</f>
        <v>261</v>
      </c>
      <c r="B134" s="582" t="s">
        <v>2894</v>
      </c>
      <c r="C134" s="582" t="s">
        <v>1726</v>
      </c>
      <c r="D134" s="587">
        <f>IF(VLOOKUP($A134,'hk2018'!$A:$G,1)=$A134,VLOOKUP($A134,'hk2018'!$A:$G,6),0)</f>
        <v>0</v>
      </c>
      <c r="E134" s="587">
        <f>IF(VLOOKUP($A134,'hk2018'!$A:$G,1)=$A134,VLOOKUP($A134,'hk2018'!$A:$G,7),0)</f>
        <v>403335.82</v>
      </c>
      <c r="F134" s="587">
        <f>IF(VLOOKUP($A134,'hk2018'!$A:$H,1)=$A134,VLOOKUP($A134,'hk2018'!$A:$H,8),0)</f>
        <v>403335.82</v>
      </c>
      <c r="G134" s="588">
        <f>SUM(D134+E134-F134)</f>
        <v>0</v>
      </c>
      <c r="H134" s="587">
        <f>IF(VLOOKUP($A134,'hk2017'!$A:$G,1)=$A134,VLOOKUP($A134,'hk2017'!$A:$G,6),0)</f>
        <v>0</v>
      </c>
      <c r="I134" s="587">
        <f>IF(VLOOKUP($A134,'hk2017'!$A:$G,1)=$A134,VLOOKUP($A134,'hk2017'!$A:$G,7),0)</f>
        <v>445553.49</v>
      </c>
      <c r="J134" s="587">
        <f>IF(VLOOKUP($A134,'hk2017'!$A:$H,1)=$A134,VLOOKUP($A134,'hk2017'!$A:$H,8),0)</f>
        <v>445553.49</v>
      </c>
      <c r="K134" s="589">
        <f>SUM(H134+I134-J134)</f>
        <v>0</v>
      </c>
      <c r="L134" s="595"/>
    </row>
    <row r="135" spans="1:12" outlineLevel="1" x14ac:dyDescent="0.25">
      <c r="A135" s="596"/>
      <c r="B135" s="597"/>
      <c r="C135" s="597"/>
      <c r="D135" s="590"/>
      <c r="E135" s="590"/>
      <c r="F135" s="590"/>
      <c r="G135" s="591"/>
      <c r="H135" s="590"/>
      <c r="I135" s="590"/>
      <c r="J135" s="590"/>
      <c r="K135" s="592"/>
      <c r="L135" s="595"/>
    </row>
    <row r="136" spans="1:12" x14ac:dyDescent="0.25">
      <c r="A136" s="604" t="s">
        <v>1227</v>
      </c>
      <c r="B136" s="605"/>
      <c r="C136" s="606" t="s">
        <v>2895</v>
      </c>
      <c r="D136" s="578">
        <f t="shared" ref="D136:K136" si="43">SUM(D137:D138)</f>
        <v>0</v>
      </c>
      <c r="E136" s="578">
        <f t="shared" si="43"/>
        <v>0</v>
      </c>
      <c r="F136" s="578">
        <f t="shared" si="43"/>
        <v>0</v>
      </c>
      <c r="G136" s="579">
        <f t="shared" si="43"/>
        <v>0</v>
      </c>
      <c r="H136" s="578">
        <f t="shared" si="43"/>
        <v>0</v>
      </c>
      <c r="I136" s="578">
        <f t="shared" si="43"/>
        <v>0</v>
      </c>
      <c r="J136" s="578">
        <f t="shared" si="43"/>
        <v>0</v>
      </c>
      <c r="K136" s="580">
        <f t="shared" si="43"/>
        <v>0</v>
      </c>
    </row>
    <row r="137" spans="1:12" outlineLevel="1" x14ac:dyDescent="0.25">
      <c r="A137" s="581" t="str">
        <f>LEFT(B137,3)</f>
        <v>291</v>
      </c>
      <c r="B137" s="582" t="s">
        <v>2896</v>
      </c>
      <c r="C137" s="582" t="s">
        <v>2897</v>
      </c>
      <c r="D137" s="587">
        <f>IF(VLOOKUP($A137,'hk2018'!$A:$G,1)=$A137,VLOOKUP($A137,'hk2018'!$A:$G,6),0)</f>
        <v>0</v>
      </c>
      <c r="E137" s="587">
        <f>IF(VLOOKUP($A137,'hk2018'!$A:$G,1)=$A137,VLOOKUP($A137,'hk2018'!$A:$G,7),0)</f>
        <v>0</v>
      </c>
      <c r="F137" s="587">
        <f>IF(VLOOKUP($A137,'hk2018'!$A:$H,1)=$A137,VLOOKUP($A137,'hk2018'!$A:$H,8),0)</f>
        <v>0</v>
      </c>
      <c r="G137" s="588">
        <f>SUM(D137+E137-F137)</f>
        <v>0</v>
      </c>
      <c r="H137" s="587">
        <f>IF(VLOOKUP($A137,'hk2017'!$A:$G,1)=$A137,VLOOKUP($A137,'hk2017'!$A:$G,6),0)</f>
        <v>0</v>
      </c>
      <c r="I137" s="587">
        <f>IF(VLOOKUP($A137,'hk2017'!$A:$G,1)=$A137,VLOOKUP($A137,'hk2017'!$A:$G,7),0)</f>
        <v>0</v>
      </c>
      <c r="J137" s="587">
        <f>IF(VLOOKUP($A137,'hk2017'!$A:$H,1)=$A137,VLOOKUP($A137,'hk2017'!$A:$H,8),0)</f>
        <v>0</v>
      </c>
      <c r="K137" s="589">
        <f>SUM(H137+I137-J137)</f>
        <v>0</v>
      </c>
    </row>
    <row r="138" spans="1:12" outlineLevel="1" x14ac:dyDescent="0.25">
      <c r="A138" s="569" t="s">
        <v>2898</v>
      </c>
      <c r="B138" s="582"/>
      <c r="C138" s="583" t="s">
        <v>2899</v>
      </c>
      <c r="D138" s="587">
        <f>IF(VLOOKUP($A138,'hk2018'!$A:$G,1)=$A138,VLOOKUP($A138,'hk2018'!$A:$G,6),0)</f>
        <v>0</v>
      </c>
      <c r="E138" s="587">
        <f>IF(VLOOKUP($A138,'hk2018'!$A:$G,1)=$A138,VLOOKUP($A138,'hk2018'!$A:$G,7),0)</f>
        <v>0</v>
      </c>
      <c r="F138" s="587">
        <f>IF(VLOOKUP($A138,'hk2018'!$A:$H,1)=$A138,VLOOKUP($A138,'hk2018'!$A:$H,8),0)</f>
        <v>0</v>
      </c>
      <c r="G138" s="588">
        <f>SUM(D138+E138-F138)</f>
        <v>0</v>
      </c>
      <c r="H138" s="587">
        <f>IF(VLOOKUP($A138,'hk2017'!$A:$G,1)=$A138,VLOOKUP($A138,'hk2017'!$A:$G,6),0)</f>
        <v>0</v>
      </c>
      <c r="I138" s="587">
        <f>IF(VLOOKUP($A138,'hk2017'!$A:$G,1)=$A138,VLOOKUP($A138,'hk2017'!$A:$G,7),0)</f>
        <v>0</v>
      </c>
      <c r="J138" s="587">
        <f>IF(VLOOKUP($A138,'hk2017'!$A:$H,1)=$A138,VLOOKUP($A138,'hk2017'!$A:$H,8),0)</f>
        <v>0</v>
      </c>
      <c r="K138" s="589">
        <f>SUM(H138+I138-J138)</f>
        <v>0</v>
      </c>
    </row>
    <row r="139" spans="1:12" outlineLevel="1" x14ac:dyDescent="0.25">
      <c r="A139" s="569"/>
      <c r="B139" s="582"/>
      <c r="C139" s="565"/>
      <c r="H139" s="610"/>
      <c r="I139" s="610"/>
      <c r="J139" s="610"/>
      <c r="K139" s="611"/>
    </row>
    <row r="140" spans="1:12" x14ac:dyDescent="0.25">
      <c r="A140" s="570" t="s">
        <v>2900</v>
      </c>
      <c r="B140" s="571"/>
      <c r="C140" s="571" t="s">
        <v>49</v>
      </c>
      <c r="D140" s="601">
        <f t="shared" ref="D140:K140" si="44">SUM(D141+D148+D156+D162+D170+D177+D185+D196+D207)</f>
        <v>-170814.69000000003</v>
      </c>
      <c r="E140" s="601">
        <f t="shared" si="44"/>
        <v>861898.45999999985</v>
      </c>
      <c r="F140" s="601">
        <f t="shared" si="44"/>
        <v>850249.3</v>
      </c>
      <c r="G140" s="602">
        <f t="shared" si="44"/>
        <v>-159165.53000000003</v>
      </c>
      <c r="H140" s="601">
        <f t="shared" si="44"/>
        <v>-234476.02000000002</v>
      </c>
      <c r="I140" s="601">
        <f t="shared" si="44"/>
        <v>915886.64999999991</v>
      </c>
      <c r="J140" s="601">
        <f t="shared" si="44"/>
        <v>852225.31999999983</v>
      </c>
      <c r="K140" s="603">
        <f t="shared" si="44"/>
        <v>-170814.68999999997</v>
      </c>
    </row>
    <row r="141" spans="1:12" x14ac:dyDescent="0.25">
      <c r="A141" s="604" t="s">
        <v>1248</v>
      </c>
      <c r="B141" s="605"/>
      <c r="C141" s="606" t="s">
        <v>1683</v>
      </c>
      <c r="D141" s="578">
        <f t="shared" ref="D141:K141" si="45">SUM(D142:D147)</f>
        <v>17991.16</v>
      </c>
      <c r="E141" s="578">
        <f t="shared" si="45"/>
        <v>62882.2</v>
      </c>
      <c r="F141" s="578">
        <f t="shared" si="45"/>
        <v>62149.72</v>
      </c>
      <c r="G141" s="593">
        <f t="shared" si="45"/>
        <v>18723.639999999996</v>
      </c>
      <c r="H141" s="578">
        <f t="shared" si="45"/>
        <v>13122.439999999999</v>
      </c>
      <c r="I141" s="578">
        <f t="shared" si="45"/>
        <v>52958.29</v>
      </c>
      <c r="J141" s="578">
        <f t="shared" si="45"/>
        <v>48089.57</v>
      </c>
      <c r="K141" s="594">
        <f t="shared" si="45"/>
        <v>17991.16</v>
      </c>
    </row>
    <row r="142" spans="1:12" outlineLevel="1" x14ac:dyDescent="0.25">
      <c r="A142" s="581" t="str">
        <f>LEFT(B142,3)</f>
        <v>311</v>
      </c>
      <c r="B142" s="582" t="s">
        <v>2901</v>
      </c>
      <c r="C142" s="582" t="s">
        <v>2902</v>
      </c>
      <c r="D142" s="587">
        <f>IF(VLOOKUP($A142,'hk2018'!$A:$G,1)=$A142,VLOOKUP($A142,'hk2018'!$A:$G,6),0)</f>
        <v>17066.43</v>
      </c>
      <c r="E142" s="587">
        <f>IF(VLOOKUP($A142,'hk2018'!$A:$G,1)=$A142,VLOOKUP($A142,'hk2018'!$A:$G,7),0)</f>
        <v>59844.1</v>
      </c>
      <c r="F142" s="587">
        <f>IF(VLOOKUP($A142,'hk2018'!$A:$H,1)=$A142,VLOOKUP($A142,'hk2018'!$A:$H,8),0)</f>
        <v>59111.62</v>
      </c>
      <c r="G142" s="588">
        <f t="shared" ref="G142:G147" si="46">SUM(D142+E142-F142)</f>
        <v>17798.909999999996</v>
      </c>
      <c r="H142" s="587">
        <f>IF(VLOOKUP($A142,'hk2017'!$A:$G,1)=$A142,VLOOKUP($A142,'hk2017'!$A:$G,6),0)</f>
        <v>12197.71</v>
      </c>
      <c r="I142" s="587">
        <f>IF(VLOOKUP($A142,'hk2017'!$A:$G,1)=$A142,VLOOKUP($A142,'hk2017'!$A:$G,7),0)</f>
        <v>52958.29</v>
      </c>
      <c r="J142" s="587">
        <f>IF(VLOOKUP($A142,'hk2017'!$A:$H,1)=$A142,VLOOKUP($A142,'hk2017'!$A:$H,8),0)</f>
        <v>48089.57</v>
      </c>
      <c r="K142" s="589">
        <f t="shared" ref="K142:K147" si="47">SUM(H142+I142-J142)</f>
        <v>17066.43</v>
      </c>
    </row>
    <row r="143" spans="1:12" outlineLevel="1" x14ac:dyDescent="0.25">
      <c r="A143" s="581" t="str">
        <f>LEFT(B143,3)</f>
        <v>312</v>
      </c>
      <c r="B143" s="582" t="s">
        <v>2903</v>
      </c>
      <c r="C143" s="582" t="s">
        <v>2904</v>
      </c>
      <c r="D143" s="587">
        <f>IF(VLOOKUP($A143,'hk2018'!$A:$G,1)=$A143,VLOOKUP($A143,'hk2018'!$A:$G,6),0)</f>
        <v>0</v>
      </c>
      <c r="E143" s="587">
        <f>IF(VLOOKUP($A143,'hk2018'!$A:$G,1)=$A143,VLOOKUP($A143,'hk2018'!$A:$G,7),0)</f>
        <v>0</v>
      </c>
      <c r="F143" s="587">
        <f>IF(VLOOKUP($A143,'hk2018'!$A:$H,1)=$A143,VLOOKUP($A143,'hk2018'!$A:$H,8),0)</f>
        <v>0</v>
      </c>
      <c r="G143" s="588">
        <f t="shared" si="46"/>
        <v>0</v>
      </c>
      <c r="H143" s="587">
        <f>IF(VLOOKUP($A143,'hk2017'!$A:$G,1)=$A143,VLOOKUP($A143,'hk2017'!$A:$G,6),0)</f>
        <v>0</v>
      </c>
      <c r="I143" s="587">
        <f>IF(VLOOKUP($A143,'hk2017'!$A:$G,1)=$A143,VLOOKUP($A143,'hk2017'!$A:$G,7),0)</f>
        <v>0</v>
      </c>
      <c r="J143" s="587">
        <f>IF(VLOOKUP($A143,'hk2017'!$A:$H,1)=$A143,VLOOKUP($A143,'hk2017'!$A:$H,8),0)</f>
        <v>0</v>
      </c>
      <c r="K143" s="589">
        <f t="shared" si="47"/>
        <v>0</v>
      </c>
    </row>
    <row r="144" spans="1:12" outlineLevel="1" x14ac:dyDescent="0.25">
      <c r="A144" s="581" t="str">
        <f>LEFT(B144,3)</f>
        <v>313</v>
      </c>
      <c r="B144" s="582" t="s">
        <v>2905</v>
      </c>
      <c r="C144" s="582" t="s">
        <v>2906</v>
      </c>
      <c r="D144" s="587">
        <f>IF(VLOOKUP($A144,'hk2018'!$A:$G,1)=$A144,VLOOKUP($A144,'hk2018'!$A:$G,6),0)</f>
        <v>0</v>
      </c>
      <c r="E144" s="587">
        <f>IF(VLOOKUP($A144,'hk2018'!$A:$G,1)=$A144,VLOOKUP($A144,'hk2018'!$A:$G,7),0)</f>
        <v>0</v>
      </c>
      <c r="F144" s="587">
        <f>IF(VLOOKUP($A144,'hk2018'!$A:$H,1)=$A144,VLOOKUP($A144,'hk2018'!$A:$H,8),0)</f>
        <v>0</v>
      </c>
      <c r="G144" s="588">
        <f t="shared" si="46"/>
        <v>0</v>
      </c>
      <c r="H144" s="587">
        <f>IF(VLOOKUP($A144,'hk2017'!$A:$G,1)=$A144,VLOOKUP($A144,'hk2017'!$A:$G,6),0)</f>
        <v>0</v>
      </c>
      <c r="I144" s="587">
        <f>IF(VLOOKUP($A144,'hk2017'!$A:$G,1)=$A144,VLOOKUP($A144,'hk2017'!$A:$G,7),0)</f>
        <v>0</v>
      </c>
      <c r="J144" s="587">
        <f>IF(VLOOKUP($A144,'hk2017'!$A:$H,1)=$A144,VLOOKUP($A144,'hk2017'!$A:$H,8),0)</f>
        <v>0</v>
      </c>
      <c r="K144" s="589">
        <f t="shared" si="47"/>
        <v>0</v>
      </c>
    </row>
    <row r="145" spans="1:12" outlineLevel="1" x14ac:dyDescent="0.25">
      <c r="A145" s="581" t="str">
        <f>LEFT(B145,3)</f>
        <v>314</v>
      </c>
      <c r="B145" s="582" t="s">
        <v>2907</v>
      </c>
      <c r="C145" s="582" t="s">
        <v>2908</v>
      </c>
      <c r="D145" s="587">
        <f>IF(VLOOKUP($A145,'hk2018'!$A:$G,1)=$A145,VLOOKUP($A145,'hk2018'!$A:$G,6),0)</f>
        <v>0</v>
      </c>
      <c r="E145" s="587">
        <f>IF(VLOOKUP($A145,'hk2018'!$A:$G,1)=$A145,VLOOKUP($A145,'hk2018'!$A:$G,7),0)</f>
        <v>3038.1</v>
      </c>
      <c r="F145" s="587">
        <f>IF(VLOOKUP($A145,'hk2018'!$A:$H,1)=$A145,VLOOKUP($A145,'hk2018'!$A:$H,8),0)</f>
        <v>3038.1</v>
      </c>
      <c r="G145" s="588">
        <f t="shared" si="46"/>
        <v>0</v>
      </c>
      <c r="H145" s="587">
        <f>IF(VLOOKUP($A145,'hk2017'!$A:$G,1)=$A145,VLOOKUP($A145,'hk2017'!$A:$G,6),0)</f>
        <v>0</v>
      </c>
      <c r="I145" s="587">
        <f>IF(VLOOKUP($A145,'hk2017'!$A:$G,1)=$A145,VLOOKUP($A145,'hk2017'!$A:$G,7),0)</f>
        <v>0</v>
      </c>
      <c r="J145" s="587">
        <f>IF(VLOOKUP($A145,'hk2017'!$A:$H,1)=$A145,VLOOKUP($A145,'hk2017'!$A:$H,8),0)</f>
        <v>0</v>
      </c>
      <c r="K145" s="589">
        <f t="shared" si="47"/>
        <v>0</v>
      </c>
    </row>
    <row r="146" spans="1:12" outlineLevel="1" x14ac:dyDescent="0.25">
      <c r="A146" s="581" t="str">
        <f>LEFT(B146,3)</f>
        <v>315</v>
      </c>
      <c r="B146" s="582" t="s">
        <v>2909</v>
      </c>
      <c r="C146" s="582" t="s">
        <v>2910</v>
      </c>
      <c r="D146" s="587">
        <f>IF(VLOOKUP($A146,'hk2018'!$A:$G,1)=$A146,VLOOKUP($A146,'hk2018'!$A:$G,6),0)</f>
        <v>924.73</v>
      </c>
      <c r="E146" s="587">
        <f>IF(VLOOKUP($A146,'hk2018'!$A:$G,1)=$A146,VLOOKUP($A146,'hk2018'!$A:$G,7),0)</f>
        <v>0</v>
      </c>
      <c r="F146" s="587">
        <f>IF(VLOOKUP($A146,'hk2018'!$A:$H,1)=$A146,VLOOKUP($A146,'hk2018'!$A:$H,8),0)</f>
        <v>0</v>
      </c>
      <c r="G146" s="588">
        <f t="shared" si="46"/>
        <v>924.73</v>
      </c>
      <c r="H146" s="587">
        <f>IF(VLOOKUP($A146,'hk2017'!$A:$G,1)=$A146,VLOOKUP($A146,'hk2017'!$A:$G,6),0)</f>
        <v>924.73</v>
      </c>
      <c r="I146" s="587">
        <f>IF(VLOOKUP($A146,'hk2017'!$A:$G,1)=$A146,VLOOKUP($A146,'hk2017'!$A:$G,7),0)</f>
        <v>0</v>
      </c>
      <c r="J146" s="587">
        <f>IF(VLOOKUP($A146,'hk2017'!$A:$H,1)=$A146,VLOOKUP($A146,'hk2017'!$A:$H,8),0)</f>
        <v>0</v>
      </c>
      <c r="K146" s="589">
        <f t="shared" si="47"/>
        <v>924.73</v>
      </c>
    </row>
    <row r="147" spans="1:12" outlineLevel="1" x14ac:dyDescent="0.25">
      <c r="A147" s="614" t="s">
        <v>505</v>
      </c>
      <c r="B147" s="597"/>
      <c r="C147" s="582" t="s">
        <v>2910</v>
      </c>
      <c r="D147" s="587">
        <f>IF(VLOOKUP($A147,'hk2018'!$A:$G,1)=$A147,VLOOKUP($A147,'hk2018'!$A:$G,6),0)</f>
        <v>0</v>
      </c>
      <c r="E147" s="587">
        <f>IF(VLOOKUP($A147,'hk2018'!$A:$G,1)=$A147,VLOOKUP($A147,'hk2018'!$A:$G,7),0)</f>
        <v>0</v>
      </c>
      <c r="F147" s="587">
        <f>IF(VLOOKUP($A147,'hk2018'!$A:$H,1)=$A147,VLOOKUP($A147,'hk2018'!$A:$H,8),0)</f>
        <v>0</v>
      </c>
      <c r="G147" s="588">
        <f t="shared" si="46"/>
        <v>0</v>
      </c>
      <c r="H147" s="587">
        <f>IF(VLOOKUP($A147,'hk2017'!$A:$G,1)=$A147,VLOOKUP($A147,'hk2017'!$A:$G,6),0)</f>
        <v>0</v>
      </c>
      <c r="I147" s="587">
        <f>IF(VLOOKUP($A147,'hk2017'!$A:$G,1)=$A147,VLOOKUP($A147,'hk2017'!$A:$G,7),0)</f>
        <v>0</v>
      </c>
      <c r="J147" s="587">
        <f>IF(VLOOKUP($A147,'hk2017'!$A:$H,1)=$A147,VLOOKUP($A147,'hk2017'!$A:$H,8),0)</f>
        <v>0</v>
      </c>
      <c r="K147" s="589">
        <f t="shared" si="47"/>
        <v>0</v>
      </c>
    </row>
    <row r="148" spans="1:12" x14ac:dyDescent="0.25">
      <c r="A148" s="604" t="s">
        <v>1247</v>
      </c>
      <c r="B148" s="605"/>
      <c r="C148" s="606" t="s">
        <v>2911</v>
      </c>
      <c r="D148" s="578">
        <f t="shared" ref="D148:K148" si="48">SUM(D149:D155)</f>
        <v>-54721.400000000009</v>
      </c>
      <c r="E148" s="578">
        <f t="shared" si="48"/>
        <v>147463.54999999999</v>
      </c>
      <c r="F148" s="578">
        <f t="shared" si="48"/>
        <v>150024.13</v>
      </c>
      <c r="G148" s="593">
        <f t="shared" si="48"/>
        <v>-57281.979999999989</v>
      </c>
      <c r="H148" s="578">
        <f t="shared" si="48"/>
        <v>-48818.05</v>
      </c>
      <c r="I148" s="578">
        <f t="shared" si="48"/>
        <v>130219.58</v>
      </c>
      <c r="J148" s="578">
        <f t="shared" si="48"/>
        <v>136122.93</v>
      </c>
      <c r="K148" s="594">
        <f t="shared" si="48"/>
        <v>-54721.400000000009</v>
      </c>
      <c r="L148" s="595"/>
    </row>
    <row r="149" spans="1:12" outlineLevel="1" x14ac:dyDescent="0.25">
      <c r="A149" s="581" t="str">
        <f t="shared" ref="A149:A154" si="49">LEFT(B149,3)</f>
        <v>321</v>
      </c>
      <c r="B149" s="582" t="s">
        <v>2912</v>
      </c>
      <c r="C149" s="582" t="s">
        <v>2913</v>
      </c>
      <c r="D149" s="587">
        <f>IF(VLOOKUP($A149,'hk2018'!$A:$G,1)=$A149,VLOOKUP($A149,'hk2018'!$A:$G,6),0)</f>
        <v>-30834.32</v>
      </c>
      <c r="E149" s="587">
        <f>IF(VLOOKUP($A149,'hk2018'!$A:$G,1)=$A149,VLOOKUP($A149,'hk2018'!$A:$G,7),0)</f>
        <v>114058.71</v>
      </c>
      <c r="F149" s="587">
        <f>IF(VLOOKUP($A149,'hk2018'!$A:$H,1)=$A149,VLOOKUP($A149,'hk2018'!$A:$H,8),0)</f>
        <v>126072.14</v>
      </c>
      <c r="G149" s="588">
        <f t="shared" ref="G149:G155" si="50">SUM(D149+E149-F149)</f>
        <v>-42847.749999999985</v>
      </c>
      <c r="H149" s="587">
        <f>IF(VLOOKUP($A149,'hk2017'!$A:$G,1)=$A149,VLOOKUP($A149,'hk2017'!$A:$G,6),0)</f>
        <v>-32936</v>
      </c>
      <c r="I149" s="587">
        <f>IF(VLOOKUP($A149,'hk2017'!$A:$G,1)=$A149,VLOOKUP($A149,'hk2017'!$A:$G,7),0)</f>
        <v>118476.14</v>
      </c>
      <c r="J149" s="587">
        <f>IF(VLOOKUP($A149,'hk2017'!$A:$H,1)=$A149,VLOOKUP($A149,'hk2017'!$A:$H,8),0)</f>
        <v>116374.46</v>
      </c>
      <c r="K149" s="589">
        <f t="shared" ref="K149:K155" si="51">SUM(H149+I149-J149)</f>
        <v>-30834.320000000007</v>
      </c>
      <c r="L149" s="595"/>
    </row>
    <row r="150" spans="1:12" outlineLevel="1" x14ac:dyDescent="0.25">
      <c r="A150" s="581" t="str">
        <f t="shared" si="49"/>
        <v>322</v>
      </c>
      <c r="B150" s="582" t="s">
        <v>2914</v>
      </c>
      <c r="C150" s="582" t="s">
        <v>2915</v>
      </c>
      <c r="D150" s="587">
        <f>IF(VLOOKUP($A150,'hk2018'!$A:$G,1)=$A150,VLOOKUP($A150,'hk2018'!$A:$G,6),0)</f>
        <v>0</v>
      </c>
      <c r="E150" s="587">
        <f>IF(VLOOKUP($A150,'hk2018'!$A:$G,1)=$A150,VLOOKUP($A150,'hk2018'!$A:$G,7),0)</f>
        <v>0</v>
      </c>
      <c r="F150" s="587">
        <f>IF(VLOOKUP($A150,'hk2018'!$A:$H,1)=$A150,VLOOKUP($A150,'hk2018'!$A:$H,8),0)</f>
        <v>0</v>
      </c>
      <c r="G150" s="588">
        <f t="shared" si="50"/>
        <v>0</v>
      </c>
      <c r="H150" s="587">
        <f>IF(VLOOKUP($A150,'hk2017'!$A:$G,1)=$A150,VLOOKUP($A150,'hk2017'!$A:$G,6),0)</f>
        <v>0</v>
      </c>
      <c r="I150" s="587">
        <f>IF(VLOOKUP($A150,'hk2017'!$A:$G,1)=$A150,VLOOKUP($A150,'hk2017'!$A:$G,7),0)</f>
        <v>0</v>
      </c>
      <c r="J150" s="587">
        <f>IF(VLOOKUP($A150,'hk2017'!$A:$H,1)=$A150,VLOOKUP($A150,'hk2017'!$A:$H,8),0)</f>
        <v>0</v>
      </c>
      <c r="K150" s="589">
        <f t="shared" si="51"/>
        <v>0</v>
      </c>
      <c r="L150" s="595"/>
    </row>
    <row r="151" spans="1:12" outlineLevel="1" x14ac:dyDescent="0.25">
      <c r="A151" s="581" t="str">
        <f t="shared" si="49"/>
        <v>323</v>
      </c>
      <c r="B151" s="582" t="s">
        <v>2916</v>
      </c>
      <c r="C151" s="582" t="s">
        <v>2917</v>
      </c>
      <c r="D151" s="587">
        <f>IF(VLOOKUP($A151,'hk2018'!$A:$G,1)=$A151,VLOOKUP($A151,'hk2018'!$A:$G,6),0)</f>
        <v>-19677.560000000001</v>
      </c>
      <c r="E151" s="587">
        <f>IF(VLOOKUP($A151,'hk2018'!$A:$G,1)=$A151,VLOOKUP($A151,'hk2018'!$A:$G,7),0)</f>
        <v>29195.32</v>
      </c>
      <c r="F151" s="587">
        <f>IF(VLOOKUP($A151,'hk2018'!$A:$H,1)=$A151,VLOOKUP($A151,'hk2018'!$A:$H,8),0)</f>
        <v>23951.99</v>
      </c>
      <c r="G151" s="588">
        <f t="shared" si="50"/>
        <v>-14434.230000000003</v>
      </c>
      <c r="H151" s="587">
        <f>IF(VLOOKUP($A151,'hk2017'!$A:$G,1)=$A151,VLOOKUP($A151,'hk2017'!$A:$G,6),0)</f>
        <v>-11672.53</v>
      </c>
      <c r="I151" s="587">
        <f>IF(VLOOKUP($A151,'hk2017'!$A:$G,1)=$A151,VLOOKUP($A151,'hk2017'!$A:$G,7),0)</f>
        <v>11743.44</v>
      </c>
      <c r="J151" s="587">
        <f>IF(VLOOKUP($A151,'hk2017'!$A:$H,1)=$A151,VLOOKUP($A151,'hk2017'!$A:$H,8),0)</f>
        <v>19748.47</v>
      </c>
      <c r="K151" s="589">
        <f t="shared" si="51"/>
        <v>-19677.560000000001</v>
      </c>
      <c r="L151" s="595"/>
    </row>
    <row r="152" spans="1:12" outlineLevel="1" x14ac:dyDescent="0.25">
      <c r="A152" s="581" t="str">
        <f t="shared" si="49"/>
        <v>324</v>
      </c>
      <c r="B152" s="582" t="s">
        <v>2918</v>
      </c>
      <c r="C152" s="582" t="s">
        <v>2919</v>
      </c>
      <c r="D152" s="587">
        <f>IF(VLOOKUP($A152,'hk2018'!$A:$G,1)=$A152,VLOOKUP($A152,'hk2018'!$A:$G,6),0)</f>
        <v>0</v>
      </c>
      <c r="E152" s="587">
        <f>IF(VLOOKUP($A152,'hk2018'!$A:$G,1)=$A152,VLOOKUP($A152,'hk2018'!$A:$G,7),0)</f>
        <v>0</v>
      </c>
      <c r="F152" s="587">
        <f>IF(VLOOKUP($A152,'hk2018'!$A:$H,1)=$A152,VLOOKUP($A152,'hk2018'!$A:$H,8),0)</f>
        <v>0</v>
      </c>
      <c r="G152" s="588">
        <f t="shared" si="50"/>
        <v>0</v>
      </c>
      <c r="H152" s="587">
        <f>IF(VLOOKUP($A152,'hk2017'!$A:$G,1)=$A152,VLOOKUP($A152,'hk2017'!$A:$G,6),0)</f>
        <v>0</v>
      </c>
      <c r="I152" s="587">
        <f>IF(VLOOKUP($A152,'hk2017'!$A:$G,1)=$A152,VLOOKUP($A152,'hk2017'!$A:$G,7),0)</f>
        <v>0</v>
      </c>
      <c r="J152" s="587">
        <f>IF(VLOOKUP($A152,'hk2017'!$A:$H,1)=$A152,VLOOKUP($A152,'hk2017'!$A:$H,8),0)</f>
        <v>0</v>
      </c>
      <c r="K152" s="589">
        <f t="shared" si="51"/>
        <v>0</v>
      </c>
      <c r="L152" s="595"/>
    </row>
    <row r="153" spans="1:12" outlineLevel="1" x14ac:dyDescent="0.25">
      <c r="A153" s="581" t="str">
        <f t="shared" si="49"/>
        <v>325</v>
      </c>
      <c r="B153" s="582" t="s">
        <v>2920</v>
      </c>
      <c r="C153" s="582" t="s">
        <v>2921</v>
      </c>
      <c r="D153" s="587">
        <f>IF(VLOOKUP($A153,'hk2018'!$A:$G,1)=$A153,VLOOKUP($A153,'hk2018'!$A:$G,6),0)</f>
        <v>-4209.5200000000004</v>
      </c>
      <c r="E153" s="587">
        <f>IF(VLOOKUP($A153,'hk2018'!$A:$G,1)=$A153,VLOOKUP($A153,'hk2018'!$A:$G,7),0)</f>
        <v>4209.5200000000004</v>
      </c>
      <c r="F153" s="587">
        <f>IF(VLOOKUP($A153,'hk2018'!$A:$H,1)=$A153,VLOOKUP($A153,'hk2018'!$A:$H,8),0)</f>
        <v>0</v>
      </c>
      <c r="G153" s="588">
        <f t="shared" si="50"/>
        <v>0</v>
      </c>
      <c r="H153" s="587">
        <f>IF(VLOOKUP($A153,'hk2017'!$A:$G,1)=$A153,VLOOKUP($A153,'hk2017'!$A:$G,6),0)</f>
        <v>-4209.5200000000004</v>
      </c>
      <c r="I153" s="587">
        <f>IF(VLOOKUP($A153,'hk2017'!$A:$G,1)=$A153,VLOOKUP($A153,'hk2017'!$A:$G,7),0)</f>
        <v>0</v>
      </c>
      <c r="J153" s="587">
        <f>IF(VLOOKUP($A153,'hk2017'!$A:$H,1)=$A153,VLOOKUP($A153,'hk2017'!$A:$H,8),0)</f>
        <v>0</v>
      </c>
      <c r="K153" s="589">
        <f t="shared" si="51"/>
        <v>-4209.5200000000004</v>
      </c>
      <c r="L153" s="595"/>
    </row>
    <row r="154" spans="1:12" outlineLevel="1" x14ac:dyDescent="0.25">
      <c r="A154" s="581" t="str">
        <f t="shared" si="49"/>
        <v>326</v>
      </c>
      <c r="B154" s="582" t="s">
        <v>2922</v>
      </c>
      <c r="C154" s="582" t="s">
        <v>2923</v>
      </c>
      <c r="D154" s="587">
        <f>IF(VLOOKUP($A154,'hk2018'!$A:$G,1)=$A154,VLOOKUP($A154,'hk2018'!$A:$G,6),0)</f>
        <v>0</v>
      </c>
      <c r="E154" s="587">
        <f>IF(VLOOKUP($A154,'hk2018'!$A:$G,1)=$A154,VLOOKUP($A154,'hk2018'!$A:$G,7),0)</f>
        <v>0</v>
      </c>
      <c r="F154" s="587">
        <f>IF(VLOOKUP($A154,'hk2018'!$A:$H,1)=$A154,VLOOKUP($A154,'hk2018'!$A:$H,8),0)</f>
        <v>0</v>
      </c>
      <c r="G154" s="588">
        <f t="shared" si="50"/>
        <v>0</v>
      </c>
      <c r="H154" s="587">
        <f>IF(VLOOKUP($A154,'hk2017'!$A:$G,1)=$A154,VLOOKUP($A154,'hk2017'!$A:$G,6),0)</f>
        <v>0</v>
      </c>
      <c r="I154" s="587">
        <f>IF(VLOOKUP($A154,'hk2017'!$A:$G,1)=$A154,VLOOKUP($A154,'hk2017'!$A:$G,7),0)</f>
        <v>0</v>
      </c>
      <c r="J154" s="587">
        <f>IF(VLOOKUP($A154,'hk2017'!$A:$H,1)=$A154,VLOOKUP($A154,'hk2017'!$A:$H,8),0)</f>
        <v>0</v>
      </c>
      <c r="K154" s="589">
        <f t="shared" si="51"/>
        <v>0</v>
      </c>
      <c r="L154" s="595"/>
    </row>
    <row r="155" spans="1:12" outlineLevel="1" x14ac:dyDescent="0.25">
      <c r="A155" s="569" t="s">
        <v>2924</v>
      </c>
      <c r="B155" s="597"/>
      <c r="C155" s="583" t="s">
        <v>2925</v>
      </c>
      <c r="D155" s="587">
        <f>IF(VLOOKUP($A155,'hk2018'!$A:$G,1)=$A155,VLOOKUP($A155,'hk2018'!$A:$G,6),0)</f>
        <v>0</v>
      </c>
      <c r="E155" s="587">
        <f>IF(VLOOKUP($A155,'hk2018'!$A:$G,1)=$A155,VLOOKUP($A155,'hk2018'!$A:$G,7),0)</f>
        <v>0</v>
      </c>
      <c r="F155" s="587">
        <f>IF(VLOOKUP($A155,'hk2018'!$A:$H,1)=$A155,VLOOKUP($A155,'hk2018'!$A:$H,8),0)</f>
        <v>0</v>
      </c>
      <c r="G155" s="588">
        <f t="shared" si="50"/>
        <v>0</v>
      </c>
      <c r="H155" s="587">
        <f>IF(VLOOKUP($A155,'hk2017'!$A:$G,1)=$A155,VLOOKUP($A155,'hk2017'!$A:$G,6),0)</f>
        <v>0</v>
      </c>
      <c r="I155" s="587">
        <f>IF(VLOOKUP($A155,'hk2017'!$A:$G,1)=$A155,VLOOKUP($A155,'hk2017'!$A:$G,7),0)</f>
        <v>0</v>
      </c>
      <c r="J155" s="587">
        <f>IF(VLOOKUP($A155,'hk2017'!$A:$H,1)=$A155,VLOOKUP($A155,'hk2017'!$A:$H,8),0)</f>
        <v>0</v>
      </c>
      <c r="K155" s="589">
        <f t="shared" si="51"/>
        <v>0</v>
      </c>
      <c r="L155" s="595"/>
    </row>
    <row r="156" spans="1:12" x14ac:dyDescent="0.25">
      <c r="A156" s="604" t="s">
        <v>2185</v>
      </c>
      <c r="B156" s="605"/>
      <c r="C156" s="606" t="s">
        <v>2926</v>
      </c>
      <c r="D156" s="578">
        <f t="shared" ref="D156:K156" si="52">SUM(D157:D161)</f>
        <v>-24303.989999999998</v>
      </c>
      <c r="E156" s="578">
        <f t="shared" si="52"/>
        <v>230261.69999999995</v>
      </c>
      <c r="F156" s="578">
        <f t="shared" si="52"/>
        <v>230590.88</v>
      </c>
      <c r="G156" s="593">
        <f t="shared" si="52"/>
        <v>-24633.170000000027</v>
      </c>
      <c r="H156" s="578">
        <f t="shared" si="52"/>
        <v>-29901.480000000003</v>
      </c>
      <c r="I156" s="578">
        <f t="shared" si="52"/>
        <v>233807.46999999997</v>
      </c>
      <c r="J156" s="578">
        <f t="shared" si="52"/>
        <v>228209.97999999998</v>
      </c>
      <c r="K156" s="594">
        <f t="shared" si="52"/>
        <v>-24303.989999999983</v>
      </c>
      <c r="L156" s="595"/>
    </row>
    <row r="157" spans="1:12" outlineLevel="1" x14ac:dyDescent="0.25">
      <c r="A157" s="581" t="str">
        <f>LEFT(B157,3)</f>
        <v>331</v>
      </c>
      <c r="B157" s="582" t="s">
        <v>2927</v>
      </c>
      <c r="C157" s="582" t="s">
        <v>2928</v>
      </c>
      <c r="D157" s="587">
        <f>IF(VLOOKUP($A157,'hk2018'!$A:$G,1)=$A157,VLOOKUP($A157,'hk2018'!$A:$G,6),0)</f>
        <v>-7115.92</v>
      </c>
      <c r="E157" s="587">
        <f>IF(VLOOKUP($A157,'hk2018'!$A:$G,1)=$A157,VLOOKUP($A157,'hk2018'!$A:$G,7),0)</f>
        <v>151335.79999999999</v>
      </c>
      <c r="F157" s="587">
        <f>IF(VLOOKUP($A157,'hk2018'!$A:$H,1)=$A157,VLOOKUP($A157,'hk2018'!$A:$H,8),0)</f>
        <v>150663.5</v>
      </c>
      <c r="G157" s="588">
        <f>SUM(D157+E157-F157)</f>
        <v>-6443.6200000000244</v>
      </c>
      <c r="H157" s="587">
        <f>IF(VLOOKUP($A157,'hk2017'!$A:$G,1)=$A157,VLOOKUP($A157,'hk2017'!$A:$G,6),0)</f>
        <v>-13788.36</v>
      </c>
      <c r="I157" s="587">
        <f>IF(VLOOKUP($A157,'hk2017'!$A:$G,1)=$A157,VLOOKUP($A157,'hk2017'!$A:$G,7),0)</f>
        <v>155951.29999999999</v>
      </c>
      <c r="J157" s="587">
        <f>IF(VLOOKUP($A157,'hk2017'!$A:$H,1)=$A157,VLOOKUP($A157,'hk2017'!$A:$H,8),0)</f>
        <v>149278.85999999999</v>
      </c>
      <c r="K157" s="589">
        <f>SUM(H157+I157-J157)</f>
        <v>-7115.9199999999837</v>
      </c>
      <c r="L157" s="595"/>
    </row>
    <row r="158" spans="1:12" outlineLevel="1" x14ac:dyDescent="0.25">
      <c r="A158" s="581" t="str">
        <f>LEFT(B158,3)</f>
        <v>333</v>
      </c>
      <c r="B158" s="582" t="s">
        <v>2929</v>
      </c>
      <c r="C158" s="582" t="s">
        <v>2930</v>
      </c>
      <c r="D158" s="587">
        <f>IF(VLOOKUP($A158,'hk2018'!$A:$G,1)=$A158,VLOOKUP($A158,'hk2018'!$A:$G,6),0)</f>
        <v>-7309.65</v>
      </c>
      <c r="E158" s="587">
        <f>IF(VLOOKUP($A158,'hk2018'!$A:$G,1)=$A158,VLOOKUP($A158,'hk2018'!$A:$G,7),0)</f>
        <v>0</v>
      </c>
      <c r="F158" s="587">
        <f>IF(VLOOKUP($A158,'hk2018'!$A:$H,1)=$A158,VLOOKUP($A158,'hk2018'!$A:$H,8),0)</f>
        <v>0</v>
      </c>
      <c r="G158" s="588">
        <f>SUM(D158+E158-F158)</f>
        <v>-7309.65</v>
      </c>
      <c r="H158" s="587">
        <f>IF(VLOOKUP($A158,'hk2017'!$A:$G,1)=$A158,VLOOKUP($A158,'hk2017'!$A:$G,6),0)</f>
        <v>-7309.65</v>
      </c>
      <c r="I158" s="587">
        <f>IF(VLOOKUP($A158,'hk2017'!$A:$G,1)=$A158,VLOOKUP($A158,'hk2017'!$A:$G,7),0)</f>
        <v>0</v>
      </c>
      <c r="J158" s="587">
        <f>IF(VLOOKUP($A158,'hk2017'!$A:$H,1)=$A158,VLOOKUP($A158,'hk2017'!$A:$H,8),0)</f>
        <v>0</v>
      </c>
      <c r="K158" s="589">
        <f>SUM(H158+I158-J158)</f>
        <v>-7309.65</v>
      </c>
      <c r="L158" s="595"/>
    </row>
    <row r="159" spans="1:12" outlineLevel="1" x14ac:dyDescent="0.25">
      <c r="A159" s="581" t="str">
        <f>LEFT(B159,3)</f>
        <v>335</v>
      </c>
      <c r="B159" s="582" t="s">
        <v>2931</v>
      </c>
      <c r="C159" s="582" t="s">
        <v>2932</v>
      </c>
      <c r="D159" s="587">
        <f>IF(VLOOKUP($A159,'hk2018'!$A:$G,1)=$A159,VLOOKUP($A159,'hk2018'!$A:$G,6),0)</f>
        <v>-334.41999999999996</v>
      </c>
      <c r="E159" s="587">
        <f>IF(VLOOKUP($A159,'hk2018'!$A:$G,1)=$A159,VLOOKUP($A159,'hk2018'!$A:$G,7),0)</f>
        <v>2417.11</v>
      </c>
      <c r="F159" s="587">
        <f>IF(VLOOKUP($A159,'hk2018'!$A:$H,1)=$A159,VLOOKUP($A159,'hk2018'!$A:$H,8),0)</f>
        <v>2349.6</v>
      </c>
      <c r="G159" s="588">
        <f>SUM(D159+E159-F159)</f>
        <v>-266.90999999999985</v>
      </c>
      <c r="H159" s="587">
        <f>IF(VLOOKUP($A159,'hk2017'!$A:$G,1)=$A159,VLOOKUP($A159,'hk2017'!$A:$G,6),0)</f>
        <v>-402.11</v>
      </c>
      <c r="I159" s="587">
        <f>IF(VLOOKUP($A159,'hk2017'!$A:$G,1)=$A159,VLOOKUP($A159,'hk2017'!$A:$G,7),0)</f>
        <v>3519.75</v>
      </c>
      <c r="J159" s="587">
        <f>IF(VLOOKUP($A159,'hk2017'!$A:$H,1)=$A159,VLOOKUP($A159,'hk2017'!$A:$H,8),0)</f>
        <v>3452.06</v>
      </c>
      <c r="K159" s="589">
        <f>SUM(H159+I159-J159)</f>
        <v>-334.42000000000007</v>
      </c>
      <c r="L159" s="595"/>
    </row>
    <row r="160" spans="1:12" outlineLevel="1" x14ac:dyDescent="0.25">
      <c r="A160" s="581" t="str">
        <f>LEFT(B160,3)</f>
        <v>336</v>
      </c>
      <c r="B160" s="582" t="s">
        <v>2933</v>
      </c>
      <c r="C160" s="582" t="s">
        <v>2934</v>
      </c>
      <c r="D160" s="587">
        <f>IF(VLOOKUP($A160,'hk2018'!$A:$G,1)=$A160,VLOOKUP($A160,'hk2018'!$A:$G,6),0)</f>
        <v>-9544</v>
      </c>
      <c r="E160" s="587">
        <f>IF(VLOOKUP($A160,'hk2018'!$A:$G,1)=$A160,VLOOKUP($A160,'hk2018'!$A:$G,7),0)</f>
        <v>76508.789999999994</v>
      </c>
      <c r="F160" s="587">
        <f>IF(VLOOKUP($A160,'hk2018'!$A:$H,1)=$A160,VLOOKUP($A160,'hk2018'!$A:$H,8),0)</f>
        <v>77577.78</v>
      </c>
      <c r="G160" s="588">
        <f>SUM(D160+E160-F160)</f>
        <v>-10612.990000000005</v>
      </c>
      <c r="H160" s="587">
        <f>IF(VLOOKUP($A160,'hk2017'!$A:$G,1)=$A160,VLOOKUP($A160,'hk2017'!$A:$G,6),0)</f>
        <v>-8401.36</v>
      </c>
      <c r="I160" s="587">
        <f>IF(VLOOKUP($A160,'hk2017'!$A:$G,1)=$A160,VLOOKUP($A160,'hk2017'!$A:$G,7),0)</f>
        <v>74336.42</v>
      </c>
      <c r="J160" s="587">
        <f>IF(VLOOKUP($A160,'hk2017'!$A:$H,1)=$A160,VLOOKUP($A160,'hk2017'!$A:$H,8),0)</f>
        <v>75479.06</v>
      </c>
      <c r="K160" s="589">
        <f>SUM(H160+I160-J160)</f>
        <v>-9544</v>
      </c>
      <c r="L160" s="595"/>
    </row>
    <row r="161" spans="1:12" outlineLevel="1" x14ac:dyDescent="0.25">
      <c r="A161" s="596"/>
      <c r="B161" s="597"/>
      <c r="C161" s="597"/>
      <c r="D161" s="590"/>
      <c r="E161" s="590"/>
      <c r="F161" s="590"/>
      <c r="G161" s="591"/>
      <c r="H161" s="590"/>
      <c r="I161" s="590"/>
      <c r="J161" s="590"/>
      <c r="K161" s="592"/>
      <c r="L161" s="595"/>
    </row>
    <row r="162" spans="1:12" x14ac:dyDescent="0.25">
      <c r="A162" s="604" t="s">
        <v>2187</v>
      </c>
      <c r="B162" s="605"/>
      <c r="C162" s="606" t="s">
        <v>2935</v>
      </c>
      <c r="D162" s="578">
        <f t="shared" ref="D162:K162" si="53">SUM(D163:D169)</f>
        <v>-18456.97</v>
      </c>
      <c r="E162" s="578">
        <f t="shared" si="53"/>
        <v>289982.55</v>
      </c>
      <c r="F162" s="578">
        <f t="shared" si="53"/>
        <v>288406.56</v>
      </c>
      <c r="G162" s="593">
        <f t="shared" si="53"/>
        <v>-16880.980000000003</v>
      </c>
      <c r="H162" s="578">
        <f t="shared" si="53"/>
        <v>-20212.439999999999</v>
      </c>
      <c r="I162" s="578">
        <f t="shared" si="53"/>
        <v>396624.67</v>
      </c>
      <c r="J162" s="578">
        <f t="shared" si="53"/>
        <v>394869.2</v>
      </c>
      <c r="K162" s="594">
        <f t="shared" si="53"/>
        <v>-18456.97</v>
      </c>
      <c r="L162" s="595"/>
    </row>
    <row r="163" spans="1:12" outlineLevel="1" x14ac:dyDescent="0.25">
      <c r="A163" s="581" t="str">
        <f t="shared" ref="A163:A168" si="54">LEFT(B163,3)</f>
        <v>341</v>
      </c>
      <c r="B163" s="582" t="s">
        <v>2936</v>
      </c>
      <c r="C163" s="582" t="s">
        <v>2937</v>
      </c>
      <c r="D163" s="587">
        <f>IF(VLOOKUP($A163,'hk2018'!$A:$G,1)=$A163,VLOOKUP($A163,'hk2018'!$A:$G,6),0)</f>
        <v>1435.94</v>
      </c>
      <c r="E163" s="587">
        <f>IF(VLOOKUP($A163,'hk2018'!$A:$G,1)=$A163,VLOOKUP($A163,'hk2018'!$A:$G,7),0)</f>
        <v>3332.29</v>
      </c>
      <c r="F163" s="587">
        <f>IF(VLOOKUP($A163,'hk2018'!$A:$H,1)=$A163,VLOOKUP($A163,'hk2018'!$A:$H,8),0)</f>
        <v>0</v>
      </c>
      <c r="G163" s="588">
        <f t="shared" ref="G163:G168" si="55">SUM(D163+E163-F163)</f>
        <v>4768.2299999999996</v>
      </c>
      <c r="H163" s="587">
        <f>IF(VLOOKUP($A163,'hk2017'!$A:$G,1)=$A163,VLOOKUP($A163,'hk2017'!$A:$G,6),0)</f>
        <v>0</v>
      </c>
      <c r="I163" s="587">
        <f>IF(VLOOKUP($A163,'hk2017'!$A:$G,1)=$A163,VLOOKUP($A163,'hk2017'!$A:$G,7),0)</f>
        <v>2395.94</v>
      </c>
      <c r="J163" s="587">
        <f>IF(VLOOKUP($A163,'hk2017'!$A:$H,1)=$A163,VLOOKUP($A163,'hk2017'!$A:$H,8),0)</f>
        <v>960</v>
      </c>
      <c r="K163" s="589">
        <f t="shared" ref="K163:K168" si="56">SUM(H163+I163-J163)</f>
        <v>1435.94</v>
      </c>
      <c r="L163" s="595"/>
    </row>
    <row r="164" spans="1:12" outlineLevel="1" x14ac:dyDescent="0.25">
      <c r="A164" s="581" t="str">
        <f t="shared" si="54"/>
        <v>342</v>
      </c>
      <c r="B164" s="582" t="s">
        <v>2938</v>
      </c>
      <c r="C164" s="582" t="s">
        <v>2939</v>
      </c>
      <c r="D164" s="587">
        <f>IF(VLOOKUP($A164,'hk2018'!$A:$G,1)=$A164,VLOOKUP($A164,'hk2018'!$A:$G,6),0)</f>
        <v>-7285.01</v>
      </c>
      <c r="E164" s="587">
        <f>IF(VLOOKUP($A164,'hk2018'!$A:$G,1)=$A164,VLOOKUP($A164,'hk2018'!$A:$G,7),0)</f>
        <v>13846.52</v>
      </c>
      <c r="F164" s="587">
        <f>IF(VLOOKUP($A164,'hk2018'!$A:$H,1)=$A164,VLOOKUP($A164,'hk2018'!$A:$H,8),0)</f>
        <v>15530.24</v>
      </c>
      <c r="G164" s="588">
        <f t="shared" si="55"/>
        <v>-8968.73</v>
      </c>
      <c r="H164" s="587">
        <f>IF(VLOOKUP($A164,'hk2017'!$A:$G,1)=$A164,VLOOKUP($A164,'hk2017'!$A:$G,6),0)</f>
        <v>-6862.62</v>
      </c>
      <c r="I164" s="587">
        <f>IF(VLOOKUP($A164,'hk2017'!$A:$G,1)=$A164,VLOOKUP($A164,'hk2017'!$A:$G,7),0)</f>
        <v>13870.58</v>
      </c>
      <c r="J164" s="587">
        <f>IF(VLOOKUP($A164,'hk2017'!$A:$H,1)=$A164,VLOOKUP($A164,'hk2017'!$A:$H,8),0)</f>
        <v>14292.97</v>
      </c>
      <c r="K164" s="589">
        <f t="shared" si="56"/>
        <v>-7285.0099999999993</v>
      </c>
      <c r="L164" s="595"/>
    </row>
    <row r="165" spans="1:12" outlineLevel="1" x14ac:dyDescent="0.25">
      <c r="A165" s="581" t="str">
        <f t="shared" si="54"/>
        <v>343</v>
      </c>
      <c r="B165" s="582" t="s">
        <v>2940</v>
      </c>
      <c r="C165" s="582" t="s">
        <v>2941</v>
      </c>
      <c r="D165" s="587">
        <f>IF(VLOOKUP($A165,'hk2018'!$A:$G,1)=$A165,VLOOKUP($A165,'hk2018'!$A:$G,6),0)</f>
        <v>-12607.9</v>
      </c>
      <c r="E165" s="587">
        <f>IF(VLOOKUP($A165,'hk2018'!$A:$G,1)=$A165,VLOOKUP($A165,'hk2018'!$A:$G,7),0)</f>
        <v>20842.259999999998</v>
      </c>
      <c r="F165" s="587">
        <f>IF(VLOOKUP($A165,'hk2018'!$A:$H,1)=$A165,VLOOKUP($A165,'hk2018'!$A:$H,8),0)</f>
        <v>20914.84</v>
      </c>
      <c r="G165" s="588">
        <f t="shared" si="55"/>
        <v>-12680.480000000001</v>
      </c>
      <c r="H165" s="587">
        <f>IF(VLOOKUP($A165,'hk2017'!$A:$G,1)=$A165,VLOOKUP($A165,'hk2017'!$A:$G,6),0)</f>
        <v>-11809.3</v>
      </c>
      <c r="I165" s="587">
        <f>IF(VLOOKUP($A165,'hk2017'!$A:$G,1)=$A165,VLOOKUP($A165,'hk2017'!$A:$G,7),0)</f>
        <v>17993.37</v>
      </c>
      <c r="J165" s="587">
        <f>IF(VLOOKUP($A165,'hk2017'!$A:$H,1)=$A165,VLOOKUP($A165,'hk2017'!$A:$H,8),0)</f>
        <v>18791.97</v>
      </c>
      <c r="K165" s="589">
        <f t="shared" si="56"/>
        <v>-12607.900000000001</v>
      </c>
      <c r="L165" s="595"/>
    </row>
    <row r="166" spans="1:12" outlineLevel="1" x14ac:dyDescent="0.25">
      <c r="A166" s="581" t="str">
        <f t="shared" si="54"/>
        <v>345</v>
      </c>
      <c r="B166" s="582" t="s">
        <v>2942</v>
      </c>
      <c r="C166" s="582" t="s">
        <v>2943</v>
      </c>
      <c r="D166" s="587">
        <f>IF(VLOOKUP($A166,'hk2018'!$A:$G,1)=$A166,VLOOKUP($A166,'hk2018'!$A:$G,6),0)</f>
        <v>0</v>
      </c>
      <c r="E166" s="587">
        <f>IF(VLOOKUP($A166,'hk2018'!$A:$G,1)=$A166,VLOOKUP($A166,'hk2018'!$A:$G,7),0)</f>
        <v>798.84</v>
      </c>
      <c r="F166" s="587">
        <f>IF(VLOOKUP($A166,'hk2018'!$A:$H,1)=$A166,VLOOKUP($A166,'hk2018'!$A:$H,8),0)</f>
        <v>798.84</v>
      </c>
      <c r="G166" s="588">
        <f t="shared" si="55"/>
        <v>0</v>
      </c>
      <c r="H166" s="587">
        <f>IF(VLOOKUP($A166,'hk2017'!$A:$G,1)=$A166,VLOOKUP($A166,'hk2017'!$A:$G,6),0)</f>
        <v>-1540.52</v>
      </c>
      <c r="I166" s="587">
        <f>IF(VLOOKUP($A166,'hk2017'!$A:$G,1)=$A166,VLOOKUP($A166,'hk2017'!$A:$G,7),0)</f>
        <v>3145.98</v>
      </c>
      <c r="J166" s="587">
        <f>IF(VLOOKUP($A166,'hk2017'!$A:$H,1)=$A166,VLOOKUP($A166,'hk2017'!$A:$H,8),0)</f>
        <v>1605.46</v>
      </c>
      <c r="K166" s="589">
        <f t="shared" si="56"/>
        <v>0</v>
      </c>
      <c r="L166" s="595"/>
    </row>
    <row r="167" spans="1:12" outlineLevel="1" x14ac:dyDescent="0.25">
      <c r="A167" s="581" t="str">
        <f t="shared" si="54"/>
        <v>346</v>
      </c>
      <c r="B167" s="582" t="s">
        <v>2944</v>
      </c>
      <c r="C167" s="582" t="s">
        <v>2945</v>
      </c>
      <c r="D167" s="587">
        <f>IF(VLOOKUP($A167,'hk2018'!$A:$G,1)=$A167,VLOOKUP($A167,'hk2018'!$A:$G,6),0)</f>
        <v>0</v>
      </c>
      <c r="E167" s="587">
        <f>IF(VLOOKUP($A167,'hk2018'!$A:$G,1)=$A167,VLOOKUP($A167,'hk2018'!$A:$G,7),0)</f>
        <v>251162.64</v>
      </c>
      <c r="F167" s="587">
        <f>IF(VLOOKUP($A167,'hk2018'!$A:$H,1)=$A167,VLOOKUP($A167,'hk2018'!$A:$H,8),0)</f>
        <v>251162.64</v>
      </c>
      <c r="G167" s="588">
        <f t="shared" si="55"/>
        <v>0</v>
      </c>
      <c r="H167" s="587">
        <f>IF(VLOOKUP($A167,'hk2017'!$A:$G,1)=$A167,VLOOKUP($A167,'hk2017'!$A:$G,6),0)</f>
        <v>0</v>
      </c>
      <c r="I167" s="587">
        <f>IF(VLOOKUP($A167,'hk2017'!$A:$G,1)=$A167,VLOOKUP($A167,'hk2017'!$A:$G,7),0)</f>
        <v>359218.8</v>
      </c>
      <c r="J167" s="587">
        <f>IF(VLOOKUP($A167,'hk2017'!$A:$H,1)=$A167,VLOOKUP($A167,'hk2017'!$A:$H,8),0)</f>
        <v>359218.8</v>
      </c>
      <c r="K167" s="589">
        <f t="shared" si="56"/>
        <v>0</v>
      </c>
      <c r="L167" s="595"/>
    </row>
    <row r="168" spans="1:12" outlineLevel="1" x14ac:dyDescent="0.25">
      <c r="A168" s="581" t="str">
        <f t="shared" si="54"/>
        <v>347</v>
      </c>
      <c r="B168" s="582" t="s">
        <v>2946</v>
      </c>
      <c r="C168" s="582" t="s">
        <v>2947</v>
      </c>
      <c r="D168" s="587">
        <f>IF(VLOOKUP($A168,'hk2018'!$A:$G,1)=$A168,VLOOKUP($A168,'hk2018'!$A:$G,6),0)</f>
        <v>0</v>
      </c>
      <c r="E168" s="587">
        <f>IF(VLOOKUP($A168,'hk2018'!$A:$G,1)=$A168,VLOOKUP($A168,'hk2018'!$A:$G,7),0)</f>
        <v>0</v>
      </c>
      <c r="F168" s="587">
        <f>IF(VLOOKUP($A168,'hk2018'!$A:$H,1)=$A168,VLOOKUP($A168,'hk2018'!$A:$H,8),0)</f>
        <v>0</v>
      </c>
      <c r="G168" s="588">
        <f t="shared" si="55"/>
        <v>0</v>
      </c>
      <c r="H168" s="587">
        <f>IF(VLOOKUP($A168,'hk2017'!$A:$G,1)=$A168,VLOOKUP($A168,'hk2017'!$A:$G,6),0)</f>
        <v>0</v>
      </c>
      <c r="I168" s="587">
        <f>IF(VLOOKUP($A168,'hk2017'!$A:$G,1)=$A168,VLOOKUP($A168,'hk2017'!$A:$G,7),0)</f>
        <v>0</v>
      </c>
      <c r="J168" s="587">
        <f>IF(VLOOKUP($A168,'hk2017'!$A:$H,1)=$A168,VLOOKUP($A168,'hk2017'!$A:$H,8),0)</f>
        <v>0</v>
      </c>
      <c r="K168" s="589">
        <f t="shared" si="56"/>
        <v>0</v>
      </c>
      <c r="L168" s="595"/>
    </row>
    <row r="169" spans="1:12" outlineLevel="1" x14ac:dyDescent="0.25">
      <c r="A169" s="596"/>
      <c r="B169" s="597"/>
      <c r="C169" s="597"/>
      <c r="D169" s="590"/>
      <c r="E169" s="590"/>
      <c r="F169" s="590"/>
      <c r="G169" s="591"/>
      <c r="H169" s="590"/>
      <c r="I169" s="590"/>
      <c r="J169" s="590"/>
      <c r="K169" s="592"/>
      <c r="L169" s="595"/>
    </row>
    <row r="170" spans="1:12" x14ac:dyDescent="0.25">
      <c r="A170" s="604" t="s">
        <v>2189</v>
      </c>
      <c r="B170" s="605"/>
      <c r="C170" s="606" t="s">
        <v>2948</v>
      </c>
      <c r="D170" s="578">
        <f t="shared" ref="D170:K170" si="57">SUM(D171:D176)</f>
        <v>0</v>
      </c>
      <c r="E170" s="578">
        <f t="shared" si="57"/>
        <v>0</v>
      </c>
      <c r="F170" s="578">
        <f t="shared" si="57"/>
        <v>0</v>
      </c>
      <c r="G170" s="593">
        <f t="shared" si="57"/>
        <v>0</v>
      </c>
      <c r="H170" s="578">
        <f t="shared" si="57"/>
        <v>0</v>
      </c>
      <c r="I170" s="578">
        <f t="shared" si="57"/>
        <v>0</v>
      </c>
      <c r="J170" s="578">
        <f t="shared" si="57"/>
        <v>0</v>
      </c>
      <c r="K170" s="594">
        <f t="shared" si="57"/>
        <v>0</v>
      </c>
      <c r="L170" s="595"/>
    </row>
    <row r="171" spans="1:12" outlineLevel="1" x14ac:dyDescent="0.25">
      <c r="A171" s="581" t="str">
        <f>LEFT(B171,3)</f>
        <v>351</v>
      </c>
      <c r="B171" s="582" t="s">
        <v>2949</v>
      </c>
      <c r="C171" s="582" t="s">
        <v>2950</v>
      </c>
      <c r="D171" s="587">
        <f>IF(VLOOKUP($A171,'hk2018'!$A:$G,1)=$A171,VLOOKUP($A171,'hk2018'!$A:$G,6),0)</f>
        <v>0</v>
      </c>
      <c r="E171" s="587">
        <f>IF(VLOOKUP($A171,'hk2018'!$A:$G,1)=$A171,VLOOKUP($A171,'hk2018'!$A:$G,7),0)</f>
        <v>0</v>
      </c>
      <c r="F171" s="587">
        <f>IF(VLOOKUP($A171,'hk2018'!$A:$H,1)=$A171,VLOOKUP($A171,'hk2018'!$A:$H,8),0)</f>
        <v>0</v>
      </c>
      <c r="G171" s="588">
        <f>SUM(D171+E171-F171)</f>
        <v>0</v>
      </c>
      <c r="H171" s="587">
        <f>IF(VLOOKUP($A171,'hk2017'!$A:$G,1)=$A171,VLOOKUP($A171,'hk2017'!$A:$G,6),0)</f>
        <v>0</v>
      </c>
      <c r="I171" s="587">
        <f>IF(VLOOKUP($A171,'hk2017'!$A:$G,1)=$A171,VLOOKUP($A171,'hk2017'!$A:$G,7),0)</f>
        <v>0</v>
      </c>
      <c r="J171" s="587">
        <f>IF(VLOOKUP($A171,'hk2017'!$A:$H,1)=$A171,VLOOKUP($A171,'hk2017'!$A:$H,8),0)</f>
        <v>0</v>
      </c>
      <c r="K171" s="589">
        <f>SUM(H171+I171-J171)</f>
        <v>0</v>
      </c>
      <c r="L171" s="595"/>
    </row>
    <row r="172" spans="1:12" outlineLevel="1" x14ac:dyDescent="0.25">
      <c r="A172" s="581" t="str">
        <f>LEFT(B172,3)</f>
        <v>353</v>
      </c>
      <c r="B172" s="582" t="s">
        <v>2951</v>
      </c>
      <c r="C172" s="582" t="s">
        <v>2952</v>
      </c>
      <c r="D172" s="587">
        <f>IF(VLOOKUP($A172,'hk2018'!$A:$G,1)=$A172,VLOOKUP($A172,'hk2018'!$A:$G,6),0)</f>
        <v>0</v>
      </c>
      <c r="E172" s="587">
        <f>IF(VLOOKUP($A172,'hk2018'!$A:$G,1)=$A172,VLOOKUP($A172,'hk2018'!$A:$G,7),0)</f>
        <v>0</v>
      </c>
      <c r="F172" s="587">
        <f>IF(VLOOKUP($A172,'hk2018'!$A:$H,1)=$A172,VLOOKUP($A172,'hk2018'!$A:$H,8),0)</f>
        <v>0</v>
      </c>
      <c r="G172" s="588">
        <f>SUM(D172+E172-F172)</f>
        <v>0</v>
      </c>
      <c r="H172" s="587">
        <f>IF(VLOOKUP($A172,'hk2017'!$A:$G,1)=$A172,VLOOKUP($A172,'hk2017'!$A:$G,6),0)</f>
        <v>0</v>
      </c>
      <c r="I172" s="587">
        <f>IF(VLOOKUP($A172,'hk2017'!$A:$G,1)=$A172,VLOOKUP($A172,'hk2017'!$A:$G,7),0)</f>
        <v>0</v>
      </c>
      <c r="J172" s="587">
        <f>IF(VLOOKUP($A172,'hk2017'!$A:$H,1)=$A172,VLOOKUP($A172,'hk2017'!$A:$H,8),0)</f>
        <v>0</v>
      </c>
      <c r="K172" s="589">
        <f>SUM(H172+I172-J172)</f>
        <v>0</v>
      </c>
      <c r="L172" s="595"/>
    </row>
    <row r="173" spans="1:12" outlineLevel="1" x14ac:dyDescent="0.25">
      <c r="A173" s="581" t="str">
        <f>LEFT(B173,3)</f>
        <v>354</v>
      </c>
      <c r="B173" s="582" t="s">
        <v>2953</v>
      </c>
      <c r="C173" s="582" t="s">
        <v>2954</v>
      </c>
      <c r="D173" s="587">
        <f>IF(VLOOKUP($A173,'hk2018'!$A:$G,1)=$A173,VLOOKUP($A173,'hk2018'!$A:$G,6),0)</f>
        <v>0</v>
      </c>
      <c r="E173" s="587">
        <f>IF(VLOOKUP($A173,'hk2018'!$A:$G,1)=$A173,VLOOKUP($A173,'hk2018'!$A:$G,7),0)</f>
        <v>0</v>
      </c>
      <c r="F173" s="587">
        <f>IF(VLOOKUP($A173,'hk2018'!$A:$H,1)=$A173,VLOOKUP($A173,'hk2018'!$A:$H,8),0)</f>
        <v>0</v>
      </c>
      <c r="G173" s="588">
        <f>SUM(D173+E173-F173)</f>
        <v>0</v>
      </c>
      <c r="H173" s="587">
        <f>IF(VLOOKUP($A173,'hk2017'!$A:$G,1)=$A173,VLOOKUP($A173,'hk2017'!$A:$G,6),0)</f>
        <v>0</v>
      </c>
      <c r="I173" s="587">
        <f>IF(VLOOKUP($A173,'hk2017'!$A:$G,1)=$A173,VLOOKUP($A173,'hk2017'!$A:$G,7),0)</f>
        <v>0</v>
      </c>
      <c r="J173" s="587">
        <f>IF(VLOOKUP($A173,'hk2017'!$A:$H,1)=$A173,VLOOKUP($A173,'hk2017'!$A:$H,8),0)</f>
        <v>0</v>
      </c>
      <c r="K173" s="589">
        <f>SUM(H173+I173-J173)</f>
        <v>0</v>
      </c>
      <c r="L173" s="595"/>
    </row>
    <row r="174" spans="1:12" outlineLevel="1" x14ac:dyDescent="0.25">
      <c r="A174" s="581" t="str">
        <f>LEFT(B174,3)</f>
        <v>355</v>
      </c>
      <c r="B174" s="582" t="s">
        <v>2955</v>
      </c>
      <c r="C174" s="582" t="s">
        <v>2956</v>
      </c>
      <c r="D174" s="587">
        <f>IF(VLOOKUP($A174,'hk2018'!$A:$G,1)=$A174,VLOOKUP($A174,'hk2018'!$A:$G,6),0)</f>
        <v>0</v>
      </c>
      <c r="E174" s="587">
        <f>IF(VLOOKUP($A174,'hk2018'!$A:$G,1)=$A174,VLOOKUP($A174,'hk2018'!$A:$G,7),0)</f>
        <v>0</v>
      </c>
      <c r="F174" s="587">
        <f>IF(VLOOKUP($A174,'hk2018'!$A:$H,1)=$A174,VLOOKUP($A174,'hk2018'!$A:$H,8),0)</f>
        <v>0</v>
      </c>
      <c r="G174" s="588">
        <f>SUM(D174+E174-F174)</f>
        <v>0</v>
      </c>
      <c r="H174" s="587">
        <f>IF(VLOOKUP($A174,'hk2017'!$A:$G,1)=$A174,VLOOKUP($A174,'hk2017'!$A:$G,6),0)</f>
        <v>0</v>
      </c>
      <c r="I174" s="587">
        <f>IF(VLOOKUP($A174,'hk2017'!$A:$G,1)=$A174,VLOOKUP($A174,'hk2017'!$A:$G,7),0)</f>
        <v>0</v>
      </c>
      <c r="J174" s="587">
        <f>IF(VLOOKUP($A174,'hk2017'!$A:$H,1)=$A174,VLOOKUP($A174,'hk2017'!$A:$H,8),0)</f>
        <v>0</v>
      </c>
      <c r="K174" s="589">
        <f>SUM(H174+I174-J174)</f>
        <v>0</v>
      </c>
      <c r="L174" s="595"/>
    </row>
    <row r="175" spans="1:12" outlineLevel="1" x14ac:dyDescent="0.25">
      <c r="A175" s="581" t="str">
        <f>LEFT(B175,3)</f>
        <v>358</v>
      </c>
      <c r="B175" s="582" t="s">
        <v>2957</v>
      </c>
      <c r="C175" s="582" t="s">
        <v>2958</v>
      </c>
      <c r="D175" s="587">
        <f>IF(VLOOKUP($A175,'hk2018'!$A:$G,1)=$A175,VLOOKUP($A175,'hk2018'!$A:$G,6),0)</f>
        <v>0</v>
      </c>
      <c r="E175" s="587">
        <f>IF(VLOOKUP($A175,'hk2018'!$A:$G,1)=$A175,VLOOKUP($A175,'hk2018'!$A:$G,7),0)</f>
        <v>0</v>
      </c>
      <c r="F175" s="587">
        <f>IF(VLOOKUP($A175,'hk2018'!$A:$H,1)=$A175,VLOOKUP($A175,'hk2018'!$A:$H,8),0)</f>
        <v>0</v>
      </c>
      <c r="G175" s="588">
        <f>SUM(D175+E175-F175)</f>
        <v>0</v>
      </c>
      <c r="H175" s="587">
        <f>IF(VLOOKUP($A175,'hk2017'!$A:$G,1)=$A175,VLOOKUP($A175,'hk2017'!$A:$G,6),0)</f>
        <v>0</v>
      </c>
      <c r="I175" s="587">
        <f>IF(VLOOKUP($A175,'hk2017'!$A:$G,1)=$A175,VLOOKUP($A175,'hk2017'!$A:$G,7),0)</f>
        <v>0</v>
      </c>
      <c r="J175" s="587">
        <f>IF(VLOOKUP($A175,'hk2017'!$A:$H,1)=$A175,VLOOKUP($A175,'hk2017'!$A:$H,8),0)</f>
        <v>0</v>
      </c>
      <c r="K175" s="589">
        <f>SUM(H175+I175-J175)</f>
        <v>0</v>
      </c>
      <c r="L175" s="595"/>
    </row>
    <row r="176" spans="1:12" outlineLevel="1" x14ac:dyDescent="0.25">
      <c r="A176" s="596"/>
      <c r="B176" s="597"/>
      <c r="C176" s="597"/>
      <c r="D176" s="590"/>
      <c r="E176" s="590"/>
      <c r="F176" s="590"/>
      <c r="G176" s="591"/>
      <c r="H176" s="590"/>
      <c r="I176" s="590"/>
      <c r="J176" s="590"/>
      <c r="K176" s="592"/>
      <c r="L176" s="595"/>
    </row>
    <row r="177" spans="1:12" x14ac:dyDescent="0.25">
      <c r="A177" s="604" t="s">
        <v>2191</v>
      </c>
      <c r="B177" s="605"/>
      <c r="C177" s="606" t="s">
        <v>2959</v>
      </c>
      <c r="D177" s="578">
        <f t="shared" ref="D177:K177" si="58">SUM(D178:D184)</f>
        <v>-11000</v>
      </c>
      <c r="E177" s="578">
        <f t="shared" si="58"/>
        <v>0</v>
      </c>
      <c r="F177" s="578">
        <f t="shared" si="58"/>
        <v>0</v>
      </c>
      <c r="G177" s="593">
        <f t="shared" si="58"/>
        <v>-11000</v>
      </c>
      <c r="H177" s="578">
        <f t="shared" si="58"/>
        <v>-11000</v>
      </c>
      <c r="I177" s="578">
        <f t="shared" si="58"/>
        <v>0</v>
      </c>
      <c r="J177" s="578">
        <f t="shared" si="58"/>
        <v>0</v>
      </c>
      <c r="K177" s="594">
        <f t="shared" si="58"/>
        <v>-11000</v>
      </c>
      <c r="L177" s="595"/>
    </row>
    <row r="178" spans="1:12" outlineLevel="1" x14ac:dyDescent="0.25">
      <c r="A178" s="581" t="str">
        <f t="shared" ref="A178:A183" si="59">LEFT(B178,3)</f>
        <v>361</v>
      </c>
      <c r="B178" s="582" t="s">
        <v>2960</v>
      </c>
      <c r="C178" s="582" t="s">
        <v>2961</v>
      </c>
      <c r="D178" s="587">
        <f>IF(VLOOKUP($A178,'hk2018'!$A:$G,1)=$A178,VLOOKUP($A178,'hk2018'!$A:$G,6),0)</f>
        <v>0</v>
      </c>
      <c r="E178" s="587">
        <f>IF(VLOOKUP($A178,'hk2018'!$A:$G,1)=$A178,VLOOKUP($A178,'hk2018'!$A:$G,7),0)</f>
        <v>0</v>
      </c>
      <c r="F178" s="587">
        <f>IF(VLOOKUP($A178,'hk2018'!$A:$H,1)=$A178,VLOOKUP($A178,'hk2018'!$A:$H,8),0)</f>
        <v>0</v>
      </c>
      <c r="G178" s="588">
        <f t="shared" ref="G178:G183" si="60">SUM(D178+E178-F178)</f>
        <v>0</v>
      </c>
      <c r="H178" s="587">
        <f>IF(VLOOKUP($A178,'hk2017'!$A:$G,1)=$A178,VLOOKUP($A178,'hk2017'!$A:$G,6),0)</f>
        <v>0</v>
      </c>
      <c r="I178" s="587">
        <f>IF(VLOOKUP($A178,'hk2017'!$A:$G,1)=$A178,VLOOKUP($A178,'hk2017'!$A:$G,7),0)</f>
        <v>0</v>
      </c>
      <c r="J178" s="587">
        <f>IF(VLOOKUP($A178,'hk2017'!$A:$H,1)=$A178,VLOOKUP($A178,'hk2017'!$A:$H,8),0)</f>
        <v>0</v>
      </c>
      <c r="K178" s="589">
        <f t="shared" ref="K178:K183" si="61">SUM(H178+I178-J178)</f>
        <v>0</v>
      </c>
      <c r="L178" s="595"/>
    </row>
    <row r="179" spans="1:12" outlineLevel="1" x14ac:dyDescent="0.25">
      <c r="A179" s="581" t="str">
        <f t="shared" si="59"/>
        <v>364</v>
      </c>
      <c r="B179" s="582" t="s">
        <v>2962</v>
      </c>
      <c r="C179" s="582" t="s">
        <v>2963</v>
      </c>
      <c r="D179" s="587">
        <f>IF(VLOOKUP($A179,'hk2018'!$A:$G,1)=$A179,VLOOKUP($A179,'hk2018'!$A:$G,6),0)</f>
        <v>0</v>
      </c>
      <c r="E179" s="587">
        <f>IF(VLOOKUP($A179,'hk2018'!$A:$G,1)=$A179,VLOOKUP($A179,'hk2018'!$A:$G,7),0)</f>
        <v>0</v>
      </c>
      <c r="F179" s="587">
        <f>IF(VLOOKUP($A179,'hk2018'!$A:$H,1)=$A179,VLOOKUP($A179,'hk2018'!$A:$H,8),0)</f>
        <v>0</v>
      </c>
      <c r="G179" s="588">
        <f t="shared" si="60"/>
        <v>0</v>
      </c>
      <c r="H179" s="587">
        <f>IF(VLOOKUP($A179,'hk2017'!$A:$G,1)=$A179,VLOOKUP($A179,'hk2017'!$A:$G,6),0)</f>
        <v>0</v>
      </c>
      <c r="I179" s="587">
        <f>IF(VLOOKUP($A179,'hk2017'!$A:$G,1)=$A179,VLOOKUP($A179,'hk2017'!$A:$G,7),0)</f>
        <v>0</v>
      </c>
      <c r="J179" s="587">
        <f>IF(VLOOKUP($A179,'hk2017'!$A:$H,1)=$A179,VLOOKUP($A179,'hk2017'!$A:$H,8),0)</f>
        <v>0</v>
      </c>
      <c r="K179" s="589">
        <f t="shared" si="61"/>
        <v>0</v>
      </c>
      <c r="L179" s="595"/>
    </row>
    <row r="180" spans="1:12" outlineLevel="1" x14ac:dyDescent="0.25">
      <c r="A180" s="581" t="str">
        <f t="shared" si="59"/>
        <v>365</v>
      </c>
      <c r="B180" s="582" t="s">
        <v>2964</v>
      </c>
      <c r="C180" s="582" t="s">
        <v>2965</v>
      </c>
      <c r="D180" s="587">
        <f>IF(VLOOKUP($A180,'hk2018'!$A:$G,1)=$A180,VLOOKUP($A180,'hk2018'!$A:$G,6),0)</f>
        <v>-11000</v>
      </c>
      <c r="E180" s="587">
        <f>IF(VLOOKUP($A180,'hk2018'!$A:$G,1)=$A180,VLOOKUP($A180,'hk2018'!$A:$G,7),0)</f>
        <v>0</v>
      </c>
      <c r="F180" s="587">
        <f>IF(VLOOKUP($A180,'hk2018'!$A:$H,1)=$A180,VLOOKUP($A180,'hk2018'!$A:$H,8),0)</f>
        <v>0</v>
      </c>
      <c r="G180" s="588">
        <f t="shared" si="60"/>
        <v>-11000</v>
      </c>
      <c r="H180" s="587">
        <f>IF(VLOOKUP($A180,'hk2017'!$A:$G,1)=$A180,VLOOKUP($A180,'hk2017'!$A:$G,6),0)</f>
        <v>-11000</v>
      </c>
      <c r="I180" s="587">
        <f>IF(VLOOKUP($A180,'hk2017'!$A:$G,1)=$A180,VLOOKUP($A180,'hk2017'!$A:$G,7),0)</f>
        <v>0</v>
      </c>
      <c r="J180" s="587">
        <f>IF(VLOOKUP($A180,'hk2017'!$A:$H,1)=$A180,VLOOKUP($A180,'hk2017'!$A:$H,8),0)</f>
        <v>0</v>
      </c>
      <c r="K180" s="589">
        <f t="shared" si="61"/>
        <v>-11000</v>
      </c>
      <c r="L180" s="595"/>
    </row>
    <row r="181" spans="1:12" outlineLevel="1" x14ac:dyDescent="0.25">
      <c r="A181" s="581" t="str">
        <f t="shared" si="59"/>
        <v>366</v>
      </c>
      <c r="B181" s="582" t="s">
        <v>2966</v>
      </c>
      <c r="C181" s="582" t="s">
        <v>2967</v>
      </c>
      <c r="D181" s="587">
        <f>IF(VLOOKUP($A181,'hk2018'!$A:$G,1)=$A181,VLOOKUP($A181,'hk2018'!$A:$G,6),0)</f>
        <v>0</v>
      </c>
      <c r="E181" s="587">
        <f>IF(VLOOKUP($A181,'hk2018'!$A:$G,1)=$A181,VLOOKUP($A181,'hk2018'!$A:$G,7),0)</f>
        <v>0</v>
      </c>
      <c r="F181" s="587">
        <f>IF(VLOOKUP($A181,'hk2018'!$A:$H,1)=$A181,VLOOKUP($A181,'hk2018'!$A:$H,8),0)</f>
        <v>0</v>
      </c>
      <c r="G181" s="588">
        <f t="shared" si="60"/>
        <v>0</v>
      </c>
      <c r="H181" s="587">
        <f>IF(VLOOKUP($A181,'hk2017'!$A:$G,1)=$A181,VLOOKUP($A181,'hk2017'!$A:$G,6),0)</f>
        <v>0</v>
      </c>
      <c r="I181" s="587">
        <f>IF(VLOOKUP($A181,'hk2017'!$A:$G,1)=$A181,VLOOKUP($A181,'hk2017'!$A:$G,7),0)</f>
        <v>0</v>
      </c>
      <c r="J181" s="587">
        <f>IF(VLOOKUP($A181,'hk2017'!$A:$H,1)=$A181,VLOOKUP($A181,'hk2017'!$A:$H,8),0)</f>
        <v>0</v>
      </c>
      <c r="K181" s="589">
        <f t="shared" si="61"/>
        <v>0</v>
      </c>
      <c r="L181" s="595"/>
    </row>
    <row r="182" spans="1:12" outlineLevel="1" x14ac:dyDescent="0.25">
      <c r="A182" s="581" t="str">
        <f t="shared" si="59"/>
        <v>367</v>
      </c>
      <c r="B182" s="582" t="s">
        <v>2968</v>
      </c>
      <c r="C182" s="582" t="s">
        <v>2969</v>
      </c>
      <c r="D182" s="587">
        <f>IF(VLOOKUP($A182,'hk2018'!$A:$G,1)=$A182,VLOOKUP($A182,'hk2018'!$A:$G,6),0)</f>
        <v>0</v>
      </c>
      <c r="E182" s="587">
        <f>IF(VLOOKUP($A182,'hk2018'!$A:$G,1)=$A182,VLOOKUP($A182,'hk2018'!$A:$G,7),0)</f>
        <v>0</v>
      </c>
      <c r="F182" s="587">
        <f>IF(VLOOKUP($A182,'hk2018'!$A:$H,1)=$A182,VLOOKUP($A182,'hk2018'!$A:$H,8),0)</f>
        <v>0</v>
      </c>
      <c r="G182" s="588">
        <f t="shared" si="60"/>
        <v>0</v>
      </c>
      <c r="H182" s="587">
        <f>IF(VLOOKUP($A182,'hk2017'!$A:$G,1)=$A182,VLOOKUP($A182,'hk2017'!$A:$G,6),0)</f>
        <v>0</v>
      </c>
      <c r="I182" s="587">
        <f>IF(VLOOKUP($A182,'hk2017'!$A:$G,1)=$A182,VLOOKUP($A182,'hk2017'!$A:$G,7),0)</f>
        <v>0</v>
      </c>
      <c r="J182" s="587">
        <f>IF(VLOOKUP($A182,'hk2017'!$A:$H,1)=$A182,VLOOKUP($A182,'hk2017'!$A:$H,8),0)</f>
        <v>0</v>
      </c>
      <c r="K182" s="589">
        <f t="shared" si="61"/>
        <v>0</v>
      </c>
      <c r="L182" s="595"/>
    </row>
    <row r="183" spans="1:12" outlineLevel="1" x14ac:dyDescent="0.25">
      <c r="A183" s="581" t="str">
        <f t="shared" si="59"/>
        <v>368</v>
      </c>
      <c r="B183" s="582" t="s">
        <v>2970</v>
      </c>
      <c r="C183" s="582" t="s">
        <v>2971</v>
      </c>
      <c r="D183" s="587">
        <f>IF(VLOOKUP($A183,'hk2018'!$A:$G,1)=$A183,VLOOKUP($A183,'hk2018'!$A:$G,6),0)</f>
        <v>0</v>
      </c>
      <c r="E183" s="587">
        <f>IF(VLOOKUP($A183,'hk2018'!$A:$G,1)=$A183,VLOOKUP($A183,'hk2018'!$A:$G,7),0)</f>
        <v>0</v>
      </c>
      <c r="F183" s="587">
        <f>IF(VLOOKUP($A183,'hk2018'!$A:$H,1)=$A183,VLOOKUP($A183,'hk2018'!$A:$H,8),0)</f>
        <v>0</v>
      </c>
      <c r="G183" s="588">
        <f t="shared" si="60"/>
        <v>0</v>
      </c>
      <c r="H183" s="587">
        <f>IF(VLOOKUP($A183,'hk2017'!$A:$G,1)=$A183,VLOOKUP($A183,'hk2017'!$A:$G,6),0)</f>
        <v>0</v>
      </c>
      <c r="I183" s="587">
        <f>IF(VLOOKUP($A183,'hk2017'!$A:$G,1)=$A183,VLOOKUP($A183,'hk2017'!$A:$G,7),0)</f>
        <v>0</v>
      </c>
      <c r="J183" s="587">
        <f>IF(VLOOKUP($A183,'hk2017'!$A:$H,1)=$A183,VLOOKUP($A183,'hk2017'!$A:$H,8),0)</f>
        <v>0</v>
      </c>
      <c r="K183" s="589">
        <f t="shared" si="61"/>
        <v>0</v>
      </c>
      <c r="L183" s="595"/>
    </row>
    <row r="184" spans="1:12" outlineLevel="1" x14ac:dyDescent="0.25">
      <c r="A184" s="596"/>
      <c r="B184" s="597"/>
      <c r="C184" s="597"/>
      <c r="D184" s="590"/>
      <c r="E184" s="590"/>
      <c r="F184" s="590"/>
      <c r="G184" s="591"/>
      <c r="H184" s="590"/>
      <c r="I184" s="590"/>
      <c r="J184" s="590"/>
      <c r="K184" s="592"/>
      <c r="L184" s="595"/>
    </row>
    <row r="185" spans="1:12" x14ac:dyDescent="0.25">
      <c r="A185" s="604" t="s">
        <v>2192</v>
      </c>
      <c r="B185" s="605"/>
      <c r="C185" s="606" t="s">
        <v>2972</v>
      </c>
      <c r="D185" s="578">
        <f t="shared" ref="D185:K185" si="62">SUM(D186:D195)</f>
        <v>-15609.55</v>
      </c>
      <c r="E185" s="578">
        <f t="shared" si="62"/>
        <v>48529.82</v>
      </c>
      <c r="F185" s="578">
        <f t="shared" si="62"/>
        <v>43523.91</v>
      </c>
      <c r="G185" s="593">
        <f t="shared" si="62"/>
        <v>-10603.640000000003</v>
      </c>
      <c r="H185" s="578">
        <f t="shared" si="62"/>
        <v>-7018.22</v>
      </c>
      <c r="I185" s="578">
        <f t="shared" si="62"/>
        <v>32257.99</v>
      </c>
      <c r="J185" s="578">
        <f t="shared" si="62"/>
        <v>40849.32</v>
      </c>
      <c r="K185" s="594">
        <f t="shared" si="62"/>
        <v>-15609.55</v>
      </c>
      <c r="L185" s="595"/>
    </row>
    <row r="186" spans="1:12" outlineLevel="1" x14ac:dyDescent="0.25">
      <c r="A186" s="581" t="str">
        <f t="shared" ref="A186:A194" si="63">LEFT(B186,3)</f>
        <v>371</v>
      </c>
      <c r="B186" s="582" t="s">
        <v>2973</v>
      </c>
      <c r="C186" s="582" t="s">
        <v>2974</v>
      </c>
      <c r="D186" s="587">
        <f>IF(VLOOKUP($A186,'hk2018'!$A:$G,1)=$A186,VLOOKUP($A186,'hk2018'!$A:$G,6),0)</f>
        <v>0</v>
      </c>
      <c r="E186" s="587">
        <f>IF(VLOOKUP($A186,'hk2018'!$A:$G,1)=$A186,VLOOKUP($A186,'hk2018'!$A:$G,7),0)</f>
        <v>0</v>
      </c>
      <c r="F186" s="587">
        <f>IF(VLOOKUP($A186,'hk2018'!$A:$H,1)=$A186,VLOOKUP($A186,'hk2018'!$A:$H,8),0)</f>
        <v>0</v>
      </c>
      <c r="G186" s="588">
        <f t="shared" ref="G186:G194" si="64">SUM(D186+E186-F186)</f>
        <v>0</v>
      </c>
      <c r="H186" s="587">
        <f>IF(VLOOKUP($A186,'hk2017'!$A:$G,1)=$A186,VLOOKUP($A186,'hk2017'!$A:$G,6),0)</f>
        <v>0</v>
      </c>
      <c r="I186" s="587">
        <f>IF(VLOOKUP($A186,'hk2017'!$A:$G,1)=$A186,VLOOKUP($A186,'hk2017'!$A:$G,7),0)</f>
        <v>0</v>
      </c>
      <c r="J186" s="587">
        <f>IF(VLOOKUP($A186,'hk2017'!$A:$H,1)=$A186,VLOOKUP($A186,'hk2017'!$A:$H,8),0)</f>
        <v>0</v>
      </c>
      <c r="K186" s="589">
        <f t="shared" ref="K186:K194" si="65">SUM(H186+I186-J186)</f>
        <v>0</v>
      </c>
      <c r="L186" s="595"/>
    </row>
    <row r="187" spans="1:12" outlineLevel="1" x14ac:dyDescent="0.25">
      <c r="A187" s="581" t="str">
        <f t="shared" si="63"/>
        <v>372</v>
      </c>
      <c r="B187" s="582" t="s">
        <v>2975</v>
      </c>
      <c r="C187" s="582" t="s">
        <v>2976</v>
      </c>
      <c r="D187" s="587">
        <f>IF(VLOOKUP($A187,'hk2018'!$A:$G,1)=$A187,VLOOKUP($A187,'hk2018'!$A:$G,6),0)</f>
        <v>0</v>
      </c>
      <c r="E187" s="587">
        <f>IF(VLOOKUP($A187,'hk2018'!$A:$G,1)=$A187,VLOOKUP($A187,'hk2018'!$A:$G,7),0)</f>
        <v>0</v>
      </c>
      <c r="F187" s="587">
        <f>IF(VLOOKUP($A187,'hk2018'!$A:$H,1)=$A187,VLOOKUP($A187,'hk2018'!$A:$H,8),0)</f>
        <v>0</v>
      </c>
      <c r="G187" s="588">
        <f t="shared" si="64"/>
        <v>0</v>
      </c>
      <c r="H187" s="587">
        <f>IF(VLOOKUP($A187,'hk2017'!$A:$G,1)=$A187,VLOOKUP($A187,'hk2017'!$A:$G,6),0)</f>
        <v>0</v>
      </c>
      <c r="I187" s="587">
        <f>IF(VLOOKUP($A187,'hk2017'!$A:$G,1)=$A187,VLOOKUP($A187,'hk2017'!$A:$G,7),0)</f>
        <v>0</v>
      </c>
      <c r="J187" s="587">
        <f>IF(VLOOKUP($A187,'hk2017'!$A:$H,1)=$A187,VLOOKUP($A187,'hk2017'!$A:$H,8),0)</f>
        <v>0</v>
      </c>
      <c r="K187" s="589">
        <f t="shared" si="65"/>
        <v>0</v>
      </c>
      <c r="L187" s="595"/>
    </row>
    <row r="188" spans="1:12" outlineLevel="1" x14ac:dyDescent="0.25">
      <c r="A188" s="581" t="str">
        <f t="shared" si="63"/>
        <v>373</v>
      </c>
      <c r="B188" s="582" t="s">
        <v>2977</v>
      </c>
      <c r="C188" s="582" t="s">
        <v>2978</v>
      </c>
      <c r="D188" s="587">
        <f>IF(VLOOKUP($A188,'hk2018'!$A:$G,1)=$A188,VLOOKUP($A188,'hk2018'!$A:$G,6),0)</f>
        <v>0</v>
      </c>
      <c r="E188" s="587">
        <f>IF(VLOOKUP($A188,'hk2018'!$A:$G,1)=$A188,VLOOKUP($A188,'hk2018'!$A:$G,7),0)</f>
        <v>0</v>
      </c>
      <c r="F188" s="587">
        <f>IF(VLOOKUP($A188,'hk2018'!$A:$H,1)=$A188,VLOOKUP($A188,'hk2018'!$A:$H,8),0)</f>
        <v>0</v>
      </c>
      <c r="G188" s="588">
        <f t="shared" si="64"/>
        <v>0</v>
      </c>
      <c r="H188" s="587">
        <f>IF(VLOOKUP($A188,'hk2017'!$A:$G,1)=$A188,VLOOKUP($A188,'hk2017'!$A:$G,6),0)</f>
        <v>0</v>
      </c>
      <c r="I188" s="587">
        <f>IF(VLOOKUP($A188,'hk2017'!$A:$G,1)=$A188,VLOOKUP($A188,'hk2017'!$A:$G,7),0)</f>
        <v>0</v>
      </c>
      <c r="J188" s="587">
        <f>IF(VLOOKUP($A188,'hk2017'!$A:$H,1)=$A188,VLOOKUP($A188,'hk2017'!$A:$H,8),0)</f>
        <v>0</v>
      </c>
      <c r="K188" s="589">
        <f t="shared" si="65"/>
        <v>0</v>
      </c>
      <c r="L188" s="595"/>
    </row>
    <row r="189" spans="1:12" outlineLevel="1" x14ac:dyDescent="0.25">
      <c r="A189" s="581" t="str">
        <f t="shared" si="63"/>
        <v>374</v>
      </c>
      <c r="B189" s="582" t="s">
        <v>2979</v>
      </c>
      <c r="C189" s="582" t="s">
        <v>2980</v>
      </c>
      <c r="D189" s="587">
        <f>IF(VLOOKUP($A189,'hk2018'!$A:$G,1)=$A189,VLOOKUP($A189,'hk2018'!$A:$G,6),0)</f>
        <v>0</v>
      </c>
      <c r="E189" s="587">
        <f>IF(VLOOKUP($A189,'hk2018'!$A:$G,1)=$A189,VLOOKUP($A189,'hk2018'!$A:$G,7),0)</f>
        <v>0</v>
      </c>
      <c r="F189" s="587">
        <f>IF(VLOOKUP($A189,'hk2018'!$A:$H,1)=$A189,VLOOKUP($A189,'hk2018'!$A:$H,8),0)</f>
        <v>0</v>
      </c>
      <c r="G189" s="588">
        <f t="shared" si="64"/>
        <v>0</v>
      </c>
      <c r="H189" s="587">
        <f>IF(VLOOKUP($A189,'hk2017'!$A:$G,1)=$A189,VLOOKUP($A189,'hk2017'!$A:$G,6),0)</f>
        <v>0</v>
      </c>
      <c r="I189" s="587">
        <f>IF(VLOOKUP($A189,'hk2017'!$A:$G,1)=$A189,VLOOKUP($A189,'hk2017'!$A:$G,7),0)</f>
        <v>0</v>
      </c>
      <c r="J189" s="587">
        <f>IF(VLOOKUP($A189,'hk2017'!$A:$H,1)=$A189,VLOOKUP($A189,'hk2017'!$A:$H,8),0)</f>
        <v>0</v>
      </c>
      <c r="K189" s="589">
        <f t="shared" si="65"/>
        <v>0</v>
      </c>
      <c r="L189" s="595"/>
    </row>
    <row r="190" spans="1:12" outlineLevel="1" x14ac:dyDescent="0.25">
      <c r="A190" s="581" t="str">
        <f t="shared" si="63"/>
        <v>375</v>
      </c>
      <c r="B190" s="582" t="s">
        <v>2981</v>
      </c>
      <c r="C190" s="582" t="s">
        <v>2982</v>
      </c>
      <c r="D190" s="587">
        <f>IF(VLOOKUP($A190,'hk2018'!$A:$G,1)=$A190,VLOOKUP($A190,'hk2018'!$A:$G,6),0)</f>
        <v>0</v>
      </c>
      <c r="E190" s="587">
        <f>IF(VLOOKUP($A190,'hk2018'!$A:$G,1)=$A190,VLOOKUP($A190,'hk2018'!$A:$G,7),0)</f>
        <v>0</v>
      </c>
      <c r="F190" s="587">
        <f>IF(VLOOKUP($A190,'hk2018'!$A:$H,1)=$A190,VLOOKUP($A190,'hk2018'!$A:$H,8),0)</f>
        <v>0</v>
      </c>
      <c r="G190" s="588">
        <f t="shared" si="64"/>
        <v>0</v>
      </c>
      <c r="H190" s="587">
        <f>IF(VLOOKUP($A190,'hk2017'!$A:$G,1)=$A190,VLOOKUP($A190,'hk2017'!$A:$G,6),0)</f>
        <v>0</v>
      </c>
      <c r="I190" s="587">
        <f>IF(VLOOKUP($A190,'hk2017'!$A:$G,1)=$A190,VLOOKUP($A190,'hk2017'!$A:$G,7),0)</f>
        <v>0</v>
      </c>
      <c r="J190" s="587">
        <f>IF(VLOOKUP($A190,'hk2017'!$A:$H,1)=$A190,VLOOKUP($A190,'hk2017'!$A:$H,8),0)</f>
        <v>0</v>
      </c>
      <c r="K190" s="589">
        <f t="shared" si="65"/>
        <v>0</v>
      </c>
      <c r="L190" s="595"/>
    </row>
    <row r="191" spans="1:12" outlineLevel="1" x14ac:dyDescent="0.25">
      <c r="A191" s="581" t="str">
        <f t="shared" si="63"/>
        <v>376</v>
      </c>
      <c r="B191" s="582" t="s">
        <v>2983</v>
      </c>
      <c r="C191" s="582" t="s">
        <v>2984</v>
      </c>
      <c r="D191" s="587">
        <f>IF(VLOOKUP($A191,'hk2018'!$A:$G,1)=$A191,VLOOKUP($A191,'hk2018'!$A:$G,6),0)</f>
        <v>0</v>
      </c>
      <c r="E191" s="587">
        <f>IF(VLOOKUP($A191,'hk2018'!$A:$G,1)=$A191,VLOOKUP($A191,'hk2018'!$A:$G,7),0)</f>
        <v>0</v>
      </c>
      <c r="F191" s="587">
        <f>IF(VLOOKUP($A191,'hk2018'!$A:$H,1)=$A191,VLOOKUP($A191,'hk2018'!$A:$H,8),0)</f>
        <v>0</v>
      </c>
      <c r="G191" s="588">
        <f t="shared" si="64"/>
        <v>0</v>
      </c>
      <c r="H191" s="587">
        <f>IF(VLOOKUP($A191,'hk2017'!$A:$G,1)=$A191,VLOOKUP($A191,'hk2017'!$A:$G,6),0)</f>
        <v>0</v>
      </c>
      <c r="I191" s="587">
        <f>IF(VLOOKUP($A191,'hk2017'!$A:$G,1)=$A191,VLOOKUP($A191,'hk2017'!$A:$G,7),0)</f>
        <v>0</v>
      </c>
      <c r="J191" s="587">
        <f>IF(VLOOKUP($A191,'hk2017'!$A:$H,1)=$A191,VLOOKUP($A191,'hk2017'!$A:$H,8),0)</f>
        <v>0</v>
      </c>
      <c r="K191" s="589">
        <f t="shared" si="65"/>
        <v>0</v>
      </c>
      <c r="L191" s="595"/>
    </row>
    <row r="192" spans="1:12" outlineLevel="1" x14ac:dyDescent="0.25">
      <c r="A192" s="581" t="str">
        <f t="shared" si="63"/>
        <v>377</v>
      </c>
      <c r="B192" s="582" t="s">
        <v>2985</v>
      </c>
      <c r="C192" s="582" t="s">
        <v>2986</v>
      </c>
      <c r="D192" s="587">
        <f>IF(VLOOKUP($A192,'hk2018'!$A:$G,1)=$A192,VLOOKUP($A192,'hk2018'!$A:$G,6),0)</f>
        <v>0</v>
      </c>
      <c r="E192" s="587">
        <f>IF(VLOOKUP($A192,'hk2018'!$A:$G,1)=$A192,VLOOKUP($A192,'hk2018'!$A:$G,7),0)</f>
        <v>0</v>
      </c>
      <c r="F192" s="587">
        <f>IF(VLOOKUP($A192,'hk2018'!$A:$H,1)=$A192,VLOOKUP($A192,'hk2018'!$A:$H,8),0)</f>
        <v>0</v>
      </c>
      <c r="G192" s="588">
        <f t="shared" si="64"/>
        <v>0</v>
      </c>
      <c r="H192" s="587">
        <f>IF(VLOOKUP($A192,'hk2017'!$A:$G,1)=$A192,VLOOKUP($A192,'hk2017'!$A:$G,6),0)</f>
        <v>0</v>
      </c>
      <c r="I192" s="587">
        <f>IF(VLOOKUP($A192,'hk2017'!$A:$G,1)=$A192,VLOOKUP($A192,'hk2017'!$A:$G,7),0)</f>
        <v>0</v>
      </c>
      <c r="J192" s="587">
        <f>IF(VLOOKUP($A192,'hk2017'!$A:$H,1)=$A192,VLOOKUP($A192,'hk2017'!$A:$H,8),0)</f>
        <v>0</v>
      </c>
      <c r="K192" s="589">
        <f t="shared" si="65"/>
        <v>0</v>
      </c>
      <c r="L192" s="595"/>
    </row>
    <row r="193" spans="1:12" outlineLevel="1" x14ac:dyDescent="0.25">
      <c r="A193" s="581" t="str">
        <f t="shared" si="63"/>
        <v>378</v>
      </c>
      <c r="B193" s="582" t="s">
        <v>2987</v>
      </c>
      <c r="C193" s="582" t="s">
        <v>1692</v>
      </c>
      <c r="D193" s="587">
        <f>IF(VLOOKUP($A193,'hk2018'!$A:$G,1)=$A193,VLOOKUP($A193,'hk2018'!$A:$G,6),0)</f>
        <v>0</v>
      </c>
      <c r="E193" s="587">
        <f>IF(VLOOKUP($A193,'hk2018'!$A:$G,1)=$A193,VLOOKUP($A193,'hk2018'!$A:$G,7),0)</f>
        <v>2892.93</v>
      </c>
      <c r="F193" s="587">
        <f>IF(VLOOKUP($A193,'hk2018'!$A:$H,1)=$A193,VLOOKUP($A193,'hk2018'!$A:$H,8),0)</f>
        <v>0</v>
      </c>
      <c r="G193" s="588">
        <f t="shared" si="64"/>
        <v>2892.93</v>
      </c>
      <c r="H193" s="587">
        <f>IF(VLOOKUP($A193,'hk2017'!$A:$G,1)=$A193,VLOOKUP($A193,'hk2017'!$A:$G,6),0)</f>
        <v>0</v>
      </c>
      <c r="I193" s="587">
        <f>IF(VLOOKUP($A193,'hk2017'!$A:$G,1)=$A193,VLOOKUP($A193,'hk2017'!$A:$G,7),0)</f>
        <v>0</v>
      </c>
      <c r="J193" s="587">
        <f>IF(VLOOKUP($A193,'hk2017'!$A:$H,1)=$A193,VLOOKUP($A193,'hk2017'!$A:$H,8),0)</f>
        <v>0</v>
      </c>
      <c r="K193" s="589">
        <f t="shared" si="65"/>
        <v>0</v>
      </c>
      <c r="L193" s="595"/>
    </row>
    <row r="194" spans="1:12" outlineLevel="1" x14ac:dyDescent="0.25">
      <c r="A194" s="581" t="str">
        <f t="shared" si="63"/>
        <v>379</v>
      </c>
      <c r="B194" s="582" t="s">
        <v>2988</v>
      </c>
      <c r="C194" s="582" t="s">
        <v>2989</v>
      </c>
      <c r="D194" s="587">
        <f>IF(VLOOKUP($A194,'hk2018'!$A:$G,1)=$A194,VLOOKUP($A194,'hk2018'!$A:$G,6),0)</f>
        <v>-15609.55</v>
      </c>
      <c r="E194" s="587">
        <f>IF(VLOOKUP($A194,'hk2018'!$A:$G,1)=$A194,VLOOKUP($A194,'hk2018'!$A:$G,7),0)</f>
        <v>45636.89</v>
      </c>
      <c r="F194" s="587">
        <f>IF(VLOOKUP($A194,'hk2018'!$A:$H,1)=$A194,VLOOKUP($A194,'hk2018'!$A:$H,8),0)</f>
        <v>43523.91</v>
      </c>
      <c r="G194" s="588">
        <f t="shared" si="64"/>
        <v>-13496.570000000003</v>
      </c>
      <c r="H194" s="587">
        <f>IF(VLOOKUP($A194,'hk2017'!$A:$G,1)=$A194,VLOOKUP($A194,'hk2017'!$A:$G,6),0)</f>
        <v>-7018.22</v>
      </c>
      <c r="I194" s="587">
        <f>IF(VLOOKUP($A194,'hk2017'!$A:$G,1)=$A194,VLOOKUP($A194,'hk2017'!$A:$G,7),0)</f>
        <v>32257.99</v>
      </c>
      <c r="J194" s="587">
        <f>IF(VLOOKUP($A194,'hk2017'!$A:$H,1)=$A194,VLOOKUP($A194,'hk2017'!$A:$H,8),0)</f>
        <v>40849.32</v>
      </c>
      <c r="K194" s="589">
        <f t="shared" si="65"/>
        <v>-15609.55</v>
      </c>
      <c r="L194" s="595"/>
    </row>
    <row r="195" spans="1:12" outlineLevel="1" x14ac:dyDescent="0.25">
      <c r="A195" s="596"/>
      <c r="B195" s="597"/>
      <c r="C195" s="597"/>
      <c r="D195" s="590"/>
      <c r="E195" s="590"/>
      <c r="F195" s="590"/>
      <c r="G195" s="591"/>
      <c r="H195" s="590"/>
      <c r="I195" s="590"/>
      <c r="J195" s="590"/>
      <c r="K195" s="592"/>
      <c r="L195" s="595"/>
    </row>
    <row r="196" spans="1:12" x14ac:dyDescent="0.25">
      <c r="A196" s="604" t="s">
        <v>2193</v>
      </c>
      <c r="B196" s="605"/>
      <c r="C196" s="606" t="s">
        <v>2990</v>
      </c>
      <c r="D196" s="578">
        <f t="shared" ref="D196:K196" si="66">SUM(D197:D206)</f>
        <v>-64713.94000000001</v>
      </c>
      <c r="E196" s="578">
        <f t="shared" si="66"/>
        <v>59360.06</v>
      </c>
      <c r="F196" s="578">
        <f t="shared" si="66"/>
        <v>52135.519999999997</v>
      </c>
      <c r="G196" s="593">
        <f t="shared" si="66"/>
        <v>-57489.400000000016</v>
      </c>
      <c r="H196" s="578">
        <f t="shared" si="66"/>
        <v>-130648.27</v>
      </c>
      <c r="I196" s="578">
        <f t="shared" si="66"/>
        <v>65934.33</v>
      </c>
      <c r="J196" s="578">
        <f t="shared" si="66"/>
        <v>0</v>
      </c>
      <c r="K196" s="594">
        <f t="shared" si="66"/>
        <v>-64713.939999999995</v>
      </c>
      <c r="L196" s="595"/>
    </row>
    <row r="197" spans="1:12" outlineLevel="1" x14ac:dyDescent="0.25">
      <c r="A197" s="581" t="str">
        <f>LEFT(B197,3)</f>
        <v>381</v>
      </c>
      <c r="B197" s="582" t="s">
        <v>2991</v>
      </c>
      <c r="C197" s="582" t="s">
        <v>2992</v>
      </c>
      <c r="D197" s="587">
        <f>IF(VLOOKUP($A197,'hk2018'!$A:$G,1)=$A197,VLOOKUP($A197,'hk2018'!$A:$G,6),0)</f>
        <v>0</v>
      </c>
      <c r="E197" s="587">
        <f>IF(VLOOKUP($A197,'hk2018'!$A:$G,1)=$A197,VLOOKUP($A197,'hk2018'!$A:$G,7),0)</f>
        <v>0</v>
      </c>
      <c r="F197" s="587">
        <f>IF(VLOOKUP($A197,'hk2018'!$A:$H,1)=$A197,VLOOKUP($A197,'hk2018'!$A:$H,8),0)</f>
        <v>0</v>
      </c>
      <c r="G197" s="588">
        <f t="shared" ref="G197:G205" si="67">SUM(D197+E197-F197)</f>
        <v>0</v>
      </c>
      <c r="H197" s="587">
        <f>IF(VLOOKUP($A197,'hk2017'!$A:$G,1)=$A197,VLOOKUP($A197,'hk2017'!$A:$G,6),0)</f>
        <v>0</v>
      </c>
      <c r="I197" s="587">
        <f>IF(VLOOKUP($A197,'hk2017'!$A:$G,1)=$A197,VLOOKUP($A197,'hk2017'!$A:$G,7),0)</f>
        <v>0</v>
      </c>
      <c r="J197" s="587">
        <f>IF(VLOOKUP($A197,'hk2017'!$A:$H,1)=$A197,VLOOKUP($A197,'hk2017'!$A:$H,8),0)</f>
        <v>0</v>
      </c>
      <c r="K197" s="589">
        <f t="shared" ref="K197:K205" si="68">SUM(H197+I197-J197)</f>
        <v>0</v>
      </c>
      <c r="L197" s="595"/>
    </row>
    <row r="198" spans="1:12" outlineLevel="1" x14ac:dyDescent="0.25">
      <c r="A198" s="581" t="str">
        <f>LEFT(B198,3)</f>
        <v>382</v>
      </c>
      <c r="B198" s="582" t="s">
        <v>2993</v>
      </c>
      <c r="C198" s="582" t="s">
        <v>2994</v>
      </c>
      <c r="D198" s="587">
        <f>IF(VLOOKUP($A198,'hk2018'!$A:$G,1)=$A198,VLOOKUP($A198,'hk2018'!$A:$G,6),0)</f>
        <v>0</v>
      </c>
      <c r="E198" s="587">
        <f>IF(VLOOKUP($A198,'hk2018'!$A:$G,1)=$A198,VLOOKUP($A198,'hk2018'!$A:$G,7),0)</f>
        <v>0</v>
      </c>
      <c r="F198" s="587">
        <f>IF(VLOOKUP($A198,'hk2018'!$A:$H,1)=$A198,VLOOKUP($A198,'hk2018'!$A:$H,8),0)</f>
        <v>0</v>
      </c>
      <c r="G198" s="588">
        <f t="shared" si="67"/>
        <v>0</v>
      </c>
      <c r="H198" s="587">
        <f>IF(VLOOKUP($A198,'hk2017'!$A:$G,1)=$A198,VLOOKUP($A198,'hk2017'!$A:$G,6),0)</f>
        <v>0</v>
      </c>
      <c r="I198" s="587">
        <f>IF(VLOOKUP($A198,'hk2017'!$A:$G,1)=$A198,VLOOKUP($A198,'hk2017'!$A:$G,7),0)</f>
        <v>0</v>
      </c>
      <c r="J198" s="587">
        <f>IF(VLOOKUP($A198,'hk2017'!$A:$H,1)=$A198,VLOOKUP($A198,'hk2017'!$A:$H,8),0)</f>
        <v>0</v>
      </c>
      <c r="K198" s="589">
        <f t="shared" si="68"/>
        <v>0</v>
      </c>
      <c r="L198" s="595"/>
    </row>
    <row r="199" spans="1:12" outlineLevel="1" x14ac:dyDescent="0.25">
      <c r="A199" s="581" t="str">
        <f>LEFT(B199,3)</f>
        <v>383</v>
      </c>
      <c r="B199" s="582" t="s">
        <v>2995</v>
      </c>
      <c r="C199" s="582" t="s">
        <v>2996</v>
      </c>
      <c r="D199" s="587">
        <f>IF(VLOOKUP($A199,'hk2018'!$A:$G,1)=$A199,VLOOKUP($A199,'hk2018'!$A:$G,6),0)</f>
        <v>0</v>
      </c>
      <c r="E199" s="587">
        <f>IF(VLOOKUP($A199,'hk2018'!$A:$G,1)=$A199,VLOOKUP($A199,'hk2018'!$A:$G,7),0)</f>
        <v>0</v>
      </c>
      <c r="F199" s="587">
        <f>IF(VLOOKUP($A199,'hk2018'!$A:$H,1)=$A199,VLOOKUP($A199,'hk2018'!$A:$H,8),0)</f>
        <v>0</v>
      </c>
      <c r="G199" s="588">
        <f t="shared" si="67"/>
        <v>0</v>
      </c>
      <c r="H199" s="587">
        <f>IF(VLOOKUP($A199,'hk2017'!$A:$G,1)=$A199,VLOOKUP($A199,'hk2017'!$A:$G,6),0)</f>
        <v>-250.6</v>
      </c>
      <c r="I199" s="587">
        <f>IF(VLOOKUP($A199,'hk2017'!$A:$G,1)=$A199,VLOOKUP($A199,'hk2017'!$A:$G,7),0)</f>
        <v>250.6</v>
      </c>
      <c r="J199" s="587">
        <f>IF(VLOOKUP($A199,'hk2017'!$A:$H,1)=$A199,VLOOKUP($A199,'hk2017'!$A:$H,8),0)</f>
        <v>0</v>
      </c>
      <c r="K199" s="589">
        <f t="shared" si="68"/>
        <v>0</v>
      </c>
      <c r="L199" s="595"/>
    </row>
    <row r="200" spans="1:12" outlineLevel="1" x14ac:dyDescent="0.25">
      <c r="A200" s="581" t="str">
        <f>LEFT(B200,3)</f>
        <v>384</v>
      </c>
      <c r="B200" s="582" t="s">
        <v>2997</v>
      </c>
      <c r="C200" s="582" t="s">
        <v>2998</v>
      </c>
      <c r="D200" s="587">
        <f>IF(VLOOKUP($A200,'hk2018'!$A:$G,1)=$A200,VLOOKUP($A200,'hk2018'!$A:$G,6),0)</f>
        <v>-116849.46</v>
      </c>
      <c r="E200" s="587">
        <f>IF(VLOOKUP($A200,'hk2018'!$A:$G,1)=$A200,VLOOKUP($A200,'hk2018'!$A:$G,7),0)</f>
        <v>13434.04</v>
      </c>
      <c r="F200" s="587">
        <f>IF(VLOOKUP($A200,'hk2018'!$A:$H,1)=$A200,VLOOKUP($A200,'hk2018'!$A:$H,8),0)</f>
        <v>0</v>
      </c>
      <c r="G200" s="588">
        <f t="shared" si="67"/>
        <v>-103415.42000000001</v>
      </c>
      <c r="H200" s="587">
        <f>IF(VLOOKUP($A200,'hk2017'!$A:$G,1)=$A200,VLOOKUP($A200,'hk2017'!$A:$G,6),0)</f>
        <v>-130397.67</v>
      </c>
      <c r="I200" s="587">
        <f>IF(VLOOKUP($A200,'hk2017'!$A:$G,1)=$A200,VLOOKUP($A200,'hk2017'!$A:$G,7),0)</f>
        <v>13548.21</v>
      </c>
      <c r="J200" s="587">
        <f>IF(VLOOKUP($A200,'hk2017'!$A:$H,1)=$A200,VLOOKUP($A200,'hk2017'!$A:$H,8),0)</f>
        <v>0</v>
      </c>
      <c r="K200" s="589">
        <f t="shared" si="68"/>
        <v>-116849.45999999999</v>
      </c>
      <c r="L200" s="595"/>
    </row>
    <row r="201" spans="1:12" outlineLevel="1" x14ac:dyDescent="0.25">
      <c r="A201" s="581" t="str">
        <f>LEFT(B201,3)</f>
        <v>385</v>
      </c>
      <c r="B201" s="582" t="s">
        <v>2999</v>
      </c>
      <c r="C201" s="582" t="s">
        <v>3000</v>
      </c>
      <c r="D201" s="587">
        <f>IF(VLOOKUP($A201,'hk2018'!$A:$G,1)=$A201,VLOOKUP($A201,'hk2018'!$A:$G,6),0)</f>
        <v>52135.519999999997</v>
      </c>
      <c r="E201" s="587">
        <f>IF(VLOOKUP($A201,'hk2018'!$A:$G,1)=$A201,VLOOKUP($A201,'hk2018'!$A:$G,7),0)</f>
        <v>45926.02</v>
      </c>
      <c r="F201" s="587">
        <f>IF(VLOOKUP($A201,'hk2018'!$A:$H,1)=$A201,VLOOKUP($A201,'hk2018'!$A:$H,8),0)</f>
        <v>52135.519999999997</v>
      </c>
      <c r="G201" s="588">
        <f t="shared" si="67"/>
        <v>45926.02</v>
      </c>
      <c r="H201" s="587">
        <f>IF(VLOOKUP($A201,'hk2017'!$A:$G,1)=$A201,VLOOKUP($A201,'hk2017'!$A:$G,6),0)</f>
        <v>0</v>
      </c>
      <c r="I201" s="587">
        <f>IF(VLOOKUP($A201,'hk2017'!$A:$G,1)=$A201,VLOOKUP($A201,'hk2017'!$A:$G,7),0)</f>
        <v>52135.519999999997</v>
      </c>
      <c r="J201" s="587">
        <f>IF(VLOOKUP($A201,'hk2017'!$A:$H,1)=$A201,VLOOKUP($A201,'hk2017'!$A:$H,8),0)</f>
        <v>0</v>
      </c>
      <c r="K201" s="589">
        <f t="shared" si="68"/>
        <v>52135.519999999997</v>
      </c>
      <c r="L201" s="595"/>
    </row>
    <row r="202" spans="1:12" outlineLevel="1" x14ac:dyDescent="0.25">
      <c r="A202" s="569" t="s">
        <v>3001</v>
      </c>
      <c r="B202" s="582"/>
      <c r="C202" s="583" t="s">
        <v>3002</v>
      </c>
      <c r="D202" s="587">
        <f>IF(VLOOKUP($A202,'hk2018'!$A:$G,1)=$A202,VLOOKUP($A202,'hk2018'!$A:$G,6),0)</f>
        <v>0</v>
      </c>
      <c r="E202" s="587">
        <f>IF(VLOOKUP($A202,'hk2018'!$A:$G,1)=$A202,VLOOKUP($A202,'hk2018'!$A:$G,7),0)</f>
        <v>0</v>
      </c>
      <c r="F202" s="587">
        <f>IF(VLOOKUP($A202,'hk2018'!$A:$H,1)=$A202,VLOOKUP($A202,'hk2018'!$A:$H,8),0)</f>
        <v>0</v>
      </c>
      <c r="G202" s="588">
        <f t="shared" si="67"/>
        <v>0</v>
      </c>
      <c r="H202" s="587">
        <f>IF(VLOOKUP($A202,'hk2017'!$A:$G,1)=$A202,VLOOKUP($A202,'hk2017'!$A:$G,6),0)</f>
        <v>0</v>
      </c>
      <c r="I202" s="587">
        <f>IF(VLOOKUP($A202,'hk2017'!$A:$G,1)=$A202,VLOOKUP($A202,'hk2017'!$A:$G,7),0)</f>
        <v>0</v>
      </c>
      <c r="J202" s="587">
        <f>IF(VLOOKUP($A202,'hk2017'!$A:$H,1)=$A202,VLOOKUP($A202,'hk2017'!$A:$H,8),0)</f>
        <v>0</v>
      </c>
      <c r="K202" s="589">
        <f t="shared" si="68"/>
        <v>0</v>
      </c>
      <c r="L202" s="595"/>
    </row>
    <row r="203" spans="1:12" outlineLevel="1" x14ac:dyDescent="0.25">
      <c r="A203" s="569" t="s">
        <v>3003</v>
      </c>
      <c r="B203" s="582"/>
      <c r="C203" s="583" t="s">
        <v>3004</v>
      </c>
      <c r="D203" s="587">
        <f>IF(VLOOKUP($A203,'hk2018'!$A:$G,1)=$A203,VLOOKUP($A203,'hk2018'!$A:$G,6),0)</f>
        <v>0</v>
      </c>
      <c r="E203" s="587">
        <f>IF(VLOOKUP($A203,'hk2018'!$A:$G,1)=$A203,VLOOKUP($A203,'hk2018'!$A:$G,7),0)</f>
        <v>0</v>
      </c>
      <c r="F203" s="587">
        <f>IF(VLOOKUP($A203,'hk2018'!$A:$H,1)=$A203,VLOOKUP($A203,'hk2018'!$A:$H,8),0)</f>
        <v>0</v>
      </c>
      <c r="G203" s="588">
        <f t="shared" si="67"/>
        <v>0</v>
      </c>
      <c r="H203" s="587">
        <f>IF(VLOOKUP($A203,'hk2017'!$A:$G,1)=$A203,VLOOKUP($A203,'hk2017'!$A:$G,6),0)</f>
        <v>0</v>
      </c>
      <c r="I203" s="587">
        <f>IF(VLOOKUP($A203,'hk2017'!$A:$G,1)=$A203,VLOOKUP($A203,'hk2017'!$A:$G,7),0)</f>
        <v>0</v>
      </c>
      <c r="J203" s="587">
        <f>IF(VLOOKUP($A203,'hk2017'!$A:$H,1)=$A203,VLOOKUP($A203,'hk2017'!$A:$H,8),0)</f>
        <v>0</v>
      </c>
      <c r="K203" s="589">
        <f t="shared" si="68"/>
        <v>0</v>
      </c>
      <c r="L203" s="595"/>
    </row>
    <row r="204" spans="1:12" outlineLevel="1" x14ac:dyDescent="0.25">
      <c r="A204" s="569" t="s">
        <v>3005</v>
      </c>
      <c r="B204" s="582"/>
      <c r="C204" s="583" t="s">
        <v>3006</v>
      </c>
      <c r="D204" s="587">
        <f>IF(VLOOKUP($A204,'hk2018'!$A:$G,1)=$A204,VLOOKUP($A204,'hk2018'!$A:$G,6),0)</f>
        <v>0</v>
      </c>
      <c r="E204" s="587">
        <f>IF(VLOOKUP($A204,'hk2018'!$A:$G,1)=$A204,VLOOKUP($A204,'hk2018'!$A:$G,7),0)</f>
        <v>0</v>
      </c>
      <c r="F204" s="587">
        <f>IF(VLOOKUP($A204,'hk2018'!$A:$H,1)=$A204,VLOOKUP($A204,'hk2018'!$A:$H,8),0)</f>
        <v>0</v>
      </c>
      <c r="G204" s="588">
        <f t="shared" si="67"/>
        <v>0</v>
      </c>
      <c r="H204" s="587">
        <f>IF(VLOOKUP($A204,'hk2017'!$A:$G,1)=$A204,VLOOKUP($A204,'hk2017'!$A:$G,6),0)</f>
        <v>0</v>
      </c>
      <c r="I204" s="587">
        <f>IF(VLOOKUP($A204,'hk2017'!$A:$G,1)=$A204,VLOOKUP($A204,'hk2017'!$A:$G,7),0)</f>
        <v>0</v>
      </c>
      <c r="J204" s="587">
        <f>IF(VLOOKUP($A204,'hk2017'!$A:$H,1)=$A204,VLOOKUP($A204,'hk2017'!$A:$H,8),0)</f>
        <v>0</v>
      </c>
      <c r="K204" s="589">
        <f t="shared" si="68"/>
        <v>0</v>
      </c>
      <c r="L204" s="595"/>
    </row>
    <row r="205" spans="1:12" outlineLevel="1" x14ac:dyDescent="0.25">
      <c r="A205" s="569" t="s">
        <v>3007</v>
      </c>
      <c r="B205" s="582"/>
      <c r="C205" s="583" t="s">
        <v>3008</v>
      </c>
      <c r="D205" s="587">
        <f>IF(VLOOKUP($A205,'hk2018'!$A:$G,1)=$A205,VLOOKUP($A205,'hk2018'!$A:$G,6),0)</f>
        <v>0</v>
      </c>
      <c r="E205" s="587">
        <f>IF(VLOOKUP($A205,'hk2018'!$A:$G,1)=$A205,VLOOKUP($A205,'hk2018'!$A:$G,7),0)</f>
        <v>0</v>
      </c>
      <c r="F205" s="587">
        <f>IF(VLOOKUP($A205,'hk2018'!$A:$H,1)=$A205,VLOOKUP($A205,'hk2018'!$A:$H,8),0)</f>
        <v>0</v>
      </c>
      <c r="G205" s="588">
        <f t="shared" si="67"/>
        <v>0</v>
      </c>
      <c r="H205" s="587">
        <f>IF(VLOOKUP($A205,'hk2017'!$A:$G,1)=$A205,VLOOKUP($A205,'hk2017'!$A:$G,6),0)</f>
        <v>0</v>
      </c>
      <c r="I205" s="587">
        <f>IF(VLOOKUP($A205,'hk2017'!$A:$G,1)=$A205,VLOOKUP($A205,'hk2017'!$A:$G,7),0)</f>
        <v>0</v>
      </c>
      <c r="J205" s="587">
        <f>IF(VLOOKUP($A205,'hk2017'!$A:$H,1)=$A205,VLOOKUP($A205,'hk2017'!$A:$H,8),0)</f>
        <v>0</v>
      </c>
      <c r="K205" s="589">
        <f t="shared" si="68"/>
        <v>0</v>
      </c>
      <c r="L205" s="595"/>
    </row>
    <row r="206" spans="1:12" outlineLevel="1" x14ac:dyDescent="0.25">
      <c r="A206" s="596"/>
      <c r="B206" s="597"/>
      <c r="C206" s="597"/>
      <c r="D206" s="590"/>
      <c r="E206" s="590"/>
      <c r="F206" s="590"/>
      <c r="G206" s="591"/>
      <c r="H206" s="590"/>
      <c r="I206" s="590"/>
      <c r="J206" s="590"/>
      <c r="K206" s="592"/>
      <c r="L206" s="595"/>
    </row>
    <row r="207" spans="1:12" x14ac:dyDescent="0.25">
      <c r="A207" s="604" t="s">
        <v>2194</v>
      </c>
      <c r="B207" s="605"/>
      <c r="C207" s="606" t="s">
        <v>3009</v>
      </c>
      <c r="D207" s="578">
        <f t="shared" ref="D207:K207" si="69">SUM(D208:D211)</f>
        <v>0</v>
      </c>
      <c r="E207" s="578">
        <f t="shared" si="69"/>
        <v>23418.58</v>
      </c>
      <c r="F207" s="578">
        <f t="shared" si="69"/>
        <v>23418.58</v>
      </c>
      <c r="G207" s="593">
        <f t="shared" si="69"/>
        <v>0</v>
      </c>
      <c r="H207" s="578">
        <f t="shared" si="69"/>
        <v>0</v>
      </c>
      <c r="I207" s="578">
        <f t="shared" si="69"/>
        <v>4084.32</v>
      </c>
      <c r="J207" s="578">
        <f t="shared" si="69"/>
        <v>4084.32</v>
      </c>
      <c r="K207" s="594">
        <f t="shared" si="69"/>
        <v>0</v>
      </c>
    </row>
    <row r="208" spans="1:12" outlineLevel="1" x14ac:dyDescent="0.25">
      <c r="A208" s="615" t="str">
        <f>LEFT(B208,3)</f>
        <v>391</v>
      </c>
      <c r="B208" s="616" t="s">
        <v>3010</v>
      </c>
      <c r="C208" s="616" t="s">
        <v>3011</v>
      </c>
      <c r="D208" s="617">
        <f>IF(VLOOKUP($A208,'hk2018'!$A:$G,1)=$A208,VLOOKUP($A208,'hk2018'!$A:$G,6),0)</f>
        <v>0</v>
      </c>
      <c r="E208" s="617">
        <f>IF(VLOOKUP($A208,'hk2018'!$A:$G,1)=$A208,VLOOKUP($A208,'hk2018'!$A:$G,7),0)</f>
        <v>0</v>
      </c>
      <c r="F208" s="617">
        <f>IF(VLOOKUP($A208,'hk2018'!$A:$H,1)=$A208,VLOOKUP($A208,'hk2018'!$A:$H,8),0)</f>
        <v>0</v>
      </c>
      <c r="G208" s="618">
        <f>SUM(D208+E208-F208)</f>
        <v>0</v>
      </c>
      <c r="H208" s="617">
        <f>IF(VLOOKUP($A208,'hk2017'!$A:$G,1)=$A208,VLOOKUP($A208,'hk2017'!$A:$G,6),0)</f>
        <v>0</v>
      </c>
      <c r="I208" s="617">
        <f>IF(VLOOKUP($A208,'hk2017'!$A:$G,1)=$A208,VLOOKUP($A208,'hk2017'!$A:$G,7),0)</f>
        <v>0</v>
      </c>
      <c r="J208" s="617">
        <f>IF(VLOOKUP($A208,'hk2017'!$A:$H,1)=$A208,VLOOKUP($A208,'hk2017'!$A:$H,8),0)</f>
        <v>0</v>
      </c>
      <c r="K208" s="619">
        <f>SUM(H208+I208-J208)</f>
        <v>0</v>
      </c>
    </row>
    <row r="209" spans="1:11" outlineLevel="1" x14ac:dyDescent="0.25">
      <c r="A209" s="581" t="str">
        <f>LEFT(B209,3)</f>
        <v>395</v>
      </c>
      <c r="B209" s="582" t="s">
        <v>3012</v>
      </c>
      <c r="C209" s="582" t="s">
        <v>3013</v>
      </c>
      <c r="D209" s="587">
        <f>IF(VLOOKUP($A209,'hk2018'!$A:$G,1)=$A209,VLOOKUP($A209,'hk2018'!$A:$G,6),0)</f>
        <v>0</v>
      </c>
      <c r="E209" s="587">
        <f>IF(VLOOKUP($A209,'hk2018'!$A:$G,1)=$A209,VLOOKUP($A209,'hk2018'!$A:$G,7),0)</f>
        <v>23418.58</v>
      </c>
      <c r="F209" s="587">
        <f>IF(VLOOKUP($A209,'hk2018'!$A:$H,1)=$A209,VLOOKUP($A209,'hk2018'!$A:$H,8),0)</f>
        <v>23418.58</v>
      </c>
      <c r="G209" s="588">
        <f>SUM(D209+E209-F209)</f>
        <v>0</v>
      </c>
      <c r="H209" s="587">
        <f>IF(VLOOKUP($A209,'hk2017'!$A:$G,1)=$A209,VLOOKUP($A209,'hk2017'!$A:$G,6),0)</f>
        <v>0</v>
      </c>
      <c r="I209" s="587">
        <f>IF(VLOOKUP($A209,'hk2017'!$A:$G,1)=$A209,VLOOKUP($A209,'hk2017'!$A:$G,7),0)</f>
        <v>4084.32</v>
      </c>
      <c r="J209" s="587">
        <f>IF(VLOOKUP($A209,'hk2017'!$A:$H,1)=$A209,VLOOKUP($A209,'hk2017'!$A:$H,8),0)</f>
        <v>4084.32</v>
      </c>
      <c r="K209" s="589">
        <f>SUM(H209+I209-J209)</f>
        <v>0</v>
      </c>
    </row>
    <row r="210" spans="1:11" outlineLevel="1" x14ac:dyDescent="0.25">
      <c r="A210" s="581" t="str">
        <f>LEFT(B210,3)</f>
        <v>398</v>
      </c>
      <c r="B210" s="582" t="s">
        <v>3014</v>
      </c>
      <c r="C210" s="582" t="s">
        <v>3015</v>
      </c>
      <c r="D210" s="587">
        <f>IF(VLOOKUP($A210,'hk2018'!$A:$G,1)=$A210,VLOOKUP($A210,'hk2018'!$A:$G,6),0)</f>
        <v>0</v>
      </c>
      <c r="E210" s="587">
        <f>IF(VLOOKUP($A210,'hk2018'!$A:$G,1)=$A210,VLOOKUP($A210,'hk2018'!$A:$G,7),0)</f>
        <v>0</v>
      </c>
      <c r="F210" s="587">
        <f>IF(VLOOKUP($A210,'hk2018'!$A:$H,1)=$A210,VLOOKUP($A210,'hk2018'!$A:$H,8),0)</f>
        <v>0</v>
      </c>
      <c r="G210" s="588">
        <f>SUM(D210+E210-F210)</f>
        <v>0</v>
      </c>
      <c r="H210" s="587">
        <f>IF(VLOOKUP($A210,'hk2017'!$A:$G,1)=$A210,VLOOKUP($A210,'hk2017'!$A:$G,6),0)</f>
        <v>0</v>
      </c>
      <c r="I210" s="587">
        <f>IF(VLOOKUP($A210,'hk2017'!$A:$G,1)=$A210,VLOOKUP($A210,'hk2017'!$A:$G,7),0)</f>
        <v>0</v>
      </c>
      <c r="J210" s="587">
        <f>IF(VLOOKUP($A210,'hk2017'!$A:$H,1)=$A210,VLOOKUP($A210,'hk2017'!$A:$H,8),0)</f>
        <v>0</v>
      </c>
      <c r="K210" s="589">
        <f>SUM(H210+I210-J210)</f>
        <v>0</v>
      </c>
    </row>
    <row r="211" spans="1:11" outlineLevel="1" x14ac:dyDescent="0.25">
      <c r="A211" s="581"/>
      <c r="B211" s="582"/>
      <c r="C211" s="582"/>
      <c r="D211" s="587"/>
      <c r="E211" s="587"/>
      <c r="F211" s="587"/>
      <c r="G211" s="588"/>
      <c r="H211" s="587"/>
      <c r="I211" s="587"/>
      <c r="J211" s="587"/>
      <c r="K211" s="589"/>
    </row>
    <row r="212" spans="1:11" outlineLevel="1" x14ac:dyDescent="0.25">
      <c r="A212" s="620"/>
      <c r="B212" s="582"/>
      <c r="C212" s="582"/>
      <c r="D212" s="587"/>
      <c r="E212" s="587"/>
      <c r="F212" s="587"/>
      <c r="G212" s="588"/>
      <c r="H212" s="587"/>
      <c r="I212" s="587"/>
      <c r="J212" s="587"/>
      <c r="K212" s="589"/>
    </row>
    <row r="213" spans="1:11" x14ac:dyDescent="0.25">
      <c r="A213" s="570" t="s">
        <v>3016</v>
      </c>
      <c r="B213" s="565"/>
      <c r="C213" s="571" t="s">
        <v>50</v>
      </c>
      <c r="D213" s="601">
        <f t="shared" ref="D213:K213" si="70">SUM(D214+D225+D233+D236+D238+D243+D246+D256+D259)</f>
        <v>-143014.30999999997</v>
      </c>
      <c r="E213" s="601">
        <f t="shared" si="70"/>
        <v>46080.819999999992</v>
      </c>
      <c r="F213" s="601">
        <f t="shared" si="70"/>
        <v>16747.84</v>
      </c>
      <c r="G213" s="621">
        <f t="shared" si="70"/>
        <v>-113681.32999999997</v>
      </c>
      <c r="H213" s="601">
        <f t="shared" si="70"/>
        <v>-156121.46</v>
      </c>
      <c r="I213" s="601">
        <f t="shared" si="70"/>
        <v>31096.260000000002</v>
      </c>
      <c r="J213" s="601">
        <f t="shared" si="70"/>
        <v>2045.9699999999998</v>
      </c>
      <c r="K213" s="622">
        <f t="shared" si="70"/>
        <v>-127071.16999999998</v>
      </c>
    </row>
    <row r="214" spans="1:11" outlineLevel="1" x14ac:dyDescent="0.25">
      <c r="A214" s="604" t="s">
        <v>2195</v>
      </c>
      <c r="B214" s="605"/>
      <c r="C214" s="606" t="s">
        <v>3017</v>
      </c>
      <c r="D214" s="578">
        <f t="shared" ref="D214:K214" si="71">SUM(D215:D223)</f>
        <v>-192677.19</v>
      </c>
      <c r="E214" s="578">
        <f t="shared" si="71"/>
        <v>0</v>
      </c>
      <c r="F214" s="578">
        <f t="shared" si="71"/>
        <v>0</v>
      </c>
      <c r="G214" s="593">
        <f t="shared" si="71"/>
        <v>-192677.19</v>
      </c>
      <c r="H214" s="578">
        <f t="shared" si="71"/>
        <v>-192677.19</v>
      </c>
      <c r="I214" s="578">
        <f t="shared" si="71"/>
        <v>0</v>
      </c>
      <c r="J214" s="578">
        <f t="shared" si="71"/>
        <v>0</v>
      </c>
      <c r="K214" s="594">
        <f t="shared" si="71"/>
        <v>-192677.19</v>
      </c>
    </row>
    <row r="215" spans="1:11" outlineLevel="1" x14ac:dyDescent="0.25">
      <c r="A215" s="569" t="str">
        <f t="shared" ref="A215:A223" si="72">LEFT(B215,3)</f>
        <v>411</v>
      </c>
      <c r="B215" s="565" t="s">
        <v>3018</v>
      </c>
      <c r="C215" s="565" t="s">
        <v>2524</v>
      </c>
      <c r="D215" s="587">
        <f>IF(VLOOKUP($A215,'hk2018'!$A:$G,1)=$A215,VLOOKUP($A215,'hk2018'!$A:$G,6),0)</f>
        <v>-92666.77</v>
      </c>
      <c r="E215" s="587">
        <f>IF(VLOOKUP($A215,'hk2018'!$A:$G,1)=$A215,VLOOKUP($A215,'hk2018'!$A:$G,7),0)</f>
        <v>0</v>
      </c>
      <c r="F215" s="587">
        <f>IF(VLOOKUP($A215,'hk2018'!$A:$H,1)=$A215,VLOOKUP($A215,'hk2018'!$A:$H,8),0)</f>
        <v>0</v>
      </c>
      <c r="G215" s="588">
        <f t="shared" ref="G215:G223" si="73">SUM(D215+E215-F215)</f>
        <v>-92666.77</v>
      </c>
      <c r="H215" s="587">
        <f>IF(VLOOKUP($A215,'hk2017'!$A:$G,1)=$A215,VLOOKUP($A215,'hk2017'!$A:$G,6),0)</f>
        <v>-92666.77</v>
      </c>
      <c r="I215" s="587">
        <f>IF(VLOOKUP($A215,'hk2017'!$A:$G,1)=$A215,VLOOKUP($A215,'hk2017'!$A:$G,7),0)</f>
        <v>0</v>
      </c>
      <c r="J215" s="587">
        <f>IF(VLOOKUP($A215,'hk2017'!$A:$H,1)=$A215,VLOOKUP($A215,'hk2017'!$A:$H,8),0)</f>
        <v>0</v>
      </c>
      <c r="K215" s="589">
        <f t="shared" ref="K215:K223" si="74">SUM(H215+I215-J215)</f>
        <v>-92666.77</v>
      </c>
    </row>
    <row r="216" spans="1:11" outlineLevel="1" x14ac:dyDescent="0.25">
      <c r="A216" s="569" t="str">
        <f t="shared" si="72"/>
        <v>412</v>
      </c>
      <c r="B216" s="565" t="s">
        <v>3019</v>
      </c>
      <c r="C216" s="565" t="s">
        <v>3020</v>
      </c>
      <c r="D216" s="587">
        <f>IF(VLOOKUP($A216,'hk2018'!$A:$G,1)=$A216,VLOOKUP($A216,'hk2018'!$A:$G,6),0)</f>
        <v>0</v>
      </c>
      <c r="E216" s="587">
        <f>IF(VLOOKUP($A216,'hk2018'!$A:$G,1)=$A216,VLOOKUP($A216,'hk2018'!$A:$G,7),0)</f>
        <v>0</v>
      </c>
      <c r="F216" s="587">
        <f>IF(VLOOKUP($A216,'hk2018'!$A:$H,1)=$A216,VLOOKUP($A216,'hk2018'!$A:$H,8),0)</f>
        <v>0</v>
      </c>
      <c r="G216" s="588">
        <f t="shared" si="73"/>
        <v>0</v>
      </c>
      <c r="H216" s="587">
        <f>IF(VLOOKUP($A216,'hk2017'!$A:$G,1)=$A216,VLOOKUP($A216,'hk2017'!$A:$G,6),0)</f>
        <v>0</v>
      </c>
      <c r="I216" s="587">
        <f>IF(VLOOKUP($A216,'hk2017'!$A:$G,1)=$A216,VLOOKUP($A216,'hk2017'!$A:$G,7),0)</f>
        <v>0</v>
      </c>
      <c r="J216" s="587">
        <f>IF(VLOOKUP($A216,'hk2017'!$A:$H,1)=$A216,VLOOKUP($A216,'hk2017'!$A:$H,8),0)</f>
        <v>0</v>
      </c>
      <c r="K216" s="589">
        <f t="shared" si="74"/>
        <v>0</v>
      </c>
    </row>
    <row r="217" spans="1:11" outlineLevel="1" x14ac:dyDescent="0.25">
      <c r="A217" s="569" t="str">
        <f t="shared" si="72"/>
        <v>413</v>
      </c>
      <c r="B217" s="565" t="s">
        <v>3021</v>
      </c>
      <c r="C217" s="565" t="s">
        <v>3022</v>
      </c>
      <c r="D217" s="587">
        <f>IF(VLOOKUP($A217,'hk2018'!$A:$G,1)=$A217,VLOOKUP($A217,'hk2018'!$A:$G,6),0)</f>
        <v>-100010.42</v>
      </c>
      <c r="E217" s="587">
        <f>IF(VLOOKUP($A217,'hk2018'!$A:$G,1)=$A217,VLOOKUP($A217,'hk2018'!$A:$G,7),0)</f>
        <v>0</v>
      </c>
      <c r="F217" s="587">
        <f>IF(VLOOKUP($A217,'hk2018'!$A:$H,1)=$A217,VLOOKUP($A217,'hk2018'!$A:$H,8),0)</f>
        <v>0</v>
      </c>
      <c r="G217" s="588">
        <f t="shared" si="73"/>
        <v>-100010.42</v>
      </c>
      <c r="H217" s="587">
        <f>IF(VLOOKUP($A217,'hk2017'!$A:$G,1)=$A217,VLOOKUP($A217,'hk2017'!$A:$G,6),0)</f>
        <v>-100010.42</v>
      </c>
      <c r="I217" s="587">
        <f>IF(VLOOKUP($A217,'hk2017'!$A:$G,1)=$A217,VLOOKUP($A217,'hk2017'!$A:$G,7),0)</f>
        <v>0</v>
      </c>
      <c r="J217" s="587">
        <f>IF(VLOOKUP($A217,'hk2017'!$A:$H,1)=$A217,VLOOKUP($A217,'hk2017'!$A:$H,8),0)</f>
        <v>0</v>
      </c>
      <c r="K217" s="589">
        <f t="shared" si="74"/>
        <v>-100010.42</v>
      </c>
    </row>
    <row r="218" spans="1:11" outlineLevel="1" x14ac:dyDescent="0.25">
      <c r="A218" s="569" t="str">
        <f t="shared" si="72"/>
        <v>414</v>
      </c>
      <c r="B218" s="565" t="s">
        <v>3023</v>
      </c>
      <c r="C218" s="565" t="s">
        <v>3024</v>
      </c>
      <c r="D218" s="587">
        <f>IF(VLOOKUP($A218,'hk2018'!$A:$G,1)=$A218,VLOOKUP($A218,'hk2018'!$A:$G,6),0)</f>
        <v>0</v>
      </c>
      <c r="E218" s="587">
        <f>IF(VLOOKUP($A218,'hk2018'!$A:$G,1)=$A218,VLOOKUP($A218,'hk2018'!$A:$G,7),0)</f>
        <v>0</v>
      </c>
      <c r="F218" s="587">
        <f>IF(VLOOKUP($A218,'hk2018'!$A:$H,1)=$A218,VLOOKUP($A218,'hk2018'!$A:$H,8),0)</f>
        <v>0</v>
      </c>
      <c r="G218" s="588">
        <f t="shared" si="73"/>
        <v>0</v>
      </c>
      <c r="H218" s="587">
        <f>IF(VLOOKUP($A218,'hk2017'!$A:$G,1)=$A218,VLOOKUP($A218,'hk2017'!$A:$G,6),0)</f>
        <v>0</v>
      </c>
      <c r="I218" s="587">
        <f>IF(VLOOKUP($A218,'hk2017'!$A:$G,1)=$A218,VLOOKUP($A218,'hk2017'!$A:$G,7),0)</f>
        <v>0</v>
      </c>
      <c r="J218" s="587">
        <f>IF(VLOOKUP($A218,'hk2017'!$A:$H,1)=$A218,VLOOKUP($A218,'hk2017'!$A:$H,8),0)</f>
        <v>0</v>
      </c>
      <c r="K218" s="589">
        <f t="shared" si="74"/>
        <v>0</v>
      </c>
    </row>
    <row r="219" spans="1:11" outlineLevel="1" x14ac:dyDescent="0.25">
      <c r="A219" s="569" t="str">
        <f t="shared" si="72"/>
        <v>415</v>
      </c>
      <c r="B219" s="565" t="s">
        <v>3025</v>
      </c>
      <c r="C219" s="565" t="s">
        <v>3026</v>
      </c>
      <c r="D219" s="587">
        <f>IF(VLOOKUP($A219,'hk2018'!$A:$G,1)=$A219,VLOOKUP($A219,'hk2018'!$A:$G,6),0)</f>
        <v>0</v>
      </c>
      <c r="E219" s="587">
        <f>IF(VLOOKUP($A219,'hk2018'!$A:$G,1)=$A219,VLOOKUP($A219,'hk2018'!$A:$G,7),0)</f>
        <v>0</v>
      </c>
      <c r="F219" s="587">
        <f>IF(VLOOKUP($A219,'hk2018'!$A:$H,1)=$A219,VLOOKUP($A219,'hk2018'!$A:$H,8),0)</f>
        <v>0</v>
      </c>
      <c r="G219" s="588">
        <f t="shared" si="73"/>
        <v>0</v>
      </c>
      <c r="H219" s="587">
        <f>IF(VLOOKUP($A219,'hk2017'!$A:$G,1)=$A219,VLOOKUP($A219,'hk2017'!$A:$G,6),0)</f>
        <v>0</v>
      </c>
      <c r="I219" s="587">
        <f>IF(VLOOKUP($A219,'hk2017'!$A:$G,1)=$A219,VLOOKUP($A219,'hk2017'!$A:$G,7),0)</f>
        <v>0</v>
      </c>
      <c r="J219" s="587">
        <f>IF(VLOOKUP($A219,'hk2017'!$A:$H,1)=$A219,VLOOKUP($A219,'hk2017'!$A:$H,8),0)</f>
        <v>0</v>
      </c>
      <c r="K219" s="589">
        <f t="shared" si="74"/>
        <v>0</v>
      </c>
    </row>
    <row r="220" spans="1:11" outlineLevel="1" x14ac:dyDescent="0.25">
      <c r="A220" s="569" t="str">
        <f t="shared" si="72"/>
        <v>416</v>
      </c>
      <c r="B220" s="565" t="s">
        <v>3027</v>
      </c>
      <c r="C220" s="565" t="s">
        <v>3028</v>
      </c>
      <c r="D220" s="587">
        <f>IF(VLOOKUP($A220,'hk2018'!$A:$G,1)=$A220,VLOOKUP($A220,'hk2018'!$A:$G,6),0)</f>
        <v>0</v>
      </c>
      <c r="E220" s="587">
        <f>IF(VLOOKUP($A220,'hk2018'!$A:$G,1)=$A220,VLOOKUP($A220,'hk2018'!$A:$G,7),0)</f>
        <v>0</v>
      </c>
      <c r="F220" s="587">
        <f>IF(VLOOKUP($A220,'hk2018'!$A:$H,1)=$A220,VLOOKUP($A220,'hk2018'!$A:$H,8),0)</f>
        <v>0</v>
      </c>
      <c r="G220" s="588">
        <f t="shared" si="73"/>
        <v>0</v>
      </c>
      <c r="H220" s="587">
        <f>IF(VLOOKUP($A220,'hk2017'!$A:$G,1)=$A220,VLOOKUP($A220,'hk2017'!$A:$G,6),0)</f>
        <v>0</v>
      </c>
      <c r="I220" s="587">
        <f>IF(VLOOKUP($A220,'hk2017'!$A:$G,1)=$A220,VLOOKUP($A220,'hk2017'!$A:$G,7),0)</f>
        <v>0</v>
      </c>
      <c r="J220" s="587">
        <f>IF(VLOOKUP($A220,'hk2017'!$A:$H,1)=$A220,VLOOKUP($A220,'hk2017'!$A:$H,8),0)</f>
        <v>0</v>
      </c>
      <c r="K220" s="589">
        <f t="shared" si="74"/>
        <v>0</v>
      </c>
    </row>
    <row r="221" spans="1:11" outlineLevel="1" x14ac:dyDescent="0.25">
      <c r="A221" s="569" t="str">
        <f t="shared" si="72"/>
        <v>417</v>
      </c>
      <c r="B221" s="565" t="s">
        <v>3029</v>
      </c>
      <c r="C221" s="565" t="s">
        <v>3030</v>
      </c>
      <c r="D221" s="587">
        <f>IF(VLOOKUP($A221,'hk2018'!$A:$G,1)=$A221,VLOOKUP($A221,'hk2018'!$A:$G,6),0)</f>
        <v>0</v>
      </c>
      <c r="E221" s="587">
        <f>IF(VLOOKUP($A221,'hk2018'!$A:$G,1)=$A221,VLOOKUP($A221,'hk2018'!$A:$G,7),0)</f>
        <v>0</v>
      </c>
      <c r="F221" s="587">
        <f>IF(VLOOKUP($A221,'hk2018'!$A:$H,1)=$A221,VLOOKUP($A221,'hk2018'!$A:$H,8),0)</f>
        <v>0</v>
      </c>
      <c r="G221" s="588">
        <f t="shared" si="73"/>
        <v>0</v>
      </c>
      <c r="H221" s="587">
        <f>IF(VLOOKUP($A221,'hk2017'!$A:$G,1)=$A221,VLOOKUP($A221,'hk2017'!$A:$G,6),0)</f>
        <v>0</v>
      </c>
      <c r="I221" s="587">
        <f>IF(VLOOKUP($A221,'hk2017'!$A:$G,1)=$A221,VLOOKUP($A221,'hk2017'!$A:$G,7),0)</f>
        <v>0</v>
      </c>
      <c r="J221" s="587">
        <f>IF(VLOOKUP($A221,'hk2017'!$A:$H,1)=$A221,VLOOKUP($A221,'hk2017'!$A:$H,8),0)</f>
        <v>0</v>
      </c>
      <c r="K221" s="589">
        <f t="shared" si="74"/>
        <v>0</v>
      </c>
    </row>
    <row r="222" spans="1:11" outlineLevel="1" x14ac:dyDescent="0.25">
      <c r="A222" s="569" t="str">
        <f t="shared" si="72"/>
        <v>418</v>
      </c>
      <c r="B222" s="565" t="s">
        <v>3031</v>
      </c>
      <c r="C222" s="565" t="s">
        <v>3032</v>
      </c>
      <c r="D222" s="587">
        <f>IF(VLOOKUP($A222,'hk2018'!$A:$G,1)=$A222,VLOOKUP($A222,'hk2018'!$A:$G,6),0)</f>
        <v>0</v>
      </c>
      <c r="E222" s="587">
        <f>IF(VLOOKUP($A222,'hk2018'!$A:$G,1)=$A222,VLOOKUP($A222,'hk2018'!$A:$G,7),0)</f>
        <v>0</v>
      </c>
      <c r="F222" s="587">
        <f>IF(VLOOKUP($A222,'hk2018'!$A:$H,1)=$A222,VLOOKUP($A222,'hk2018'!$A:$H,8),0)</f>
        <v>0</v>
      </c>
      <c r="G222" s="588">
        <f t="shared" si="73"/>
        <v>0</v>
      </c>
      <c r="H222" s="587">
        <f>IF(VLOOKUP($A222,'hk2017'!$A:$G,1)=$A222,VLOOKUP($A222,'hk2017'!$A:$G,6),0)</f>
        <v>0</v>
      </c>
      <c r="I222" s="587">
        <f>IF(VLOOKUP($A222,'hk2017'!$A:$G,1)=$A222,VLOOKUP($A222,'hk2017'!$A:$G,7),0)</f>
        <v>0</v>
      </c>
      <c r="J222" s="587">
        <f>IF(VLOOKUP($A222,'hk2017'!$A:$H,1)=$A222,VLOOKUP($A222,'hk2017'!$A:$H,8),0)</f>
        <v>0</v>
      </c>
      <c r="K222" s="589">
        <f t="shared" si="74"/>
        <v>0</v>
      </c>
    </row>
    <row r="223" spans="1:11" outlineLevel="1" x14ac:dyDescent="0.25">
      <c r="A223" s="569" t="str">
        <f t="shared" si="72"/>
        <v>419</v>
      </c>
      <c r="B223" s="565" t="s">
        <v>3033</v>
      </c>
      <c r="C223" s="565" t="s">
        <v>3034</v>
      </c>
      <c r="D223" s="587">
        <f>IF(VLOOKUP($A223,'hk2018'!$A:$G,1)=$A223,VLOOKUP($A223,'hk2018'!$A:$G,6),0)</f>
        <v>0</v>
      </c>
      <c r="E223" s="587">
        <f>IF(VLOOKUP($A223,'hk2018'!$A:$G,1)=$A223,VLOOKUP($A223,'hk2018'!$A:$G,7),0)</f>
        <v>0</v>
      </c>
      <c r="F223" s="587">
        <f>IF(VLOOKUP($A223,'hk2018'!$A:$H,1)=$A223,VLOOKUP($A223,'hk2018'!$A:$H,8),0)</f>
        <v>0</v>
      </c>
      <c r="G223" s="588">
        <f t="shared" si="73"/>
        <v>0</v>
      </c>
      <c r="H223" s="587">
        <f>IF(VLOOKUP($A223,'hk2017'!$A:$G,1)=$A223,VLOOKUP($A223,'hk2017'!$A:$G,6),0)</f>
        <v>0</v>
      </c>
      <c r="I223" s="587">
        <f>IF(VLOOKUP($A223,'hk2017'!$A:$G,1)=$A223,VLOOKUP($A223,'hk2017'!$A:$G,7),0)</f>
        <v>0</v>
      </c>
      <c r="J223" s="587">
        <f>IF(VLOOKUP($A223,'hk2017'!$A:$H,1)=$A223,VLOOKUP($A223,'hk2017'!$A:$H,8),0)</f>
        <v>0</v>
      </c>
      <c r="K223" s="589">
        <f t="shared" si="74"/>
        <v>0</v>
      </c>
    </row>
    <row r="224" spans="1:11" outlineLevel="1" x14ac:dyDescent="0.25">
      <c r="A224" s="569"/>
      <c r="B224" s="565"/>
      <c r="C224" s="565"/>
      <c r="H224" s="610"/>
      <c r="I224" s="610"/>
      <c r="J224" s="610"/>
      <c r="K224" s="611"/>
    </row>
    <row r="225" spans="1:12" x14ac:dyDescent="0.25">
      <c r="A225" s="604" t="s">
        <v>2197</v>
      </c>
      <c r="B225" s="605"/>
      <c r="C225" s="606" t="s">
        <v>3035</v>
      </c>
      <c r="D225" s="578">
        <f t="shared" ref="D225:K225" si="75">SUM(D226:D231)</f>
        <v>96261.99000000002</v>
      </c>
      <c r="E225" s="578">
        <f t="shared" si="75"/>
        <v>0</v>
      </c>
      <c r="F225" s="578">
        <f t="shared" si="75"/>
        <v>15943.14</v>
      </c>
      <c r="G225" s="593">
        <f t="shared" si="75"/>
        <v>80318.850000000035</v>
      </c>
      <c r="H225" s="578">
        <f t="shared" si="75"/>
        <v>97523.57</v>
      </c>
      <c r="I225" s="578">
        <f t="shared" si="75"/>
        <v>0</v>
      </c>
      <c r="J225" s="578">
        <f t="shared" si="75"/>
        <v>1261.58</v>
      </c>
      <c r="K225" s="594">
        <f t="shared" si="75"/>
        <v>96261.99000000002</v>
      </c>
      <c r="L225" s="595"/>
    </row>
    <row r="226" spans="1:12" outlineLevel="1" x14ac:dyDescent="0.25">
      <c r="A226" s="569" t="str">
        <f t="shared" ref="A226:A231" si="76">LEFT(B226,3)</f>
        <v>421</v>
      </c>
      <c r="B226" s="565" t="s">
        <v>3036</v>
      </c>
      <c r="C226" s="565" t="s">
        <v>3037</v>
      </c>
      <c r="D226" s="587">
        <f>IF(VLOOKUP($A226,'hk2018'!$A:$G,1)=$A226,VLOOKUP($A226,'hk2018'!$A:$G,6),0)</f>
        <v>-15612.46</v>
      </c>
      <c r="E226" s="587">
        <f>IF(VLOOKUP($A226,'hk2018'!$A:$G,1)=$A226,VLOOKUP($A226,'hk2018'!$A:$G,7),0)</f>
        <v>0</v>
      </c>
      <c r="F226" s="587">
        <f>IF(VLOOKUP($A226,'hk2018'!$A:$H,1)=$A226,VLOOKUP($A226,'hk2018'!$A:$H,8),0)</f>
        <v>0</v>
      </c>
      <c r="G226" s="588">
        <f t="shared" ref="G226:G231" si="77">SUM(D226+E226-F226)</f>
        <v>-15612.46</v>
      </c>
      <c r="H226" s="587">
        <f>IF(VLOOKUP($A226,'hk2017'!$A:$G,1)=$A226,VLOOKUP($A226,'hk2017'!$A:$G,6),0)</f>
        <v>-15612.46</v>
      </c>
      <c r="I226" s="587">
        <f>IF(VLOOKUP($A226,'hk2017'!$A:$G,1)=$A226,VLOOKUP($A226,'hk2017'!$A:$G,7),0)</f>
        <v>0</v>
      </c>
      <c r="J226" s="587">
        <f>IF(VLOOKUP($A226,'hk2017'!$A:$H,1)=$A226,VLOOKUP($A226,'hk2017'!$A:$H,8),0)</f>
        <v>0</v>
      </c>
      <c r="K226" s="589">
        <f t="shared" ref="K226:K231" si="78">SUM(H226+I226-J226)</f>
        <v>-15612.46</v>
      </c>
      <c r="L226" s="595"/>
    </row>
    <row r="227" spans="1:12" outlineLevel="1" x14ac:dyDescent="0.25">
      <c r="A227" s="569" t="str">
        <f t="shared" si="76"/>
        <v>422</v>
      </c>
      <c r="B227" s="565" t="s">
        <v>3038</v>
      </c>
      <c r="C227" s="565" t="s">
        <v>3039</v>
      </c>
      <c r="D227" s="587">
        <f>IF(VLOOKUP($A227,'hk2018'!$A:$G,1)=$A227,VLOOKUP($A227,'hk2018'!$A:$G,6),0)</f>
        <v>-19085.28</v>
      </c>
      <c r="E227" s="587">
        <f>IF(VLOOKUP($A227,'hk2018'!$A:$G,1)=$A227,VLOOKUP($A227,'hk2018'!$A:$G,7),0)</f>
        <v>0</v>
      </c>
      <c r="F227" s="587">
        <f>IF(VLOOKUP($A227,'hk2018'!$A:$H,1)=$A227,VLOOKUP($A227,'hk2018'!$A:$H,8),0)</f>
        <v>0</v>
      </c>
      <c r="G227" s="588">
        <f t="shared" si="77"/>
        <v>-19085.28</v>
      </c>
      <c r="H227" s="587">
        <f>IF(VLOOKUP($A227,'hk2017'!$A:$G,1)=$A227,VLOOKUP($A227,'hk2017'!$A:$G,6),0)</f>
        <v>-19085.28</v>
      </c>
      <c r="I227" s="587">
        <f>IF(VLOOKUP($A227,'hk2017'!$A:$G,1)=$A227,VLOOKUP($A227,'hk2017'!$A:$G,7),0)</f>
        <v>0</v>
      </c>
      <c r="J227" s="587">
        <f>IF(VLOOKUP($A227,'hk2017'!$A:$H,1)=$A227,VLOOKUP($A227,'hk2017'!$A:$H,8),0)</f>
        <v>0</v>
      </c>
      <c r="K227" s="589">
        <f t="shared" si="78"/>
        <v>-19085.28</v>
      </c>
      <c r="L227" s="595"/>
    </row>
    <row r="228" spans="1:12" outlineLevel="1" x14ac:dyDescent="0.25">
      <c r="A228" s="569" t="str">
        <f t="shared" si="76"/>
        <v>423</v>
      </c>
      <c r="B228" s="565" t="s">
        <v>3040</v>
      </c>
      <c r="C228" s="565" t="s">
        <v>3041</v>
      </c>
      <c r="D228" s="587">
        <f>IF(VLOOKUP($A228,'hk2018'!$A:$G,1)=$A228,VLOOKUP($A228,'hk2018'!$A:$G,6),0)</f>
        <v>0</v>
      </c>
      <c r="E228" s="587">
        <f>IF(VLOOKUP($A228,'hk2018'!$A:$G,1)=$A228,VLOOKUP($A228,'hk2018'!$A:$G,7),0)</f>
        <v>0</v>
      </c>
      <c r="F228" s="587">
        <f>IF(VLOOKUP($A228,'hk2018'!$A:$H,1)=$A228,VLOOKUP($A228,'hk2018'!$A:$H,8),0)</f>
        <v>0</v>
      </c>
      <c r="G228" s="588">
        <f t="shared" si="77"/>
        <v>0</v>
      </c>
      <c r="H228" s="587">
        <f>IF(VLOOKUP($A228,'hk2017'!$A:$G,1)=$A228,VLOOKUP($A228,'hk2017'!$A:$G,6),0)</f>
        <v>0</v>
      </c>
      <c r="I228" s="587">
        <f>IF(VLOOKUP($A228,'hk2017'!$A:$G,1)=$A228,VLOOKUP($A228,'hk2017'!$A:$G,7),0)</f>
        <v>0</v>
      </c>
      <c r="J228" s="587">
        <f>IF(VLOOKUP($A228,'hk2017'!$A:$H,1)=$A228,VLOOKUP($A228,'hk2017'!$A:$H,8),0)</f>
        <v>0</v>
      </c>
      <c r="K228" s="589">
        <f t="shared" si="78"/>
        <v>0</v>
      </c>
      <c r="L228" s="595"/>
    </row>
    <row r="229" spans="1:12" outlineLevel="1" x14ac:dyDescent="0.25">
      <c r="A229" s="569" t="str">
        <f t="shared" si="76"/>
        <v>427</v>
      </c>
      <c r="B229" s="565" t="s">
        <v>3042</v>
      </c>
      <c r="C229" s="565" t="s">
        <v>3043</v>
      </c>
      <c r="D229" s="587">
        <f>IF(VLOOKUP($A229,'hk2018'!$A:$G,1)=$A229,VLOOKUP($A229,'hk2018'!$A:$G,6),0)</f>
        <v>-93424.19</v>
      </c>
      <c r="E229" s="587">
        <f>IF(VLOOKUP($A229,'hk2018'!$A:$G,1)=$A229,VLOOKUP($A229,'hk2018'!$A:$G,7),0)</f>
        <v>0</v>
      </c>
      <c r="F229" s="587">
        <f>IF(VLOOKUP($A229,'hk2018'!$A:$H,1)=$A229,VLOOKUP($A229,'hk2018'!$A:$H,8),0)</f>
        <v>0</v>
      </c>
      <c r="G229" s="588">
        <f t="shared" si="77"/>
        <v>-93424.19</v>
      </c>
      <c r="H229" s="587">
        <f>IF(VLOOKUP($A229,'hk2017'!$A:$G,1)=$A229,VLOOKUP($A229,'hk2017'!$A:$G,6),0)</f>
        <v>-93424.19</v>
      </c>
      <c r="I229" s="587">
        <f>IF(VLOOKUP($A229,'hk2017'!$A:$G,1)=$A229,VLOOKUP($A229,'hk2017'!$A:$G,7),0)</f>
        <v>0</v>
      </c>
      <c r="J229" s="587">
        <f>IF(VLOOKUP($A229,'hk2017'!$A:$H,1)=$A229,VLOOKUP($A229,'hk2017'!$A:$H,8),0)</f>
        <v>0</v>
      </c>
      <c r="K229" s="589">
        <f t="shared" si="78"/>
        <v>-93424.19</v>
      </c>
      <c r="L229" s="595"/>
    </row>
    <row r="230" spans="1:12" outlineLevel="1" x14ac:dyDescent="0.25">
      <c r="A230" s="569" t="str">
        <f t="shared" si="76"/>
        <v>428</v>
      </c>
      <c r="B230" s="565" t="s">
        <v>3044</v>
      </c>
      <c r="C230" s="565" t="s">
        <v>3045</v>
      </c>
      <c r="D230" s="587">
        <f>IF(VLOOKUP($A230,'hk2018'!$A:$G,1)=$A230,VLOOKUP($A230,'hk2018'!$A:$G,6),0)</f>
        <v>0</v>
      </c>
      <c r="E230" s="587">
        <f>IF(VLOOKUP($A230,'hk2018'!$A:$G,1)=$A230,VLOOKUP($A230,'hk2018'!$A:$G,7),0)</f>
        <v>0</v>
      </c>
      <c r="F230" s="587">
        <f>IF(VLOOKUP($A230,'hk2018'!$A:$H,1)=$A230,VLOOKUP($A230,'hk2018'!$A:$H,8),0)</f>
        <v>0</v>
      </c>
      <c r="G230" s="588">
        <f t="shared" si="77"/>
        <v>0</v>
      </c>
      <c r="H230" s="587">
        <f>IF(VLOOKUP($A230,'hk2017'!$A:$G,1)=$A230,VLOOKUP($A230,'hk2017'!$A:$G,6),0)</f>
        <v>0</v>
      </c>
      <c r="I230" s="587">
        <f>IF(VLOOKUP($A230,'hk2017'!$A:$G,1)=$A230,VLOOKUP($A230,'hk2017'!$A:$G,7),0)</f>
        <v>0</v>
      </c>
      <c r="J230" s="587">
        <f>IF(VLOOKUP($A230,'hk2017'!$A:$H,1)=$A230,VLOOKUP($A230,'hk2017'!$A:$H,8),0)</f>
        <v>0</v>
      </c>
      <c r="K230" s="589">
        <f t="shared" si="78"/>
        <v>0</v>
      </c>
      <c r="L230" s="595"/>
    </row>
    <row r="231" spans="1:12" outlineLevel="1" x14ac:dyDescent="0.25">
      <c r="A231" s="569" t="str">
        <f t="shared" si="76"/>
        <v>429</v>
      </c>
      <c r="B231" s="565" t="s">
        <v>3046</v>
      </c>
      <c r="C231" s="565" t="s">
        <v>3047</v>
      </c>
      <c r="D231" s="587">
        <f>IF(VLOOKUP($A231,'hk2018'!$A:$G,1)=$A231,VLOOKUP($A231,'hk2018'!$A:$G,6),0)</f>
        <v>224383.92</v>
      </c>
      <c r="E231" s="587">
        <f>IF(VLOOKUP($A231,'hk2018'!$A:$G,1)=$A231,VLOOKUP($A231,'hk2018'!$A:$G,7),0)</f>
        <v>0</v>
      </c>
      <c r="F231" s="587">
        <f>IF(VLOOKUP($A231,'hk2018'!$A:$H,1)=$A231,VLOOKUP($A231,'hk2018'!$A:$H,8),0)</f>
        <v>15943.14</v>
      </c>
      <c r="G231" s="588">
        <f t="shared" si="77"/>
        <v>208440.78000000003</v>
      </c>
      <c r="H231" s="587">
        <f>IF(VLOOKUP($A231,'hk2017'!$A:$G,1)=$A231,VLOOKUP($A231,'hk2017'!$A:$G,6),0)</f>
        <v>225645.5</v>
      </c>
      <c r="I231" s="587">
        <f>IF(VLOOKUP($A231,'hk2017'!$A:$G,1)=$A231,VLOOKUP($A231,'hk2017'!$A:$G,7),0)</f>
        <v>0</v>
      </c>
      <c r="J231" s="587">
        <f>IF(VLOOKUP($A231,'hk2017'!$A:$H,1)=$A231,VLOOKUP($A231,'hk2017'!$A:$H,8),0)</f>
        <v>1261.58</v>
      </c>
      <c r="K231" s="589">
        <f t="shared" si="78"/>
        <v>224383.92</v>
      </c>
      <c r="L231" s="595"/>
    </row>
    <row r="232" spans="1:12" outlineLevel="1" x14ac:dyDescent="0.25">
      <c r="A232" s="569"/>
      <c r="B232" s="565"/>
      <c r="C232" s="565"/>
      <c r="H232" s="610"/>
      <c r="I232" s="610"/>
      <c r="J232" s="610"/>
      <c r="K232" s="611"/>
      <c r="L232" s="595"/>
    </row>
    <row r="233" spans="1:12" x14ac:dyDescent="0.25">
      <c r="A233" s="604" t="s">
        <v>1250</v>
      </c>
      <c r="B233" s="605"/>
      <c r="C233" s="606" t="s">
        <v>2008</v>
      </c>
      <c r="D233" s="578">
        <f t="shared" ref="D233:K233" si="79">SUM(D234)</f>
        <v>-15943.14</v>
      </c>
      <c r="E233" s="578">
        <f t="shared" si="79"/>
        <v>15943.14</v>
      </c>
      <c r="F233" s="578">
        <f t="shared" si="79"/>
        <v>0</v>
      </c>
      <c r="G233" s="593">
        <f t="shared" si="79"/>
        <v>0</v>
      </c>
      <c r="H233" s="578">
        <f t="shared" si="79"/>
        <v>-1261.58</v>
      </c>
      <c r="I233" s="578">
        <f t="shared" si="79"/>
        <v>1261.58</v>
      </c>
      <c r="J233" s="578">
        <f t="shared" si="79"/>
        <v>0</v>
      </c>
      <c r="K233" s="594">
        <f t="shared" si="79"/>
        <v>0</v>
      </c>
      <c r="L233" s="595"/>
    </row>
    <row r="234" spans="1:12" outlineLevel="1" x14ac:dyDescent="0.25">
      <c r="A234" s="569" t="str">
        <f>LEFT(B234,3)</f>
        <v>431</v>
      </c>
      <c r="B234" s="565" t="s">
        <v>3048</v>
      </c>
      <c r="C234" s="565" t="s">
        <v>3049</v>
      </c>
      <c r="D234" s="587">
        <f>IF(VLOOKUP($A234,'hk2018'!$A:$G,1)=$A234,VLOOKUP($A234,'hk2018'!$A:$G,6),0)</f>
        <v>-15943.14</v>
      </c>
      <c r="E234" s="587">
        <f>IF(VLOOKUP($A234,'hk2018'!$A:$G,1)=$A234,VLOOKUP($A234,'hk2018'!$A:$G,7),0)</f>
        <v>15943.14</v>
      </c>
      <c r="F234" s="587">
        <f>IF(VLOOKUP($A234,'hk2018'!$A:$H,1)=$A234,VLOOKUP($A234,'hk2018'!$A:$H,8),0)</f>
        <v>0</v>
      </c>
      <c r="G234" s="588">
        <f>SUM(D234+E234-F234)</f>
        <v>0</v>
      </c>
      <c r="H234" s="587">
        <f>IF(VLOOKUP($A234,'hk2017'!$A:$G,1)=$A234,VLOOKUP($A234,'hk2017'!$A:$G,6),0)</f>
        <v>-1261.58</v>
      </c>
      <c r="I234" s="587">
        <f>IF(VLOOKUP($A234,'hk2017'!$A:$G,1)=$A234,VLOOKUP($A234,'hk2017'!$A:$G,7),0)</f>
        <v>1261.58</v>
      </c>
      <c r="J234" s="587">
        <f>IF(VLOOKUP($A234,'hk2017'!$A:$H,1)=$A234,VLOOKUP($A234,'hk2017'!$A:$H,8),0)</f>
        <v>0</v>
      </c>
      <c r="K234" s="589">
        <f>SUM(H234+I234-J234)</f>
        <v>0</v>
      </c>
      <c r="L234" s="595"/>
    </row>
    <row r="235" spans="1:12" outlineLevel="1" x14ac:dyDescent="0.25">
      <c r="A235" s="569"/>
      <c r="B235" s="565"/>
      <c r="C235" s="565"/>
      <c r="H235" s="610"/>
      <c r="I235" s="610"/>
      <c r="J235" s="610"/>
      <c r="K235" s="611"/>
      <c r="L235" s="595"/>
    </row>
    <row r="236" spans="1:12" x14ac:dyDescent="0.25">
      <c r="A236" s="604" t="s">
        <v>3050</v>
      </c>
      <c r="B236" s="605"/>
      <c r="C236" s="605" t="s">
        <v>3051</v>
      </c>
      <c r="D236" s="578">
        <f t="shared" ref="D236:K236" si="80">SUM(D237)</f>
        <v>0</v>
      </c>
      <c r="E236" s="578">
        <f t="shared" si="80"/>
        <v>0</v>
      </c>
      <c r="F236" s="578">
        <f t="shared" si="80"/>
        <v>0</v>
      </c>
      <c r="G236" s="579">
        <f t="shared" si="80"/>
        <v>0</v>
      </c>
      <c r="H236" s="578">
        <f t="shared" si="80"/>
        <v>0</v>
      </c>
      <c r="I236" s="578">
        <f t="shared" si="80"/>
        <v>0</v>
      </c>
      <c r="J236" s="578">
        <f t="shared" si="80"/>
        <v>0</v>
      </c>
      <c r="K236" s="580">
        <f t="shared" si="80"/>
        <v>0</v>
      </c>
      <c r="L236" s="595"/>
    </row>
    <row r="237" spans="1:12" outlineLevel="1" x14ac:dyDescent="0.25">
      <c r="A237" s="623" t="s">
        <v>3050</v>
      </c>
      <c r="B237" s="565"/>
      <c r="C237" s="583" t="s">
        <v>3051</v>
      </c>
      <c r="D237" s="587">
        <f>IF(VLOOKUP($A237,'hk2018'!$A:$G,1)=$A237,VLOOKUP($A237,'hk2018'!$A:$G,6),0)</f>
        <v>0</v>
      </c>
      <c r="E237" s="587">
        <f>IF(VLOOKUP($A237,'hk2018'!$A:$G,1)=$A237,VLOOKUP($A237,'hk2018'!$A:$G,7),0)</f>
        <v>0</v>
      </c>
      <c r="F237" s="587">
        <f>IF(VLOOKUP($A237,'hk2018'!$A:$H,1)=$A237,VLOOKUP($A237,'hk2018'!$A:$H,8),0)</f>
        <v>0</v>
      </c>
      <c r="G237" s="588">
        <f>SUM(D237+E237-F237)</f>
        <v>0</v>
      </c>
      <c r="H237" s="587">
        <f>IF(VLOOKUP($A237,'hk2017'!$A:$G,1)=$A237,VLOOKUP($A237,'hk2017'!$A:$G,6),0)</f>
        <v>0</v>
      </c>
      <c r="I237" s="587">
        <f>IF(VLOOKUP($A237,'hk2017'!$A:$G,1)=$A237,VLOOKUP($A237,'hk2017'!$A:$G,7),0)</f>
        <v>0</v>
      </c>
      <c r="J237" s="587">
        <f>IF(VLOOKUP($A237,'hk2017'!$A:$H,1)=$A237,VLOOKUP($A237,'hk2017'!$A:$H,8),0)</f>
        <v>0</v>
      </c>
      <c r="K237" s="589">
        <f>SUM(H237+I237-J237)</f>
        <v>0</v>
      </c>
      <c r="L237" s="595"/>
    </row>
    <row r="238" spans="1:12" x14ac:dyDescent="0.25">
      <c r="A238" s="604" t="s">
        <v>1252</v>
      </c>
      <c r="B238" s="605"/>
      <c r="C238" s="606" t="s">
        <v>2530</v>
      </c>
      <c r="D238" s="578">
        <f t="shared" ref="D238:K238" si="81">SUM(D239:D241)</f>
        <v>0</v>
      </c>
      <c r="E238" s="578">
        <f t="shared" si="81"/>
        <v>0</v>
      </c>
      <c r="F238" s="578">
        <f t="shared" si="81"/>
        <v>0</v>
      </c>
      <c r="G238" s="593">
        <f t="shared" si="81"/>
        <v>0</v>
      </c>
      <c r="H238" s="578">
        <f t="shared" si="81"/>
        <v>0</v>
      </c>
      <c r="I238" s="578">
        <f t="shared" si="81"/>
        <v>0</v>
      </c>
      <c r="J238" s="578">
        <f t="shared" si="81"/>
        <v>0</v>
      </c>
      <c r="K238" s="594">
        <f t="shared" si="81"/>
        <v>0</v>
      </c>
      <c r="L238" s="595"/>
    </row>
    <row r="239" spans="1:12" outlineLevel="1" x14ac:dyDescent="0.25">
      <c r="A239" s="569" t="str">
        <f>LEFT(B239,3)</f>
        <v>451</v>
      </c>
      <c r="B239" s="565" t="s">
        <v>3052</v>
      </c>
      <c r="C239" s="565" t="s">
        <v>3053</v>
      </c>
      <c r="D239" s="587">
        <f>IF(VLOOKUP($A239,'hk2018'!$A:$G,1)=$A239,VLOOKUP($A239,'hk2018'!$A:$G,6),0)</f>
        <v>0</v>
      </c>
      <c r="E239" s="587">
        <f>IF(VLOOKUP($A239,'hk2018'!$A:$G,1)=$A239,VLOOKUP($A239,'hk2018'!$A:$G,7),0)</f>
        <v>0</v>
      </c>
      <c r="F239" s="587">
        <f>IF(VLOOKUP($A239,'hk2018'!$A:$H,1)=$A239,VLOOKUP($A239,'hk2018'!$A:$H,8),0)</f>
        <v>0</v>
      </c>
      <c r="G239" s="588">
        <f>SUM(D239+E239-F239)</f>
        <v>0</v>
      </c>
      <c r="H239" s="587">
        <f>IF(VLOOKUP($A239,'hk2017'!$A:$G,1)=$A239,VLOOKUP($A239,'hk2017'!$A:$G,6),0)</f>
        <v>0</v>
      </c>
      <c r="I239" s="587">
        <f>IF(VLOOKUP($A239,'hk2017'!$A:$G,1)=$A239,VLOOKUP($A239,'hk2017'!$A:$G,7),0)</f>
        <v>0</v>
      </c>
      <c r="J239" s="587">
        <f>IF(VLOOKUP($A239,'hk2017'!$A:$H,1)=$A239,VLOOKUP($A239,'hk2017'!$A:$H,8),0)</f>
        <v>0</v>
      </c>
      <c r="K239" s="589">
        <f>SUM(H239+I239-J239)</f>
        <v>0</v>
      </c>
      <c r="L239" s="595"/>
    </row>
    <row r="240" spans="1:12" outlineLevel="1" x14ac:dyDescent="0.25">
      <c r="A240" s="623" t="s">
        <v>3054</v>
      </c>
      <c r="B240" s="565"/>
      <c r="C240" s="583" t="s">
        <v>3055</v>
      </c>
      <c r="D240" s="587">
        <f>IF(VLOOKUP($A240,'hk2018'!$A:$G,1)=$A240,VLOOKUP($A240,'hk2018'!$A:$G,6),0)</f>
        <v>0</v>
      </c>
      <c r="E240" s="587">
        <f>IF(VLOOKUP($A240,'hk2018'!$A:$G,1)=$A240,VLOOKUP($A240,'hk2018'!$A:$G,7),0)</f>
        <v>0</v>
      </c>
      <c r="F240" s="587">
        <f>IF(VLOOKUP($A240,'hk2018'!$A:$H,1)=$A240,VLOOKUP($A240,'hk2018'!$A:$H,8),0)</f>
        <v>0</v>
      </c>
      <c r="G240" s="588">
        <f>SUM(D240+E240-F240)</f>
        <v>0</v>
      </c>
      <c r="H240" s="587">
        <f>IF(VLOOKUP($A240,'hk2017'!$A:$G,1)=$A240,VLOOKUP($A240,'hk2017'!$A:$G,6),0)</f>
        <v>0</v>
      </c>
      <c r="I240" s="587">
        <f>IF(VLOOKUP($A240,'hk2017'!$A:$G,1)=$A240,VLOOKUP($A240,'hk2017'!$A:$G,7),0)</f>
        <v>0</v>
      </c>
      <c r="J240" s="587">
        <f>IF(VLOOKUP($A240,'hk2017'!$A:$H,1)=$A240,VLOOKUP($A240,'hk2017'!$A:$H,8),0)</f>
        <v>0</v>
      </c>
      <c r="K240" s="589">
        <f>SUM(H240+I240-J240)</f>
        <v>0</v>
      </c>
      <c r="L240" s="595"/>
    </row>
    <row r="241" spans="1:12" outlineLevel="1" x14ac:dyDescent="0.25">
      <c r="A241" s="569" t="str">
        <f>LEFT(B241,3)</f>
        <v>459</v>
      </c>
      <c r="B241" s="565" t="s">
        <v>3056</v>
      </c>
      <c r="C241" s="565" t="s">
        <v>3057</v>
      </c>
      <c r="D241" s="587">
        <f>IF(VLOOKUP($A241,'hk2018'!$A:$G,1)=$A241,VLOOKUP($A241,'hk2018'!$A:$G,6),0)</f>
        <v>0</v>
      </c>
      <c r="E241" s="587">
        <f>IF(VLOOKUP($A241,'hk2018'!$A:$G,1)=$A241,VLOOKUP($A241,'hk2018'!$A:$G,7),0)</f>
        <v>0</v>
      </c>
      <c r="F241" s="587">
        <f>IF(VLOOKUP($A241,'hk2018'!$A:$H,1)=$A241,VLOOKUP($A241,'hk2018'!$A:$H,8),0)</f>
        <v>0</v>
      </c>
      <c r="G241" s="588">
        <f>SUM(D241+E241-F241)</f>
        <v>0</v>
      </c>
      <c r="H241" s="587">
        <f>IF(VLOOKUP($A241,'hk2017'!$A:$G,1)=$A241,VLOOKUP($A241,'hk2017'!$A:$G,6),0)</f>
        <v>0</v>
      </c>
      <c r="I241" s="587">
        <f>IF(VLOOKUP($A241,'hk2017'!$A:$G,1)=$A241,VLOOKUP($A241,'hk2017'!$A:$G,7),0)</f>
        <v>0</v>
      </c>
      <c r="J241" s="587">
        <f>IF(VLOOKUP($A241,'hk2017'!$A:$H,1)=$A241,VLOOKUP($A241,'hk2017'!$A:$H,8),0)</f>
        <v>0</v>
      </c>
      <c r="K241" s="589">
        <f>SUM(H241+I241-J241)</f>
        <v>0</v>
      </c>
      <c r="L241" s="595"/>
    </row>
    <row r="242" spans="1:12" outlineLevel="1" x14ac:dyDescent="0.25">
      <c r="A242" s="569"/>
      <c r="B242" s="565"/>
      <c r="C242" s="565"/>
      <c r="H242" s="610"/>
      <c r="I242" s="610"/>
      <c r="J242" s="610"/>
      <c r="K242" s="611"/>
      <c r="L242" s="595"/>
    </row>
    <row r="243" spans="1:12" x14ac:dyDescent="0.25">
      <c r="A243" s="604" t="s">
        <v>1261</v>
      </c>
      <c r="B243" s="605"/>
      <c r="C243" s="606" t="s">
        <v>3058</v>
      </c>
      <c r="D243" s="578">
        <f t="shared" ref="D243:K243" si="82">SUM(D244)</f>
        <v>0</v>
      </c>
      <c r="E243" s="578">
        <f t="shared" si="82"/>
        <v>0</v>
      </c>
      <c r="F243" s="578">
        <f t="shared" si="82"/>
        <v>0</v>
      </c>
      <c r="G243" s="593">
        <f t="shared" si="82"/>
        <v>0</v>
      </c>
      <c r="H243" s="578">
        <f t="shared" si="82"/>
        <v>0</v>
      </c>
      <c r="I243" s="578">
        <f t="shared" si="82"/>
        <v>0</v>
      </c>
      <c r="J243" s="578">
        <f t="shared" si="82"/>
        <v>0</v>
      </c>
      <c r="K243" s="594">
        <f t="shared" si="82"/>
        <v>0</v>
      </c>
      <c r="L243" s="595"/>
    </row>
    <row r="244" spans="1:12" outlineLevel="1" x14ac:dyDescent="0.25">
      <c r="A244" s="569" t="str">
        <f>LEFT(B244,3)</f>
        <v>461</v>
      </c>
      <c r="B244" s="565" t="s">
        <v>3059</v>
      </c>
      <c r="C244" s="565" t="s">
        <v>3058</v>
      </c>
      <c r="D244" s="587">
        <f>IF(VLOOKUP($A244,'hk2018'!$A:$G,1)=$A244,VLOOKUP($A244,'hk2018'!$A:$G,6),0)</f>
        <v>0</v>
      </c>
      <c r="E244" s="587">
        <f>IF(VLOOKUP($A244,'hk2018'!$A:$G,1)=$A244,VLOOKUP($A244,'hk2018'!$A:$G,7),0)</f>
        <v>0</v>
      </c>
      <c r="F244" s="587">
        <f>IF(VLOOKUP($A244,'hk2018'!$A:$H,1)=$A244,VLOOKUP($A244,'hk2018'!$A:$H,8),0)</f>
        <v>0</v>
      </c>
      <c r="G244" s="588">
        <f>SUM(D244+E244-F244)</f>
        <v>0</v>
      </c>
      <c r="H244" s="587">
        <f>IF(VLOOKUP($A244,'hk2017'!$A:$G,1)=$A244,VLOOKUP($A244,'hk2017'!$A:$G,6),0)</f>
        <v>0</v>
      </c>
      <c r="I244" s="587">
        <f>IF(VLOOKUP($A244,'hk2017'!$A:$G,1)=$A244,VLOOKUP($A244,'hk2017'!$A:$G,7),0)</f>
        <v>0</v>
      </c>
      <c r="J244" s="587">
        <f>IF(VLOOKUP($A244,'hk2017'!$A:$H,1)=$A244,VLOOKUP($A244,'hk2017'!$A:$H,8),0)</f>
        <v>0</v>
      </c>
      <c r="K244" s="589">
        <f>SUM(H244+I244-J244)</f>
        <v>0</v>
      </c>
      <c r="L244" s="595"/>
    </row>
    <row r="245" spans="1:12" outlineLevel="1" x14ac:dyDescent="0.25">
      <c r="A245" s="569"/>
      <c r="B245" s="565"/>
      <c r="C245" s="565"/>
      <c r="H245" s="610"/>
      <c r="I245" s="610"/>
      <c r="J245" s="610"/>
      <c r="K245" s="611"/>
      <c r="L245" s="595"/>
    </row>
    <row r="246" spans="1:12" x14ac:dyDescent="0.25">
      <c r="A246" s="604" t="s">
        <v>1220</v>
      </c>
      <c r="B246" s="605"/>
      <c r="C246" s="606" t="s">
        <v>2531</v>
      </c>
      <c r="D246" s="578">
        <f t="shared" ref="D246:K246" si="83">SUM(D247:D254)</f>
        <v>-30655.969999999998</v>
      </c>
      <c r="E246" s="578">
        <f t="shared" si="83"/>
        <v>30137.679999999997</v>
      </c>
      <c r="F246" s="578">
        <f t="shared" si="83"/>
        <v>804.7</v>
      </c>
      <c r="G246" s="593">
        <f t="shared" si="83"/>
        <v>-1322.9900000000002</v>
      </c>
      <c r="H246" s="578">
        <f t="shared" si="83"/>
        <v>-59706.26</v>
      </c>
      <c r="I246" s="578">
        <f t="shared" si="83"/>
        <v>29834.68</v>
      </c>
      <c r="J246" s="578">
        <f t="shared" si="83"/>
        <v>784.39</v>
      </c>
      <c r="K246" s="594">
        <f t="shared" si="83"/>
        <v>-30655.97</v>
      </c>
      <c r="L246" s="595"/>
    </row>
    <row r="247" spans="1:12" outlineLevel="1" x14ac:dyDescent="0.25">
      <c r="A247" s="569" t="str">
        <f t="shared" ref="A247:A254" si="84">LEFT(B247,3)</f>
        <v>471</v>
      </c>
      <c r="B247" s="565" t="s">
        <v>3060</v>
      </c>
      <c r="C247" s="565" t="s">
        <v>3061</v>
      </c>
      <c r="D247" s="587">
        <f>IF(VLOOKUP($A247,'hk2018'!$A:$G,1)=$A247,VLOOKUP($A247,'hk2018'!$A:$G,6),0)</f>
        <v>0</v>
      </c>
      <c r="E247" s="587">
        <f>IF(VLOOKUP($A247,'hk2018'!$A:$G,1)=$A247,VLOOKUP($A247,'hk2018'!$A:$G,7),0)</f>
        <v>0</v>
      </c>
      <c r="F247" s="587">
        <f>IF(VLOOKUP($A247,'hk2018'!$A:$H,1)=$A247,VLOOKUP($A247,'hk2018'!$A:$H,8),0)</f>
        <v>0</v>
      </c>
      <c r="G247" s="588">
        <f t="shared" ref="G247:G254" si="85">SUM(D247+E247-F247)</f>
        <v>0</v>
      </c>
      <c r="H247" s="587">
        <f>IF(VLOOKUP($A247,'hk2017'!$A:$G,1)=$A247,VLOOKUP($A247,'hk2017'!$A:$G,6),0)</f>
        <v>0</v>
      </c>
      <c r="I247" s="587">
        <f>IF(VLOOKUP($A247,'hk2017'!$A:$G,1)=$A247,VLOOKUP($A247,'hk2017'!$A:$G,7),0)</f>
        <v>0</v>
      </c>
      <c r="J247" s="587">
        <f>IF(VLOOKUP($A247,'hk2017'!$A:$H,1)=$A247,VLOOKUP($A247,'hk2017'!$A:$H,8),0)</f>
        <v>0</v>
      </c>
      <c r="K247" s="589">
        <f t="shared" ref="K247:K254" si="86">SUM(H247+I247-J247)</f>
        <v>0</v>
      </c>
      <c r="L247" s="595"/>
    </row>
    <row r="248" spans="1:12" outlineLevel="1" x14ac:dyDescent="0.25">
      <c r="A248" s="569" t="str">
        <f t="shared" si="84"/>
        <v>472</v>
      </c>
      <c r="B248" s="565" t="s">
        <v>3062</v>
      </c>
      <c r="C248" s="565" t="s">
        <v>3063</v>
      </c>
      <c r="D248" s="587">
        <f>IF(VLOOKUP($A248,'hk2018'!$A:$G,1)=$A248,VLOOKUP($A248,'hk2018'!$A:$G,6),0)</f>
        <v>-1238.21</v>
      </c>
      <c r="E248" s="587">
        <f>IF(VLOOKUP($A248,'hk2018'!$A:$G,1)=$A248,VLOOKUP($A248,'hk2018'!$A:$G,7),0)</f>
        <v>720.26</v>
      </c>
      <c r="F248" s="587">
        <f>IF(VLOOKUP($A248,'hk2018'!$A:$H,1)=$A248,VLOOKUP($A248,'hk2018'!$A:$H,8),0)</f>
        <v>804.7</v>
      </c>
      <c r="G248" s="588">
        <f t="shared" si="85"/>
        <v>-1322.65</v>
      </c>
      <c r="H248" s="587">
        <f>IF(VLOOKUP($A248,'hk2017'!$A:$G,1)=$A248,VLOOKUP($A248,'hk2017'!$A:$G,6),0)</f>
        <v>-1515.54</v>
      </c>
      <c r="I248" s="587">
        <f>IF(VLOOKUP($A248,'hk2017'!$A:$G,1)=$A248,VLOOKUP($A248,'hk2017'!$A:$G,7),0)</f>
        <v>1061.72</v>
      </c>
      <c r="J248" s="587">
        <f>IF(VLOOKUP($A248,'hk2017'!$A:$H,1)=$A248,VLOOKUP($A248,'hk2017'!$A:$H,8),0)</f>
        <v>784.39</v>
      </c>
      <c r="K248" s="589">
        <f t="shared" si="86"/>
        <v>-1238.21</v>
      </c>
      <c r="L248" s="595"/>
    </row>
    <row r="249" spans="1:12" outlineLevel="1" x14ac:dyDescent="0.25">
      <c r="A249" s="569" t="str">
        <f t="shared" si="84"/>
        <v>473</v>
      </c>
      <c r="B249" s="565" t="s">
        <v>3064</v>
      </c>
      <c r="C249" s="565" t="s">
        <v>3065</v>
      </c>
      <c r="D249" s="587">
        <f>IF(VLOOKUP($A249,'hk2018'!$A:$G,1)=$A249,VLOOKUP($A249,'hk2018'!$A:$G,6),0)</f>
        <v>0</v>
      </c>
      <c r="E249" s="587">
        <f>IF(VLOOKUP($A249,'hk2018'!$A:$G,1)=$A249,VLOOKUP($A249,'hk2018'!$A:$G,7),0)</f>
        <v>0</v>
      </c>
      <c r="F249" s="587">
        <f>IF(VLOOKUP($A249,'hk2018'!$A:$H,1)=$A249,VLOOKUP($A249,'hk2018'!$A:$H,8),0)</f>
        <v>0</v>
      </c>
      <c r="G249" s="588">
        <f t="shared" si="85"/>
        <v>0</v>
      </c>
      <c r="H249" s="587">
        <f>IF(VLOOKUP($A249,'hk2017'!$A:$G,1)=$A249,VLOOKUP($A249,'hk2017'!$A:$G,6),0)</f>
        <v>0</v>
      </c>
      <c r="I249" s="587">
        <f>IF(VLOOKUP($A249,'hk2017'!$A:$G,1)=$A249,VLOOKUP($A249,'hk2017'!$A:$G,7),0)</f>
        <v>0</v>
      </c>
      <c r="J249" s="587">
        <f>IF(VLOOKUP($A249,'hk2017'!$A:$H,1)=$A249,VLOOKUP($A249,'hk2017'!$A:$H,8),0)</f>
        <v>0</v>
      </c>
      <c r="K249" s="589">
        <f t="shared" si="86"/>
        <v>0</v>
      </c>
      <c r="L249" s="595"/>
    </row>
    <row r="250" spans="1:12" outlineLevel="1" x14ac:dyDescent="0.25">
      <c r="A250" s="569" t="str">
        <f t="shared" si="84"/>
        <v>474</v>
      </c>
      <c r="B250" s="565" t="s">
        <v>3066</v>
      </c>
      <c r="C250" s="565" t="s">
        <v>3067</v>
      </c>
      <c r="D250" s="587">
        <f>IF(VLOOKUP($A250,'hk2018'!$A:$G,1)=$A250,VLOOKUP($A250,'hk2018'!$A:$G,6),0)</f>
        <v>0</v>
      </c>
      <c r="E250" s="587">
        <f>IF(VLOOKUP($A250,'hk2018'!$A:$G,1)=$A250,VLOOKUP($A250,'hk2018'!$A:$G,7),0)</f>
        <v>0</v>
      </c>
      <c r="F250" s="587">
        <f>IF(VLOOKUP($A250,'hk2018'!$A:$H,1)=$A250,VLOOKUP($A250,'hk2018'!$A:$H,8),0)</f>
        <v>0</v>
      </c>
      <c r="G250" s="588">
        <f t="shared" si="85"/>
        <v>0</v>
      </c>
      <c r="H250" s="587">
        <f>IF(VLOOKUP($A250,'hk2017'!$A:$G,1)=$A250,VLOOKUP($A250,'hk2017'!$A:$G,6),0)</f>
        <v>0</v>
      </c>
      <c r="I250" s="587">
        <f>IF(VLOOKUP($A250,'hk2017'!$A:$G,1)=$A250,VLOOKUP($A250,'hk2017'!$A:$G,7),0)</f>
        <v>0</v>
      </c>
      <c r="J250" s="587">
        <f>IF(VLOOKUP($A250,'hk2017'!$A:$H,1)=$A250,VLOOKUP($A250,'hk2017'!$A:$H,8),0)</f>
        <v>0</v>
      </c>
      <c r="K250" s="589">
        <f t="shared" si="86"/>
        <v>0</v>
      </c>
      <c r="L250" s="595"/>
    </row>
    <row r="251" spans="1:12" outlineLevel="1" x14ac:dyDescent="0.25">
      <c r="A251" s="569" t="str">
        <f t="shared" si="84"/>
        <v>475</v>
      </c>
      <c r="B251" s="565" t="s">
        <v>3068</v>
      </c>
      <c r="C251" s="565" t="s">
        <v>3069</v>
      </c>
      <c r="D251" s="587">
        <f>IF(VLOOKUP($A251,'hk2018'!$A:$G,1)=$A251,VLOOKUP($A251,'hk2018'!$A:$G,6),0)</f>
        <v>0</v>
      </c>
      <c r="E251" s="587">
        <f>IF(VLOOKUP($A251,'hk2018'!$A:$G,1)=$A251,VLOOKUP($A251,'hk2018'!$A:$G,7),0)</f>
        <v>0</v>
      </c>
      <c r="F251" s="587">
        <f>IF(VLOOKUP($A251,'hk2018'!$A:$H,1)=$A251,VLOOKUP($A251,'hk2018'!$A:$H,8),0)</f>
        <v>0</v>
      </c>
      <c r="G251" s="588">
        <f t="shared" si="85"/>
        <v>0</v>
      </c>
      <c r="H251" s="587">
        <f>IF(VLOOKUP($A251,'hk2017'!$A:$G,1)=$A251,VLOOKUP($A251,'hk2017'!$A:$G,6),0)</f>
        <v>0</v>
      </c>
      <c r="I251" s="587">
        <f>IF(VLOOKUP($A251,'hk2017'!$A:$G,1)=$A251,VLOOKUP($A251,'hk2017'!$A:$G,7),0)</f>
        <v>0</v>
      </c>
      <c r="J251" s="587">
        <f>IF(VLOOKUP($A251,'hk2017'!$A:$H,1)=$A251,VLOOKUP($A251,'hk2017'!$A:$H,8),0)</f>
        <v>0</v>
      </c>
      <c r="K251" s="589">
        <f t="shared" si="86"/>
        <v>0</v>
      </c>
      <c r="L251" s="595"/>
    </row>
    <row r="252" spans="1:12" outlineLevel="1" x14ac:dyDescent="0.25">
      <c r="A252" s="569" t="str">
        <f t="shared" si="84"/>
        <v>476</v>
      </c>
      <c r="B252" s="565" t="s">
        <v>3070</v>
      </c>
      <c r="C252" s="565" t="s">
        <v>3071</v>
      </c>
      <c r="D252" s="587">
        <f>IF(VLOOKUP($A252,'hk2018'!$A:$G,1)=$A252,VLOOKUP($A252,'hk2018'!$A:$G,6),0)</f>
        <v>0</v>
      </c>
      <c r="E252" s="587">
        <f>IF(VLOOKUP($A252,'hk2018'!$A:$G,1)=$A252,VLOOKUP($A252,'hk2018'!$A:$G,7),0)</f>
        <v>0</v>
      </c>
      <c r="F252" s="587">
        <f>IF(VLOOKUP($A252,'hk2018'!$A:$H,1)=$A252,VLOOKUP($A252,'hk2018'!$A:$H,8),0)</f>
        <v>0</v>
      </c>
      <c r="G252" s="588">
        <f t="shared" si="85"/>
        <v>0</v>
      </c>
      <c r="H252" s="587">
        <f>IF(VLOOKUP($A252,'hk2017'!$A:$G,1)=$A252,VLOOKUP($A252,'hk2017'!$A:$G,6),0)</f>
        <v>0</v>
      </c>
      <c r="I252" s="587">
        <f>IF(VLOOKUP($A252,'hk2017'!$A:$G,1)=$A252,VLOOKUP($A252,'hk2017'!$A:$G,7),0)</f>
        <v>0</v>
      </c>
      <c r="J252" s="587">
        <f>IF(VLOOKUP($A252,'hk2017'!$A:$H,1)=$A252,VLOOKUP($A252,'hk2017'!$A:$H,8),0)</f>
        <v>0</v>
      </c>
      <c r="K252" s="589">
        <f t="shared" si="86"/>
        <v>0</v>
      </c>
      <c r="L252" s="595"/>
    </row>
    <row r="253" spans="1:12" outlineLevel="1" x14ac:dyDescent="0.25">
      <c r="A253" s="569" t="str">
        <f t="shared" si="84"/>
        <v>478</v>
      </c>
      <c r="B253" s="565" t="s">
        <v>3072</v>
      </c>
      <c r="C253" s="565" t="s">
        <v>3073</v>
      </c>
      <c r="D253" s="587">
        <f>IF(VLOOKUP($A253,'hk2018'!$A:$G,1)=$A253,VLOOKUP($A253,'hk2018'!$A:$G,6),0)</f>
        <v>0</v>
      </c>
      <c r="E253" s="587">
        <f>IF(VLOOKUP($A253,'hk2018'!$A:$G,1)=$A253,VLOOKUP($A253,'hk2018'!$A:$G,7),0)</f>
        <v>0</v>
      </c>
      <c r="F253" s="587">
        <f>IF(VLOOKUP($A253,'hk2018'!$A:$H,1)=$A253,VLOOKUP($A253,'hk2018'!$A:$H,8),0)</f>
        <v>0</v>
      </c>
      <c r="G253" s="588">
        <f t="shared" si="85"/>
        <v>0</v>
      </c>
      <c r="H253" s="587">
        <f>IF(VLOOKUP($A253,'hk2017'!$A:$G,1)=$A253,VLOOKUP($A253,'hk2017'!$A:$G,6),0)</f>
        <v>0</v>
      </c>
      <c r="I253" s="587">
        <f>IF(VLOOKUP($A253,'hk2017'!$A:$G,1)=$A253,VLOOKUP($A253,'hk2017'!$A:$G,7),0)</f>
        <v>0</v>
      </c>
      <c r="J253" s="587">
        <f>IF(VLOOKUP($A253,'hk2017'!$A:$H,1)=$A253,VLOOKUP($A253,'hk2017'!$A:$H,8),0)</f>
        <v>0</v>
      </c>
      <c r="K253" s="589">
        <f t="shared" si="86"/>
        <v>0</v>
      </c>
      <c r="L253" s="595"/>
    </row>
    <row r="254" spans="1:12" outlineLevel="1" x14ac:dyDescent="0.25">
      <c r="A254" s="569" t="str">
        <f t="shared" si="84"/>
        <v>479</v>
      </c>
      <c r="B254" s="565" t="s">
        <v>3074</v>
      </c>
      <c r="C254" s="565" t="s">
        <v>3075</v>
      </c>
      <c r="D254" s="587">
        <f>IF(VLOOKUP($A254,'hk2018'!$A:$G,1)=$A254,VLOOKUP($A254,'hk2018'!$A:$G,6),0)</f>
        <v>-29417.759999999998</v>
      </c>
      <c r="E254" s="587">
        <f>IF(VLOOKUP($A254,'hk2018'!$A:$G,1)=$A254,VLOOKUP($A254,'hk2018'!$A:$G,7),0)</f>
        <v>29417.42</v>
      </c>
      <c r="F254" s="587">
        <f>IF(VLOOKUP($A254,'hk2018'!$A:$H,1)=$A254,VLOOKUP($A254,'hk2018'!$A:$H,8),0)</f>
        <v>0</v>
      </c>
      <c r="G254" s="588">
        <f t="shared" si="85"/>
        <v>-0.34000000000014552</v>
      </c>
      <c r="H254" s="587">
        <f>IF(VLOOKUP($A254,'hk2017'!$A:$G,1)=$A254,VLOOKUP($A254,'hk2017'!$A:$G,6),0)</f>
        <v>-58190.720000000001</v>
      </c>
      <c r="I254" s="587">
        <f>IF(VLOOKUP($A254,'hk2017'!$A:$G,1)=$A254,VLOOKUP($A254,'hk2017'!$A:$G,7),0)</f>
        <v>28772.959999999999</v>
      </c>
      <c r="J254" s="587">
        <f>IF(VLOOKUP($A254,'hk2017'!$A:$H,1)=$A254,VLOOKUP($A254,'hk2017'!$A:$H,8),0)</f>
        <v>0</v>
      </c>
      <c r="K254" s="589">
        <f t="shared" si="86"/>
        <v>-29417.760000000002</v>
      </c>
      <c r="L254" s="595"/>
    </row>
    <row r="255" spans="1:12" outlineLevel="1" x14ac:dyDescent="0.25">
      <c r="A255" s="569"/>
      <c r="B255" s="565"/>
      <c r="C255" s="565"/>
      <c r="H255" s="610"/>
      <c r="I255" s="610"/>
      <c r="J255" s="610"/>
      <c r="K255" s="611"/>
      <c r="L255" s="595"/>
    </row>
    <row r="256" spans="1:12" x14ac:dyDescent="0.25">
      <c r="A256" s="604" t="s">
        <v>1221</v>
      </c>
      <c r="B256" s="605"/>
      <c r="C256" s="606" t="s">
        <v>3076</v>
      </c>
      <c r="D256" s="578">
        <f t="shared" ref="D256:K256" si="87">SUM(D257)</f>
        <v>0</v>
      </c>
      <c r="E256" s="578">
        <f t="shared" si="87"/>
        <v>0</v>
      </c>
      <c r="F256" s="578">
        <f t="shared" si="87"/>
        <v>0</v>
      </c>
      <c r="G256" s="593">
        <f t="shared" si="87"/>
        <v>0</v>
      </c>
      <c r="H256" s="578">
        <f t="shared" si="87"/>
        <v>0</v>
      </c>
      <c r="I256" s="578">
        <f t="shared" si="87"/>
        <v>0</v>
      </c>
      <c r="J256" s="578">
        <f t="shared" si="87"/>
        <v>0</v>
      </c>
      <c r="K256" s="594">
        <f t="shared" si="87"/>
        <v>0</v>
      </c>
      <c r="L256" s="595"/>
    </row>
    <row r="257" spans="1:12" outlineLevel="1" x14ac:dyDescent="0.25">
      <c r="A257" s="569" t="str">
        <f>LEFT(B257,3)</f>
        <v>481</v>
      </c>
      <c r="B257" s="565" t="s">
        <v>3077</v>
      </c>
      <c r="C257" s="565" t="s">
        <v>3078</v>
      </c>
      <c r="D257" s="587">
        <f>IF(VLOOKUP($A257,'hk2018'!$A:$G,1)=$A257,VLOOKUP($A257,'hk2018'!$A:$G,6),0)</f>
        <v>0</v>
      </c>
      <c r="E257" s="587">
        <f>IF(VLOOKUP($A257,'hk2018'!$A:$G,1)=$A257,VLOOKUP($A257,'hk2018'!$A:$G,7),0)</f>
        <v>0</v>
      </c>
      <c r="F257" s="587">
        <f>IF(VLOOKUP($A257,'hk2018'!$A:$H,1)=$A257,VLOOKUP($A257,'hk2018'!$A:$H,8),0)</f>
        <v>0</v>
      </c>
      <c r="G257" s="588">
        <f>SUM(D257+E257-F257)</f>
        <v>0</v>
      </c>
      <c r="H257" s="587">
        <f>IF(VLOOKUP($A257,'hk2017'!$A:$G,1)=$A257,VLOOKUP($A257,'hk2017'!$A:$G,6),0)</f>
        <v>0</v>
      </c>
      <c r="I257" s="587">
        <f>IF(VLOOKUP($A257,'hk2017'!$A:$G,1)=$A257,VLOOKUP($A257,'hk2017'!$A:$G,7),0)</f>
        <v>0</v>
      </c>
      <c r="J257" s="587">
        <f>IF(VLOOKUP($A257,'hk2017'!$A:$H,1)=$A257,VLOOKUP($A257,'hk2017'!$A:$H,8),0)</f>
        <v>0</v>
      </c>
      <c r="K257" s="589">
        <f>SUM(H257+I257-J257)</f>
        <v>0</v>
      </c>
      <c r="L257" s="595"/>
    </row>
    <row r="258" spans="1:12" outlineLevel="1" x14ac:dyDescent="0.25">
      <c r="A258" s="569"/>
      <c r="B258" s="565"/>
      <c r="C258" s="565"/>
      <c r="H258" s="610"/>
      <c r="I258" s="610"/>
      <c r="J258" s="610"/>
      <c r="K258" s="611"/>
      <c r="L258" s="595"/>
    </row>
    <row r="259" spans="1:12" x14ac:dyDescent="0.25">
      <c r="A259" s="604" t="s">
        <v>1228</v>
      </c>
      <c r="B259" s="605"/>
      <c r="C259" s="606" t="s">
        <v>3079</v>
      </c>
      <c r="D259" s="578">
        <f t="shared" ref="D259:K259" si="88">SUM(D260)</f>
        <v>0</v>
      </c>
      <c r="E259" s="578">
        <f t="shared" si="88"/>
        <v>0</v>
      </c>
      <c r="F259" s="578">
        <f t="shared" si="88"/>
        <v>0</v>
      </c>
      <c r="G259" s="593">
        <f t="shared" si="88"/>
        <v>0</v>
      </c>
      <c r="H259" s="578">
        <f t="shared" si="88"/>
        <v>0</v>
      </c>
      <c r="I259" s="578">
        <f t="shared" si="88"/>
        <v>0</v>
      </c>
      <c r="J259" s="578">
        <f t="shared" si="88"/>
        <v>0</v>
      </c>
      <c r="K259" s="594">
        <f t="shared" si="88"/>
        <v>0</v>
      </c>
      <c r="L259" s="595"/>
    </row>
    <row r="260" spans="1:12" outlineLevel="1" x14ac:dyDescent="0.25">
      <c r="A260" s="569" t="str">
        <f>LEFT(B260,3)</f>
        <v>491</v>
      </c>
      <c r="B260" s="565" t="s">
        <v>3080</v>
      </c>
      <c r="C260" s="565" t="s">
        <v>3081</v>
      </c>
      <c r="D260" s="587">
        <f>IF(VLOOKUP($A260,'hk2018'!$A:$G,1)=$A260,VLOOKUP($A260,'hk2018'!$A:$G,6),0)</f>
        <v>0</v>
      </c>
      <c r="E260" s="587">
        <f>IF(VLOOKUP($A260,'hk2018'!$A:$G,1)=$A260,VLOOKUP($A260,'hk2018'!$A:$G,7),0)</f>
        <v>0</v>
      </c>
      <c r="F260" s="587">
        <f>IF(VLOOKUP($A260,'hk2018'!$A:$H,1)=$A260,VLOOKUP($A260,'hk2018'!$A:$H,8),0)</f>
        <v>0</v>
      </c>
      <c r="G260" s="588">
        <f>SUM(D260+E260-F260)</f>
        <v>0</v>
      </c>
      <c r="H260" s="587">
        <f>IF(VLOOKUP($A260,'hk2017'!$A:$G,1)=$A260,VLOOKUP($A260,'hk2017'!$A:$G,6),0)</f>
        <v>0</v>
      </c>
      <c r="I260" s="587">
        <f>IF(VLOOKUP($A260,'hk2017'!$A:$G,1)=$A260,VLOOKUP($A260,'hk2017'!$A:$G,7),0)</f>
        <v>0</v>
      </c>
      <c r="J260" s="587">
        <f>IF(VLOOKUP($A260,'hk2017'!$A:$H,1)=$A260,VLOOKUP($A260,'hk2017'!$A:$H,8),0)</f>
        <v>0</v>
      </c>
      <c r="K260" s="589">
        <f>SUM(H260+I260-J260)</f>
        <v>0</v>
      </c>
      <c r="L260" s="595"/>
    </row>
    <row r="261" spans="1:12" outlineLevel="1" x14ac:dyDescent="0.25">
      <c r="A261" s="569"/>
      <c r="B261" s="565"/>
      <c r="C261" s="565"/>
      <c r="H261" s="610"/>
      <c r="I261" s="610"/>
      <c r="J261" s="610"/>
      <c r="K261" s="611"/>
      <c r="L261" s="595"/>
    </row>
    <row r="262" spans="1:12" x14ac:dyDescent="0.25">
      <c r="A262" s="570" t="s">
        <v>3082</v>
      </c>
      <c r="B262" s="565"/>
      <c r="C262" s="571" t="s">
        <v>51</v>
      </c>
      <c r="D262" s="601">
        <f t="shared" ref="D262:K262" si="89">SUM(D263+D271+D278+D289+D295+D306+D315+D327+D331+D339)</f>
        <v>0</v>
      </c>
      <c r="E262" s="601">
        <f t="shared" si="89"/>
        <v>391374.43</v>
      </c>
      <c r="F262" s="601">
        <f t="shared" si="89"/>
        <v>10702.009999999998</v>
      </c>
      <c r="G262" s="621">
        <f t="shared" si="89"/>
        <v>380672.42</v>
      </c>
      <c r="H262" s="601">
        <f t="shared" si="89"/>
        <v>0</v>
      </c>
      <c r="I262" s="601">
        <f t="shared" si="89"/>
        <v>386834.72</v>
      </c>
      <c r="J262" s="601">
        <f t="shared" si="89"/>
        <v>994.94999999999993</v>
      </c>
      <c r="K262" s="622">
        <f t="shared" si="89"/>
        <v>385839.76999999996</v>
      </c>
    </row>
    <row r="263" spans="1:12" x14ac:dyDescent="0.25">
      <c r="A263" s="604" t="s">
        <v>1243</v>
      </c>
      <c r="B263" s="605"/>
      <c r="C263" s="606" t="s">
        <v>3083</v>
      </c>
      <c r="D263" s="578">
        <f t="shared" ref="D263:K263" si="90">SUM(D264:D270)</f>
        <v>0</v>
      </c>
      <c r="E263" s="578">
        <f t="shared" si="90"/>
        <v>71183.959999999992</v>
      </c>
      <c r="F263" s="578">
        <f t="shared" si="90"/>
        <v>736.04</v>
      </c>
      <c r="G263" s="579">
        <f t="shared" si="90"/>
        <v>70447.92</v>
      </c>
      <c r="H263" s="578">
        <f t="shared" si="90"/>
        <v>0</v>
      </c>
      <c r="I263" s="578">
        <f t="shared" si="90"/>
        <v>60249</v>
      </c>
      <c r="J263" s="578">
        <f t="shared" si="90"/>
        <v>441.69</v>
      </c>
      <c r="K263" s="580">
        <f t="shared" si="90"/>
        <v>59807.31</v>
      </c>
    </row>
    <row r="264" spans="1:12" outlineLevel="1" x14ac:dyDescent="0.25">
      <c r="A264" s="569" t="s">
        <v>818</v>
      </c>
      <c r="B264" s="582"/>
      <c r="C264" s="583" t="s">
        <v>3083</v>
      </c>
      <c r="D264" s="587">
        <f>IF(VLOOKUP($A264,'hk2018'!$A:$G,1)=$A264,VLOOKUP($A264,'hk2018'!$A:$G,6),0)</f>
        <v>0</v>
      </c>
      <c r="E264" s="587">
        <f>IF(VLOOKUP($A264,'hk2018'!$A:$G,1)=$A264,VLOOKUP($A264,'hk2018'!$A:$G,7),0)</f>
        <v>0</v>
      </c>
      <c r="F264" s="587">
        <f>IF(VLOOKUP($A264,'hk2018'!$A:$H,1)=$A264,VLOOKUP($A264,'hk2018'!$A:$H,8),0)</f>
        <v>0</v>
      </c>
      <c r="G264" s="588">
        <f t="shared" ref="G264:G270" si="91">SUM(D264+E264-F264)</f>
        <v>0</v>
      </c>
      <c r="H264" s="587">
        <f>IF(VLOOKUP($A264,'hk2017'!$A:$G,1)=$A264,VLOOKUP($A264,'hk2017'!$A:$G,6),0)</f>
        <v>0</v>
      </c>
      <c r="I264" s="587">
        <f>IF(VLOOKUP($A264,'hk2017'!$A:$G,1)=$A264,VLOOKUP($A264,'hk2017'!$A:$G,7),0)</f>
        <v>0</v>
      </c>
      <c r="J264" s="587">
        <f>IF(VLOOKUP($A264,'hk2017'!$A:$H,1)=$A264,VLOOKUP($A264,'hk2017'!$A:$H,8),0)</f>
        <v>0</v>
      </c>
      <c r="K264" s="589">
        <f t="shared" ref="K264:K270" si="92">SUM(H264+I264-J264)</f>
        <v>0</v>
      </c>
    </row>
    <row r="265" spans="1:12" outlineLevel="1" x14ac:dyDescent="0.25">
      <c r="A265" s="569" t="str">
        <f>LEFT(B265,3)</f>
        <v>501</v>
      </c>
      <c r="B265" s="565" t="s">
        <v>3084</v>
      </c>
      <c r="C265" s="565" t="s">
        <v>3085</v>
      </c>
      <c r="D265" s="587">
        <f>IF(VLOOKUP($A265,'hk2018'!$A:$G,1)=$A265,VLOOKUP($A265,'hk2018'!$A:$G,6),0)</f>
        <v>0</v>
      </c>
      <c r="E265" s="587">
        <f>IF(VLOOKUP($A265,'hk2018'!$A:$G,1)=$A265,VLOOKUP($A265,'hk2018'!$A:$G,7),0)</f>
        <v>66364.84</v>
      </c>
      <c r="F265" s="587">
        <f>IF(VLOOKUP($A265,'hk2018'!$A:$H,1)=$A265,VLOOKUP($A265,'hk2018'!$A:$H,8),0)</f>
        <v>434.14</v>
      </c>
      <c r="G265" s="588">
        <f t="shared" si="91"/>
        <v>65930.7</v>
      </c>
      <c r="H265" s="587">
        <f>IF(VLOOKUP($A265,'hk2017'!$A:$G,1)=$A265,VLOOKUP($A265,'hk2017'!$A:$G,6),0)</f>
        <v>0</v>
      </c>
      <c r="I265" s="587">
        <f>IF(VLOOKUP($A265,'hk2017'!$A:$G,1)=$A265,VLOOKUP($A265,'hk2017'!$A:$G,7),0)</f>
        <v>54924.39</v>
      </c>
      <c r="J265" s="587">
        <f>IF(VLOOKUP($A265,'hk2017'!$A:$H,1)=$A265,VLOOKUP($A265,'hk2017'!$A:$H,8),0)</f>
        <v>64.62</v>
      </c>
      <c r="K265" s="589">
        <f t="shared" si="92"/>
        <v>54859.77</v>
      </c>
    </row>
    <row r="266" spans="1:12" outlineLevel="1" x14ac:dyDescent="0.25">
      <c r="A266" s="569" t="str">
        <f>LEFT(B266,3)</f>
        <v>502</v>
      </c>
      <c r="B266" s="565" t="s">
        <v>3086</v>
      </c>
      <c r="C266" s="565" t="s">
        <v>3087</v>
      </c>
      <c r="D266" s="587">
        <f>IF(VLOOKUP($A266,'hk2018'!$A:$G,1)=$A266,VLOOKUP($A266,'hk2018'!$A:$G,6),0)</f>
        <v>0</v>
      </c>
      <c r="E266" s="587">
        <f>IF(VLOOKUP($A266,'hk2018'!$A:$G,1)=$A266,VLOOKUP($A266,'hk2018'!$A:$G,7),0)</f>
        <v>4819.12</v>
      </c>
      <c r="F266" s="587">
        <f>IF(VLOOKUP($A266,'hk2018'!$A:$H,1)=$A266,VLOOKUP($A266,'hk2018'!$A:$H,8),0)</f>
        <v>301.89999999999998</v>
      </c>
      <c r="G266" s="588">
        <f t="shared" si="91"/>
        <v>4517.22</v>
      </c>
      <c r="H266" s="587">
        <f>IF(VLOOKUP($A266,'hk2017'!$A:$G,1)=$A266,VLOOKUP($A266,'hk2017'!$A:$G,6),0)</f>
        <v>0</v>
      </c>
      <c r="I266" s="587">
        <f>IF(VLOOKUP($A266,'hk2017'!$A:$G,1)=$A266,VLOOKUP($A266,'hk2017'!$A:$G,7),0)</f>
        <v>5324.61</v>
      </c>
      <c r="J266" s="587">
        <f>IF(VLOOKUP($A266,'hk2017'!$A:$H,1)=$A266,VLOOKUP($A266,'hk2017'!$A:$H,8),0)</f>
        <v>377.07</v>
      </c>
      <c r="K266" s="589">
        <f t="shared" si="92"/>
        <v>4947.54</v>
      </c>
    </row>
    <row r="267" spans="1:12" outlineLevel="1" x14ac:dyDescent="0.25">
      <c r="A267" s="569" t="str">
        <f>LEFT(B267,3)</f>
        <v>503</v>
      </c>
      <c r="B267" s="565" t="s">
        <v>3088</v>
      </c>
      <c r="C267" s="565" t="s">
        <v>3089</v>
      </c>
      <c r="D267" s="587">
        <f>IF(VLOOKUP($A267,'hk2018'!$A:$G,1)=$A267,VLOOKUP($A267,'hk2018'!$A:$G,6),0)</f>
        <v>0</v>
      </c>
      <c r="E267" s="587">
        <f>IF(VLOOKUP($A267,'hk2018'!$A:$G,1)=$A267,VLOOKUP($A267,'hk2018'!$A:$G,7),0)</f>
        <v>0</v>
      </c>
      <c r="F267" s="587">
        <f>IF(VLOOKUP($A267,'hk2018'!$A:$H,1)=$A267,VLOOKUP($A267,'hk2018'!$A:$H,8),0)</f>
        <v>0</v>
      </c>
      <c r="G267" s="588">
        <f t="shared" si="91"/>
        <v>0</v>
      </c>
      <c r="H267" s="587">
        <f>IF(VLOOKUP($A267,'hk2017'!$A:$G,1)=$A267,VLOOKUP($A267,'hk2017'!$A:$G,6),0)</f>
        <v>0</v>
      </c>
      <c r="I267" s="587">
        <f>IF(VLOOKUP($A267,'hk2017'!$A:$G,1)=$A267,VLOOKUP($A267,'hk2017'!$A:$G,7),0)</f>
        <v>0</v>
      </c>
      <c r="J267" s="587">
        <f>IF(VLOOKUP($A267,'hk2017'!$A:$H,1)=$A267,VLOOKUP($A267,'hk2017'!$A:$H,8),0)</f>
        <v>0</v>
      </c>
      <c r="K267" s="589">
        <f t="shared" si="92"/>
        <v>0</v>
      </c>
    </row>
    <row r="268" spans="1:12" outlineLevel="1" x14ac:dyDescent="0.25">
      <c r="A268" s="569" t="str">
        <f>LEFT(B268,3)</f>
        <v>504</v>
      </c>
      <c r="B268" s="565" t="s">
        <v>3090</v>
      </c>
      <c r="C268" s="565" t="s">
        <v>3091</v>
      </c>
      <c r="D268" s="587">
        <f>IF(VLOOKUP($A268,'hk2018'!$A:$G,1)=$A268,VLOOKUP($A268,'hk2018'!$A:$G,6),0)</f>
        <v>0</v>
      </c>
      <c r="E268" s="587">
        <f>IF(VLOOKUP($A268,'hk2018'!$A:$G,1)=$A268,VLOOKUP($A268,'hk2018'!$A:$G,7),0)</f>
        <v>0</v>
      </c>
      <c r="F268" s="587">
        <f>IF(VLOOKUP($A268,'hk2018'!$A:$H,1)=$A268,VLOOKUP($A268,'hk2018'!$A:$H,8),0)</f>
        <v>0</v>
      </c>
      <c r="G268" s="588">
        <f t="shared" si="91"/>
        <v>0</v>
      </c>
      <c r="H268" s="587">
        <f>IF(VLOOKUP($A268,'hk2017'!$A:$G,1)=$A268,VLOOKUP($A268,'hk2017'!$A:$G,6),0)</f>
        <v>0</v>
      </c>
      <c r="I268" s="587">
        <f>IF(VLOOKUP($A268,'hk2017'!$A:$G,1)=$A268,VLOOKUP($A268,'hk2017'!$A:$G,7),0)</f>
        <v>0</v>
      </c>
      <c r="J268" s="587">
        <f>IF(VLOOKUP($A268,'hk2017'!$A:$H,1)=$A268,VLOOKUP($A268,'hk2017'!$A:$H,8),0)</f>
        <v>0</v>
      </c>
      <c r="K268" s="589">
        <f t="shared" si="92"/>
        <v>0</v>
      </c>
    </row>
    <row r="269" spans="1:12" outlineLevel="1" x14ac:dyDescent="0.25">
      <c r="A269" s="569" t="s">
        <v>840</v>
      </c>
      <c r="B269" s="565"/>
      <c r="C269" s="565"/>
      <c r="D269" s="587">
        <f>IF(VLOOKUP($A269,'hk2018'!$A:$G,1)=$A269,VLOOKUP($A269,'hk2018'!$A:$G,6),0)</f>
        <v>0</v>
      </c>
      <c r="E269" s="587">
        <f>IF(VLOOKUP($A269,'hk2018'!$A:$G,1)=$A269,VLOOKUP($A269,'hk2018'!$A:$G,7),0)</f>
        <v>0</v>
      </c>
      <c r="F269" s="587">
        <f>IF(VLOOKUP($A269,'hk2018'!$A:$H,1)=$A269,VLOOKUP($A269,'hk2018'!$A:$H,8),0)</f>
        <v>0</v>
      </c>
      <c r="G269" s="588">
        <f t="shared" si="91"/>
        <v>0</v>
      </c>
      <c r="H269" s="587">
        <f>IF(VLOOKUP($A269,'hk2017'!$A:$G,1)=$A269,VLOOKUP($A269,'hk2017'!$A:$G,6),0)</f>
        <v>0</v>
      </c>
      <c r="I269" s="587">
        <f>IF(VLOOKUP($A269,'hk2017'!$A:$G,1)=$A269,VLOOKUP($A269,'hk2017'!$A:$G,7),0)</f>
        <v>0</v>
      </c>
      <c r="J269" s="587">
        <f>IF(VLOOKUP($A269,'hk2017'!$A:$H,1)=$A269,VLOOKUP($A269,'hk2017'!$A:$H,8),0)</f>
        <v>0</v>
      </c>
      <c r="K269" s="589">
        <f t="shared" si="92"/>
        <v>0</v>
      </c>
    </row>
    <row r="270" spans="1:12" outlineLevel="1" x14ac:dyDescent="0.25">
      <c r="A270" s="569" t="s">
        <v>844</v>
      </c>
      <c r="B270" s="565"/>
      <c r="C270" s="565"/>
      <c r="D270" s="587">
        <f>IF(VLOOKUP($A270,'hk2018'!$A:$G,1)=$A270,VLOOKUP($A270,'hk2018'!$A:$G,6),0)</f>
        <v>0</v>
      </c>
      <c r="E270" s="587">
        <f>IF(VLOOKUP($A270,'hk2018'!$A:$G,1)=$A270,VLOOKUP($A270,'hk2018'!$A:$G,7),0)</f>
        <v>0</v>
      </c>
      <c r="F270" s="587">
        <f>IF(VLOOKUP($A270,'hk2018'!$A:$H,1)=$A270,VLOOKUP($A270,'hk2018'!$A:$H,8),0)</f>
        <v>0</v>
      </c>
      <c r="G270" s="588">
        <f t="shared" si="91"/>
        <v>0</v>
      </c>
      <c r="H270" s="587">
        <f>IF(VLOOKUP($A270,'hk2017'!$A:$G,1)=$A270,VLOOKUP($A270,'hk2017'!$A:$G,6),0)</f>
        <v>0</v>
      </c>
      <c r="I270" s="587">
        <f>IF(VLOOKUP($A270,'hk2017'!$A:$G,1)=$A270,VLOOKUP($A270,'hk2017'!$A:$G,7),0)</f>
        <v>0</v>
      </c>
      <c r="J270" s="587">
        <f>IF(VLOOKUP($A270,'hk2017'!$A:$H,1)=$A270,VLOOKUP($A270,'hk2017'!$A:$H,8),0)</f>
        <v>0</v>
      </c>
      <c r="K270" s="589">
        <f t="shared" si="92"/>
        <v>0</v>
      </c>
    </row>
    <row r="271" spans="1:12" x14ac:dyDescent="0.25">
      <c r="A271" s="604" t="s">
        <v>1216</v>
      </c>
      <c r="B271" s="605"/>
      <c r="C271" s="606" t="s">
        <v>3092</v>
      </c>
      <c r="D271" s="578">
        <f t="shared" ref="D271:K271" si="93">SUM(D273:D276)</f>
        <v>0</v>
      </c>
      <c r="E271" s="578">
        <f t="shared" si="93"/>
        <v>49564.21</v>
      </c>
      <c r="F271" s="578">
        <f t="shared" si="93"/>
        <v>9597.17</v>
      </c>
      <c r="G271" s="593">
        <f t="shared" si="93"/>
        <v>39967.040000000001</v>
      </c>
      <c r="H271" s="578">
        <f t="shared" si="93"/>
        <v>0</v>
      </c>
      <c r="I271" s="578">
        <f t="shared" si="93"/>
        <v>37603.879999999997</v>
      </c>
      <c r="J271" s="578">
        <f t="shared" si="93"/>
        <v>0</v>
      </c>
      <c r="K271" s="594">
        <f t="shared" si="93"/>
        <v>37603.879999999997</v>
      </c>
      <c r="L271" s="595"/>
    </row>
    <row r="272" spans="1:12" outlineLevel="1" x14ac:dyDescent="0.25">
      <c r="A272" s="569" t="s">
        <v>847</v>
      </c>
      <c r="B272" s="582"/>
      <c r="C272" s="583" t="s">
        <v>3092</v>
      </c>
      <c r="D272" s="587">
        <f>IF(VLOOKUP($A272,'hk2018'!$A:$G,1)=$A272,VLOOKUP($A272,'hk2018'!$A:$G,6),0)</f>
        <v>0</v>
      </c>
      <c r="E272" s="587">
        <f>IF(VLOOKUP($A272,'hk2018'!$A:$G,1)=$A272,VLOOKUP($A272,'hk2018'!$A:$G,7),0)</f>
        <v>0</v>
      </c>
      <c r="F272" s="587">
        <f>IF(VLOOKUP($A272,'hk2018'!$A:$H,1)=$A272,VLOOKUP($A272,'hk2018'!$A:$H,8),0)</f>
        <v>0</v>
      </c>
      <c r="G272" s="588">
        <f>SUM(D272+E272-F272)</f>
        <v>0</v>
      </c>
      <c r="H272" s="587">
        <f>IF(VLOOKUP($A272,'hk2017'!$A:$G,1)=$A272,VLOOKUP($A272,'hk2017'!$A:$G,6),0)</f>
        <v>0</v>
      </c>
      <c r="I272" s="587">
        <f>IF(VLOOKUP($A272,'hk2017'!$A:$G,1)=$A272,VLOOKUP($A272,'hk2017'!$A:$G,7),0)</f>
        <v>0</v>
      </c>
      <c r="J272" s="587">
        <f>IF(VLOOKUP($A272,'hk2017'!$A:$H,1)=$A272,VLOOKUP($A272,'hk2017'!$A:$H,8),0)</f>
        <v>0</v>
      </c>
      <c r="K272" s="589">
        <f>SUM(H272+I272-J272)</f>
        <v>0</v>
      </c>
      <c r="L272" s="595"/>
    </row>
    <row r="273" spans="1:255" outlineLevel="1" x14ac:dyDescent="0.25">
      <c r="A273" s="569" t="str">
        <f>LEFT(B273,3)</f>
        <v>511</v>
      </c>
      <c r="B273" s="565" t="s">
        <v>3093</v>
      </c>
      <c r="C273" s="565" t="s">
        <v>3094</v>
      </c>
      <c r="D273" s="587">
        <f>IF(VLOOKUP($A273,'hk2018'!$A:$G,1)=$A273,VLOOKUP($A273,'hk2018'!$A:$G,6),0)</f>
        <v>0</v>
      </c>
      <c r="E273" s="587">
        <f>IF(VLOOKUP($A273,'hk2018'!$A:$G,1)=$A273,VLOOKUP($A273,'hk2018'!$A:$G,7),0)</f>
        <v>12691.65</v>
      </c>
      <c r="F273" s="587">
        <f>IF(VLOOKUP($A273,'hk2018'!$A:$H,1)=$A273,VLOOKUP($A273,'hk2018'!$A:$H,8),0)</f>
        <v>0</v>
      </c>
      <c r="G273" s="588">
        <f>SUM(D273+E273-F273)</f>
        <v>12691.65</v>
      </c>
      <c r="H273" s="587">
        <f>IF(VLOOKUP($A273,'hk2017'!$A:$G,1)=$A273,VLOOKUP($A273,'hk2017'!$A:$G,6),0)</f>
        <v>0</v>
      </c>
      <c r="I273" s="587">
        <f>IF(VLOOKUP($A273,'hk2017'!$A:$G,1)=$A273,VLOOKUP($A273,'hk2017'!$A:$G,7),0)</f>
        <v>8412.4599999999991</v>
      </c>
      <c r="J273" s="587">
        <f>IF(VLOOKUP($A273,'hk2017'!$A:$H,1)=$A273,VLOOKUP($A273,'hk2017'!$A:$H,8),0)</f>
        <v>0</v>
      </c>
      <c r="K273" s="589">
        <f>SUM(H273+I273-J273)</f>
        <v>8412.4599999999991</v>
      </c>
      <c r="L273" s="595"/>
    </row>
    <row r="274" spans="1:255" outlineLevel="1" x14ac:dyDescent="0.25">
      <c r="A274" s="569" t="str">
        <f>LEFT(B274,3)</f>
        <v>512</v>
      </c>
      <c r="B274" s="565" t="s">
        <v>3095</v>
      </c>
      <c r="C274" s="565" t="s">
        <v>3096</v>
      </c>
      <c r="D274" s="587">
        <f>IF(VLOOKUP($A274,'hk2018'!$A:$G,1)=$A274,VLOOKUP($A274,'hk2018'!$A:$G,6),0)</f>
        <v>0</v>
      </c>
      <c r="E274" s="587">
        <f>IF(VLOOKUP($A274,'hk2018'!$A:$G,1)=$A274,VLOOKUP($A274,'hk2018'!$A:$G,7),0)</f>
        <v>0</v>
      </c>
      <c r="F274" s="587">
        <f>IF(VLOOKUP($A274,'hk2018'!$A:$H,1)=$A274,VLOOKUP($A274,'hk2018'!$A:$H,8),0)</f>
        <v>0</v>
      </c>
      <c r="G274" s="588">
        <f>SUM(D274+E274-F274)</f>
        <v>0</v>
      </c>
      <c r="H274" s="587">
        <f>IF(VLOOKUP($A274,'hk2017'!$A:$G,1)=$A274,VLOOKUP($A274,'hk2017'!$A:$G,6),0)</f>
        <v>0</v>
      </c>
      <c r="I274" s="587">
        <f>IF(VLOOKUP($A274,'hk2017'!$A:$G,1)=$A274,VLOOKUP($A274,'hk2017'!$A:$G,7),0)</f>
        <v>22.4</v>
      </c>
      <c r="J274" s="587">
        <f>IF(VLOOKUP($A274,'hk2017'!$A:$H,1)=$A274,VLOOKUP($A274,'hk2017'!$A:$H,8),0)</f>
        <v>0</v>
      </c>
      <c r="K274" s="589">
        <f>SUM(H274+I274-J274)</f>
        <v>22.4</v>
      </c>
      <c r="L274" s="595"/>
    </row>
    <row r="275" spans="1:255" outlineLevel="1" x14ac:dyDescent="0.25">
      <c r="A275" s="569" t="str">
        <f>LEFT(B275,3)</f>
        <v>513</v>
      </c>
      <c r="B275" s="565" t="s">
        <v>3097</v>
      </c>
      <c r="C275" s="565" t="s">
        <v>3098</v>
      </c>
      <c r="D275" s="587">
        <f>IF(VLOOKUP($A275,'hk2018'!$A:$G,1)=$A275,VLOOKUP($A275,'hk2018'!$A:$G,6),0)</f>
        <v>0</v>
      </c>
      <c r="E275" s="587">
        <f>IF(VLOOKUP($A275,'hk2018'!$A:$G,1)=$A275,VLOOKUP($A275,'hk2018'!$A:$G,7),0)</f>
        <v>1230.81</v>
      </c>
      <c r="F275" s="587">
        <f>IF(VLOOKUP($A275,'hk2018'!$A:$H,1)=$A275,VLOOKUP($A275,'hk2018'!$A:$H,8),0)</f>
        <v>0</v>
      </c>
      <c r="G275" s="588">
        <f>SUM(D275+E275-F275)</f>
        <v>1230.81</v>
      </c>
      <c r="H275" s="587">
        <f>IF(VLOOKUP($A275,'hk2017'!$A:$G,1)=$A275,VLOOKUP($A275,'hk2017'!$A:$G,6),0)</f>
        <v>0</v>
      </c>
      <c r="I275" s="587">
        <f>IF(VLOOKUP($A275,'hk2017'!$A:$G,1)=$A275,VLOOKUP($A275,'hk2017'!$A:$G,7),0)</f>
        <v>1373.79</v>
      </c>
      <c r="J275" s="587">
        <f>IF(VLOOKUP($A275,'hk2017'!$A:$H,1)=$A275,VLOOKUP($A275,'hk2017'!$A:$H,8),0)</f>
        <v>0</v>
      </c>
      <c r="K275" s="589">
        <f>SUM(H275+I275-J275)</f>
        <v>1373.79</v>
      </c>
      <c r="L275" s="595"/>
    </row>
    <row r="276" spans="1:255" outlineLevel="1" x14ac:dyDescent="0.25">
      <c r="A276" s="569" t="str">
        <f>LEFT(B276,3)</f>
        <v>518</v>
      </c>
      <c r="B276" s="565" t="s">
        <v>3099</v>
      </c>
      <c r="C276" s="565" t="s">
        <v>3100</v>
      </c>
      <c r="D276" s="587">
        <f>IF(VLOOKUP($A276,'hk2018'!$A:$G,1)=$A276,VLOOKUP($A276,'hk2018'!$A:$G,6),0)</f>
        <v>0</v>
      </c>
      <c r="E276" s="587">
        <f>IF(VLOOKUP($A276,'hk2018'!$A:$G,1)=$A276,VLOOKUP($A276,'hk2018'!$A:$G,7),0)</f>
        <v>35641.75</v>
      </c>
      <c r="F276" s="587">
        <f>IF(VLOOKUP($A276,'hk2018'!$A:$H,1)=$A276,VLOOKUP($A276,'hk2018'!$A:$H,8),0)</f>
        <v>9597.17</v>
      </c>
      <c r="G276" s="588">
        <f>SUM(D276+E276-F276)</f>
        <v>26044.58</v>
      </c>
      <c r="H276" s="587">
        <f>IF(VLOOKUP($A276,'hk2017'!$A:$G,1)=$A276,VLOOKUP($A276,'hk2017'!$A:$G,6),0)</f>
        <v>0</v>
      </c>
      <c r="I276" s="587">
        <f>IF(VLOOKUP($A276,'hk2017'!$A:$G,1)=$A276,VLOOKUP($A276,'hk2017'!$A:$G,7),0)</f>
        <v>27795.23</v>
      </c>
      <c r="J276" s="587">
        <f>IF(VLOOKUP($A276,'hk2017'!$A:$H,1)=$A276,VLOOKUP($A276,'hk2017'!$A:$H,8),0)</f>
        <v>0</v>
      </c>
      <c r="K276" s="589">
        <f>SUM(H276+I276-J276)</f>
        <v>27795.23</v>
      </c>
      <c r="L276" s="595"/>
    </row>
    <row r="277" spans="1:255" outlineLevel="1" x14ac:dyDescent="0.25">
      <c r="A277" s="569"/>
      <c r="B277" s="565"/>
      <c r="C277" s="565"/>
      <c r="H277" s="610"/>
      <c r="I277" s="610"/>
      <c r="J277" s="610"/>
      <c r="K277" s="611"/>
      <c r="L277" s="595"/>
    </row>
    <row r="278" spans="1:255" x14ac:dyDescent="0.25">
      <c r="A278" s="604" t="s">
        <v>1266</v>
      </c>
      <c r="B278" s="605"/>
      <c r="C278" s="606" t="s">
        <v>2552</v>
      </c>
      <c r="D278" s="578">
        <f t="shared" ref="D278:K278" si="94">SUM(D279:D287)</f>
        <v>0</v>
      </c>
      <c r="E278" s="578">
        <f t="shared" si="94"/>
        <v>208811.61</v>
      </c>
      <c r="F278" s="578">
        <f t="shared" si="94"/>
        <v>318.39</v>
      </c>
      <c r="G278" s="579">
        <f t="shared" si="94"/>
        <v>208493.21999999997</v>
      </c>
      <c r="H278" s="578">
        <f t="shared" si="94"/>
        <v>0</v>
      </c>
      <c r="I278" s="578">
        <f t="shared" si="94"/>
        <v>219306.97</v>
      </c>
      <c r="J278" s="578">
        <f t="shared" si="94"/>
        <v>546.91</v>
      </c>
      <c r="K278" s="580">
        <f t="shared" si="94"/>
        <v>218760.06</v>
      </c>
      <c r="L278" s="595"/>
      <c r="M278" s="624"/>
      <c r="N278" s="620"/>
      <c r="P278" s="582"/>
      <c r="Q278" s="624"/>
      <c r="R278" s="624"/>
      <c r="S278" s="624"/>
      <c r="T278" s="624"/>
      <c r="U278" s="620"/>
      <c r="W278" s="582"/>
      <c r="X278" s="624"/>
      <c r="Y278" s="624"/>
      <c r="Z278" s="624"/>
      <c r="AA278" s="624"/>
      <c r="AB278" s="620"/>
      <c r="AD278" s="582"/>
      <c r="AE278" s="624"/>
      <c r="AF278" s="624"/>
      <c r="AG278" s="624"/>
      <c r="AH278" s="624"/>
      <c r="AI278" s="620"/>
      <c r="AK278" s="582"/>
      <c r="AL278" s="624"/>
      <c r="AM278" s="624"/>
      <c r="AN278" s="624"/>
      <c r="AO278" s="624"/>
      <c r="AP278" s="620"/>
      <c r="AR278" s="582"/>
      <c r="AS278" s="624"/>
      <c r="AT278" s="624"/>
      <c r="AU278" s="624"/>
      <c r="AV278" s="624"/>
      <c r="AW278" s="620"/>
      <c r="AY278" s="582"/>
      <c r="AZ278" s="624"/>
      <c r="BA278" s="624"/>
      <c r="BB278" s="624"/>
      <c r="BC278" s="624"/>
      <c r="BD278" s="620"/>
      <c r="BF278" s="582"/>
      <c r="BG278" s="624"/>
      <c r="BH278" s="624"/>
      <c r="BI278" s="624"/>
      <c r="BJ278" s="624"/>
      <c r="BK278" s="620"/>
      <c r="BM278" s="582"/>
      <c r="BN278" s="624"/>
      <c r="BO278" s="624"/>
      <c r="BP278" s="624"/>
      <c r="BQ278" s="624"/>
      <c r="BR278" s="620"/>
      <c r="BT278" s="582"/>
      <c r="BU278" s="624"/>
      <c r="BV278" s="624"/>
      <c r="BW278" s="624"/>
      <c r="BX278" s="624"/>
      <c r="BY278" s="620"/>
      <c r="CA278" s="582"/>
      <c r="CB278" s="624"/>
      <c r="CC278" s="624"/>
      <c r="CD278" s="624"/>
      <c r="CE278" s="624"/>
      <c r="CF278" s="620"/>
      <c r="CH278" s="582"/>
      <c r="CI278" s="624"/>
      <c r="CJ278" s="624"/>
      <c r="CK278" s="624"/>
      <c r="CL278" s="624"/>
      <c r="CM278" s="620"/>
      <c r="CO278" s="582"/>
      <c r="CP278" s="624"/>
      <c r="CQ278" s="624"/>
      <c r="CR278" s="624"/>
      <c r="CS278" s="624"/>
      <c r="CT278" s="620"/>
      <c r="CV278" s="582"/>
      <c r="CW278" s="624"/>
      <c r="CX278" s="624"/>
      <c r="CY278" s="624"/>
      <c r="CZ278" s="624"/>
      <c r="DA278" s="620"/>
      <c r="DC278" s="582"/>
      <c r="DD278" s="624"/>
      <c r="DE278" s="624"/>
      <c r="DF278" s="624"/>
      <c r="DG278" s="624"/>
      <c r="DH278" s="620"/>
      <c r="DJ278" s="582"/>
      <c r="DK278" s="624"/>
      <c r="DL278" s="624"/>
      <c r="DM278" s="624"/>
      <c r="DN278" s="624"/>
      <c r="DO278" s="620"/>
      <c r="DQ278" s="582"/>
      <c r="DR278" s="624"/>
      <c r="DS278" s="624"/>
      <c r="DT278" s="624"/>
      <c r="DU278" s="624"/>
      <c r="DV278" s="620"/>
      <c r="DX278" s="582"/>
      <c r="DY278" s="624"/>
      <c r="DZ278" s="624"/>
      <c r="EA278" s="624"/>
      <c r="EB278" s="624"/>
      <c r="EC278" s="620"/>
      <c r="EE278" s="582"/>
      <c r="EF278" s="624"/>
      <c r="EG278" s="624"/>
      <c r="EH278" s="624"/>
      <c r="EI278" s="624"/>
      <c r="EJ278" s="620"/>
      <c r="EL278" s="582"/>
      <c r="EM278" s="624"/>
      <c r="EN278" s="624"/>
      <c r="EO278" s="624"/>
      <c r="EP278" s="624"/>
      <c r="EQ278" s="620"/>
      <c r="ES278" s="582"/>
      <c r="ET278" s="624"/>
      <c r="EU278" s="624"/>
      <c r="EV278" s="624"/>
      <c r="EW278" s="624"/>
      <c r="EX278" s="620"/>
      <c r="EZ278" s="582"/>
      <c r="FA278" s="624"/>
      <c r="FB278" s="624"/>
      <c r="FC278" s="624"/>
      <c r="FD278" s="624"/>
      <c r="FE278" s="620"/>
      <c r="FG278" s="582"/>
      <c r="FH278" s="624"/>
      <c r="FI278" s="624"/>
      <c r="FJ278" s="624"/>
      <c r="FK278" s="624"/>
      <c r="FL278" s="620"/>
      <c r="FN278" s="582"/>
      <c r="FO278" s="624"/>
      <c r="FP278" s="624"/>
      <c r="FQ278" s="624"/>
      <c r="FR278" s="624"/>
      <c r="FS278" s="620"/>
      <c r="FU278" s="582"/>
      <c r="FV278" s="624"/>
      <c r="FW278" s="624"/>
      <c r="FX278" s="624"/>
      <c r="FY278" s="624"/>
      <c r="FZ278" s="620"/>
      <c r="GB278" s="582"/>
      <c r="GC278" s="624"/>
      <c r="GD278" s="624"/>
      <c r="GE278" s="624"/>
      <c r="GF278" s="624"/>
      <c r="GG278" s="620"/>
      <c r="GI278" s="582"/>
      <c r="GJ278" s="624"/>
      <c r="GK278" s="624"/>
      <c r="GL278" s="624"/>
      <c r="GM278" s="624"/>
      <c r="GN278" s="620"/>
      <c r="GP278" s="582"/>
      <c r="GQ278" s="624"/>
      <c r="GR278" s="624"/>
      <c r="GS278" s="624"/>
      <c r="GT278" s="624"/>
      <c r="GU278" s="620"/>
      <c r="GW278" s="582"/>
      <c r="GX278" s="624"/>
      <c r="GY278" s="624"/>
      <c r="GZ278" s="624"/>
      <c r="HA278" s="624"/>
      <c r="HB278" s="620"/>
      <c r="HD278" s="582"/>
      <c r="HE278" s="624"/>
      <c r="HF278" s="624"/>
      <c r="HG278" s="624"/>
      <c r="HH278" s="624"/>
      <c r="HI278" s="620"/>
      <c r="HK278" s="582"/>
      <c r="HL278" s="624"/>
      <c r="HM278" s="624"/>
      <c r="HN278" s="624"/>
      <c r="HO278" s="624"/>
      <c r="HP278" s="620"/>
      <c r="HR278" s="582"/>
      <c r="HS278" s="624"/>
      <c r="HT278" s="624"/>
      <c r="HU278" s="624"/>
      <c r="HV278" s="624"/>
      <c r="HW278" s="620"/>
      <c r="HY278" s="582"/>
      <c r="HZ278" s="624"/>
      <c r="IA278" s="624"/>
      <c r="IB278" s="624"/>
      <c r="IC278" s="624"/>
      <c r="ID278" s="620"/>
      <c r="IF278" s="582"/>
      <c r="IG278" s="624"/>
      <c r="IH278" s="624"/>
      <c r="II278" s="624"/>
      <c r="IJ278" s="624"/>
      <c r="IK278" s="620"/>
      <c r="IM278" s="582"/>
      <c r="IN278" s="624"/>
      <c r="IO278" s="624"/>
      <c r="IP278" s="624"/>
      <c r="IQ278" s="624"/>
      <c r="IR278" s="620"/>
      <c r="IT278" s="582"/>
      <c r="IU278" s="624"/>
    </row>
    <row r="279" spans="1:255" outlineLevel="1" x14ac:dyDescent="0.25">
      <c r="A279" s="569" t="s">
        <v>864</v>
      </c>
      <c r="B279" s="582"/>
      <c r="C279" s="583" t="s">
        <v>2552</v>
      </c>
      <c r="D279" s="587">
        <f>IF(VLOOKUP($A279,'hk2018'!$A:$G,1)=$A279,VLOOKUP($A279,'hk2018'!$A:$G,6),0)</f>
        <v>0</v>
      </c>
      <c r="E279" s="587">
        <f>IF(VLOOKUP($A279,'hk2018'!$A:$G,1)=$A279,VLOOKUP($A279,'hk2018'!$A:$G,7),0)</f>
        <v>0</v>
      </c>
      <c r="F279" s="587">
        <f>IF(VLOOKUP($A279,'hk2018'!$A:$H,1)=$A279,VLOOKUP($A279,'hk2018'!$A:$H,8),0)</f>
        <v>0</v>
      </c>
      <c r="G279" s="588">
        <f t="shared" ref="G279:G287" si="95">SUM(D279+E279-F279)</f>
        <v>0</v>
      </c>
      <c r="H279" s="587">
        <f>IF(VLOOKUP($A279,'hk2017'!$A:$G,1)=$A279,VLOOKUP($A279,'hk2017'!$A:$G,6),0)</f>
        <v>0</v>
      </c>
      <c r="I279" s="587">
        <f>IF(VLOOKUP($A279,'hk2017'!$A:$G,1)=$A279,VLOOKUP($A279,'hk2017'!$A:$G,7),0)</f>
        <v>0</v>
      </c>
      <c r="J279" s="587">
        <f>IF(VLOOKUP($A279,'hk2017'!$A:$H,1)=$A279,VLOOKUP($A279,'hk2017'!$A:$H,8),0)</f>
        <v>0</v>
      </c>
      <c r="K279" s="589">
        <f t="shared" ref="K279:K287" si="96">SUM(H279+I279-J279)</f>
        <v>0</v>
      </c>
      <c r="L279" s="595"/>
      <c r="M279" s="624"/>
      <c r="N279" s="620"/>
      <c r="P279" s="582"/>
      <c r="Q279" s="624"/>
      <c r="R279" s="624"/>
      <c r="S279" s="624"/>
      <c r="T279" s="624"/>
      <c r="U279" s="620"/>
      <c r="W279" s="582"/>
      <c r="X279" s="624"/>
      <c r="Y279" s="624"/>
      <c r="Z279" s="624"/>
      <c r="AA279" s="624"/>
      <c r="AB279" s="620"/>
      <c r="AD279" s="582"/>
      <c r="AE279" s="624"/>
      <c r="AF279" s="624"/>
      <c r="AG279" s="624"/>
      <c r="AH279" s="624"/>
      <c r="AI279" s="620"/>
      <c r="AK279" s="582"/>
      <c r="AL279" s="624"/>
      <c r="AM279" s="624"/>
      <c r="AN279" s="624"/>
      <c r="AO279" s="624"/>
      <c r="AP279" s="620"/>
      <c r="AR279" s="582"/>
      <c r="AS279" s="624"/>
      <c r="AT279" s="624"/>
      <c r="AU279" s="624"/>
      <c r="AV279" s="624"/>
      <c r="AW279" s="620"/>
      <c r="AY279" s="582"/>
      <c r="AZ279" s="624"/>
      <c r="BA279" s="624"/>
      <c r="BB279" s="624"/>
      <c r="BC279" s="624"/>
      <c r="BD279" s="620"/>
      <c r="BF279" s="582"/>
      <c r="BG279" s="624"/>
      <c r="BH279" s="624"/>
      <c r="BI279" s="624"/>
      <c r="BJ279" s="624"/>
      <c r="BK279" s="620"/>
      <c r="BM279" s="582"/>
      <c r="BN279" s="624"/>
      <c r="BO279" s="624"/>
      <c r="BP279" s="624"/>
      <c r="BQ279" s="624"/>
      <c r="BR279" s="620"/>
      <c r="BT279" s="582"/>
      <c r="BU279" s="624"/>
      <c r="BV279" s="624"/>
      <c r="BW279" s="624"/>
      <c r="BX279" s="624"/>
      <c r="BY279" s="620"/>
      <c r="CA279" s="582"/>
      <c r="CB279" s="624"/>
      <c r="CC279" s="624"/>
      <c r="CD279" s="624"/>
      <c r="CE279" s="624"/>
      <c r="CF279" s="620"/>
      <c r="CH279" s="582"/>
      <c r="CI279" s="624"/>
      <c r="CJ279" s="624"/>
      <c r="CK279" s="624"/>
      <c r="CL279" s="624"/>
      <c r="CM279" s="620"/>
      <c r="CO279" s="582"/>
      <c r="CP279" s="624"/>
      <c r="CQ279" s="624"/>
      <c r="CR279" s="624"/>
      <c r="CS279" s="624"/>
      <c r="CT279" s="620"/>
      <c r="CV279" s="582"/>
      <c r="CW279" s="624"/>
      <c r="CX279" s="624"/>
      <c r="CY279" s="624"/>
      <c r="CZ279" s="624"/>
      <c r="DA279" s="620"/>
      <c r="DC279" s="582"/>
      <c r="DD279" s="624"/>
      <c r="DE279" s="624"/>
      <c r="DF279" s="624"/>
      <c r="DG279" s="624"/>
      <c r="DH279" s="620"/>
      <c r="DJ279" s="582"/>
      <c r="DK279" s="624"/>
      <c r="DL279" s="624"/>
      <c r="DM279" s="624"/>
      <c r="DN279" s="624"/>
      <c r="DO279" s="620"/>
      <c r="DQ279" s="582"/>
      <c r="DR279" s="624"/>
      <c r="DS279" s="624"/>
      <c r="DT279" s="624"/>
      <c r="DU279" s="624"/>
      <c r="DV279" s="620"/>
      <c r="DX279" s="582"/>
      <c r="DY279" s="624"/>
      <c r="DZ279" s="624"/>
      <c r="EA279" s="624"/>
      <c r="EB279" s="624"/>
      <c r="EC279" s="620"/>
      <c r="EE279" s="582"/>
      <c r="EF279" s="624"/>
      <c r="EG279" s="624"/>
      <c r="EH279" s="624"/>
      <c r="EI279" s="624"/>
      <c r="EJ279" s="620"/>
      <c r="EL279" s="582"/>
      <c r="EM279" s="624"/>
      <c r="EN279" s="624"/>
      <c r="EO279" s="624"/>
      <c r="EP279" s="624"/>
      <c r="EQ279" s="620"/>
      <c r="ES279" s="582"/>
      <c r="ET279" s="624"/>
      <c r="EU279" s="624"/>
      <c r="EV279" s="624"/>
      <c r="EW279" s="624"/>
      <c r="EX279" s="620"/>
      <c r="EZ279" s="582"/>
      <c r="FA279" s="624"/>
      <c r="FB279" s="624"/>
      <c r="FC279" s="624"/>
      <c r="FD279" s="624"/>
      <c r="FE279" s="620"/>
      <c r="FG279" s="582"/>
      <c r="FH279" s="624"/>
      <c r="FI279" s="624"/>
      <c r="FJ279" s="624"/>
      <c r="FK279" s="624"/>
      <c r="FL279" s="620"/>
      <c r="FN279" s="582"/>
      <c r="FO279" s="624"/>
      <c r="FP279" s="624"/>
      <c r="FQ279" s="624"/>
      <c r="FR279" s="624"/>
      <c r="FS279" s="620"/>
      <c r="FU279" s="582"/>
      <c r="FV279" s="624"/>
      <c r="FW279" s="624"/>
      <c r="FX279" s="624"/>
      <c r="FY279" s="624"/>
      <c r="FZ279" s="620"/>
      <c r="GB279" s="582"/>
      <c r="GC279" s="624"/>
      <c r="GD279" s="624"/>
      <c r="GE279" s="624"/>
      <c r="GF279" s="624"/>
      <c r="GG279" s="620"/>
      <c r="GI279" s="582"/>
      <c r="GJ279" s="624"/>
      <c r="GK279" s="624"/>
      <c r="GL279" s="624"/>
      <c r="GM279" s="624"/>
      <c r="GN279" s="620"/>
      <c r="GP279" s="582"/>
      <c r="GQ279" s="624"/>
      <c r="GR279" s="624"/>
      <c r="GS279" s="624"/>
      <c r="GT279" s="624"/>
      <c r="GU279" s="620"/>
      <c r="GW279" s="582"/>
      <c r="GX279" s="624"/>
      <c r="GY279" s="624"/>
      <c r="GZ279" s="624"/>
      <c r="HA279" s="624"/>
      <c r="HB279" s="620"/>
      <c r="HD279" s="582"/>
      <c r="HE279" s="624"/>
      <c r="HF279" s="624"/>
      <c r="HG279" s="624"/>
      <c r="HH279" s="624"/>
      <c r="HI279" s="620"/>
      <c r="HK279" s="582"/>
      <c r="HL279" s="624"/>
      <c r="HM279" s="624"/>
      <c r="HN279" s="624"/>
      <c r="HO279" s="624"/>
      <c r="HP279" s="620"/>
      <c r="HR279" s="582"/>
      <c r="HS279" s="624"/>
      <c r="HT279" s="624"/>
      <c r="HU279" s="624"/>
      <c r="HV279" s="624"/>
      <c r="HW279" s="620"/>
      <c r="HY279" s="582"/>
      <c r="HZ279" s="624"/>
      <c r="IA279" s="624"/>
      <c r="IB279" s="624"/>
      <c r="IC279" s="624"/>
      <c r="ID279" s="620"/>
      <c r="IF279" s="582"/>
      <c r="IG279" s="624"/>
      <c r="IH279" s="624"/>
      <c r="II279" s="624"/>
      <c r="IJ279" s="624"/>
      <c r="IK279" s="620"/>
      <c r="IM279" s="582"/>
      <c r="IN279" s="624"/>
      <c r="IO279" s="624"/>
      <c r="IP279" s="624"/>
      <c r="IQ279" s="624"/>
      <c r="IR279" s="620"/>
      <c r="IT279" s="582"/>
      <c r="IU279" s="624"/>
    </row>
    <row r="280" spans="1:255" outlineLevel="1" x14ac:dyDescent="0.25">
      <c r="A280" s="569" t="str">
        <f t="shared" ref="A280:A287" si="97">LEFT(B280,3)</f>
        <v>521</v>
      </c>
      <c r="B280" s="565" t="s">
        <v>3101</v>
      </c>
      <c r="C280" s="565" t="s">
        <v>3102</v>
      </c>
      <c r="D280" s="587">
        <f>IF(VLOOKUP($A280,'hk2018'!$A:$G,1)=$A280,VLOOKUP($A280,'hk2018'!$A:$G,6),0)</f>
        <v>0</v>
      </c>
      <c r="E280" s="587">
        <f>IF(VLOOKUP($A280,'hk2018'!$A:$G,1)=$A280,VLOOKUP($A280,'hk2018'!$A:$G,7),0)</f>
        <v>145462.91</v>
      </c>
      <c r="F280" s="587">
        <f>IF(VLOOKUP($A280,'hk2018'!$A:$H,1)=$A280,VLOOKUP($A280,'hk2018'!$A:$H,8),0)</f>
        <v>0</v>
      </c>
      <c r="G280" s="588">
        <f t="shared" si="95"/>
        <v>145462.91</v>
      </c>
      <c r="H280" s="587">
        <f>IF(VLOOKUP($A280,'hk2017'!$A:$G,1)=$A280,VLOOKUP($A280,'hk2017'!$A:$G,6),0)</f>
        <v>0</v>
      </c>
      <c r="I280" s="587">
        <f>IF(VLOOKUP($A280,'hk2017'!$A:$G,1)=$A280,VLOOKUP($A280,'hk2017'!$A:$G,7),0)</f>
        <v>154126.04</v>
      </c>
      <c r="J280" s="587">
        <f>IF(VLOOKUP($A280,'hk2017'!$A:$H,1)=$A280,VLOOKUP($A280,'hk2017'!$A:$H,8),0)</f>
        <v>0</v>
      </c>
      <c r="K280" s="589">
        <f t="shared" si="96"/>
        <v>154126.04</v>
      </c>
      <c r="L280" s="595"/>
    </row>
    <row r="281" spans="1:255" outlineLevel="1" x14ac:dyDescent="0.25">
      <c r="A281" s="569" t="str">
        <f t="shared" si="97"/>
        <v>522</v>
      </c>
      <c r="B281" s="565" t="s">
        <v>3103</v>
      </c>
      <c r="C281" s="565" t="s">
        <v>3104</v>
      </c>
      <c r="D281" s="587">
        <f>IF(VLOOKUP($A281,'hk2018'!$A:$G,1)=$A281,VLOOKUP($A281,'hk2018'!$A:$G,6),0)</f>
        <v>0</v>
      </c>
      <c r="E281" s="587">
        <f>IF(VLOOKUP($A281,'hk2018'!$A:$G,1)=$A281,VLOOKUP($A281,'hk2018'!$A:$G,7),0)</f>
        <v>264.93</v>
      </c>
      <c r="F281" s="587">
        <f>IF(VLOOKUP($A281,'hk2018'!$A:$H,1)=$A281,VLOOKUP($A281,'hk2018'!$A:$H,8),0)</f>
        <v>0</v>
      </c>
      <c r="G281" s="588">
        <f t="shared" si="95"/>
        <v>264.93</v>
      </c>
      <c r="H281" s="587">
        <f>IF(VLOOKUP($A281,'hk2017'!$A:$G,1)=$A281,VLOOKUP($A281,'hk2017'!$A:$G,6),0)</f>
        <v>0</v>
      </c>
      <c r="I281" s="587">
        <f>IF(VLOOKUP($A281,'hk2017'!$A:$G,1)=$A281,VLOOKUP($A281,'hk2017'!$A:$G,7),0)</f>
        <v>0</v>
      </c>
      <c r="J281" s="587">
        <f>IF(VLOOKUP($A281,'hk2017'!$A:$H,1)=$A281,VLOOKUP($A281,'hk2017'!$A:$H,8),0)</f>
        <v>0</v>
      </c>
      <c r="K281" s="589">
        <f t="shared" si="96"/>
        <v>0</v>
      </c>
      <c r="L281" s="595"/>
    </row>
    <row r="282" spans="1:255" outlineLevel="1" x14ac:dyDescent="0.25">
      <c r="A282" s="569" t="str">
        <f t="shared" si="97"/>
        <v>523</v>
      </c>
      <c r="B282" s="565" t="s">
        <v>3105</v>
      </c>
      <c r="C282" s="565" t="s">
        <v>3106</v>
      </c>
      <c r="D282" s="587">
        <f>IF(VLOOKUP($A282,'hk2018'!$A:$G,1)=$A282,VLOOKUP($A282,'hk2018'!$A:$G,6),0)</f>
        <v>0</v>
      </c>
      <c r="E282" s="587">
        <f>IF(VLOOKUP($A282,'hk2018'!$A:$G,1)=$A282,VLOOKUP($A282,'hk2018'!$A:$G,7),0)</f>
        <v>0</v>
      </c>
      <c r="F282" s="587">
        <f>IF(VLOOKUP($A282,'hk2018'!$A:$H,1)=$A282,VLOOKUP($A282,'hk2018'!$A:$H,8),0)</f>
        <v>0</v>
      </c>
      <c r="G282" s="588">
        <f t="shared" si="95"/>
        <v>0</v>
      </c>
      <c r="H282" s="587">
        <f>IF(VLOOKUP($A282,'hk2017'!$A:$G,1)=$A282,VLOOKUP($A282,'hk2017'!$A:$G,6),0)</f>
        <v>0</v>
      </c>
      <c r="I282" s="587">
        <f>IF(VLOOKUP($A282,'hk2017'!$A:$G,1)=$A282,VLOOKUP($A282,'hk2017'!$A:$G,7),0)</f>
        <v>0</v>
      </c>
      <c r="J282" s="587">
        <f>IF(VLOOKUP($A282,'hk2017'!$A:$H,1)=$A282,VLOOKUP($A282,'hk2017'!$A:$H,8),0)</f>
        <v>0</v>
      </c>
      <c r="K282" s="589">
        <f t="shared" si="96"/>
        <v>0</v>
      </c>
      <c r="L282" s="595"/>
    </row>
    <row r="283" spans="1:255" outlineLevel="1" x14ac:dyDescent="0.25">
      <c r="A283" s="569" t="str">
        <f t="shared" si="97"/>
        <v>524</v>
      </c>
      <c r="B283" s="565" t="s">
        <v>3107</v>
      </c>
      <c r="C283" s="565" t="s">
        <v>3108</v>
      </c>
      <c r="D283" s="587">
        <f>IF(VLOOKUP($A283,'hk2018'!$A:$G,1)=$A283,VLOOKUP($A283,'hk2018'!$A:$G,6),0)</f>
        <v>0</v>
      </c>
      <c r="E283" s="587">
        <f>IF(VLOOKUP($A283,'hk2018'!$A:$G,1)=$A283,VLOOKUP($A283,'hk2018'!$A:$G,7),0)</f>
        <v>48465.47</v>
      </c>
      <c r="F283" s="587">
        <f>IF(VLOOKUP($A283,'hk2018'!$A:$H,1)=$A283,VLOOKUP($A283,'hk2018'!$A:$H,8),0)</f>
        <v>318.39</v>
      </c>
      <c r="G283" s="588">
        <f t="shared" si="95"/>
        <v>48147.08</v>
      </c>
      <c r="H283" s="587">
        <f>IF(VLOOKUP($A283,'hk2017'!$A:$G,1)=$A283,VLOOKUP($A283,'hk2017'!$A:$G,6),0)</f>
        <v>0</v>
      </c>
      <c r="I283" s="587">
        <f>IF(VLOOKUP($A283,'hk2017'!$A:$G,1)=$A283,VLOOKUP($A283,'hk2017'!$A:$G,7),0)</f>
        <v>54078.75</v>
      </c>
      <c r="J283" s="587">
        <f>IF(VLOOKUP($A283,'hk2017'!$A:$H,1)=$A283,VLOOKUP($A283,'hk2017'!$A:$H,8),0)</f>
        <v>546.91</v>
      </c>
      <c r="K283" s="589">
        <f t="shared" si="96"/>
        <v>53531.839999999997</v>
      </c>
      <c r="L283" s="595"/>
    </row>
    <row r="284" spans="1:255" outlineLevel="1" x14ac:dyDescent="0.25">
      <c r="A284" s="569" t="str">
        <f t="shared" si="97"/>
        <v>525</v>
      </c>
      <c r="B284" s="565" t="s">
        <v>3109</v>
      </c>
      <c r="C284" s="565" t="s">
        <v>3110</v>
      </c>
      <c r="D284" s="587">
        <f>IF(VLOOKUP($A284,'hk2018'!$A:$G,1)=$A284,VLOOKUP($A284,'hk2018'!$A:$G,6),0)</f>
        <v>0</v>
      </c>
      <c r="E284" s="587">
        <f>IF(VLOOKUP($A284,'hk2018'!$A:$G,1)=$A284,VLOOKUP($A284,'hk2018'!$A:$G,7),0)</f>
        <v>2320.11</v>
      </c>
      <c r="F284" s="587">
        <f>IF(VLOOKUP($A284,'hk2018'!$A:$H,1)=$A284,VLOOKUP($A284,'hk2018'!$A:$H,8),0)</f>
        <v>0</v>
      </c>
      <c r="G284" s="588">
        <f t="shared" si="95"/>
        <v>2320.11</v>
      </c>
      <c r="H284" s="587">
        <f>IF(VLOOKUP($A284,'hk2017'!$A:$G,1)=$A284,VLOOKUP($A284,'hk2017'!$A:$G,6),0)</f>
        <v>0</v>
      </c>
      <c r="I284" s="587">
        <f>IF(VLOOKUP($A284,'hk2017'!$A:$G,1)=$A284,VLOOKUP($A284,'hk2017'!$A:$G,7),0)</f>
        <v>2354.92</v>
      </c>
      <c r="J284" s="587">
        <f>IF(VLOOKUP($A284,'hk2017'!$A:$H,1)=$A284,VLOOKUP($A284,'hk2017'!$A:$H,8),0)</f>
        <v>0</v>
      </c>
      <c r="K284" s="589">
        <f t="shared" si="96"/>
        <v>2354.92</v>
      </c>
      <c r="L284" s="595"/>
    </row>
    <row r="285" spans="1:255" outlineLevel="1" x14ac:dyDescent="0.25">
      <c r="A285" s="569" t="str">
        <f t="shared" si="97"/>
        <v>526</v>
      </c>
      <c r="B285" s="565" t="s">
        <v>3111</v>
      </c>
      <c r="C285" s="565" t="s">
        <v>3112</v>
      </c>
      <c r="D285" s="587">
        <f>IF(VLOOKUP($A285,'hk2018'!$A:$G,1)=$A285,VLOOKUP($A285,'hk2018'!$A:$G,6),0)</f>
        <v>0</v>
      </c>
      <c r="E285" s="587">
        <f>IF(VLOOKUP($A285,'hk2018'!$A:$G,1)=$A285,VLOOKUP($A285,'hk2018'!$A:$G,7),0)</f>
        <v>0</v>
      </c>
      <c r="F285" s="587">
        <f>IF(VLOOKUP($A285,'hk2018'!$A:$H,1)=$A285,VLOOKUP($A285,'hk2018'!$A:$H,8),0)</f>
        <v>0</v>
      </c>
      <c r="G285" s="588">
        <f t="shared" si="95"/>
        <v>0</v>
      </c>
      <c r="H285" s="587">
        <f>IF(VLOOKUP($A285,'hk2017'!$A:$G,1)=$A285,VLOOKUP($A285,'hk2017'!$A:$G,6),0)</f>
        <v>0</v>
      </c>
      <c r="I285" s="587">
        <f>IF(VLOOKUP($A285,'hk2017'!$A:$G,1)=$A285,VLOOKUP($A285,'hk2017'!$A:$G,7),0)</f>
        <v>0</v>
      </c>
      <c r="J285" s="587">
        <f>IF(VLOOKUP($A285,'hk2017'!$A:$H,1)=$A285,VLOOKUP($A285,'hk2017'!$A:$H,8),0)</f>
        <v>0</v>
      </c>
      <c r="K285" s="589">
        <f t="shared" si="96"/>
        <v>0</v>
      </c>
      <c r="L285" s="595"/>
    </row>
    <row r="286" spans="1:255" outlineLevel="1" x14ac:dyDescent="0.25">
      <c r="A286" s="569" t="str">
        <f t="shared" si="97"/>
        <v>527</v>
      </c>
      <c r="B286" s="565" t="s">
        <v>3113</v>
      </c>
      <c r="C286" s="565" t="s">
        <v>3114</v>
      </c>
      <c r="D286" s="587">
        <f>IF(VLOOKUP($A286,'hk2018'!$A:$G,1)=$A286,VLOOKUP($A286,'hk2018'!$A:$G,6),0)</f>
        <v>0</v>
      </c>
      <c r="E286" s="587">
        <f>IF(VLOOKUP($A286,'hk2018'!$A:$G,1)=$A286,VLOOKUP($A286,'hk2018'!$A:$G,7),0)</f>
        <v>11933.76</v>
      </c>
      <c r="F286" s="587">
        <f>IF(VLOOKUP($A286,'hk2018'!$A:$H,1)=$A286,VLOOKUP($A286,'hk2018'!$A:$H,8),0)</f>
        <v>0</v>
      </c>
      <c r="G286" s="588">
        <f t="shared" si="95"/>
        <v>11933.76</v>
      </c>
      <c r="H286" s="587">
        <f>IF(VLOOKUP($A286,'hk2017'!$A:$G,1)=$A286,VLOOKUP($A286,'hk2017'!$A:$G,6),0)</f>
        <v>0</v>
      </c>
      <c r="I286" s="587">
        <f>IF(VLOOKUP($A286,'hk2017'!$A:$G,1)=$A286,VLOOKUP($A286,'hk2017'!$A:$G,7),0)</f>
        <v>8487.27</v>
      </c>
      <c r="J286" s="587">
        <f>IF(VLOOKUP($A286,'hk2017'!$A:$H,1)=$A286,VLOOKUP($A286,'hk2017'!$A:$H,8),0)</f>
        <v>0</v>
      </c>
      <c r="K286" s="589">
        <f t="shared" si="96"/>
        <v>8487.27</v>
      </c>
      <c r="L286" s="595"/>
    </row>
    <row r="287" spans="1:255" outlineLevel="1" x14ac:dyDescent="0.25">
      <c r="A287" s="569" t="str">
        <f t="shared" si="97"/>
        <v>528</v>
      </c>
      <c r="B287" s="565" t="s">
        <v>3115</v>
      </c>
      <c r="C287" s="565" t="s">
        <v>3116</v>
      </c>
      <c r="D287" s="587">
        <f>IF(VLOOKUP($A287,'hk2018'!$A:$G,1)=$A287,VLOOKUP($A287,'hk2018'!$A:$G,6),0)</f>
        <v>0</v>
      </c>
      <c r="E287" s="587">
        <f>IF(VLOOKUP($A287,'hk2018'!$A:$G,1)=$A287,VLOOKUP($A287,'hk2018'!$A:$G,7),0)</f>
        <v>364.43</v>
      </c>
      <c r="F287" s="587">
        <f>IF(VLOOKUP($A287,'hk2018'!$A:$H,1)=$A287,VLOOKUP($A287,'hk2018'!$A:$H,8),0)</f>
        <v>0</v>
      </c>
      <c r="G287" s="588">
        <f t="shared" si="95"/>
        <v>364.43</v>
      </c>
      <c r="H287" s="587">
        <f>IF(VLOOKUP($A287,'hk2017'!$A:$G,1)=$A287,VLOOKUP($A287,'hk2017'!$A:$G,6),0)</f>
        <v>0</v>
      </c>
      <c r="I287" s="587">
        <f>IF(VLOOKUP($A287,'hk2017'!$A:$G,1)=$A287,VLOOKUP($A287,'hk2017'!$A:$G,7),0)</f>
        <v>259.99</v>
      </c>
      <c r="J287" s="587">
        <f>IF(VLOOKUP($A287,'hk2017'!$A:$H,1)=$A287,VLOOKUP($A287,'hk2017'!$A:$H,8),0)</f>
        <v>0</v>
      </c>
      <c r="K287" s="589">
        <f t="shared" si="96"/>
        <v>259.99</v>
      </c>
      <c r="L287" s="595"/>
    </row>
    <row r="288" spans="1:255" outlineLevel="1" x14ac:dyDescent="0.25">
      <c r="A288" s="569"/>
      <c r="B288" s="565"/>
      <c r="C288" s="565"/>
      <c r="H288" s="610"/>
      <c r="I288" s="610"/>
      <c r="J288" s="610"/>
      <c r="K288" s="611"/>
      <c r="L288" s="595"/>
    </row>
    <row r="289" spans="1:255" x14ac:dyDescent="0.25">
      <c r="A289" s="604" t="s">
        <v>2202</v>
      </c>
      <c r="B289" s="605"/>
      <c r="C289" s="606" t="s">
        <v>2554</v>
      </c>
      <c r="D289" s="578">
        <f t="shared" ref="D289:K289" si="98">SUM(D290:D293)</f>
        <v>0</v>
      </c>
      <c r="E289" s="578">
        <f t="shared" si="98"/>
        <v>888.59</v>
      </c>
      <c r="F289" s="578">
        <f t="shared" si="98"/>
        <v>0</v>
      </c>
      <c r="G289" s="579">
        <f t="shared" si="98"/>
        <v>888.59</v>
      </c>
      <c r="H289" s="578">
        <f t="shared" si="98"/>
        <v>0</v>
      </c>
      <c r="I289" s="578">
        <f t="shared" si="98"/>
        <v>1636.46</v>
      </c>
      <c r="J289" s="578">
        <f t="shared" si="98"/>
        <v>0</v>
      </c>
      <c r="K289" s="580">
        <f t="shared" si="98"/>
        <v>1636.46</v>
      </c>
      <c r="L289" s="595"/>
      <c r="M289" s="624"/>
      <c r="N289" s="620"/>
      <c r="P289" s="582"/>
      <c r="Q289" s="624"/>
      <c r="R289" s="624"/>
      <c r="S289" s="624"/>
      <c r="T289" s="624"/>
      <c r="U289" s="620"/>
      <c r="W289" s="582"/>
      <c r="X289" s="624"/>
      <c r="Y289" s="624"/>
      <c r="Z289" s="624"/>
      <c r="AA289" s="624"/>
      <c r="AB289" s="620"/>
      <c r="AD289" s="582"/>
      <c r="AE289" s="624"/>
      <c r="AF289" s="624"/>
      <c r="AG289" s="624"/>
      <c r="AH289" s="624"/>
      <c r="AI289" s="620"/>
      <c r="AK289" s="582"/>
      <c r="AL289" s="624"/>
      <c r="AM289" s="624"/>
      <c r="AN289" s="624"/>
      <c r="AO289" s="624"/>
      <c r="AP289" s="620"/>
      <c r="AR289" s="582"/>
      <c r="AS289" s="624"/>
      <c r="AT289" s="624"/>
      <c r="AU289" s="624"/>
      <c r="AV289" s="624"/>
      <c r="AW289" s="620"/>
      <c r="AY289" s="582"/>
      <c r="AZ289" s="624"/>
      <c r="BA289" s="624"/>
      <c r="BB289" s="624"/>
      <c r="BC289" s="624"/>
      <c r="BD289" s="620"/>
      <c r="BF289" s="582"/>
      <c r="BG289" s="624"/>
      <c r="BH289" s="624"/>
      <c r="BI289" s="624"/>
      <c r="BJ289" s="624"/>
      <c r="BK289" s="620"/>
      <c r="BM289" s="582"/>
      <c r="BN289" s="624"/>
      <c r="BO289" s="624"/>
      <c r="BP289" s="624"/>
      <c r="BQ289" s="624"/>
      <c r="BR289" s="620"/>
      <c r="BT289" s="582"/>
      <c r="BU289" s="624"/>
      <c r="BV289" s="624"/>
      <c r="BW289" s="624"/>
      <c r="BX289" s="624"/>
      <c r="BY289" s="620"/>
      <c r="CA289" s="582"/>
      <c r="CB289" s="624"/>
      <c r="CC289" s="624"/>
      <c r="CD289" s="624"/>
      <c r="CE289" s="624"/>
      <c r="CF289" s="620"/>
      <c r="CH289" s="582"/>
      <c r="CI289" s="624"/>
      <c r="CJ289" s="624"/>
      <c r="CK289" s="624"/>
      <c r="CL289" s="624"/>
      <c r="CM289" s="620"/>
      <c r="CO289" s="582"/>
      <c r="CP289" s="624"/>
      <c r="CQ289" s="624"/>
      <c r="CR289" s="624"/>
      <c r="CS289" s="624"/>
      <c r="CT289" s="620"/>
      <c r="CV289" s="582"/>
      <c r="CW289" s="624"/>
      <c r="CX289" s="624"/>
      <c r="CY289" s="624"/>
      <c r="CZ289" s="624"/>
      <c r="DA289" s="620"/>
      <c r="DC289" s="582"/>
      <c r="DD289" s="624"/>
      <c r="DE289" s="624"/>
      <c r="DF289" s="624"/>
      <c r="DG289" s="624"/>
      <c r="DH289" s="620"/>
      <c r="DJ289" s="582"/>
      <c r="DK289" s="624"/>
      <c r="DL289" s="624"/>
      <c r="DM289" s="624"/>
      <c r="DN289" s="624"/>
      <c r="DO289" s="620"/>
      <c r="DQ289" s="582"/>
      <c r="DR289" s="624"/>
      <c r="DS289" s="624"/>
      <c r="DT289" s="624"/>
      <c r="DU289" s="624"/>
      <c r="DV289" s="620"/>
      <c r="DX289" s="582"/>
      <c r="DY289" s="624"/>
      <c r="DZ289" s="624"/>
      <c r="EA289" s="624"/>
      <c r="EB289" s="624"/>
      <c r="EC289" s="620"/>
      <c r="EE289" s="582"/>
      <c r="EF289" s="624"/>
      <c r="EG289" s="624"/>
      <c r="EH289" s="624"/>
      <c r="EI289" s="624"/>
      <c r="EJ289" s="620"/>
      <c r="EL289" s="582"/>
      <c r="EM289" s="624"/>
      <c r="EN289" s="624"/>
      <c r="EO289" s="624"/>
      <c r="EP289" s="624"/>
      <c r="EQ289" s="620"/>
      <c r="ES289" s="582"/>
      <c r="ET289" s="624"/>
      <c r="EU289" s="624"/>
      <c r="EV289" s="624"/>
      <c r="EW289" s="624"/>
      <c r="EX289" s="620"/>
      <c r="EZ289" s="582"/>
      <c r="FA289" s="624"/>
      <c r="FB289" s="624"/>
      <c r="FC289" s="624"/>
      <c r="FD289" s="624"/>
      <c r="FE289" s="620"/>
      <c r="FG289" s="582"/>
      <c r="FH289" s="624"/>
      <c r="FI289" s="624"/>
      <c r="FJ289" s="624"/>
      <c r="FK289" s="624"/>
      <c r="FL289" s="620"/>
      <c r="FN289" s="582"/>
      <c r="FO289" s="624"/>
      <c r="FP289" s="624"/>
      <c r="FQ289" s="624"/>
      <c r="FR289" s="624"/>
      <c r="FS289" s="620"/>
      <c r="FU289" s="582"/>
      <c r="FV289" s="624"/>
      <c r="FW289" s="624"/>
      <c r="FX289" s="624"/>
      <c r="FY289" s="624"/>
      <c r="FZ289" s="620"/>
      <c r="GB289" s="582"/>
      <c r="GC289" s="624"/>
      <c r="GD289" s="624"/>
      <c r="GE289" s="624"/>
      <c r="GF289" s="624"/>
      <c r="GG289" s="620"/>
      <c r="GI289" s="582"/>
      <c r="GJ289" s="624"/>
      <c r="GK289" s="624"/>
      <c r="GL289" s="624"/>
      <c r="GM289" s="624"/>
      <c r="GN289" s="620"/>
      <c r="GP289" s="582"/>
      <c r="GQ289" s="624"/>
      <c r="GR289" s="624"/>
      <c r="GS289" s="624"/>
      <c r="GT289" s="624"/>
      <c r="GU289" s="620"/>
      <c r="GW289" s="582"/>
      <c r="GX289" s="624"/>
      <c r="GY289" s="624"/>
      <c r="GZ289" s="624"/>
      <c r="HA289" s="624"/>
      <c r="HB289" s="620"/>
      <c r="HD289" s="582"/>
      <c r="HE289" s="624"/>
      <c r="HF289" s="624"/>
      <c r="HG289" s="624"/>
      <c r="HH289" s="624"/>
      <c r="HI289" s="620"/>
      <c r="HK289" s="582"/>
      <c r="HL289" s="624"/>
      <c r="HM289" s="624"/>
      <c r="HN289" s="624"/>
      <c r="HO289" s="624"/>
      <c r="HP289" s="620"/>
      <c r="HR289" s="582"/>
      <c r="HS289" s="624"/>
      <c r="HT289" s="624"/>
      <c r="HU289" s="624"/>
      <c r="HV289" s="624"/>
      <c r="HW289" s="620"/>
      <c r="HY289" s="582"/>
      <c r="HZ289" s="624"/>
      <c r="IA289" s="624"/>
      <c r="IB289" s="624"/>
      <c r="IC289" s="624"/>
      <c r="ID289" s="620"/>
      <c r="IF289" s="582"/>
      <c r="IG289" s="624"/>
      <c r="IH289" s="624"/>
      <c r="II289" s="624"/>
      <c r="IJ289" s="624"/>
      <c r="IK289" s="620"/>
      <c r="IM289" s="582"/>
      <c r="IN289" s="624"/>
      <c r="IO289" s="624"/>
      <c r="IP289" s="624"/>
      <c r="IQ289" s="624"/>
      <c r="IR289" s="620"/>
      <c r="IT289" s="582"/>
      <c r="IU289" s="624"/>
    </row>
    <row r="290" spans="1:255" outlineLevel="1" x14ac:dyDescent="0.25">
      <c r="A290" s="598" t="s">
        <v>896</v>
      </c>
      <c r="B290" s="582"/>
      <c r="C290" s="583" t="s">
        <v>2554</v>
      </c>
      <c r="D290" s="587">
        <f>IF(VLOOKUP($A290,'hk2018'!$A:$G,1)=$A290,VLOOKUP($A290,'hk2018'!$A:$G,6),0)</f>
        <v>0</v>
      </c>
      <c r="E290" s="587">
        <f>IF(VLOOKUP($A290,'hk2018'!$A:$G,1)=$A290,VLOOKUP($A290,'hk2018'!$A:$G,7),0)</f>
        <v>0</v>
      </c>
      <c r="F290" s="587">
        <f>IF(VLOOKUP($A290,'hk2018'!$A:$H,1)=$A290,VLOOKUP($A290,'hk2018'!$A:$H,8),0)</f>
        <v>0</v>
      </c>
      <c r="G290" s="588">
        <f>SUM(D290+E290-F290)</f>
        <v>0</v>
      </c>
      <c r="H290" s="587">
        <f>IF(VLOOKUP($A290,'hk2017'!$A:$G,1)=$A290,VLOOKUP($A290,'hk2017'!$A:$G,6),0)</f>
        <v>0</v>
      </c>
      <c r="I290" s="587">
        <f>IF(VLOOKUP($A290,'hk2017'!$A:$G,1)=$A290,VLOOKUP($A290,'hk2017'!$A:$G,7),0)</f>
        <v>0</v>
      </c>
      <c r="J290" s="587">
        <f>IF(VLOOKUP($A290,'hk2017'!$A:$H,1)=$A290,VLOOKUP($A290,'hk2017'!$A:$H,8),0)</f>
        <v>0</v>
      </c>
      <c r="K290" s="589">
        <f>SUM(H290+I290-J290)</f>
        <v>0</v>
      </c>
      <c r="L290" s="595"/>
      <c r="M290" s="624"/>
      <c r="N290" s="620"/>
      <c r="P290" s="582"/>
      <c r="Q290" s="624"/>
      <c r="R290" s="624"/>
      <c r="S290" s="624"/>
      <c r="T290" s="624"/>
      <c r="U290" s="620"/>
      <c r="W290" s="582"/>
      <c r="X290" s="624"/>
      <c r="Y290" s="624"/>
      <c r="Z290" s="624"/>
      <c r="AA290" s="624"/>
      <c r="AB290" s="620"/>
      <c r="AD290" s="582"/>
      <c r="AE290" s="624"/>
      <c r="AF290" s="624"/>
      <c r="AG290" s="624"/>
      <c r="AH290" s="624"/>
      <c r="AI290" s="620"/>
      <c r="AK290" s="582"/>
      <c r="AL290" s="624"/>
      <c r="AM290" s="624"/>
      <c r="AN290" s="624"/>
      <c r="AO290" s="624"/>
      <c r="AP290" s="620"/>
      <c r="AR290" s="582"/>
      <c r="AS290" s="624"/>
      <c r="AT290" s="624"/>
      <c r="AU290" s="624"/>
      <c r="AV290" s="624"/>
      <c r="AW290" s="620"/>
      <c r="AY290" s="582"/>
      <c r="AZ290" s="624"/>
      <c r="BA290" s="624"/>
      <c r="BB290" s="624"/>
      <c r="BC290" s="624"/>
      <c r="BD290" s="620"/>
      <c r="BF290" s="582"/>
      <c r="BG290" s="624"/>
      <c r="BH290" s="624"/>
      <c r="BI290" s="624"/>
      <c r="BJ290" s="624"/>
      <c r="BK290" s="620"/>
      <c r="BM290" s="582"/>
      <c r="BN290" s="624"/>
      <c r="BO290" s="624"/>
      <c r="BP290" s="624"/>
      <c r="BQ290" s="624"/>
      <c r="BR290" s="620"/>
      <c r="BT290" s="582"/>
      <c r="BU290" s="624"/>
      <c r="BV290" s="624"/>
      <c r="BW290" s="624"/>
      <c r="BX290" s="624"/>
      <c r="BY290" s="620"/>
      <c r="CA290" s="582"/>
      <c r="CB290" s="624"/>
      <c r="CC290" s="624"/>
      <c r="CD290" s="624"/>
      <c r="CE290" s="624"/>
      <c r="CF290" s="620"/>
      <c r="CH290" s="582"/>
      <c r="CI290" s="624"/>
      <c r="CJ290" s="624"/>
      <c r="CK290" s="624"/>
      <c r="CL290" s="624"/>
      <c r="CM290" s="620"/>
      <c r="CO290" s="582"/>
      <c r="CP290" s="624"/>
      <c r="CQ290" s="624"/>
      <c r="CR290" s="624"/>
      <c r="CS290" s="624"/>
      <c r="CT290" s="620"/>
      <c r="CV290" s="582"/>
      <c r="CW290" s="624"/>
      <c r="CX290" s="624"/>
      <c r="CY290" s="624"/>
      <c r="CZ290" s="624"/>
      <c r="DA290" s="620"/>
      <c r="DC290" s="582"/>
      <c r="DD290" s="624"/>
      <c r="DE290" s="624"/>
      <c r="DF290" s="624"/>
      <c r="DG290" s="624"/>
      <c r="DH290" s="620"/>
      <c r="DJ290" s="582"/>
      <c r="DK290" s="624"/>
      <c r="DL290" s="624"/>
      <c r="DM290" s="624"/>
      <c r="DN290" s="624"/>
      <c r="DO290" s="620"/>
      <c r="DQ290" s="582"/>
      <c r="DR290" s="624"/>
      <c r="DS290" s="624"/>
      <c r="DT290" s="624"/>
      <c r="DU290" s="624"/>
      <c r="DV290" s="620"/>
      <c r="DX290" s="582"/>
      <c r="DY290" s="624"/>
      <c r="DZ290" s="624"/>
      <c r="EA290" s="624"/>
      <c r="EB290" s="624"/>
      <c r="EC290" s="620"/>
      <c r="EE290" s="582"/>
      <c r="EF290" s="624"/>
      <c r="EG290" s="624"/>
      <c r="EH290" s="624"/>
      <c r="EI290" s="624"/>
      <c r="EJ290" s="620"/>
      <c r="EL290" s="582"/>
      <c r="EM290" s="624"/>
      <c r="EN290" s="624"/>
      <c r="EO290" s="624"/>
      <c r="EP290" s="624"/>
      <c r="EQ290" s="620"/>
      <c r="ES290" s="582"/>
      <c r="ET290" s="624"/>
      <c r="EU290" s="624"/>
      <c r="EV290" s="624"/>
      <c r="EW290" s="624"/>
      <c r="EX290" s="620"/>
      <c r="EZ290" s="582"/>
      <c r="FA290" s="624"/>
      <c r="FB290" s="624"/>
      <c r="FC290" s="624"/>
      <c r="FD290" s="624"/>
      <c r="FE290" s="620"/>
      <c r="FG290" s="582"/>
      <c r="FH290" s="624"/>
      <c r="FI290" s="624"/>
      <c r="FJ290" s="624"/>
      <c r="FK290" s="624"/>
      <c r="FL290" s="620"/>
      <c r="FN290" s="582"/>
      <c r="FO290" s="624"/>
      <c r="FP290" s="624"/>
      <c r="FQ290" s="624"/>
      <c r="FR290" s="624"/>
      <c r="FS290" s="620"/>
      <c r="FU290" s="582"/>
      <c r="FV290" s="624"/>
      <c r="FW290" s="624"/>
      <c r="FX290" s="624"/>
      <c r="FY290" s="624"/>
      <c r="FZ290" s="620"/>
      <c r="GB290" s="582"/>
      <c r="GC290" s="624"/>
      <c r="GD290" s="624"/>
      <c r="GE290" s="624"/>
      <c r="GF290" s="624"/>
      <c r="GG290" s="620"/>
      <c r="GI290" s="582"/>
      <c r="GJ290" s="624"/>
      <c r="GK290" s="624"/>
      <c r="GL290" s="624"/>
      <c r="GM290" s="624"/>
      <c r="GN290" s="620"/>
      <c r="GP290" s="582"/>
      <c r="GQ290" s="624"/>
      <c r="GR290" s="624"/>
      <c r="GS290" s="624"/>
      <c r="GT290" s="624"/>
      <c r="GU290" s="620"/>
      <c r="GW290" s="582"/>
      <c r="GX290" s="624"/>
      <c r="GY290" s="624"/>
      <c r="GZ290" s="624"/>
      <c r="HA290" s="624"/>
      <c r="HB290" s="620"/>
      <c r="HD290" s="582"/>
      <c r="HE290" s="624"/>
      <c r="HF290" s="624"/>
      <c r="HG290" s="624"/>
      <c r="HH290" s="624"/>
      <c r="HI290" s="620"/>
      <c r="HK290" s="582"/>
      <c r="HL290" s="624"/>
      <c r="HM290" s="624"/>
      <c r="HN290" s="624"/>
      <c r="HO290" s="624"/>
      <c r="HP290" s="620"/>
      <c r="HR290" s="582"/>
      <c r="HS290" s="624"/>
      <c r="HT290" s="624"/>
      <c r="HU290" s="624"/>
      <c r="HV290" s="624"/>
      <c r="HW290" s="620"/>
      <c r="HY290" s="582"/>
      <c r="HZ290" s="624"/>
      <c r="IA290" s="624"/>
      <c r="IB290" s="624"/>
      <c r="IC290" s="624"/>
      <c r="ID290" s="620"/>
      <c r="IF290" s="582"/>
      <c r="IG290" s="624"/>
      <c r="IH290" s="624"/>
      <c r="II290" s="624"/>
      <c r="IJ290" s="624"/>
      <c r="IK290" s="620"/>
      <c r="IM290" s="582"/>
      <c r="IN290" s="624"/>
      <c r="IO290" s="624"/>
      <c r="IP290" s="624"/>
      <c r="IQ290" s="624"/>
      <c r="IR290" s="620"/>
      <c r="IT290" s="582"/>
      <c r="IU290" s="624"/>
    </row>
    <row r="291" spans="1:255" outlineLevel="1" x14ac:dyDescent="0.25">
      <c r="A291" s="569" t="str">
        <f>LEFT(B291,3)</f>
        <v>531</v>
      </c>
      <c r="B291" s="565" t="s">
        <v>3117</v>
      </c>
      <c r="C291" s="565" t="s">
        <v>3118</v>
      </c>
      <c r="D291" s="587">
        <f>IF(VLOOKUP($A291,'hk2018'!$A:$G,1)=$A291,VLOOKUP($A291,'hk2018'!$A:$G,6),0)</f>
        <v>0</v>
      </c>
      <c r="E291" s="587">
        <f>IF(VLOOKUP($A291,'hk2018'!$A:$G,1)=$A291,VLOOKUP($A291,'hk2018'!$A:$G,7),0)</f>
        <v>0</v>
      </c>
      <c r="F291" s="587">
        <f>IF(VLOOKUP($A291,'hk2018'!$A:$H,1)=$A291,VLOOKUP($A291,'hk2018'!$A:$H,8),0)</f>
        <v>0</v>
      </c>
      <c r="G291" s="588">
        <f>SUM(D291+E291-F291)</f>
        <v>0</v>
      </c>
      <c r="H291" s="587">
        <f>IF(VLOOKUP($A291,'hk2017'!$A:$G,1)=$A291,VLOOKUP($A291,'hk2017'!$A:$G,6),0)</f>
        <v>0</v>
      </c>
      <c r="I291" s="587">
        <f>IF(VLOOKUP($A291,'hk2017'!$A:$G,1)=$A291,VLOOKUP($A291,'hk2017'!$A:$G,7),0)</f>
        <v>0</v>
      </c>
      <c r="J291" s="587">
        <f>IF(VLOOKUP($A291,'hk2017'!$A:$H,1)=$A291,VLOOKUP($A291,'hk2017'!$A:$H,8),0)</f>
        <v>0</v>
      </c>
      <c r="K291" s="589">
        <f>SUM(H291+I291-J291)</f>
        <v>0</v>
      </c>
      <c r="L291" s="595"/>
    </row>
    <row r="292" spans="1:255" outlineLevel="1" x14ac:dyDescent="0.25">
      <c r="A292" s="569" t="str">
        <f>LEFT(B292,3)</f>
        <v>532</v>
      </c>
      <c r="B292" s="565" t="s">
        <v>3119</v>
      </c>
      <c r="C292" s="565" t="s">
        <v>3120</v>
      </c>
      <c r="D292" s="587">
        <f>IF(VLOOKUP($A292,'hk2018'!$A:$G,1)=$A292,VLOOKUP($A292,'hk2018'!$A:$G,6),0)</f>
        <v>0</v>
      </c>
      <c r="E292" s="587">
        <f>IF(VLOOKUP($A292,'hk2018'!$A:$G,1)=$A292,VLOOKUP($A292,'hk2018'!$A:$G,7),0)</f>
        <v>798.84</v>
      </c>
      <c r="F292" s="587">
        <f>IF(VLOOKUP($A292,'hk2018'!$A:$H,1)=$A292,VLOOKUP($A292,'hk2018'!$A:$H,8),0)</f>
        <v>0</v>
      </c>
      <c r="G292" s="588">
        <f>SUM(D292+E292-F292)</f>
        <v>798.84</v>
      </c>
      <c r="H292" s="587">
        <f>IF(VLOOKUP($A292,'hk2017'!$A:$G,1)=$A292,VLOOKUP($A292,'hk2017'!$A:$G,6),0)</f>
        <v>0</v>
      </c>
      <c r="I292" s="587">
        <f>IF(VLOOKUP($A292,'hk2017'!$A:$G,1)=$A292,VLOOKUP($A292,'hk2017'!$A:$G,7),0)</f>
        <v>1605.46</v>
      </c>
      <c r="J292" s="587">
        <f>IF(VLOOKUP($A292,'hk2017'!$A:$H,1)=$A292,VLOOKUP($A292,'hk2017'!$A:$H,8),0)</f>
        <v>0</v>
      </c>
      <c r="K292" s="589">
        <f>SUM(H292+I292-J292)</f>
        <v>1605.46</v>
      </c>
      <c r="L292" s="595"/>
    </row>
    <row r="293" spans="1:255" outlineLevel="1" x14ac:dyDescent="0.25">
      <c r="A293" s="569" t="str">
        <f>LEFT(B293,3)</f>
        <v>538</v>
      </c>
      <c r="B293" s="565" t="s">
        <v>3121</v>
      </c>
      <c r="C293" s="565" t="s">
        <v>2943</v>
      </c>
      <c r="D293" s="587">
        <f>IF(VLOOKUP($A293,'hk2018'!$A:$G,1)=$A293,VLOOKUP($A293,'hk2018'!$A:$G,6),0)</f>
        <v>0</v>
      </c>
      <c r="E293" s="587">
        <f>IF(VLOOKUP($A293,'hk2018'!$A:$G,1)=$A293,VLOOKUP($A293,'hk2018'!$A:$G,7),0)</f>
        <v>89.75</v>
      </c>
      <c r="F293" s="587">
        <f>IF(VLOOKUP($A293,'hk2018'!$A:$H,1)=$A293,VLOOKUP($A293,'hk2018'!$A:$H,8),0)</f>
        <v>0</v>
      </c>
      <c r="G293" s="588">
        <f>SUM(D293+E293-F293)</f>
        <v>89.75</v>
      </c>
      <c r="H293" s="587">
        <f>IF(VLOOKUP($A293,'hk2017'!$A:$G,1)=$A293,VLOOKUP($A293,'hk2017'!$A:$G,6),0)</f>
        <v>0</v>
      </c>
      <c r="I293" s="587">
        <f>IF(VLOOKUP($A293,'hk2017'!$A:$G,1)=$A293,VLOOKUP($A293,'hk2017'!$A:$G,7),0)</f>
        <v>31</v>
      </c>
      <c r="J293" s="587">
        <f>IF(VLOOKUP($A293,'hk2017'!$A:$H,1)=$A293,VLOOKUP($A293,'hk2017'!$A:$H,8),0)</f>
        <v>0</v>
      </c>
      <c r="K293" s="589">
        <f>SUM(H293+I293-J293)</f>
        <v>31</v>
      </c>
      <c r="L293" s="595"/>
    </row>
    <row r="294" spans="1:255" outlineLevel="1" x14ac:dyDescent="0.25">
      <c r="A294" s="569"/>
      <c r="B294" s="565"/>
      <c r="C294" s="565"/>
      <c r="H294" s="610"/>
      <c r="I294" s="610"/>
      <c r="J294" s="610"/>
      <c r="K294" s="611"/>
      <c r="L294" s="625"/>
    </row>
    <row r="295" spans="1:255" x14ac:dyDescent="0.25">
      <c r="A295" s="604" t="s">
        <v>2204</v>
      </c>
      <c r="B295" s="605"/>
      <c r="C295" s="606" t="s">
        <v>3122</v>
      </c>
      <c r="D295" s="578">
        <f t="shared" ref="D295:K295" si="99">SUM(D296:D305)</f>
        <v>0</v>
      </c>
      <c r="E295" s="578">
        <f t="shared" si="99"/>
        <v>213.48000000000002</v>
      </c>
      <c r="F295" s="578">
        <f t="shared" si="99"/>
        <v>50.41</v>
      </c>
      <c r="G295" s="579">
        <f t="shared" si="99"/>
        <v>163.07</v>
      </c>
      <c r="H295" s="578">
        <f t="shared" si="99"/>
        <v>0</v>
      </c>
      <c r="I295" s="578">
        <f t="shared" si="99"/>
        <v>417.32</v>
      </c>
      <c r="J295" s="578">
        <f t="shared" si="99"/>
        <v>6.35</v>
      </c>
      <c r="K295" s="580">
        <f t="shared" si="99"/>
        <v>410.96999999999997</v>
      </c>
      <c r="L295" s="595"/>
      <c r="M295" s="624"/>
      <c r="N295" s="620"/>
      <c r="P295" s="582"/>
      <c r="Q295" s="624"/>
      <c r="R295" s="624"/>
      <c r="S295" s="624"/>
      <c r="T295" s="624"/>
      <c r="U295" s="620"/>
      <c r="W295" s="582"/>
      <c r="X295" s="624"/>
      <c r="Y295" s="624"/>
      <c r="Z295" s="624"/>
      <c r="AA295" s="624"/>
      <c r="AB295" s="620"/>
      <c r="AD295" s="582"/>
      <c r="AE295" s="624"/>
      <c r="AF295" s="624"/>
      <c r="AG295" s="624"/>
      <c r="AH295" s="624"/>
      <c r="AI295" s="620"/>
      <c r="AK295" s="582"/>
      <c r="AL295" s="624"/>
      <c r="AM295" s="624"/>
      <c r="AN295" s="624"/>
      <c r="AO295" s="624"/>
      <c r="AP295" s="620"/>
      <c r="AR295" s="582"/>
      <c r="AS295" s="624"/>
      <c r="AT295" s="624"/>
      <c r="AU295" s="624"/>
      <c r="AV295" s="624"/>
      <c r="AW295" s="620"/>
      <c r="AY295" s="582"/>
      <c r="AZ295" s="624"/>
      <c r="BA295" s="624"/>
      <c r="BB295" s="624"/>
      <c r="BC295" s="624"/>
      <c r="BD295" s="620"/>
      <c r="BF295" s="582"/>
      <c r="BG295" s="624"/>
      <c r="BH295" s="624"/>
      <c r="BI295" s="624"/>
      <c r="BJ295" s="624"/>
      <c r="BK295" s="620"/>
      <c r="BM295" s="582"/>
      <c r="BN295" s="624"/>
      <c r="BO295" s="624"/>
      <c r="BP295" s="624"/>
      <c r="BQ295" s="624"/>
      <c r="BR295" s="620"/>
      <c r="BT295" s="582"/>
      <c r="BU295" s="624"/>
      <c r="BV295" s="624"/>
      <c r="BW295" s="624"/>
      <c r="BX295" s="624"/>
      <c r="BY295" s="620"/>
      <c r="CA295" s="582"/>
      <c r="CB295" s="624"/>
      <c r="CC295" s="624"/>
      <c r="CD295" s="624"/>
      <c r="CE295" s="624"/>
      <c r="CF295" s="620"/>
      <c r="CH295" s="582"/>
      <c r="CI295" s="624"/>
      <c r="CJ295" s="624"/>
      <c r="CK295" s="624"/>
      <c r="CL295" s="624"/>
      <c r="CM295" s="620"/>
      <c r="CO295" s="582"/>
      <c r="CP295" s="624"/>
      <c r="CQ295" s="624"/>
      <c r="CR295" s="624"/>
      <c r="CS295" s="624"/>
      <c r="CT295" s="620"/>
      <c r="CV295" s="582"/>
      <c r="CW295" s="624"/>
      <c r="CX295" s="624"/>
      <c r="CY295" s="624"/>
      <c r="CZ295" s="624"/>
      <c r="DA295" s="620"/>
      <c r="DC295" s="582"/>
      <c r="DD295" s="624"/>
      <c r="DE295" s="624"/>
      <c r="DF295" s="624"/>
      <c r="DG295" s="624"/>
      <c r="DH295" s="620"/>
      <c r="DJ295" s="582"/>
      <c r="DK295" s="624"/>
      <c r="DL295" s="624"/>
      <c r="DM295" s="624"/>
      <c r="DN295" s="624"/>
      <c r="DO295" s="620"/>
      <c r="DQ295" s="582"/>
      <c r="DR295" s="624"/>
      <c r="DS295" s="624"/>
      <c r="DT295" s="624"/>
      <c r="DU295" s="624"/>
      <c r="DV295" s="620"/>
      <c r="DX295" s="582"/>
      <c r="DY295" s="624"/>
      <c r="DZ295" s="624"/>
      <c r="EA295" s="624"/>
      <c r="EB295" s="624"/>
      <c r="EC295" s="620"/>
      <c r="EE295" s="582"/>
      <c r="EF295" s="624"/>
      <c r="EG295" s="624"/>
      <c r="EH295" s="624"/>
      <c r="EI295" s="624"/>
      <c r="EJ295" s="620"/>
      <c r="EL295" s="582"/>
      <c r="EM295" s="624"/>
      <c r="EN295" s="624"/>
      <c r="EO295" s="624"/>
      <c r="EP295" s="624"/>
      <c r="EQ295" s="620"/>
      <c r="ES295" s="582"/>
      <c r="ET295" s="624"/>
      <c r="EU295" s="624"/>
      <c r="EV295" s="624"/>
      <c r="EW295" s="624"/>
      <c r="EX295" s="620"/>
      <c r="EZ295" s="582"/>
      <c r="FA295" s="624"/>
      <c r="FB295" s="624"/>
      <c r="FC295" s="624"/>
      <c r="FD295" s="624"/>
      <c r="FE295" s="620"/>
      <c r="FG295" s="582"/>
      <c r="FH295" s="624"/>
      <c r="FI295" s="624"/>
      <c r="FJ295" s="624"/>
      <c r="FK295" s="624"/>
      <c r="FL295" s="620"/>
      <c r="FN295" s="582"/>
      <c r="FO295" s="624"/>
      <c r="FP295" s="624"/>
      <c r="FQ295" s="624"/>
      <c r="FR295" s="624"/>
      <c r="FS295" s="620"/>
      <c r="FU295" s="582"/>
      <c r="FV295" s="624"/>
      <c r="FW295" s="624"/>
      <c r="FX295" s="624"/>
      <c r="FY295" s="624"/>
      <c r="FZ295" s="620"/>
      <c r="GB295" s="582"/>
      <c r="GC295" s="624"/>
      <c r="GD295" s="624"/>
      <c r="GE295" s="624"/>
      <c r="GF295" s="624"/>
      <c r="GG295" s="620"/>
      <c r="GI295" s="582"/>
      <c r="GJ295" s="624"/>
      <c r="GK295" s="624"/>
      <c r="GL295" s="624"/>
      <c r="GM295" s="624"/>
      <c r="GN295" s="620"/>
      <c r="GP295" s="582"/>
      <c r="GQ295" s="624"/>
      <c r="GR295" s="624"/>
      <c r="GS295" s="624"/>
      <c r="GT295" s="624"/>
      <c r="GU295" s="620"/>
      <c r="GW295" s="582"/>
      <c r="GX295" s="624"/>
      <c r="GY295" s="624"/>
      <c r="GZ295" s="624"/>
      <c r="HA295" s="624"/>
      <c r="HB295" s="620"/>
      <c r="HD295" s="582"/>
      <c r="HE295" s="624"/>
      <c r="HF295" s="624"/>
      <c r="HG295" s="624"/>
      <c r="HH295" s="624"/>
      <c r="HI295" s="620"/>
      <c r="HK295" s="582"/>
      <c r="HL295" s="624"/>
      <c r="HM295" s="624"/>
      <c r="HN295" s="624"/>
      <c r="HO295" s="624"/>
      <c r="HP295" s="620"/>
      <c r="HR295" s="582"/>
      <c r="HS295" s="624"/>
      <c r="HT295" s="624"/>
      <c r="HU295" s="624"/>
      <c r="HV295" s="624"/>
      <c r="HW295" s="620"/>
      <c r="HY295" s="582"/>
      <c r="HZ295" s="624"/>
      <c r="IA295" s="624"/>
      <c r="IB295" s="624"/>
      <c r="IC295" s="624"/>
      <c r="ID295" s="620"/>
      <c r="IF295" s="582"/>
      <c r="IG295" s="624"/>
      <c r="IH295" s="624"/>
      <c r="II295" s="624"/>
      <c r="IJ295" s="624"/>
      <c r="IK295" s="620"/>
      <c r="IM295" s="582"/>
      <c r="IN295" s="624"/>
      <c r="IO295" s="624"/>
      <c r="IP295" s="624"/>
      <c r="IQ295" s="624"/>
      <c r="IR295" s="620"/>
      <c r="IT295" s="582"/>
      <c r="IU295" s="624"/>
    </row>
    <row r="296" spans="1:255" outlineLevel="1" x14ac:dyDescent="0.25">
      <c r="A296" s="569" t="s">
        <v>909</v>
      </c>
      <c r="B296" s="582"/>
      <c r="C296" s="583" t="s">
        <v>3123</v>
      </c>
      <c r="D296" s="587">
        <f>IF(VLOOKUP($A296,'hk2018'!$A:$G,1)=$A296,VLOOKUP($A296,'hk2018'!$A:$G,6),0)</f>
        <v>0</v>
      </c>
      <c r="E296" s="587">
        <f>IF(VLOOKUP($A296,'hk2018'!$A:$G,1)=$A296,VLOOKUP($A296,'hk2018'!$A:$G,7),0)</f>
        <v>0</v>
      </c>
      <c r="F296" s="587">
        <f>IF(VLOOKUP($A296,'hk2018'!$A:$H,1)=$A296,VLOOKUP($A296,'hk2018'!$A:$H,8),0)</f>
        <v>0</v>
      </c>
      <c r="G296" s="588">
        <f t="shared" ref="G296:G305" si="100">SUM(D296+E296-F296)</f>
        <v>0</v>
      </c>
      <c r="H296" s="587">
        <f>IF(VLOOKUP($A296,'hk2017'!$A:$G,1)=$A296,VLOOKUP($A296,'hk2017'!$A:$G,6),0)</f>
        <v>0</v>
      </c>
      <c r="I296" s="587">
        <f>IF(VLOOKUP($A296,'hk2017'!$A:$G,1)=$A296,VLOOKUP($A296,'hk2017'!$A:$G,7),0)</f>
        <v>0</v>
      </c>
      <c r="J296" s="587">
        <f>IF(VLOOKUP($A296,'hk2017'!$A:$H,1)=$A296,VLOOKUP($A296,'hk2017'!$A:$H,8),0)</f>
        <v>0</v>
      </c>
      <c r="K296" s="589">
        <f t="shared" ref="K296:K305" si="101">SUM(H296+I296-J296)</f>
        <v>0</v>
      </c>
      <c r="L296" s="595"/>
      <c r="M296" s="624"/>
      <c r="N296" s="620"/>
      <c r="P296" s="582"/>
      <c r="Q296" s="624"/>
      <c r="R296" s="624"/>
      <c r="S296" s="624"/>
      <c r="T296" s="624"/>
      <c r="U296" s="620"/>
      <c r="W296" s="582"/>
      <c r="X296" s="624"/>
      <c r="Y296" s="624"/>
      <c r="Z296" s="624"/>
      <c r="AA296" s="624"/>
      <c r="AB296" s="620"/>
      <c r="AD296" s="582"/>
      <c r="AE296" s="624"/>
      <c r="AF296" s="624"/>
      <c r="AG296" s="624"/>
      <c r="AH296" s="624"/>
      <c r="AI296" s="620"/>
      <c r="AK296" s="582"/>
      <c r="AL296" s="624"/>
      <c r="AM296" s="624"/>
      <c r="AN296" s="624"/>
      <c r="AO296" s="624"/>
      <c r="AP296" s="620"/>
      <c r="AR296" s="582"/>
      <c r="AS296" s="624"/>
      <c r="AT296" s="624"/>
      <c r="AU296" s="624"/>
      <c r="AV296" s="624"/>
      <c r="AW296" s="620"/>
      <c r="AY296" s="582"/>
      <c r="AZ296" s="624"/>
      <c r="BA296" s="624"/>
      <c r="BB296" s="624"/>
      <c r="BC296" s="624"/>
      <c r="BD296" s="620"/>
      <c r="BF296" s="582"/>
      <c r="BG296" s="624"/>
      <c r="BH296" s="624"/>
      <c r="BI296" s="624"/>
      <c r="BJ296" s="624"/>
      <c r="BK296" s="620"/>
      <c r="BM296" s="582"/>
      <c r="BN296" s="624"/>
      <c r="BO296" s="624"/>
      <c r="BP296" s="624"/>
      <c r="BQ296" s="624"/>
      <c r="BR296" s="620"/>
      <c r="BT296" s="582"/>
      <c r="BU296" s="624"/>
      <c r="BV296" s="624"/>
      <c r="BW296" s="624"/>
      <c r="BX296" s="624"/>
      <c r="BY296" s="620"/>
      <c r="CA296" s="582"/>
      <c r="CB296" s="624"/>
      <c r="CC296" s="624"/>
      <c r="CD296" s="624"/>
      <c r="CE296" s="624"/>
      <c r="CF296" s="620"/>
      <c r="CH296" s="582"/>
      <c r="CI296" s="624"/>
      <c r="CJ296" s="624"/>
      <c r="CK296" s="624"/>
      <c r="CL296" s="624"/>
      <c r="CM296" s="620"/>
      <c r="CO296" s="582"/>
      <c r="CP296" s="624"/>
      <c r="CQ296" s="624"/>
      <c r="CR296" s="624"/>
      <c r="CS296" s="624"/>
      <c r="CT296" s="620"/>
      <c r="CV296" s="582"/>
      <c r="CW296" s="624"/>
      <c r="CX296" s="624"/>
      <c r="CY296" s="624"/>
      <c r="CZ296" s="624"/>
      <c r="DA296" s="620"/>
      <c r="DC296" s="582"/>
      <c r="DD296" s="624"/>
      <c r="DE296" s="624"/>
      <c r="DF296" s="624"/>
      <c r="DG296" s="624"/>
      <c r="DH296" s="620"/>
      <c r="DJ296" s="582"/>
      <c r="DK296" s="624"/>
      <c r="DL296" s="624"/>
      <c r="DM296" s="624"/>
      <c r="DN296" s="624"/>
      <c r="DO296" s="620"/>
      <c r="DQ296" s="582"/>
      <c r="DR296" s="624"/>
      <c r="DS296" s="624"/>
      <c r="DT296" s="624"/>
      <c r="DU296" s="624"/>
      <c r="DV296" s="620"/>
      <c r="DX296" s="582"/>
      <c r="DY296" s="624"/>
      <c r="DZ296" s="624"/>
      <c r="EA296" s="624"/>
      <c r="EB296" s="624"/>
      <c r="EC296" s="620"/>
      <c r="EE296" s="582"/>
      <c r="EF296" s="624"/>
      <c r="EG296" s="624"/>
      <c r="EH296" s="624"/>
      <c r="EI296" s="624"/>
      <c r="EJ296" s="620"/>
      <c r="EL296" s="582"/>
      <c r="EM296" s="624"/>
      <c r="EN296" s="624"/>
      <c r="EO296" s="624"/>
      <c r="EP296" s="624"/>
      <c r="EQ296" s="620"/>
      <c r="ES296" s="582"/>
      <c r="ET296" s="624"/>
      <c r="EU296" s="624"/>
      <c r="EV296" s="624"/>
      <c r="EW296" s="624"/>
      <c r="EX296" s="620"/>
      <c r="EZ296" s="582"/>
      <c r="FA296" s="624"/>
      <c r="FB296" s="624"/>
      <c r="FC296" s="624"/>
      <c r="FD296" s="624"/>
      <c r="FE296" s="620"/>
      <c r="FG296" s="582"/>
      <c r="FH296" s="624"/>
      <c r="FI296" s="624"/>
      <c r="FJ296" s="624"/>
      <c r="FK296" s="624"/>
      <c r="FL296" s="620"/>
      <c r="FN296" s="582"/>
      <c r="FO296" s="624"/>
      <c r="FP296" s="624"/>
      <c r="FQ296" s="624"/>
      <c r="FR296" s="624"/>
      <c r="FS296" s="620"/>
      <c r="FU296" s="582"/>
      <c r="FV296" s="624"/>
      <c r="FW296" s="624"/>
      <c r="FX296" s="624"/>
      <c r="FY296" s="624"/>
      <c r="FZ296" s="620"/>
      <c r="GB296" s="582"/>
      <c r="GC296" s="624"/>
      <c r="GD296" s="624"/>
      <c r="GE296" s="624"/>
      <c r="GF296" s="624"/>
      <c r="GG296" s="620"/>
      <c r="GI296" s="582"/>
      <c r="GJ296" s="624"/>
      <c r="GK296" s="624"/>
      <c r="GL296" s="624"/>
      <c r="GM296" s="624"/>
      <c r="GN296" s="620"/>
      <c r="GP296" s="582"/>
      <c r="GQ296" s="624"/>
      <c r="GR296" s="624"/>
      <c r="GS296" s="624"/>
      <c r="GT296" s="624"/>
      <c r="GU296" s="620"/>
      <c r="GW296" s="582"/>
      <c r="GX296" s="624"/>
      <c r="GY296" s="624"/>
      <c r="GZ296" s="624"/>
      <c r="HA296" s="624"/>
      <c r="HB296" s="620"/>
      <c r="HD296" s="582"/>
      <c r="HE296" s="624"/>
      <c r="HF296" s="624"/>
      <c r="HG296" s="624"/>
      <c r="HH296" s="624"/>
      <c r="HI296" s="620"/>
      <c r="HK296" s="582"/>
      <c r="HL296" s="624"/>
      <c r="HM296" s="624"/>
      <c r="HN296" s="624"/>
      <c r="HO296" s="624"/>
      <c r="HP296" s="620"/>
      <c r="HR296" s="582"/>
      <c r="HS296" s="624"/>
      <c r="HT296" s="624"/>
      <c r="HU296" s="624"/>
      <c r="HV296" s="624"/>
      <c r="HW296" s="620"/>
      <c r="HY296" s="582"/>
      <c r="HZ296" s="624"/>
      <c r="IA296" s="624"/>
      <c r="IB296" s="624"/>
      <c r="IC296" s="624"/>
      <c r="ID296" s="620"/>
      <c r="IF296" s="582"/>
      <c r="IG296" s="624"/>
      <c r="IH296" s="624"/>
      <c r="II296" s="624"/>
      <c r="IJ296" s="624"/>
      <c r="IK296" s="620"/>
      <c r="IM296" s="582"/>
      <c r="IN296" s="624"/>
      <c r="IO296" s="624"/>
      <c r="IP296" s="624"/>
      <c r="IQ296" s="624"/>
      <c r="IR296" s="620"/>
      <c r="IT296" s="582"/>
      <c r="IU296" s="624"/>
    </row>
    <row r="297" spans="1:255" outlineLevel="1" x14ac:dyDescent="0.25">
      <c r="A297" s="569" t="str">
        <f t="shared" ref="A297:A302" si="102">LEFT(B297,3)</f>
        <v>541</v>
      </c>
      <c r="B297" s="565" t="s">
        <v>3124</v>
      </c>
      <c r="C297" s="565" t="s">
        <v>3125</v>
      </c>
      <c r="D297" s="587">
        <f>IF(VLOOKUP($A297,'hk2018'!$A:$G,1)=$A297,VLOOKUP($A297,'hk2018'!$A:$G,6),0)</f>
        <v>0</v>
      </c>
      <c r="E297" s="587">
        <f>IF(VLOOKUP($A297,'hk2018'!$A:$G,1)=$A297,VLOOKUP($A297,'hk2018'!$A:$G,7),0)</f>
        <v>0</v>
      </c>
      <c r="F297" s="587">
        <f>IF(VLOOKUP($A297,'hk2018'!$A:$H,1)=$A297,VLOOKUP($A297,'hk2018'!$A:$H,8),0)</f>
        <v>0</v>
      </c>
      <c r="G297" s="588">
        <f t="shared" si="100"/>
        <v>0</v>
      </c>
      <c r="H297" s="587">
        <f>IF(VLOOKUP($A297,'hk2017'!$A:$G,1)=$A297,VLOOKUP($A297,'hk2017'!$A:$G,6),0)</f>
        <v>0</v>
      </c>
      <c r="I297" s="587">
        <f>IF(VLOOKUP($A297,'hk2017'!$A:$G,1)=$A297,VLOOKUP($A297,'hk2017'!$A:$G,7),0)</f>
        <v>0</v>
      </c>
      <c r="J297" s="587">
        <f>IF(VLOOKUP($A297,'hk2017'!$A:$H,1)=$A297,VLOOKUP($A297,'hk2017'!$A:$H,8),0)</f>
        <v>0</v>
      </c>
      <c r="K297" s="589">
        <f t="shared" si="101"/>
        <v>0</v>
      </c>
      <c r="L297" s="595"/>
    </row>
    <row r="298" spans="1:255" outlineLevel="1" x14ac:dyDescent="0.25">
      <c r="A298" s="569" t="str">
        <f t="shared" si="102"/>
        <v>542</v>
      </c>
      <c r="B298" s="565" t="s">
        <v>3126</v>
      </c>
      <c r="C298" s="565" t="s">
        <v>3127</v>
      </c>
      <c r="D298" s="587">
        <f>IF(VLOOKUP($A298,'hk2018'!$A:$G,1)=$A298,VLOOKUP($A298,'hk2018'!$A:$G,6),0)</f>
        <v>0</v>
      </c>
      <c r="E298" s="587">
        <f>IF(VLOOKUP($A298,'hk2018'!$A:$G,1)=$A298,VLOOKUP($A298,'hk2018'!$A:$G,7),0)</f>
        <v>0</v>
      </c>
      <c r="F298" s="587">
        <f>IF(VLOOKUP($A298,'hk2018'!$A:$H,1)=$A298,VLOOKUP($A298,'hk2018'!$A:$H,8),0)</f>
        <v>0</v>
      </c>
      <c r="G298" s="588">
        <f t="shared" si="100"/>
        <v>0</v>
      </c>
      <c r="H298" s="587">
        <f>IF(VLOOKUP($A298,'hk2017'!$A:$G,1)=$A298,VLOOKUP($A298,'hk2017'!$A:$G,6),0)</f>
        <v>0</v>
      </c>
      <c r="I298" s="587">
        <f>IF(VLOOKUP($A298,'hk2017'!$A:$G,1)=$A298,VLOOKUP($A298,'hk2017'!$A:$G,7),0)</f>
        <v>0</v>
      </c>
      <c r="J298" s="587">
        <f>IF(VLOOKUP($A298,'hk2017'!$A:$H,1)=$A298,VLOOKUP($A298,'hk2017'!$A:$H,8),0)</f>
        <v>0</v>
      </c>
      <c r="K298" s="589">
        <f t="shared" si="101"/>
        <v>0</v>
      </c>
      <c r="L298" s="595"/>
    </row>
    <row r="299" spans="1:255" outlineLevel="1" x14ac:dyDescent="0.25">
      <c r="A299" s="569" t="str">
        <f t="shared" si="102"/>
        <v>543</v>
      </c>
      <c r="B299" s="565" t="s">
        <v>3128</v>
      </c>
      <c r="C299" s="565" t="s">
        <v>1949</v>
      </c>
      <c r="D299" s="587">
        <f>IF(VLOOKUP($A299,'hk2018'!$A:$G,1)=$A299,VLOOKUP($A299,'hk2018'!$A:$G,6),0)</f>
        <v>0</v>
      </c>
      <c r="E299" s="587">
        <f>IF(VLOOKUP($A299,'hk2018'!$A:$G,1)=$A299,VLOOKUP($A299,'hk2018'!$A:$G,7),0)</f>
        <v>0</v>
      </c>
      <c r="F299" s="587">
        <f>IF(VLOOKUP($A299,'hk2018'!$A:$H,1)=$A299,VLOOKUP($A299,'hk2018'!$A:$H,8),0)</f>
        <v>0</v>
      </c>
      <c r="G299" s="588">
        <f t="shared" si="100"/>
        <v>0</v>
      </c>
      <c r="H299" s="587">
        <f>IF(VLOOKUP($A299,'hk2017'!$A:$G,1)=$A299,VLOOKUP($A299,'hk2017'!$A:$G,6),0)</f>
        <v>0</v>
      </c>
      <c r="I299" s="587">
        <f>IF(VLOOKUP($A299,'hk2017'!$A:$G,1)=$A299,VLOOKUP($A299,'hk2017'!$A:$G,7),0)</f>
        <v>0</v>
      </c>
      <c r="J299" s="587">
        <f>IF(VLOOKUP($A299,'hk2017'!$A:$H,1)=$A299,VLOOKUP($A299,'hk2017'!$A:$H,8),0)</f>
        <v>0</v>
      </c>
      <c r="K299" s="589">
        <f t="shared" si="101"/>
        <v>0</v>
      </c>
      <c r="L299" s="595"/>
    </row>
    <row r="300" spans="1:255" outlineLevel="1" x14ac:dyDescent="0.25">
      <c r="A300" s="569" t="str">
        <f t="shared" si="102"/>
        <v>544</v>
      </c>
      <c r="B300" s="565" t="s">
        <v>3129</v>
      </c>
      <c r="C300" s="565" t="s">
        <v>3130</v>
      </c>
      <c r="D300" s="587">
        <f>IF(VLOOKUP($A300,'hk2018'!$A:$G,1)=$A300,VLOOKUP($A300,'hk2018'!$A:$G,6),0)</f>
        <v>0</v>
      </c>
      <c r="E300" s="587">
        <f>IF(VLOOKUP($A300,'hk2018'!$A:$G,1)=$A300,VLOOKUP($A300,'hk2018'!$A:$G,7),0)</f>
        <v>0</v>
      </c>
      <c r="F300" s="587">
        <f>IF(VLOOKUP($A300,'hk2018'!$A:$H,1)=$A300,VLOOKUP($A300,'hk2018'!$A:$H,8),0)</f>
        <v>0</v>
      </c>
      <c r="G300" s="588">
        <f t="shared" si="100"/>
        <v>0</v>
      </c>
      <c r="H300" s="587">
        <f>IF(VLOOKUP($A300,'hk2017'!$A:$G,1)=$A300,VLOOKUP($A300,'hk2017'!$A:$G,6),0)</f>
        <v>0</v>
      </c>
      <c r="I300" s="587">
        <f>IF(VLOOKUP($A300,'hk2017'!$A:$G,1)=$A300,VLOOKUP($A300,'hk2017'!$A:$G,7),0)</f>
        <v>0</v>
      </c>
      <c r="J300" s="587">
        <f>IF(VLOOKUP($A300,'hk2017'!$A:$H,1)=$A300,VLOOKUP($A300,'hk2017'!$A:$H,8),0)</f>
        <v>0</v>
      </c>
      <c r="K300" s="589">
        <f t="shared" si="101"/>
        <v>0</v>
      </c>
      <c r="L300" s="595"/>
    </row>
    <row r="301" spans="1:255" outlineLevel="1" x14ac:dyDescent="0.25">
      <c r="A301" s="569" t="str">
        <f t="shared" si="102"/>
        <v>545</v>
      </c>
      <c r="B301" s="565" t="s">
        <v>3131</v>
      </c>
      <c r="C301" s="565" t="s">
        <v>3132</v>
      </c>
      <c r="D301" s="587">
        <f>IF(VLOOKUP($A301,'hk2018'!$A:$G,1)=$A301,VLOOKUP($A301,'hk2018'!$A:$G,6),0)</f>
        <v>0</v>
      </c>
      <c r="E301" s="587">
        <f>IF(VLOOKUP($A301,'hk2018'!$A:$G,1)=$A301,VLOOKUP($A301,'hk2018'!$A:$G,7),0)</f>
        <v>163.9</v>
      </c>
      <c r="F301" s="587">
        <f>IF(VLOOKUP($A301,'hk2018'!$A:$H,1)=$A301,VLOOKUP($A301,'hk2018'!$A:$H,8),0)</f>
        <v>40.64</v>
      </c>
      <c r="G301" s="588">
        <f t="shared" si="100"/>
        <v>123.26</v>
      </c>
      <c r="H301" s="587">
        <f>IF(VLOOKUP($A301,'hk2017'!$A:$G,1)=$A301,VLOOKUP($A301,'hk2017'!$A:$G,6),0)</f>
        <v>0</v>
      </c>
      <c r="I301" s="587">
        <f>IF(VLOOKUP($A301,'hk2017'!$A:$G,1)=$A301,VLOOKUP($A301,'hk2017'!$A:$G,7),0)</f>
        <v>362.26</v>
      </c>
      <c r="J301" s="587">
        <f>IF(VLOOKUP($A301,'hk2017'!$A:$H,1)=$A301,VLOOKUP($A301,'hk2017'!$A:$H,8),0)</f>
        <v>0</v>
      </c>
      <c r="K301" s="589">
        <f t="shared" si="101"/>
        <v>362.26</v>
      </c>
      <c r="L301" s="595"/>
    </row>
    <row r="302" spans="1:255" outlineLevel="1" x14ac:dyDescent="0.25">
      <c r="A302" s="569" t="str">
        <f t="shared" si="102"/>
        <v>546</v>
      </c>
      <c r="B302" s="565" t="s">
        <v>3133</v>
      </c>
      <c r="C302" s="565" t="s">
        <v>3134</v>
      </c>
      <c r="D302" s="587">
        <f>IF(VLOOKUP($A302,'hk2018'!$A:$G,1)=$A302,VLOOKUP($A302,'hk2018'!$A:$G,6),0)</f>
        <v>0</v>
      </c>
      <c r="E302" s="587">
        <f>IF(VLOOKUP($A302,'hk2018'!$A:$G,1)=$A302,VLOOKUP($A302,'hk2018'!$A:$G,7),0)</f>
        <v>0</v>
      </c>
      <c r="F302" s="587">
        <f>IF(VLOOKUP($A302,'hk2018'!$A:$H,1)=$A302,VLOOKUP($A302,'hk2018'!$A:$H,8),0)</f>
        <v>0</v>
      </c>
      <c r="G302" s="588">
        <f t="shared" si="100"/>
        <v>0</v>
      </c>
      <c r="H302" s="587">
        <f>IF(VLOOKUP($A302,'hk2017'!$A:$G,1)=$A302,VLOOKUP($A302,'hk2017'!$A:$G,6),0)</f>
        <v>0</v>
      </c>
      <c r="I302" s="587">
        <f>IF(VLOOKUP($A302,'hk2017'!$A:$G,1)=$A302,VLOOKUP($A302,'hk2017'!$A:$G,7),0)</f>
        <v>0</v>
      </c>
      <c r="J302" s="587">
        <f>IF(VLOOKUP($A302,'hk2017'!$A:$H,1)=$A302,VLOOKUP($A302,'hk2017'!$A:$H,8),0)</f>
        <v>0</v>
      </c>
      <c r="K302" s="589">
        <f t="shared" si="101"/>
        <v>0</v>
      </c>
      <c r="L302" s="595"/>
    </row>
    <row r="303" spans="1:255" outlineLevel="1" x14ac:dyDescent="0.25">
      <c r="A303" s="569" t="s">
        <v>938</v>
      </c>
      <c r="B303" s="565" t="s">
        <v>3135</v>
      </c>
      <c r="C303" s="54" t="s">
        <v>940</v>
      </c>
      <c r="D303" s="587">
        <f>IF(VLOOKUP($A303,'hk2018'!$A:$G,1)=$A303,VLOOKUP($A303,'hk2018'!$A:$G,6),0)</f>
        <v>0</v>
      </c>
      <c r="E303" s="587">
        <f>IF(VLOOKUP($A303,'hk2018'!$A:$G,1)=$A303,VLOOKUP($A303,'hk2018'!$A:$G,7),0)</f>
        <v>0</v>
      </c>
      <c r="F303" s="587">
        <f>IF(VLOOKUP($A303,'hk2018'!$A:$H,1)=$A303,VLOOKUP($A303,'hk2018'!$A:$H,8),0)</f>
        <v>0</v>
      </c>
      <c r="G303" s="588">
        <f t="shared" si="100"/>
        <v>0</v>
      </c>
      <c r="H303" s="587">
        <f>IF(VLOOKUP($A303,'hk2017'!$A:$G,1)=$A303,VLOOKUP($A303,'hk2017'!$A:$G,6),0)</f>
        <v>0</v>
      </c>
      <c r="I303" s="587">
        <f>IF(VLOOKUP($A303,'hk2017'!$A:$G,1)=$A303,VLOOKUP($A303,'hk2017'!$A:$G,7),0)</f>
        <v>0</v>
      </c>
      <c r="J303" s="587">
        <f>IF(VLOOKUP($A303,'hk2017'!$A:$H,1)=$A303,VLOOKUP($A303,'hk2017'!$A:$H,8),0)</f>
        <v>0</v>
      </c>
      <c r="K303" s="589">
        <f t="shared" si="101"/>
        <v>0</v>
      </c>
      <c r="L303" s="595"/>
    </row>
    <row r="304" spans="1:255" outlineLevel="1" x14ac:dyDescent="0.25">
      <c r="A304" s="569" t="s">
        <v>126</v>
      </c>
      <c r="B304" s="565" t="s">
        <v>3136</v>
      </c>
      <c r="C304" s="54" t="s">
        <v>944</v>
      </c>
      <c r="D304" s="587">
        <f>IF(VLOOKUP($A304,'hk2018'!$A:$G,1)=$A304,VLOOKUP($A304,'hk2018'!$A:$G,6),0)</f>
        <v>0</v>
      </c>
      <c r="E304" s="587">
        <f>IF(VLOOKUP($A304,'hk2018'!$A:$G,1)=$A304,VLOOKUP($A304,'hk2018'!$A:$G,7),0)</f>
        <v>49.58</v>
      </c>
      <c r="F304" s="587">
        <f>IF(VLOOKUP($A304,'hk2018'!$A:$H,1)=$A304,VLOOKUP($A304,'hk2018'!$A:$H,8),0)</f>
        <v>9.77</v>
      </c>
      <c r="G304" s="588">
        <f t="shared" si="100"/>
        <v>39.81</v>
      </c>
      <c r="H304" s="587">
        <f>IF(VLOOKUP($A304,'hk2017'!$A:$G,1)=$A304,VLOOKUP($A304,'hk2017'!$A:$G,6),0)</f>
        <v>0</v>
      </c>
      <c r="I304" s="587">
        <f>IF(VLOOKUP($A304,'hk2017'!$A:$G,1)=$A304,VLOOKUP($A304,'hk2017'!$A:$G,7),0)</f>
        <v>55.06</v>
      </c>
      <c r="J304" s="587">
        <f>IF(VLOOKUP($A304,'hk2017'!$A:$H,1)=$A304,VLOOKUP($A304,'hk2017'!$A:$H,8),0)</f>
        <v>6.35</v>
      </c>
      <c r="K304" s="589">
        <f t="shared" si="101"/>
        <v>48.71</v>
      </c>
      <c r="L304" s="595"/>
    </row>
    <row r="305" spans="1:255" outlineLevel="1" x14ac:dyDescent="0.25">
      <c r="A305" s="569" t="s">
        <v>946</v>
      </c>
      <c r="B305" s="565"/>
      <c r="C305" s="54" t="s">
        <v>948</v>
      </c>
      <c r="D305" s="587">
        <f>IF(VLOOKUP($A305,'hk2018'!$A:$G,1)=$A305,VLOOKUP($A305,'hk2018'!$A:$G,6),0)</f>
        <v>0</v>
      </c>
      <c r="E305" s="587">
        <f>IF(VLOOKUP($A305,'hk2018'!$A:$G,1)=$A305,VLOOKUP($A305,'hk2018'!$A:$G,7),0)</f>
        <v>0</v>
      </c>
      <c r="F305" s="587">
        <f>IF(VLOOKUP($A305,'hk2018'!$A:$H,1)=$A305,VLOOKUP($A305,'hk2018'!$A:$H,8),0)</f>
        <v>0</v>
      </c>
      <c r="G305" s="588">
        <f t="shared" si="100"/>
        <v>0</v>
      </c>
      <c r="H305" s="587">
        <f>IF(VLOOKUP($A305,'hk2017'!$A:$G,1)=$A305,VLOOKUP($A305,'hk2017'!$A:$G,6),0)</f>
        <v>0</v>
      </c>
      <c r="I305" s="587">
        <f>IF(VLOOKUP($A305,'hk2017'!$A:$G,1)=$A305,VLOOKUP($A305,'hk2017'!$A:$G,7),0)</f>
        <v>0</v>
      </c>
      <c r="J305" s="587">
        <f>IF(VLOOKUP($A305,'hk2017'!$A:$H,1)=$A305,VLOOKUP($A305,'hk2017'!$A:$H,8),0)</f>
        <v>0</v>
      </c>
      <c r="K305" s="589">
        <f t="shared" si="101"/>
        <v>0</v>
      </c>
      <c r="L305" s="595"/>
    </row>
    <row r="306" spans="1:255" x14ac:dyDescent="0.25">
      <c r="A306" s="604" t="s">
        <v>1253</v>
      </c>
      <c r="B306" s="605"/>
      <c r="C306" s="606" t="s">
        <v>3137</v>
      </c>
      <c r="D306" s="578">
        <f t="shared" ref="D306:K306" si="103">SUM(D307:D313)</f>
        <v>0</v>
      </c>
      <c r="E306" s="578">
        <f t="shared" si="103"/>
        <v>52071.56</v>
      </c>
      <c r="F306" s="578">
        <f t="shared" si="103"/>
        <v>0</v>
      </c>
      <c r="G306" s="579">
        <f t="shared" si="103"/>
        <v>52071.56</v>
      </c>
      <c r="H306" s="578">
        <f t="shared" si="103"/>
        <v>0</v>
      </c>
      <c r="I306" s="578">
        <f t="shared" si="103"/>
        <v>56416.29</v>
      </c>
      <c r="J306" s="578">
        <f t="shared" si="103"/>
        <v>0</v>
      </c>
      <c r="K306" s="580">
        <f t="shared" si="103"/>
        <v>56416.29</v>
      </c>
      <c r="L306" s="595"/>
      <c r="M306" s="624"/>
      <c r="N306" s="620"/>
      <c r="P306" s="582"/>
      <c r="Q306" s="624"/>
      <c r="R306" s="624"/>
      <c r="S306" s="624"/>
      <c r="T306" s="624"/>
      <c r="U306" s="620"/>
      <c r="W306" s="582"/>
      <c r="X306" s="624"/>
      <c r="Y306" s="624"/>
      <c r="Z306" s="624"/>
      <c r="AA306" s="624"/>
      <c r="AB306" s="620"/>
      <c r="AD306" s="582"/>
      <c r="AE306" s="624"/>
      <c r="AF306" s="624"/>
      <c r="AG306" s="624"/>
      <c r="AH306" s="624"/>
      <c r="AI306" s="620"/>
      <c r="AK306" s="582"/>
      <c r="AL306" s="624"/>
      <c r="AM306" s="624"/>
      <c r="AN306" s="624"/>
      <c r="AO306" s="624"/>
      <c r="AP306" s="620"/>
      <c r="AR306" s="582"/>
      <c r="AS306" s="624"/>
      <c r="AT306" s="624"/>
      <c r="AU306" s="624"/>
      <c r="AV306" s="624"/>
      <c r="AW306" s="620"/>
      <c r="AY306" s="582"/>
      <c r="AZ306" s="624"/>
      <c r="BA306" s="624"/>
      <c r="BB306" s="624"/>
      <c r="BC306" s="624"/>
      <c r="BD306" s="620"/>
      <c r="BF306" s="582"/>
      <c r="BG306" s="624"/>
      <c r="BH306" s="624"/>
      <c r="BI306" s="624"/>
      <c r="BJ306" s="624"/>
      <c r="BK306" s="620"/>
      <c r="BM306" s="582"/>
      <c r="BN306" s="624"/>
      <c r="BO306" s="624"/>
      <c r="BP306" s="624"/>
      <c r="BQ306" s="624"/>
      <c r="BR306" s="620"/>
      <c r="BT306" s="582"/>
      <c r="BU306" s="624"/>
      <c r="BV306" s="624"/>
      <c r="BW306" s="624"/>
      <c r="BX306" s="624"/>
      <c r="BY306" s="620"/>
      <c r="CA306" s="582"/>
      <c r="CB306" s="624"/>
      <c r="CC306" s="624"/>
      <c r="CD306" s="624"/>
      <c r="CE306" s="624"/>
      <c r="CF306" s="620"/>
      <c r="CH306" s="582"/>
      <c r="CI306" s="624"/>
      <c r="CJ306" s="624"/>
      <c r="CK306" s="624"/>
      <c r="CL306" s="624"/>
      <c r="CM306" s="620"/>
      <c r="CO306" s="582"/>
      <c r="CP306" s="624"/>
      <c r="CQ306" s="624"/>
      <c r="CR306" s="624"/>
      <c r="CS306" s="624"/>
      <c r="CT306" s="620"/>
      <c r="CV306" s="582"/>
      <c r="CW306" s="624"/>
      <c r="CX306" s="624"/>
      <c r="CY306" s="624"/>
      <c r="CZ306" s="624"/>
      <c r="DA306" s="620"/>
      <c r="DC306" s="582"/>
      <c r="DD306" s="624"/>
      <c r="DE306" s="624"/>
      <c r="DF306" s="624"/>
      <c r="DG306" s="624"/>
      <c r="DH306" s="620"/>
      <c r="DJ306" s="582"/>
      <c r="DK306" s="624"/>
      <c r="DL306" s="624"/>
      <c r="DM306" s="624"/>
      <c r="DN306" s="624"/>
      <c r="DO306" s="620"/>
      <c r="DQ306" s="582"/>
      <c r="DR306" s="624"/>
      <c r="DS306" s="624"/>
      <c r="DT306" s="624"/>
      <c r="DU306" s="624"/>
      <c r="DV306" s="620"/>
      <c r="DX306" s="582"/>
      <c r="DY306" s="624"/>
      <c r="DZ306" s="624"/>
      <c r="EA306" s="624"/>
      <c r="EB306" s="624"/>
      <c r="EC306" s="620"/>
      <c r="EE306" s="582"/>
      <c r="EF306" s="624"/>
      <c r="EG306" s="624"/>
      <c r="EH306" s="624"/>
      <c r="EI306" s="624"/>
      <c r="EJ306" s="620"/>
      <c r="EL306" s="582"/>
      <c r="EM306" s="624"/>
      <c r="EN306" s="624"/>
      <c r="EO306" s="624"/>
      <c r="EP306" s="624"/>
      <c r="EQ306" s="620"/>
      <c r="ES306" s="582"/>
      <c r="ET306" s="624"/>
      <c r="EU306" s="624"/>
      <c r="EV306" s="624"/>
      <c r="EW306" s="624"/>
      <c r="EX306" s="620"/>
      <c r="EZ306" s="582"/>
      <c r="FA306" s="624"/>
      <c r="FB306" s="624"/>
      <c r="FC306" s="624"/>
      <c r="FD306" s="624"/>
      <c r="FE306" s="620"/>
      <c r="FG306" s="582"/>
      <c r="FH306" s="624"/>
      <c r="FI306" s="624"/>
      <c r="FJ306" s="624"/>
      <c r="FK306" s="624"/>
      <c r="FL306" s="620"/>
      <c r="FN306" s="582"/>
      <c r="FO306" s="624"/>
      <c r="FP306" s="624"/>
      <c r="FQ306" s="624"/>
      <c r="FR306" s="624"/>
      <c r="FS306" s="620"/>
      <c r="FU306" s="582"/>
      <c r="FV306" s="624"/>
      <c r="FW306" s="624"/>
      <c r="FX306" s="624"/>
      <c r="FY306" s="624"/>
      <c r="FZ306" s="620"/>
      <c r="GB306" s="582"/>
      <c r="GC306" s="624"/>
      <c r="GD306" s="624"/>
      <c r="GE306" s="624"/>
      <c r="GF306" s="624"/>
      <c r="GG306" s="620"/>
      <c r="GI306" s="582"/>
      <c r="GJ306" s="624"/>
      <c r="GK306" s="624"/>
      <c r="GL306" s="624"/>
      <c r="GM306" s="624"/>
      <c r="GN306" s="620"/>
      <c r="GP306" s="582"/>
      <c r="GQ306" s="624"/>
      <c r="GR306" s="624"/>
      <c r="GS306" s="624"/>
      <c r="GT306" s="624"/>
      <c r="GU306" s="620"/>
      <c r="GW306" s="582"/>
      <c r="GX306" s="624"/>
      <c r="GY306" s="624"/>
      <c r="GZ306" s="624"/>
      <c r="HA306" s="624"/>
      <c r="HB306" s="620"/>
      <c r="HD306" s="582"/>
      <c r="HE306" s="624"/>
      <c r="HF306" s="624"/>
      <c r="HG306" s="624"/>
      <c r="HH306" s="624"/>
      <c r="HI306" s="620"/>
      <c r="HK306" s="582"/>
      <c r="HL306" s="624"/>
      <c r="HM306" s="624"/>
      <c r="HN306" s="624"/>
      <c r="HO306" s="624"/>
      <c r="HP306" s="620"/>
      <c r="HR306" s="582"/>
      <c r="HS306" s="624"/>
      <c r="HT306" s="624"/>
      <c r="HU306" s="624"/>
      <c r="HV306" s="624"/>
      <c r="HW306" s="620"/>
      <c r="HY306" s="582"/>
      <c r="HZ306" s="624"/>
      <c r="IA306" s="624"/>
      <c r="IB306" s="624"/>
      <c r="IC306" s="624"/>
      <c r="ID306" s="620"/>
      <c r="IF306" s="582"/>
      <c r="IG306" s="624"/>
      <c r="IH306" s="624"/>
      <c r="II306" s="624"/>
      <c r="IJ306" s="624"/>
      <c r="IK306" s="620"/>
      <c r="IM306" s="582"/>
      <c r="IN306" s="624"/>
      <c r="IO306" s="624"/>
      <c r="IP306" s="624"/>
      <c r="IQ306" s="624"/>
      <c r="IR306" s="620"/>
      <c r="IT306" s="582"/>
      <c r="IU306" s="624"/>
    </row>
    <row r="307" spans="1:255" outlineLevel="1" x14ac:dyDescent="0.25">
      <c r="A307" s="569" t="str">
        <f>LEFT(B307,3)</f>
        <v>551</v>
      </c>
      <c r="B307" s="565" t="s">
        <v>3138</v>
      </c>
      <c r="C307" s="565" t="s">
        <v>3139</v>
      </c>
      <c r="D307" s="587">
        <f>IF(VLOOKUP($A307,'hk2018'!$A:$G,1)=$A307,VLOOKUP($A307,'hk2018'!$A:$G,6),0)</f>
        <v>0</v>
      </c>
      <c r="E307" s="587">
        <f>IF(VLOOKUP($A307,'hk2018'!$A:$G,1)=$A307,VLOOKUP($A307,'hk2018'!$A:$G,7),0)</f>
        <v>52071.56</v>
      </c>
      <c r="F307" s="587">
        <f>IF(VLOOKUP($A307,'hk2018'!$A:$H,1)=$A307,VLOOKUP($A307,'hk2018'!$A:$H,8),0)</f>
        <v>0</v>
      </c>
      <c r="G307" s="588">
        <f t="shared" ref="G307:G313" si="104">SUM(D307+E307-F307)</f>
        <v>52071.56</v>
      </c>
      <c r="H307" s="587">
        <f>IF(VLOOKUP($A307,'hk2017'!$A:$G,1)=$A307,VLOOKUP($A307,'hk2017'!$A:$G,6),0)</f>
        <v>0</v>
      </c>
      <c r="I307" s="587">
        <f>IF(VLOOKUP($A307,'hk2017'!$A:$G,1)=$A307,VLOOKUP($A307,'hk2017'!$A:$G,7),0)</f>
        <v>56416.29</v>
      </c>
      <c r="J307" s="587">
        <f>IF(VLOOKUP($A307,'hk2017'!$A:$H,1)=$A307,VLOOKUP($A307,'hk2017'!$A:$H,8),0)</f>
        <v>0</v>
      </c>
      <c r="K307" s="589">
        <f t="shared" ref="K307:K313" si="105">SUM(H307+I307-J307)</f>
        <v>56416.29</v>
      </c>
      <c r="L307" s="595"/>
    </row>
    <row r="308" spans="1:255" outlineLevel="1" x14ac:dyDescent="0.25">
      <c r="A308" s="569" t="str">
        <f>LEFT(B308,3)</f>
        <v>552</v>
      </c>
      <c r="B308" s="565" t="s">
        <v>3140</v>
      </c>
      <c r="C308" s="565" t="s">
        <v>3141</v>
      </c>
      <c r="D308" s="587">
        <f>IF(VLOOKUP($A308,'hk2018'!$A:$G,1)=$A308,VLOOKUP($A308,'hk2018'!$A:$G,6),0)</f>
        <v>0</v>
      </c>
      <c r="E308" s="587">
        <f>IF(VLOOKUP($A308,'hk2018'!$A:$G,1)=$A308,VLOOKUP($A308,'hk2018'!$A:$G,7),0)</f>
        <v>0</v>
      </c>
      <c r="F308" s="587">
        <f>IF(VLOOKUP($A308,'hk2018'!$A:$H,1)=$A308,VLOOKUP($A308,'hk2018'!$A:$H,8),0)</f>
        <v>0</v>
      </c>
      <c r="G308" s="588">
        <f t="shared" si="104"/>
        <v>0</v>
      </c>
      <c r="H308" s="587">
        <f>IF(VLOOKUP($A308,'hk2017'!$A:$G,1)=$A308,VLOOKUP($A308,'hk2017'!$A:$G,6),0)</f>
        <v>0</v>
      </c>
      <c r="I308" s="587">
        <f>IF(VLOOKUP($A308,'hk2017'!$A:$G,1)=$A308,VLOOKUP($A308,'hk2017'!$A:$G,7),0)</f>
        <v>0</v>
      </c>
      <c r="J308" s="587">
        <f>IF(VLOOKUP($A308,'hk2017'!$A:$H,1)=$A308,VLOOKUP($A308,'hk2017'!$A:$H,8),0)</f>
        <v>0</v>
      </c>
      <c r="K308" s="589">
        <f t="shared" si="105"/>
        <v>0</v>
      </c>
      <c r="L308" s="595"/>
    </row>
    <row r="309" spans="1:255" outlineLevel="1" x14ac:dyDescent="0.25">
      <c r="A309" s="623" t="s">
        <v>956</v>
      </c>
      <c r="B309" s="565" t="s">
        <v>3142</v>
      </c>
      <c r="C309" s="565" t="s">
        <v>3143</v>
      </c>
      <c r="D309" s="587">
        <f>IF(VLOOKUP($A309,'hk2018'!$A:$G,1)=$A309,VLOOKUP($A309,'hk2018'!$A:$G,6),0)</f>
        <v>0</v>
      </c>
      <c r="E309" s="587">
        <f>IF(VLOOKUP($A309,'hk2018'!$A:$G,1)=$A309,VLOOKUP($A309,'hk2018'!$A:$G,7),0)</f>
        <v>0</v>
      </c>
      <c r="F309" s="587">
        <f>IF(VLOOKUP($A309,'hk2018'!$A:$H,1)=$A309,VLOOKUP($A309,'hk2018'!$A:$H,8),0)</f>
        <v>0</v>
      </c>
      <c r="G309" s="588">
        <f t="shared" si="104"/>
        <v>0</v>
      </c>
      <c r="H309" s="587">
        <f>IF(VLOOKUP($A309,'hk2017'!$A:$G,1)=$A309,VLOOKUP($A309,'hk2017'!$A:$G,6),0)</f>
        <v>0</v>
      </c>
      <c r="I309" s="587">
        <f>IF(VLOOKUP($A309,'hk2017'!$A:$G,1)=$A309,VLOOKUP($A309,'hk2017'!$A:$G,7),0)</f>
        <v>0</v>
      </c>
      <c r="J309" s="587">
        <f>IF(VLOOKUP($A309,'hk2017'!$A:$H,1)=$A309,VLOOKUP($A309,'hk2017'!$A:$H,8),0)</f>
        <v>0</v>
      </c>
      <c r="K309" s="589">
        <f t="shared" si="105"/>
        <v>0</v>
      </c>
      <c r="L309" s="595"/>
    </row>
    <row r="310" spans="1:255" outlineLevel="1" x14ac:dyDescent="0.25">
      <c r="A310" s="569" t="str">
        <f>LEFT(B310,3)</f>
        <v>555</v>
      </c>
      <c r="B310" s="565" t="s">
        <v>3144</v>
      </c>
      <c r="C310" s="565" t="s">
        <v>3145</v>
      </c>
      <c r="D310" s="587">
        <f>IF(VLOOKUP($A310,'hk2018'!$A:$G,1)=$A310,VLOOKUP($A310,'hk2018'!$A:$G,6),0)</f>
        <v>0</v>
      </c>
      <c r="E310" s="587">
        <f>IF(VLOOKUP($A310,'hk2018'!$A:$G,1)=$A310,VLOOKUP($A310,'hk2018'!$A:$G,7),0)</f>
        <v>0</v>
      </c>
      <c r="F310" s="587">
        <f>IF(VLOOKUP($A310,'hk2018'!$A:$H,1)=$A310,VLOOKUP($A310,'hk2018'!$A:$H,8),0)</f>
        <v>0</v>
      </c>
      <c r="G310" s="588">
        <f t="shared" si="104"/>
        <v>0</v>
      </c>
      <c r="H310" s="587">
        <f>IF(VLOOKUP($A310,'hk2017'!$A:$G,1)=$A310,VLOOKUP($A310,'hk2017'!$A:$G,6),0)</f>
        <v>0</v>
      </c>
      <c r="I310" s="587">
        <f>IF(VLOOKUP($A310,'hk2017'!$A:$G,1)=$A310,VLOOKUP($A310,'hk2017'!$A:$G,7),0)</f>
        <v>0</v>
      </c>
      <c r="J310" s="587">
        <f>IF(VLOOKUP($A310,'hk2017'!$A:$H,1)=$A310,VLOOKUP($A310,'hk2017'!$A:$H,8),0)</f>
        <v>0</v>
      </c>
      <c r="K310" s="589">
        <f t="shared" si="105"/>
        <v>0</v>
      </c>
      <c r="L310" s="595"/>
    </row>
    <row r="311" spans="1:255" outlineLevel="1" x14ac:dyDescent="0.25">
      <c r="A311" s="569" t="str">
        <f>LEFT(B311,3)</f>
        <v>557</v>
      </c>
      <c r="B311" s="565" t="s">
        <v>3146</v>
      </c>
      <c r="C311" s="565" t="s">
        <v>3147</v>
      </c>
      <c r="D311" s="587">
        <f>IF(VLOOKUP($A311,'hk2018'!$A:$G,1)=$A311,VLOOKUP($A311,'hk2018'!$A:$G,6),0)</f>
        <v>0</v>
      </c>
      <c r="E311" s="587">
        <f>IF(VLOOKUP($A311,'hk2018'!$A:$G,1)=$A311,VLOOKUP($A311,'hk2018'!$A:$G,7),0)</f>
        <v>0</v>
      </c>
      <c r="F311" s="587">
        <f>IF(VLOOKUP($A311,'hk2018'!$A:$H,1)=$A311,VLOOKUP($A311,'hk2018'!$A:$H,8),0)</f>
        <v>0</v>
      </c>
      <c r="G311" s="588">
        <f t="shared" si="104"/>
        <v>0</v>
      </c>
      <c r="H311" s="587">
        <f>IF(VLOOKUP($A311,'hk2017'!$A:$G,1)=$A311,VLOOKUP($A311,'hk2017'!$A:$G,6),0)</f>
        <v>0</v>
      </c>
      <c r="I311" s="587">
        <f>IF(VLOOKUP($A311,'hk2017'!$A:$G,1)=$A311,VLOOKUP($A311,'hk2017'!$A:$G,7),0)</f>
        <v>0</v>
      </c>
      <c r="J311" s="587">
        <f>IF(VLOOKUP($A311,'hk2017'!$A:$H,1)=$A311,VLOOKUP($A311,'hk2017'!$A:$H,8),0)</f>
        <v>0</v>
      </c>
      <c r="K311" s="589">
        <f t="shared" si="105"/>
        <v>0</v>
      </c>
      <c r="L311" s="595"/>
    </row>
    <row r="312" spans="1:255" outlineLevel="1" x14ac:dyDescent="0.25">
      <c r="A312" s="623" t="str">
        <f>LEFT(B312,3)</f>
        <v>558</v>
      </c>
      <c r="B312" s="565" t="s">
        <v>3148</v>
      </c>
      <c r="C312" s="565" t="s">
        <v>3149</v>
      </c>
      <c r="D312" s="587">
        <f>IF(VLOOKUP($A312,'hk2018'!$A:$G,1)=$A312,VLOOKUP($A312,'hk2018'!$A:$G,6),0)</f>
        <v>0</v>
      </c>
      <c r="E312" s="587">
        <f>IF(VLOOKUP($A312,'hk2018'!$A:$G,1)=$A312,VLOOKUP($A312,'hk2018'!$A:$G,7),0)</f>
        <v>0</v>
      </c>
      <c r="F312" s="587">
        <f>IF(VLOOKUP($A312,'hk2018'!$A:$H,1)=$A312,VLOOKUP($A312,'hk2018'!$A:$H,8),0)</f>
        <v>0</v>
      </c>
      <c r="G312" s="588">
        <f t="shared" si="104"/>
        <v>0</v>
      </c>
      <c r="H312" s="587">
        <f>IF(VLOOKUP($A312,'hk2017'!$A:$G,1)=$A312,VLOOKUP($A312,'hk2017'!$A:$G,6),0)</f>
        <v>0</v>
      </c>
      <c r="I312" s="587">
        <f>IF(VLOOKUP($A312,'hk2017'!$A:$G,1)=$A312,VLOOKUP($A312,'hk2017'!$A:$G,7),0)</f>
        <v>0</v>
      </c>
      <c r="J312" s="587">
        <f>IF(VLOOKUP($A312,'hk2017'!$A:$H,1)=$A312,VLOOKUP($A312,'hk2017'!$A:$H,8),0)</f>
        <v>0</v>
      </c>
      <c r="K312" s="589">
        <f t="shared" si="105"/>
        <v>0</v>
      </c>
      <c r="L312" s="595"/>
    </row>
    <row r="313" spans="1:255" outlineLevel="1" x14ac:dyDescent="0.25">
      <c r="A313" s="623" t="str">
        <f>LEFT(B313,3)</f>
        <v>559</v>
      </c>
      <c r="B313" s="565" t="s">
        <v>3150</v>
      </c>
      <c r="C313" s="565" t="s">
        <v>3151</v>
      </c>
      <c r="D313" s="587">
        <f>IF(VLOOKUP($A313,'hk2018'!$A:$G,1)=$A313,VLOOKUP($A313,'hk2018'!$A:$G,6),0)</f>
        <v>0</v>
      </c>
      <c r="E313" s="587">
        <f>IF(VLOOKUP($A313,'hk2018'!$A:$G,1)=$A313,VLOOKUP($A313,'hk2018'!$A:$G,7),0)</f>
        <v>0</v>
      </c>
      <c r="F313" s="587">
        <f>IF(VLOOKUP($A313,'hk2018'!$A:$H,1)=$A313,VLOOKUP($A313,'hk2018'!$A:$H,8),0)</f>
        <v>0</v>
      </c>
      <c r="G313" s="588">
        <f t="shared" si="104"/>
        <v>0</v>
      </c>
      <c r="H313" s="587">
        <f>IF(VLOOKUP($A313,'hk2017'!$A:$G,1)=$A313,VLOOKUP($A313,'hk2017'!$A:$G,6),0)</f>
        <v>0</v>
      </c>
      <c r="I313" s="587">
        <f>IF(VLOOKUP($A313,'hk2017'!$A:$G,1)=$A313,VLOOKUP($A313,'hk2017'!$A:$G,7),0)</f>
        <v>0</v>
      </c>
      <c r="J313" s="587">
        <f>IF(VLOOKUP($A313,'hk2017'!$A:$H,1)=$A313,VLOOKUP($A313,'hk2017'!$A:$H,8),0)</f>
        <v>0</v>
      </c>
      <c r="K313" s="589">
        <f t="shared" si="105"/>
        <v>0</v>
      </c>
      <c r="L313" s="595"/>
    </row>
    <row r="314" spans="1:255" outlineLevel="1" x14ac:dyDescent="0.25">
      <c r="A314" s="569"/>
      <c r="B314" s="565"/>
      <c r="C314" s="565"/>
      <c r="H314" s="610"/>
      <c r="I314" s="610"/>
      <c r="J314" s="610"/>
      <c r="K314" s="611"/>
      <c r="L314" s="595"/>
    </row>
    <row r="315" spans="1:255" x14ac:dyDescent="0.25">
      <c r="A315" s="604" t="s">
        <v>1254</v>
      </c>
      <c r="B315" s="605"/>
      <c r="C315" s="606" t="s">
        <v>3152</v>
      </c>
      <c r="D315" s="578">
        <f t="shared" ref="D315:K315" si="106">SUM(D316:D325)</f>
        <v>0</v>
      </c>
      <c r="E315" s="578">
        <f t="shared" si="106"/>
        <v>8641.02</v>
      </c>
      <c r="F315" s="578">
        <f t="shared" si="106"/>
        <v>0</v>
      </c>
      <c r="G315" s="579">
        <f t="shared" si="106"/>
        <v>8641.02</v>
      </c>
      <c r="H315" s="578">
        <f t="shared" si="106"/>
        <v>0</v>
      </c>
      <c r="I315" s="578">
        <f t="shared" si="106"/>
        <v>10244.799999999999</v>
      </c>
      <c r="J315" s="578">
        <f t="shared" si="106"/>
        <v>0</v>
      </c>
      <c r="K315" s="580">
        <f t="shared" si="106"/>
        <v>10244.799999999999</v>
      </c>
      <c r="L315" s="595"/>
      <c r="M315" s="624"/>
      <c r="N315" s="620"/>
      <c r="P315" s="582"/>
      <c r="Q315" s="624"/>
      <c r="R315" s="624"/>
      <c r="S315" s="624"/>
      <c r="T315" s="624"/>
      <c r="U315" s="620"/>
      <c r="W315" s="582"/>
      <c r="X315" s="624"/>
      <c r="Y315" s="624"/>
      <c r="Z315" s="624"/>
      <c r="AA315" s="624"/>
      <c r="AB315" s="620"/>
      <c r="AD315" s="582"/>
      <c r="AE315" s="624"/>
      <c r="AF315" s="624"/>
      <c r="AG315" s="624"/>
      <c r="AH315" s="624"/>
      <c r="AI315" s="620"/>
      <c r="AK315" s="582"/>
      <c r="AL315" s="624"/>
      <c r="AM315" s="624"/>
      <c r="AN315" s="624"/>
      <c r="AO315" s="624"/>
      <c r="AP315" s="620"/>
      <c r="AR315" s="582"/>
      <c r="AS315" s="624"/>
      <c r="AT315" s="624"/>
      <c r="AU315" s="624"/>
      <c r="AV315" s="624"/>
      <c r="AW315" s="620"/>
      <c r="AY315" s="582"/>
      <c r="AZ315" s="624"/>
      <c r="BA315" s="624"/>
      <c r="BB315" s="624"/>
      <c r="BC315" s="624"/>
      <c r="BD315" s="620"/>
      <c r="BF315" s="582"/>
      <c r="BG315" s="624"/>
      <c r="BH315" s="624"/>
      <c r="BI315" s="624"/>
      <c r="BJ315" s="624"/>
      <c r="BK315" s="620"/>
      <c r="BM315" s="582"/>
      <c r="BN315" s="624"/>
      <c r="BO315" s="624"/>
      <c r="BP315" s="624"/>
      <c r="BQ315" s="624"/>
      <c r="BR315" s="620"/>
      <c r="BT315" s="582"/>
      <c r="BU315" s="624"/>
      <c r="BV315" s="624"/>
      <c r="BW315" s="624"/>
      <c r="BX315" s="624"/>
      <c r="BY315" s="620"/>
      <c r="CA315" s="582"/>
      <c r="CB315" s="624"/>
      <c r="CC315" s="624"/>
      <c r="CD315" s="624"/>
      <c r="CE315" s="624"/>
      <c r="CF315" s="620"/>
      <c r="CH315" s="582"/>
      <c r="CI315" s="624"/>
      <c r="CJ315" s="624"/>
      <c r="CK315" s="624"/>
      <c r="CL315" s="624"/>
      <c r="CM315" s="620"/>
      <c r="CO315" s="582"/>
      <c r="CP315" s="624"/>
      <c r="CQ315" s="624"/>
      <c r="CR315" s="624"/>
      <c r="CS315" s="624"/>
      <c r="CT315" s="620"/>
      <c r="CV315" s="582"/>
      <c r="CW315" s="624"/>
      <c r="CX315" s="624"/>
      <c r="CY315" s="624"/>
      <c r="CZ315" s="624"/>
      <c r="DA315" s="620"/>
      <c r="DC315" s="582"/>
      <c r="DD315" s="624"/>
      <c r="DE315" s="624"/>
      <c r="DF315" s="624"/>
      <c r="DG315" s="624"/>
      <c r="DH315" s="620"/>
      <c r="DJ315" s="582"/>
      <c r="DK315" s="624"/>
      <c r="DL315" s="624"/>
      <c r="DM315" s="624"/>
      <c r="DN315" s="624"/>
      <c r="DO315" s="620"/>
      <c r="DQ315" s="582"/>
      <c r="DR315" s="624"/>
      <c r="DS315" s="624"/>
      <c r="DT315" s="624"/>
      <c r="DU315" s="624"/>
      <c r="DV315" s="620"/>
      <c r="DX315" s="582"/>
      <c r="DY315" s="624"/>
      <c r="DZ315" s="624"/>
      <c r="EA315" s="624"/>
      <c r="EB315" s="624"/>
      <c r="EC315" s="620"/>
      <c r="EE315" s="582"/>
      <c r="EF315" s="624"/>
      <c r="EG315" s="624"/>
      <c r="EH315" s="624"/>
      <c r="EI315" s="624"/>
      <c r="EJ315" s="620"/>
      <c r="EL315" s="582"/>
      <c r="EM315" s="624"/>
      <c r="EN315" s="624"/>
      <c r="EO315" s="624"/>
      <c r="EP315" s="624"/>
      <c r="EQ315" s="620"/>
      <c r="ES315" s="582"/>
      <c r="ET315" s="624"/>
      <c r="EU315" s="624"/>
      <c r="EV315" s="624"/>
      <c r="EW315" s="624"/>
      <c r="EX315" s="620"/>
      <c r="EZ315" s="582"/>
      <c r="FA315" s="624"/>
      <c r="FB315" s="624"/>
      <c r="FC315" s="624"/>
      <c r="FD315" s="624"/>
      <c r="FE315" s="620"/>
      <c r="FG315" s="582"/>
      <c r="FH315" s="624"/>
      <c r="FI315" s="624"/>
      <c r="FJ315" s="624"/>
      <c r="FK315" s="624"/>
      <c r="FL315" s="620"/>
      <c r="FN315" s="582"/>
      <c r="FO315" s="624"/>
      <c r="FP315" s="624"/>
      <c r="FQ315" s="624"/>
      <c r="FR315" s="624"/>
      <c r="FS315" s="620"/>
      <c r="FU315" s="582"/>
      <c r="FV315" s="624"/>
      <c r="FW315" s="624"/>
      <c r="FX315" s="624"/>
      <c r="FY315" s="624"/>
      <c r="FZ315" s="620"/>
      <c r="GB315" s="582"/>
      <c r="GC315" s="624"/>
      <c r="GD315" s="624"/>
      <c r="GE315" s="624"/>
      <c r="GF315" s="624"/>
      <c r="GG315" s="620"/>
      <c r="GI315" s="582"/>
      <c r="GJ315" s="624"/>
      <c r="GK315" s="624"/>
      <c r="GL315" s="624"/>
      <c r="GM315" s="624"/>
      <c r="GN315" s="620"/>
      <c r="GP315" s="582"/>
      <c r="GQ315" s="624"/>
      <c r="GR315" s="624"/>
      <c r="GS315" s="624"/>
      <c r="GT315" s="624"/>
      <c r="GU315" s="620"/>
      <c r="GW315" s="582"/>
      <c r="GX315" s="624"/>
      <c r="GY315" s="624"/>
      <c r="GZ315" s="624"/>
      <c r="HA315" s="624"/>
      <c r="HB315" s="620"/>
      <c r="HD315" s="582"/>
      <c r="HE315" s="624"/>
      <c r="HF315" s="624"/>
      <c r="HG315" s="624"/>
      <c r="HH315" s="624"/>
      <c r="HI315" s="620"/>
      <c r="HK315" s="582"/>
      <c r="HL315" s="624"/>
      <c r="HM315" s="624"/>
      <c r="HN315" s="624"/>
      <c r="HO315" s="624"/>
      <c r="HP315" s="620"/>
      <c r="HR315" s="582"/>
      <c r="HS315" s="624"/>
      <c r="HT315" s="624"/>
      <c r="HU315" s="624"/>
      <c r="HV315" s="624"/>
      <c r="HW315" s="620"/>
      <c r="HY315" s="582"/>
      <c r="HZ315" s="624"/>
      <c r="IA315" s="624"/>
      <c r="IB315" s="624"/>
      <c r="IC315" s="624"/>
      <c r="ID315" s="620"/>
      <c r="IF315" s="582"/>
      <c r="IG315" s="624"/>
      <c r="IH315" s="624"/>
      <c r="II315" s="624"/>
      <c r="IJ315" s="624"/>
      <c r="IK315" s="620"/>
      <c r="IM315" s="582"/>
      <c r="IN315" s="624"/>
      <c r="IO315" s="624"/>
      <c r="IP315" s="624"/>
      <c r="IQ315" s="624"/>
      <c r="IR315" s="620"/>
      <c r="IT315" s="582"/>
      <c r="IU315" s="624"/>
    </row>
    <row r="316" spans="1:255" outlineLevel="1" x14ac:dyDescent="0.25">
      <c r="A316" s="569" t="s">
        <v>968</v>
      </c>
      <c r="B316" s="582"/>
      <c r="C316" s="583" t="s">
        <v>3152</v>
      </c>
      <c r="D316" s="587">
        <f>IF(VLOOKUP($A316,'hk2018'!$A:$G,1)=$A316,VLOOKUP($A316,'hk2018'!$A:$G,6),0)</f>
        <v>0</v>
      </c>
      <c r="E316" s="587">
        <f>IF(VLOOKUP($A316,'hk2018'!$A:$G,1)=$A316,VLOOKUP($A316,'hk2018'!$A:$G,7),0)</f>
        <v>0</v>
      </c>
      <c r="F316" s="587">
        <f>IF(VLOOKUP($A316,'hk2018'!$A:$H,1)=$A316,VLOOKUP($A316,'hk2018'!$A:$H,8),0)</f>
        <v>0</v>
      </c>
      <c r="G316" s="588">
        <f t="shared" ref="G316:G325" si="107">SUM(D316+E316-F316)</f>
        <v>0</v>
      </c>
      <c r="H316" s="587">
        <f>IF(VLOOKUP($A316,'hk2017'!$A:$G,1)=$A316,VLOOKUP($A316,'hk2017'!$A:$G,6),0)</f>
        <v>0</v>
      </c>
      <c r="I316" s="587">
        <f>IF(VLOOKUP($A316,'hk2017'!$A:$G,1)=$A316,VLOOKUP($A316,'hk2017'!$A:$G,7),0)</f>
        <v>0</v>
      </c>
      <c r="J316" s="587">
        <f>IF(VLOOKUP($A316,'hk2017'!$A:$H,1)=$A316,VLOOKUP($A316,'hk2017'!$A:$H,8),0)</f>
        <v>0</v>
      </c>
      <c r="K316" s="589">
        <f t="shared" ref="K316:K325" si="108">SUM(H316+I316-J316)</f>
        <v>0</v>
      </c>
      <c r="L316" s="595"/>
      <c r="M316" s="624"/>
      <c r="N316" s="620"/>
      <c r="P316" s="582"/>
      <c r="Q316" s="624"/>
      <c r="R316" s="624"/>
      <c r="S316" s="624"/>
      <c r="T316" s="624"/>
      <c r="U316" s="620"/>
      <c r="W316" s="582"/>
      <c r="X316" s="624"/>
      <c r="Y316" s="624"/>
      <c r="Z316" s="624"/>
      <c r="AA316" s="624"/>
      <c r="AB316" s="620"/>
      <c r="AD316" s="582"/>
      <c r="AE316" s="624"/>
      <c r="AF316" s="624"/>
      <c r="AG316" s="624"/>
      <c r="AH316" s="624"/>
      <c r="AI316" s="620"/>
      <c r="AK316" s="582"/>
      <c r="AL316" s="624"/>
      <c r="AM316" s="624"/>
      <c r="AN316" s="624"/>
      <c r="AO316" s="624"/>
      <c r="AP316" s="620"/>
      <c r="AR316" s="582"/>
      <c r="AS316" s="624"/>
      <c r="AT316" s="624"/>
      <c r="AU316" s="624"/>
      <c r="AV316" s="624"/>
      <c r="AW316" s="620"/>
      <c r="AY316" s="582"/>
      <c r="AZ316" s="624"/>
      <c r="BA316" s="624"/>
      <c r="BB316" s="624"/>
      <c r="BC316" s="624"/>
      <c r="BD316" s="620"/>
      <c r="BF316" s="582"/>
      <c r="BG316" s="624"/>
      <c r="BH316" s="624"/>
      <c r="BI316" s="624"/>
      <c r="BJ316" s="624"/>
      <c r="BK316" s="620"/>
      <c r="BM316" s="582"/>
      <c r="BN316" s="624"/>
      <c r="BO316" s="624"/>
      <c r="BP316" s="624"/>
      <c r="BQ316" s="624"/>
      <c r="BR316" s="620"/>
      <c r="BT316" s="582"/>
      <c r="BU316" s="624"/>
      <c r="BV316" s="624"/>
      <c r="BW316" s="624"/>
      <c r="BX316" s="624"/>
      <c r="BY316" s="620"/>
      <c r="CA316" s="582"/>
      <c r="CB316" s="624"/>
      <c r="CC316" s="624"/>
      <c r="CD316" s="624"/>
      <c r="CE316" s="624"/>
      <c r="CF316" s="620"/>
      <c r="CH316" s="582"/>
      <c r="CI316" s="624"/>
      <c r="CJ316" s="624"/>
      <c r="CK316" s="624"/>
      <c r="CL316" s="624"/>
      <c r="CM316" s="620"/>
      <c r="CO316" s="582"/>
      <c r="CP316" s="624"/>
      <c r="CQ316" s="624"/>
      <c r="CR316" s="624"/>
      <c r="CS316" s="624"/>
      <c r="CT316" s="620"/>
      <c r="CV316" s="582"/>
      <c r="CW316" s="624"/>
      <c r="CX316" s="624"/>
      <c r="CY316" s="624"/>
      <c r="CZ316" s="624"/>
      <c r="DA316" s="620"/>
      <c r="DC316" s="582"/>
      <c r="DD316" s="624"/>
      <c r="DE316" s="624"/>
      <c r="DF316" s="624"/>
      <c r="DG316" s="624"/>
      <c r="DH316" s="620"/>
      <c r="DJ316" s="582"/>
      <c r="DK316" s="624"/>
      <c r="DL316" s="624"/>
      <c r="DM316" s="624"/>
      <c r="DN316" s="624"/>
      <c r="DO316" s="620"/>
      <c r="DQ316" s="582"/>
      <c r="DR316" s="624"/>
      <c r="DS316" s="624"/>
      <c r="DT316" s="624"/>
      <c r="DU316" s="624"/>
      <c r="DV316" s="620"/>
      <c r="DX316" s="582"/>
      <c r="DY316" s="624"/>
      <c r="DZ316" s="624"/>
      <c r="EA316" s="624"/>
      <c r="EB316" s="624"/>
      <c r="EC316" s="620"/>
      <c r="EE316" s="582"/>
      <c r="EF316" s="624"/>
      <c r="EG316" s="624"/>
      <c r="EH316" s="624"/>
      <c r="EI316" s="624"/>
      <c r="EJ316" s="620"/>
      <c r="EL316" s="582"/>
      <c r="EM316" s="624"/>
      <c r="EN316" s="624"/>
      <c r="EO316" s="624"/>
      <c r="EP316" s="624"/>
      <c r="EQ316" s="620"/>
      <c r="ES316" s="582"/>
      <c r="ET316" s="624"/>
      <c r="EU316" s="624"/>
      <c r="EV316" s="624"/>
      <c r="EW316" s="624"/>
      <c r="EX316" s="620"/>
      <c r="EZ316" s="582"/>
      <c r="FA316" s="624"/>
      <c r="FB316" s="624"/>
      <c r="FC316" s="624"/>
      <c r="FD316" s="624"/>
      <c r="FE316" s="620"/>
      <c r="FG316" s="582"/>
      <c r="FH316" s="624"/>
      <c r="FI316" s="624"/>
      <c r="FJ316" s="624"/>
      <c r="FK316" s="624"/>
      <c r="FL316" s="620"/>
      <c r="FN316" s="582"/>
      <c r="FO316" s="624"/>
      <c r="FP316" s="624"/>
      <c r="FQ316" s="624"/>
      <c r="FR316" s="624"/>
      <c r="FS316" s="620"/>
      <c r="FU316" s="582"/>
      <c r="FV316" s="624"/>
      <c r="FW316" s="624"/>
      <c r="FX316" s="624"/>
      <c r="FY316" s="624"/>
      <c r="FZ316" s="620"/>
      <c r="GB316" s="582"/>
      <c r="GC316" s="624"/>
      <c r="GD316" s="624"/>
      <c r="GE316" s="624"/>
      <c r="GF316" s="624"/>
      <c r="GG316" s="620"/>
      <c r="GI316" s="582"/>
      <c r="GJ316" s="624"/>
      <c r="GK316" s="624"/>
      <c r="GL316" s="624"/>
      <c r="GM316" s="624"/>
      <c r="GN316" s="620"/>
      <c r="GP316" s="582"/>
      <c r="GQ316" s="624"/>
      <c r="GR316" s="624"/>
      <c r="GS316" s="624"/>
      <c r="GT316" s="624"/>
      <c r="GU316" s="620"/>
      <c r="GW316" s="582"/>
      <c r="GX316" s="624"/>
      <c r="GY316" s="624"/>
      <c r="GZ316" s="624"/>
      <c r="HA316" s="624"/>
      <c r="HB316" s="620"/>
      <c r="HD316" s="582"/>
      <c r="HE316" s="624"/>
      <c r="HF316" s="624"/>
      <c r="HG316" s="624"/>
      <c r="HH316" s="624"/>
      <c r="HI316" s="620"/>
      <c r="HK316" s="582"/>
      <c r="HL316" s="624"/>
      <c r="HM316" s="624"/>
      <c r="HN316" s="624"/>
      <c r="HO316" s="624"/>
      <c r="HP316" s="620"/>
      <c r="HR316" s="582"/>
      <c r="HS316" s="624"/>
      <c r="HT316" s="624"/>
      <c r="HU316" s="624"/>
      <c r="HV316" s="624"/>
      <c r="HW316" s="620"/>
      <c r="HY316" s="582"/>
      <c r="HZ316" s="624"/>
      <c r="IA316" s="624"/>
      <c r="IB316" s="624"/>
      <c r="IC316" s="624"/>
      <c r="ID316" s="620"/>
      <c r="IF316" s="582"/>
      <c r="IG316" s="624"/>
      <c r="IH316" s="624"/>
      <c r="II316" s="624"/>
      <c r="IJ316" s="624"/>
      <c r="IK316" s="620"/>
      <c r="IM316" s="582"/>
      <c r="IN316" s="624"/>
      <c r="IO316" s="624"/>
      <c r="IP316" s="624"/>
      <c r="IQ316" s="624"/>
      <c r="IR316" s="620"/>
      <c r="IT316" s="582"/>
      <c r="IU316" s="624"/>
    </row>
    <row r="317" spans="1:255" outlineLevel="1" x14ac:dyDescent="0.25">
      <c r="A317" s="569" t="str">
        <f>LEFT(B317,3)</f>
        <v>561</v>
      </c>
      <c r="B317" s="565" t="s">
        <v>3153</v>
      </c>
      <c r="C317" s="565" t="s">
        <v>3154</v>
      </c>
      <c r="D317" s="587">
        <f>IF(VLOOKUP($A317,'hk2018'!$A:$G,1)=$A317,VLOOKUP($A317,'hk2018'!$A:$G,6),0)</f>
        <v>0</v>
      </c>
      <c r="E317" s="587">
        <f>IF(VLOOKUP($A317,'hk2018'!$A:$G,1)=$A317,VLOOKUP($A317,'hk2018'!$A:$G,7),0)</f>
        <v>0</v>
      </c>
      <c r="F317" s="587">
        <f>IF(VLOOKUP($A317,'hk2018'!$A:$H,1)=$A317,VLOOKUP($A317,'hk2018'!$A:$H,8),0)</f>
        <v>0</v>
      </c>
      <c r="G317" s="588">
        <f t="shared" si="107"/>
        <v>0</v>
      </c>
      <c r="H317" s="587">
        <f>IF(VLOOKUP($A317,'hk2017'!$A:$G,1)=$A317,VLOOKUP($A317,'hk2017'!$A:$G,6),0)</f>
        <v>0</v>
      </c>
      <c r="I317" s="587">
        <f>IF(VLOOKUP($A317,'hk2017'!$A:$G,1)=$A317,VLOOKUP($A317,'hk2017'!$A:$G,7),0)</f>
        <v>0</v>
      </c>
      <c r="J317" s="587">
        <f>IF(VLOOKUP($A317,'hk2017'!$A:$H,1)=$A317,VLOOKUP($A317,'hk2017'!$A:$H,8),0)</f>
        <v>0</v>
      </c>
      <c r="K317" s="589">
        <f t="shared" si="108"/>
        <v>0</v>
      </c>
      <c r="L317" s="595"/>
    </row>
    <row r="318" spans="1:255" outlineLevel="1" x14ac:dyDescent="0.25">
      <c r="A318" s="569" t="str">
        <f>LEFT(B318,3)</f>
        <v>562</v>
      </c>
      <c r="B318" s="565" t="s">
        <v>3155</v>
      </c>
      <c r="C318" s="565" t="s">
        <v>3156</v>
      </c>
      <c r="D318" s="587">
        <f>IF(VLOOKUP($A318,'hk2018'!$A:$G,1)=$A318,VLOOKUP($A318,'hk2018'!$A:$G,6),0)</f>
        <v>0</v>
      </c>
      <c r="E318" s="587">
        <f>IF(VLOOKUP($A318,'hk2018'!$A:$G,1)=$A318,VLOOKUP($A318,'hk2018'!$A:$G,7),0)</f>
        <v>6333.47</v>
      </c>
      <c r="F318" s="587">
        <f>IF(VLOOKUP($A318,'hk2018'!$A:$H,1)=$A318,VLOOKUP($A318,'hk2018'!$A:$H,8),0)</f>
        <v>0</v>
      </c>
      <c r="G318" s="588">
        <f t="shared" si="107"/>
        <v>6333.47</v>
      </c>
      <c r="H318" s="587">
        <f>IF(VLOOKUP($A318,'hk2017'!$A:$G,1)=$A318,VLOOKUP($A318,'hk2017'!$A:$G,6),0)</f>
        <v>0</v>
      </c>
      <c r="I318" s="587">
        <f>IF(VLOOKUP($A318,'hk2017'!$A:$G,1)=$A318,VLOOKUP($A318,'hk2017'!$A:$G,7),0)</f>
        <v>7980.57</v>
      </c>
      <c r="J318" s="587">
        <f>IF(VLOOKUP($A318,'hk2017'!$A:$H,1)=$A318,VLOOKUP($A318,'hk2017'!$A:$H,8),0)</f>
        <v>0</v>
      </c>
      <c r="K318" s="589">
        <f t="shared" si="108"/>
        <v>7980.57</v>
      </c>
      <c r="L318" s="595"/>
    </row>
    <row r="319" spans="1:255" outlineLevel="1" x14ac:dyDescent="0.25">
      <c r="A319" s="569" t="str">
        <f>LEFT(B319,3)</f>
        <v>563</v>
      </c>
      <c r="B319" s="565" t="s">
        <v>3157</v>
      </c>
      <c r="C319" s="565" t="s">
        <v>3158</v>
      </c>
      <c r="D319" s="587">
        <f>IF(VLOOKUP($A319,'hk2018'!$A:$G,1)=$A319,VLOOKUP($A319,'hk2018'!$A:$G,6),0)</f>
        <v>0</v>
      </c>
      <c r="E319" s="587">
        <f>IF(VLOOKUP($A319,'hk2018'!$A:$G,1)=$A319,VLOOKUP($A319,'hk2018'!$A:$G,7),0)</f>
        <v>0</v>
      </c>
      <c r="F319" s="587">
        <f>IF(VLOOKUP($A319,'hk2018'!$A:$H,1)=$A319,VLOOKUP($A319,'hk2018'!$A:$H,8),0)</f>
        <v>0</v>
      </c>
      <c r="G319" s="588">
        <f t="shared" si="107"/>
        <v>0</v>
      </c>
      <c r="H319" s="587">
        <f>IF(VLOOKUP($A319,'hk2017'!$A:$G,1)=$A319,VLOOKUP($A319,'hk2017'!$A:$G,6),0)</f>
        <v>0</v>
      </c>
      <c r="I319" s="587">
        <f>IF(VLOOKUP($A319,'hk2017'!$A:$G,1)=$A319,VLOOKUP($A319,'hk2017'!$A:$G,7),0)</f>
        <v>0</v>
      </c>
      <c r="J319" s="587">
        <f>IF(VLOOKUP($A319,'hk2017'!$A:$H,1)=$A319,VLOOKUP($A319,'hk2017'!$A:$H,8),0)</f>
        <v>0</v>
      </c>
      <c r="K319" s="589">
        <f t="shared" si="108"/>
        <v>0</v>
      </c>
      <c r="L319" s="595"/>
    </row>
    <row r="320" spans="1:255" outlineLevel="1" x14ac:dyDescent="0.25">
      <c r="A320" s="569" t="str">
        <f>LEFT(B320,3)</f>
        <v>564</v>
      </c>
      <c r="B320" s="565" t="s">
        <v>3159</v>
      </c>
      <c r="C320" s="565" t="s">
        <v>3160</v>
      </c>
      <c r="D320" s="587">
        <f>IF(VLOOKUP($A320,'hk2018'!$A:$G,1)=$A320,VLOOKUP($A320,'hk2018'!$A:$G,6),0)</f>
        <v>0</v>
      </c>
      <c r="E320" s="587">
        <f>IF(VLOOKUP($A320,'hk2018'!$A:$G,1)=$A320,VLOOKUP($A320,'hk2018'!$A:$G,7),0)</f>
        <v>0</v>
      </c>
      <c r="F320" s="587">
        <f>IF(VLOOKUP($A320,'hk2018'!$A:$H,1)=$A320,VLOOKUP($A320,'hk2018'!$A:$H,8),0)</f>
        <v>0</v>
      </c>
      <c r="G320" s="588">
        <f t="shared" si="107"/>
        <v>0</v>
      </c>
      <c r="H320" s="587">
        <f>IF(VLOOKUP($A320,'hk2017'!$A:$G,1)=$A320,VLOOKUP($A320,'hk2017'!$A:$G,6),0)</f>
        <v>0</v>
      </c>
      <c r="I320" s="587">
        <f>IF(VLOOKUP($A320,'hk2017'!$A:$G,1)=$A320,VLOOKUP($A320,'hk2017'!$A:$G,7),0)</f>
        <v>0</v>
      </c>
      <c r="J320" s="587">
        <f>IF(VLOOKUP($A320,'hk2017'!$A:$H,1)=$A320,VLOOKUP($A320,'hk2017'!$A:$H,8),0)</f>
        <v>0</v>
      </c>
      <c r="K320" s="589">
        <f t="shared" si="108"/>
        <v>0</v>
      </c>
      <c r="L320" s="595"/>
    </row>
    <row r="321" spans="1:255" outlineLevel="1" x14ac:dyDescent="0.25">
      <c r="A321" s="569" t="s">
        <v>987</v>
      </c>
      <c r="B321" s="565"/>
      <c r="C321" s="565"/>
      <c r="D321" s="587">
        <f>IF(VLOOKUP($A321,'hk2018'!$A:$G,1)=$A321,VLOOKUP($A321,'hk2018'!$A:$G,6),0)</f>
        <v>0</v>
      </c>
      <c r="E321" s="587">
        <f>IF(VLOOKUP($A321,'hk2018'!$A:$G,1)=$A321,VLOOKUP($A321,'hk2018'!$A:$G,7),0)</f>
        <v>0</v>
      </c>
      <c r="F321" s="587">
        <f>IF(VLOOKUP($A321,'hk2018'!$A:$H,1)=$A321,VLOOKUP($A321,'hk2018'!$A:$H,8),0)</f>
        <v>0</v>
      </c>
      <c r="G321" s="588">
        <f t="shared" si="107"/>
        <v>0</v>
      </c>
      <c r="H321" s="587">
        <f>IF(VLOOKUP($A321,'hk2017'!$A:$G,1)=$A321,VLOOKUP($A321,'hk2017'!$A:$G,6),0)</f>
        <v>0</v>
      </c>
      <c r="I321" s="587">
        <f>IF(VLOOKUP($A321,'hk2017'!$A:$G,1)=$A321,VLOOKUP($A321,'hk2017'!$A:$G,7),0)</f>
        <v>0</v>
      </c>
      <c r="J321" s="587">
        <f>IF(VLOOKUP($A321,'hk2017'!$A:$H,1)=$A321,VLOOKUP($A321,'hk2017'!$A:$H,8),0)</f>
        <v>0</v>
      </c>
      <c r="K321" s="589">
        <f t="shared" si="108"/>
        <v>0</v>
      </c>
      <c r="L321" s="595"/>
    </row>
    <row r="322" spans="1:255" outlineLevel="1" x14ac:dyDescent="0.25">
      <c r="A322" s="569" t="str">
        <f>LEFT(B322,3)</f>
        <v>566</v>
      </c>
      <c r="B322" s="565" t="s">
        <v>3161</v>
      </c>
      <c r="C322" s="565" t="s">
        <v>3162</v>
      </c>
      <c r="D322" s="587">
        <f>IF(VLOOKUP($A322,'hk2018'!$A:$G,1)=$A322,VLOOKUP($A322,'hk2018'!$A:$G,6),0)</f>
        <v>0</v>
      </c>
      <c r="E322" s="587">
        <f>IF(VLOOKUP($A322,'hk2018'!$A:$G,1)=$A322,VLOOKUP($A322,'hk2018'!$A:$G,7),0)</f>
        <v>0</v>
      </c>
      <c r="F322" s="587">
        <f>IF(VLOOKUP($A322,'hk2018'!$A:$H,1)=$A322,VLOOKUP($A322,'hk2018'!$A:$H,8),0)</f>
        <v>0</v>
      </c>
      <c r="G322" s="588">
        <f t="shared" si="107"/>
        <v>0</v>
      </c>
      <c r="H322" s="587">
        <f>IF(VLOOKUP($A322,'hk2017'!$A:$G,1)=$A322,VLOOKUP($A322,'hk2017'!$A:$G,6),0)</f>
        <v>0</v>
      </c>
      <c r="I322" s="587">
        <f>IF(VLOOKUP($A322,'hk2017'!$A:$G,1)=$A322,VLOOKUP($A322,'hk2017'!$A:$G,7),0)</f>
        <v>0</v>
      </c>
      <c r="J322" s="587">
        <f>IF(VLOOKUP($A322,'hk2017'!$A:$H,1)=$A322,VLOOKUP($A322,'hk2017'!$A:$H,8),0)</f>
        <v>0</v>
      </c>
      <c r="K322" s="589">
        <f t="shared" si="108"/>
        <v>0</v>
      </c>
      <c r="L322" s="595"/>
    </row>
    <row r="323" spans="1:255" outlineLevel="1" x14ac:dyDescent="0.25">
      <c r="A323" s="569" t="str">
        <f>LEFT(B323,3)</f>
        <v>567</v>
      </c>
      <c r="B323" s="565" t="s">
        <v>3163</v>
      </c>
      <c r="C323" s="565" t="s">
        <v>3164</v>
      </c>
      <c r="D323" s="587">
        <f>IF(VLOOKUP($A323,'hk2018'!$A:$G,1)=$A323,VLOOKUP($A323,'hk2018'!$A:$G,6),0)</f>
        <v>0</v>
      </c>
      <c r="E323" s="587">
        <f>IF(VLOOKUP($A323,'hk2018'!$A:$G,1)=$A323,VLOOKUP($A323,'hk2018'!$A:$G,7),0)</f>
        <v>0</v>
      </c>
      <c r="F323" s="587">
        <f>IF(VLOOKUP($A323,'hk2018'!$A:$H,1)=$A323,VLOOKUP($A323,'hk2018'!$A:$H,8),0)</f>
        <v>0</v>
      </c>
      <c r="G323" s="588">
        <f t="shared" si="107"/>
        <v>0</v>
      </c>
      <c r="H323" s="587">
        <f>IF(VLOOKUP($A323,'hk2017'!$A:$G,1)=$A323,VLOOKUP($A323,'hk2017'!$A:$G,6),0)</f>
        <v>0</v>
      </c>
      <c r="I323" s="587">
        <f>IF(VLOOKUP($A323,'hk2017'!$A:$G,1)=$A323,VLOOKUP($A323,'hk2017'!$A:$G,7),0)</f>
        <v>0</v>
      </c>
      <c r="J323" s="587">
        <f>IF(VLOOKUP($A323,'hk2017'!$A:$H,1)=$A323,VLOOKUP($A323,'hk2017'!$A:$H,8),0)</f>
        <v>0</v>
      </c>
      <c r="K323" s="589">
        <f t="shared" si="108"/>
        <v>0</v>
      </c>
      <c r="L323" s="595"/>
    </row>
    <row r="324" spans="1:255" outlineLevel="1" x14ac:dyDescent="0.25">
      <c r="A324" s="569" t="str">
        <f>LEFT(B324,3)</f>
        <v>568</v>
      </c>
      <c r="B324" s="565" t="s">
        <v>3165</v>
      </c>
      <c r="C324" s="565" t="s">
        <v>2566</v>
      </c>
      <c r="D324" s="587">
        <f>IF(VLOOKUP($A324,'hk2018'!$A:$G,1)=$A324,VLOOKUP($A324,'hk2018'!$A:$G,6),0)</f>
        <v>0</v>
      </c>
      <c r="E324" s="587">
        <f>IF(VLOOKUP($A324,'hk2018'!$A:$G,1)=$A324,VLOOKUP($A324,'hk2018'!$A:$G,7),0)</f>
        <v>2307.5500000000002</v>
      </c>
      <c r="F324" s="587">
        <f>IF(VLOOKUP($A324,'hk2018'!$A:$H,1)=$A324,VLOOKUP($A324,'hk2018'!$A:$H,8),0)</f>
        <v>0</v>
      </c>
      <c r="G324" s="588">
        <f t="shared" si="107"/>
        <v>2307.5500000000002</v>
      </c>
      <c r="H324" s="587">
        <f>IF(VLOOKUP($A324,'hk2017'!$A:$G,1)=$A324,VLOOKUP($A324,'hk2017'!$A:$G,6),0)</f>
        <v>0</v>
      </c>
      <c r="I324" s="587">
        <f>IF(VLOOKUP($A324,'hk2017'!$A:$G,1)=$A324,VLOOKUP($A324,'hk2017'!$A:$G,7),0)</f>
        <v>2264.23</v>
      </c>
      <c r="J324" s="587">
        <f>IF(VLOOKUP($A324,'hk2017'!$A:$H,1)=$A324,VLOOKUP($A324,'hk2017'!$A:$H,8),0)</f>
        <v>0</v>
      </c>
      <c r="K324" s="589">
        <f t="shared" si="108"/>
        <v>2264.23</v>
      </c>
      <c r="L324" s="595"/>
    </row>
    <row r="325" spans="1:255" outlineLevel="1" x14ac:dyDescent="0.25">
      <c r="A325" s="569" t="str">
        <f>LEFT(B325,3)</f>
        <v>569</v>
      </c>
      <c r="B325" s="565" t="s">
        <v>3166</v>
      </c>
      <c r="C325" s="565" t="s">
        <v>3167</v>
      </c>
      <c r="D325" s="587">
        <f>IF(VLOOKUP($A325,'hk2018'!$A:$G,1)=$A325,VLOOKUP($A325,'hk2018'!$A:$G,6),0)</f>
        <v>0</v>
      </c>
      <c r="E325" s="587">
        <f>IF(VLOOKUP($A325,'hk2018'!$A:$G,1)=$A325,VLOOKUP($A325,'hk2018'!$A:$G,7),0)</f>
        <v>0</v>
      </c>
      <c r="F325" s="587">
        <f>IF(VLOOKUP($A325,'hk2018'!$A:$H,1)=$A325,VLOOKUP($A325,'hk2018'!$A:$H,8),0)</f>
        <v>0</v>
      </c>
      <c r="G325" s="588">
        <f t="shared" si="107"/>
        <v>0</v>
      </c>
      <c r="H325" s="587">
        <f>IF(VLOOKUP($A325,'hk2017'!$A:$G,1)=$A325,VLOOKUP($A325,'hk2017'!$A:$G,6),0)</f>
        <v>0</v>
      </c>
      <c r="I325" s="587">
        <f>IF(VLOOKUP($A325,'hk2017'!$A:$G,1)=$A325,VLOOKUP($A325,'hk2017'!$A:$G,7),0)</f>
        <v>0</v>
      </c>
      <c r="J325" s="587">
        <f>IF(VLOOKUP($A325,'hk2017'!$A:$H,1)=$A325,VLOOKUP($A325,'hk2017'!$A:$H,8),0)</f>
        <v>0</v>
      </c>
      <c r="K325" s="589">
        <f t="shared" si="108"/>
        <v>0</v>
      </c>
      <c r="L325" s="595"/>
    </row>
    <row r="326" spans="1:255" outlineLevel="1" x14ac:dyDescent="0.25">
      <c r="A326" s="569"/>
      <c r="B326" s="565"/>
      <c r="C326" s="565"/>
      <c r="H326" s="610"/>
      <c r="I326" s="610"/>
      <c r="J326" s="610"/>
      <c r="K326" s="611"/>
      <c r="L326" s="595"/>
    </row>
    <row r="327" spans="1:255" x14ac:dyDescent="0.25">
      <c r="A327" s="604" t="s">
        <v>1255</v>
      </c>
      <c r="B327" s="605"/>
      <c r="C327" s="606" t="s">
        <v>3168</v>
      </c>
      <c r="D327" s="578">
        <f t="shared" ref="D327:K327" si="109">SUM(D328:D329)</f>
        <v>0</v>
      </c>
      <c r="E327" s="578">
        <f t="shared" si="109"/>
        <v>0</v>
      </c>
      <c r="F327" s="578">
        <f t="shared" si="109"/>
        <v>0</v>
      </c>
      <c r="G327" s="579">
        <f t="shared" si="109"/>
        <v>0</v>
      </c>
      <c r="H327" s="578">
        <f t="shared" si="109"/>
        <v>0</v>
      </c>
      <c r="I327" s="578">
        <f t="shared" si="109"/>
        <v>0</v>
      </c>
      <c r="J327" s="578">
        <f t="shared" si="109"/>
        <v>0</v>
      </c>
      <c r="K327" s="580">
        <f t="shared" si="109"/>
        <v>0</v>
      </c>
      <c r="L327" s="595"/>
      <c r="M327" s="624"/>
      <c r="N327" s="620"/>
      <c r="P327" s="582"/>
      <c r="Q327" s="624"/>
      <c r="R327" s="624"/>
      <c r="S327" s="624"/>
      <c r="T327" s="624"/>
      <c r="U327" s="620"/>
      <c r="W327" s="582"/>
      <c r="X327" s="624"/>
      <c r="Y327" s="624"/>
      <c r="Z327" s="624"/>
      <c r="AA327" s="624"/>
      <c r="AB327" s="620"/>
      <c r="AD327" s="582"/>
      <c r="AE327" s="624"/>
      <c r="AF327" s="624"/>
      <c r="AG327" s="624"/>
      <c r="AH327" s="624"/>
      <c r="AI327" s="620"/>
      <c r="AK327" s="582"/>
      <c r="AL327" s="624"/>
      <c r="AM327" s="624"/>
      <c r="AN327" s="624"/>
      <c r="AO327" s="624"/>
      <c r="AP327" s="620"/>
      <c r="AR327" s="582"/>
      <c r="AS327" s="624"/>
      <c r="AT327" s="624"/>
      <c r="AU327" s="624"/>
      <c r="AV327" s="624"/>
      <c r="AW327" s="620"/>
      <c r="AY327" s="582"/>
      <c r="AZ327" s="624"/>
      <c r="BA327" s="624"/>
      <c r="BB327" s="624"/>
      <c r="BC327" s="624"/>
      <c r="BD327" s="620"/>
      <c r="BF327" s="582"/>
      <c r="BG327" s="624"/>
      <c r="BH327" s="624"/>
      <c r="BI327" s="624"/>
      <c r="BJ327" s="624"/>
      <c r="BK327" s="620"/>
      <c r="BM327" s="582"/>
      <c r="BN327" s="624"/>
      <c r="BO327" s="624"/>
      <c r="BP327" s="624"/>
      <c r="BQ327" s="624"/>
      <c r="BR327" s="620"/>
      <c r="BT327" s="582"/>
      <c r="BU327" s="624"/>
      <c r="BV327" s="624"/>
      <c r="BW327" s="624"/>
      <c r="BX327" s="624"/>
      <c r="BY327" s="620"/>
      <c r="CA327" s="582"/>
      <c r="CB327" s="624"/>
      <c r="CC327" s="624"/>
      <c r="CD327" s="624"/>
      <c r="CE327" s="624"/>
      <c r="CF327" s="620"/>
      <c r="CH327" s="582"/>
      <c r="CI327" s="624"/>
      <c r="CJ327" s="624"/>
      <c r="CK327" s="624"/>
      <c r="CL327" s="624"/>
      <c r="CM327" s="620"/>
      <c r="CO327" s="582"/>
      <c r="CP327" s="624"/>
      <c r="CQ327" s="624"/>
      <c r="CR327" s="624"/>
      <c r="CS327" s="624"/>
      <c r="CT327" s="620"/>
      <c r="CV327" s="582"/>
      <c r="CW327" s="624"/>
      <c r="CX327" s="624"/>
      <c r="CY327" s="624"/>
      <c r="CZ327" s="624"/>
      <c r="DA327" s="620"/>
      <c r="DC327" s="582"/>
      <c r="DD327" s="624"/>
      <c r="DE327" s="624"/>
      <c r="DF327" s="624"/>
      <c r="DG327" s="624"/>
      <c r="DH327" s="620"/>
      <c r="DJ327" s="582"/>
      <c r="DK327" s="624"/>
      <c r="DL327" s="624"/>
      <c r="DM327" s="624"/>
      <c r="DN327" s="624"/>
      <c r="DO327" s="620"/>
      <c r="DQ327" s="582"/>
      <c r="DR327" s="624"/>
      <c r="DS327" s="624"/>
      <c r="DT327" s="624"/>
      <c r="DU327" s="624"/>
      <c r="DV327" s="620"/>
      <c r="DX327" s="582"/>
      <c r="DY327" s="624"/>
      <c r="DZ327" s="624"/>
      <c r="EA327" s="624"/>
      <c r="EB327" s="624"/>
      <c r="EC327" s="620"/>
      <c r="EE327" s="582"/>
      <c r="EF327" s="624"/>
      <c r="EG327" s="624"/>
      <c r="EH327" s="624"/>
      <c r="EI327" s="624"/>
      <c r="EJ327" s="620"/>
      <c r="EL327" s="582"/>
      <c r="EM327" s="624"/>
      <c r="EN327" s="624"/>
      <c r="EO327" s="624"/>
      <c r="EP327" s="624"/>
      <c r="EQ327" s="620"/>
      <c r="ES327" s="582"/>
      <c r="ET327" s="624"/>
      <c r="EU327" s="624"/>
      <c r="EV327" s="624"/>
      <c r="EW327" s="624"/>
      <c r="EX327" s="620"/>
      <c r="EZ327" s="582"/>
      <c r="FA327" s="624"/>
      <c r="FB327" s="624"/>
      <c r="FC327" s="624"/>
      <c r="FD327" s="624"/>
      <c r="FE327" s="620"/>
      <c r="FG327" s="582"/>
      <c r="FH327" s="624"/>
      <c r="FI327" s="624"/>
      <c r="FJ327" s="624"/>
      <c r="FK327" s="624"/>
      <c r="FL327" s="620"/>
      <c r="FN327" s="582"/>
      <c r="FO327" s="624"/>
      <c r="FP327" s="624"/>
      <c r="FQ327" s="624"/>
      <c r="FR327" s="624"/>
      <c r="FS327" s="620"/>
      <c r="FU327" s="582"/>
      <c r="FV327" s="624"/>
      <c r="FW327" s="624"/>
      <c r="FX327" s="624"/>
      <c r="FY327" s="624"/>
      <c r="FZ327" s="620"/>
      <c r="GB327" s="582"/>
      <c r="GC327" s="624"/>
      <c r="GD327" s="624"/>
      <c r="GE327" s="624"/>
      <c r="GF327" s="624"/>
      <c r="GG327" s="620"/>
      <c r="GI327" s="582"/>
      <c r="GJ327" s="624"/>
      <c r="GK327" s="624"/>
      <c r="GL327" s="624"/>
      <c r="GM327" s="624"/>
      <c r="GN327" s="620"/>
      <c r="GP327" s="582"/>
      <c r="GQ327" s="624"/>
      <c r="GR327" s="624"/>
      <c r="GS327" s="624"/>
      <c r="GT327" s="624"/>
      <c r="GU327" s="620"/>
      <c r="GW327" s="582"/>
      <c r="GX327" s="624"/>
      <c r="GY327" s="624"/>
      <c r="GZ327" s="624"/>
      <c r="HA327" s="624"/>
      <c r="HB327" s="620"/>
      <c r="HD327" s="582"/>
      <c r="HE327" s="624"/>
      <c r="HF327" s="624"/>
      <c r="HG327" s="624"/>
      <c r="HH327" s="624"/>
      <c r="HI327" s="620"/>
      <c r="HK327" s="582"/>
      <c r="HL327" s="624"/>
      <c r="HM327" s="624"/>
      <c r="HN327" s="624"/>
      <c r="HO327" s="624"/>
      <c r="HP327" s="620"/>
      <c r="HR327" s="582"/>
      <c r="HS327" s="624"/>
      <c r="HT327" s="624"/>
      <c r="HU327" s="624"/>
      <c r="HV327" s="624"/>
      <c r="HW327" s="620"/>
      <c r="HY327" s="582"/>
      <c r="HZ327" s="624"/>
      <c r="IA327" s="624"/>
      <c r="IB327" s="624"/>
      <c r="IC327" s="624"/>
      <c r="ID327" s="620"/>
      <c r="IF327" s="582"/>
      <c r="IG327" s="624"/>
      <c r="IH327" s="624"/>
      <c r="II327" s="624"/>
      <c r="IJ327" s="624"/>
      <c r="IK327" s="620"/>
      <c r="IM327" s="582"/>
      <c r="IN327" s="624"/>
      <c r="IO327" s="624"/>
      <c r="IP327" s="624"/>
      <c r="IQ327" s="624"/>
      <c r="IR327" s="620"/>
      <c r="IT327" s="582"/>
      <c r="IU327" s="624"/>
    </row>
    <row r="328" spans="1:255" outlineLevel="1" x14ac:dyDescent="0.25">
      <c r="A328" s="569" t="str">
        <f>LEFT(B328,3)</f>
        <v>574</v>
      </c>
      <c r="B328" s="565" t="s">
        <v>3169</v>
      </c>
      <c r="C328" s="565" t="s">
        <v>3170</v>
      </c>
      <c r="D328" s="587">
        <f>IF(VLOOKUP($A328,'hk2018'!$A:$G,1)=$A328,VLOOKUP($A328,'hk2018'!$A:$G,6),0)</f>
        <v>0</v>
      </c>
      <c r="E328" s="587">
        <f>IF(VLOOKUP($A328,'hk2018'!$A:$G,1)=$A328,VLOOKUP($A328,'hk2018'!$A:$G,7),0)</f>
        <v>0</v>
      </c>
      <c r="F328" s="587">
        <f>IF(VLOOKUP($A328,'hk2018'!$A:$H,1)=$A328,VLOOKUP($A328,'hk2018'!$A:$H,8),0)</f>
        <v>0</v>
      </c>
      <c r="G328" s="588">
        <f>SUM(D328+E328-F328)</f>
        <v>0</v>
      </c>
      <c r="H328" s="587">
        <f>IF(VLOOKUP($A328,'hk2017'!$A:$G,1)=$A328,VLOOKUP($A328,'hk2017'!$A:$G,6),0)</f>
        <v>0</v>
      </c>
      <c r="I328" s="587">
        <f>IF(VLOOKUP($A328,'hk2017'!$A:$G,1)=$A328,VLOOKUP($A328,'hk2017'!$A:$G,7),0)</f>
        <v>0</v>
      </c>
      <c r="J328" s="587">
        <f>IF(VLOOKUP($A328,'hk2017'!$A:$H,1)=$A328,VLOOKUP($A328,'hk2017'!$A:$H,8),0)</f>
        <v>0</v>
      </c>
      <c r="K328" s="589">
        <f>SUM(H328+I328-J328)</f>
        <v>0</v>
      </c>
      <c r="L328" s="595"/>
    </row>
    <row r="329" spans="1:255" outlineLevel="1" x14ac:dyDescent="0.25">
      <c r="A329" s="569" t="str">
        <f>LEFT(B329,3)</f>
        <v>579</v>
      </c>
      <c r="B329" s="565" t="s">
        <v>3171</v>
      </c>
      <c r="C329" s="565" t="s">
        <v>3172</v>
      </c>
      <c r="D329" s="587">
        <f>IF(VLOOKUP($A329,'hk2018'!$A:$G,1)=$A329,VLOOKUP($A329,'hk2018'!$A:$G,6),0)</f>
        <v>0</v>
      </c>
      <c r="E329" s="587">
        <f>IF(VLOOKUP($A329,'hk2018'!$A:$G,1)=$A329,VLOOKUP($A329,'hk2018'!$A:$G,7),0)</f>
        <v>0</v>
      </c>
      <c r="F329" s="587">
        <f>IF(VLOOKUP($A329,'hk2018'!$A:$H,1)=$A329,VLOOKUP($A329,'hk2018'!$A:$H,8),0)</f>
        <v>0</v>
      </c>
      <c r="G329" s="588">
        <f>SUM(D329+E329-F329)</f>
        <v>0</v>
      </c>
      <c r="H329" s="587">
        <f>IF(VLOOKUP($A329,'hk2017'!$A:$G,1)=$A329,VLOOKUP($A329,'hk2017'!$A:$G,6),0)</f>
        <v>0</v>
      </c>
      <c r="I329" s="587">
        <f>IF(VLOOKUP($A329,'hk2017'!$A:$G,1)=$A329,VLOOKUP($A329,'hk2017'!$A:$G,7),0)</f>
        <v>0</v>
      </c>
      <c r="J329" s="587">
        <f>IF(VLOOKUP($A329,'hk2017'!$A:$H,1)=$A329,VLOOKUP($A329,'hk2017'!$A:$H,8),0)</f>
        <v>0</v>
      </c>
      <c r="K329" s="589">
        <f>SUM(H329+I329-J329)</f>
        <v>0</v>
      </c>
      <c r="L329" s="595"/>
    </row>
    <row r="330" spans="1:255" outlineLevel="1" x14ac:dyDescent="0.25">
      <c r="A330" s="569"/>
      <c r="B330" s="565"/>
      <c r="C330" s="565"/>
      <c r="D330" s="587"/>
      <c r="H330" s="587"/>
      <c r="I330" s="610"/>
      <c r="J330" s="610"/>
      <c r="K330" s="611"/>
      <c r="L330" s="595"/>
    </row>
    <row r="331" spans="1:255" x14ac:dyDescent="0.25">
      <c r="A331" s="604" t="s">
        <v>1262</v>
      </c>
      <c r="B331" s="605"/>
      <c r="C331" s="606" t="s">
        <v>2569</v>
      </c>
      <c r="D331" s="578">
        <f t="shared" ref="D331:K331" si="110">SUM(D332:D337)</f>
        <v>0</v>
      </c>
      <c r="E331" s="578">
        <f t="shared" si="110"/>
        <v>0</v>
      </c>
      <c r="F331" s="578">
        <f t="shared" si="110"/>
        <v>0</v>
      </c>
      <c r="G331" s="579">
        <f t="shared" si="110"/>
        <v>0</v>
      </c>
      <c r="H331" s="578">
        <f t="shared" si="110"/>
        <v>0</v>
      </c>
      <c r="I331" s="578">
        <f t="shared" si="110"/>
        <v>0</v>
      </c>
      <c r="J331" s="578">
        <f t="shared" si="110"/>
        <v>0</v>
      </c>
      <c r="K331" s="580">
        <f t="shared" si="110"/>
        <v>0</v>
      </c>
      <c r="L331" s="595"/>
      <c r="M331" s="624"/>
      <c r="N331" s="620"/>
      <c r="P331" s="582"/>
      <c r="Q331" s="624"/>
      <c r="R331" s="624"/>
      <c r="S331" s="624"/>
      <c r="T331" s="624"/>
      <c r="U331" s="620"/>
      <c r="W331" s="582"/>
      <c r="X331" s="624"/>
      <c r="Y331" s="624"/>
      <c r="Z331" s="624"/>
      <c r="AA331" s="624"/>
      <c r="AB331" s="620"/>
      <c r="AD331" s="582"/>
      <c r="AE331" s="624"/>
      <c r="AF331" s="624"/>
      <c r="AG331" s="624"/>
      <c r="AH331" s="624"/>
      <c r="AI331" s="620"/>
      <c r="AK331" s="582"/>
      <c r="AL331" s="624"/>
      <c r="AM331" s="624"/>
      <c r="AN331" s="624"/>
      <c r="AO331" s="624"/>
      <c r="AP331" s="620"/>
      <c r="AR331" s="582"/>
      <c r="AS331" s="624"/>
      <c r="AT331" s="624"/>
      <c r="AU331" s="624"/>
      <c r="AV331" s="624"/>
      <c r="AW331" s="620"/>
      <c r="AY331" s="582"/>
      <c r="AZ331" s="624"/>
      <c r="BA331" s="624"/>
      <c r="BB331" s="624"/>
      <c r="BC331" s="624"/>
      <c r="BD331" s="620"/>
      <c r="BF331" s="582"/>
      <c r="BG331" s="624"/>
      <c r="BH331" s="624"/>
      <c r="BI331" s="624"/>
      <c r="BJ331" s="624"/>
      <c r="BK331" s="620"/>
      <c r="BM331" s="582"/>
      <c r="BN331" s="624"/>
      <c r="BO331" s="624"/>
      <c r="BP331" s="624"/>
      <c r="BQ331" s="624"/>
      <c r="BR331" s="620"/>
      <c r="BT331" s="582"/>
      <c r="BU331" s="624"/>
      <c r="BV331" s="624"/>
      <c r="BW331" s="624"/>
      <c r="BX331" s="624"/>
      <c r="BY331" s="620"/>
      <c r="CA331" s="582"/>
      <c r="CB331" s="624"/>
      <c r="CC331" s="624"/>
      <c r="CD331" s="624"/>
      <c r="CE331" s="624"/>
      <c r="CF331" s="620"/>
      <c r="CH331" s="582"/>
      <c r="CI331" s="624"/>
      <c r="CJ331" s="624"/>
      <c r="CK331" s="624"/>
      <c r="CL331" s="624"/>
      <c r="CM331" s="620"/>
      <c r="CO331" s="582"/>
      <c r="CP331" s="624"/>
      <c r="CQ331" s="624"/>
      <c r="CR331" s="624"/>
      <c r="CS331" s="624"/>
      <c r="CT331" s="620"/>
      <c r="CV331" s="582"/>
      <c r="CW331" s="624"/>
      <c r="CX331" s="624"/>
      <c r="CY331" s="624"/>
      <c r="CZ331" s="624"/>
      <c r="DA331" s="620"/>
      <c r="DC331" s="582"/>
      <c r="DD331" s="624"/>
      <c r="DE331" s="624"/>
      <c r="DF331" s="624"/>
      <c r="DG331" s="624"/>
      <c r="DH331" s="620"/>
      <c r="DJ331" s="582"/>
      <c r="DK331" s="624"/>
      <c r="DL331" s="624"/>
      <c r="DM331" s="624"/>
      <c r="DN331" s="624"/>
      <c r="DO331" s="620"/>
      <c r="DQ331" s="582"/>
      <c r="DR331" s="624"/>
      <c r="DS331" s="624"/>
      <c r="DT331" s="624"/>
      <c r="DU331" s="624"/>
      <c r="DV331" s="620"/>
      <c r="DX331" s="582"/>
      <c r="DY331" s="624"/>
      <c r="DZ331" s="624"/>
      <c r="EA331" s="624"/>
      <c r="EB331" s="624"/>
      <c r="EC331" s="620"/>
      <c r="EE331" s="582"/>
      <c r="EF331" s="624"/>
      <c r="EG331" s="624"/>
      <c r="EH331" s="624"/>
      <c r="EI331" s="624"/>
      <c r="EJ331" s="620"/>
      <c r="EL331" s="582"/>
      <c r="EM331" s="624"/>
      <c r="EN331" s="624"/>
      <c r="EO331" s="624"/>
      <c r="EP331" s="624"/>
      <c r="EQ331" s="620"/>
      <c r="ES331" s="582"/>
      <c r="ET331" s="624"/>
      <c r="EU331" s="624"/>
      <c r="EV331" s="624"/>
      <c r="EW331" s="624"/>
      <c r="EX331" s="620"/>
      <c r="EZ331" s="582"/>
      <c r="FA331" s="624"/>
      <c r="FB331" s="624"/>
      <c r="FC331" s="624"/>
      <c r="FD331" s="624"/>
      <c r="FE331" s="620"/>
      <c r="FG331" s="582"/>
      <c r="FH331" s="624"/>
      <c r="FI331" s="624"/>
      <c r="FJ331" s="624"/>
      <c r="FK331" s="624"/>
      <c r="FL331" s="620"/>
      <c r="FN331" s="582"/>
      <c r="FO331" s="624"/>
      <c r="FP331" s="624"/>
      <c r="FQ331" s="624"/>
      <c r="FR331" s="624"/>
      <c r="FS331" s="620"/>
      <c r="FU331" s="582"/>
      <c r="FV331" s="624"/>
      <c r="FW331" s="624"/>
      <c r="FX331" s="624"/>
      <c r="FY331" s="624"/>
      <c r="FZ331" s="620"/>
      <c r="GB331" s="582"/>
      <c r="GC331" s="624"/>
      <c r="GD331" s="624"/>
      <c r="GE331" s="624"/>
      <c r="GF331" s="624"/>
      <c r="GG331" s="620"/>
      <c r="GI331" s="582"/>
      <c r="GJ331" s="624"/>
      <c r="GK331" s="624"/>
      <c r="GL331" s="624"/>
      <c r="GM331" s="624"/>
      <c r="GN331" s="620"/>
      <c r="GP331" s="582"/>
      <c r="GQ331" s="624"/>
      <c r="GR331" s="624"/>
      <c r="GS331" s="624"/>
      <c r="GT331" s="624"/>
      <c r="GU331" s="620"/>
      <c r="GW331" s="582"/>
      <c r="GX331" s="624"/>
      <c r="GY331" s="624"/>
      <c r="GZ331" s="624"/>
      <c r="HA331" s="624"/>
      <c r="HB331" s="620"/>
      <c r="HD331" s="582"/>
      <c r="HE331" s="624"/>
      <c r="HF331" s="624"/>
      <c r="HG331" s="624"/>
      <c r="HH331" s="624"/>
      <c r="HI331" s="620"/>
      <c r="HK331" s="582"/>
      <c r="HL331" s="624"/>
      <c r="HM331" s="624"/>
      <c r="HN331" s="624"/>
      <c r="HO331" s="624"/>
      <c r="HP331" s="620"/>
      <c r="HR331" s="582"/>
      <c r="HS331" s="624"/>
      <c r="HT331" s="624"/>
      <c r="HU331" s="624"/>
      <c r="HV331" s="624"/>
      <c r="HW331" s="620"/>
      <c r="HY331" s="582"/>
      <c r="HZ331" s="624"/>
      <c r="IA331" s="624"/>
      <c r="IB331" s="624"/>
      <c r="IC331" s="624"/>
      <c r="ID331" s="620"/>
      <c r="IF331" s="582"/>
      <c r="IG331" s="624"/>
      <c r="IH331" s="624"/>
      <c r="II331" s="624"/>
      <c r="IJ331" s="624"/>
      <c r="IK331" s="620"/>
      <c r="IM331" s="582"/>
      <c r="IN331" s="624"/>
      <c r="IO331" s="624"/>
      <c r="IP331" s="624"/>
      <c r="IQ331" s="624"/>
      <c r="IR331" s="620"/>
      <c r="IT331" s="582"/>
      <c r="IU331" s="624"/>
    </row>
    <row r="332" spans="1:255" outlineLevel="1" x14ac:dyDescent="0.25">
      <c r="A332" s="569" t="s">
        <v>1012</v>
      </c>
      <c r="B332" s="582"/>
      <c r="C332" s="583" t="s">
        <v>2569</v>
      </c>
      <c r="D332" s="587">
        <f>IF(VLOOKUP($A332,'hk2018'!$A:$G,1)=$A332,VLOOKUP($A332,'hk2018'!$A:$G,6),0)</f>
        <v>0</v>
      </c>
      <c r="E332" s="587">
        <f>IF(VLOOKUP($A332,'hk2018'!$A:$G,1)=$A332,VLOOKUP($A332,'hk2018'!$A:$G,7),0)</f>
        <v>0</v>
      </c>
      <c r="F332" s="587">
        <f>IF(VLOOKUP($A332,'hk2018'!$A:$H,1)=$A332,VLOOKUP($A332,'hk2018'!$A:$H,8),0)</f>
        <v>0</v>
      </c>
      <c r="G332" s="588">
        <f t="shared" ref="G332:G337" si="111">SUM(D332+E332-F332)</f>
        <v>0</v>
      </c>
      <c r="H332" s="587">
        <f>IF(VLOOKUP($A332,'hk2017'!$A:$G,1)=$A332,VLOOKUP($A332,'hk2017'!$A:$G,6),0)</f>
        <v>0</v>
      </c>
      <c r="I332" s="587">
        <f>IF(VLOOKUP($A332,'hk2017'!$A:$G,1)=$A332,VLOOKUP($A332,'hk2017'!$A:$G,7),0)</f>
        <v>0</v>
      </c>
      <c r="J332" s="587">
        <f>IF(VLOOKUP($A332,'hk2017'!$A:$H,1)=$A332,VLOOKUP($A332,'hk2017'!$A:$H,8),0)</f>
        <v>0</v>
      </c>
      <c r="K332" s="589">
        <f t="shared" ref="K332:K337" si="112">SUM(H332+I332-J332)</f>
        <v>0</v>
      </c>
      <c r="L332" s="595"/>
      <c r="M332" s="624"/>
      <c r="N332" s="620"/>
      <c r="P332" s="582"/>
      <c r="Q332" s="624"/>
      <c r="R332" s="624"/>
      <c r="S332" s="624"/>
      <c r="T332" s="624"/>
      <c r="U332" s="620"/>
      <c r="W332" s="582"/>
      <c r="X332" s="624"/>
      <c r="Y332" s="624"/>
      <c r="Z332" s="624"/>
      <c r="AA332" s="624"/>
      <c r="AB332" s="620"/>
      <c r="AD332" s="582"/>
      <c r="AE332" s="624"/>
      <c r="AF332" s="624"/>
      <c r="AG332" s="624"/>
      <c r="AH332" s="624"/>
      <c r="AI332" s="620"/>
      <c r="AK332" s="582"/>
      <c r="AL332" s="624"/>
      <c r="AM332" s="624"/>
      <c r="AN332" s="624"/>
      <c r="AO332" s="624"/>
      <c r="AP332" s="620"/>
      <c r="AR332" s="582"/>
      <c r="AS332" s="624"/>
      <c r="AT332" s="624"/>
      <c r="AU332" s="624"/>
      <c r="AV332" s="624"/>
      <c r="AW332" s="620"/>
      <c r="AY332" s="582"/>
      <c r="AZ332" s="624"/>
      <c r="BA332" s="624"/>
      <c r="BB332" s="624"/>
      <c r="BC332" s="624"/>
      <c r="BD332" s="620"/>
      <c r="BF332" s="582"/>
      <c r="BG332" s="624"/>
      <c r="BH332" s="624"/>
      <c r="BI332" s="624"/>
      <c r="BJ332" s="624"/>
      <c r="BK332" s="620"/>
      <c r="BM332" s="582"/>
      <c r="BN332" s="624"/>
      <c r="BO332" s="624"/>
      <c r="BP332" s="624"/>
      <c r="BQ332" s="624"/>
      <c r="BR332" s="620"/>
      <c r="BT332" s="582"/>
      <c r="BU332" s="624"/>
      <c r="BV332" s="624"/>
      <c r="BW332" s="624"/>
      <c r="BX332" s="624"/>
      <c r="BY332" s="620"/>
      <c r="CA332" s="582"/>
      <c r="CB332" s="624"/>
      <c r="CC332" s="624"/>
      <c r="CD332" s="624"/>
      <c r="CE332" s="624"/>
      <c r="CF332" s="620"/>
      <c r="CH332" s="582"/>
      <c r="CI332" s="624"/>
      <c r="CJ332" s="624"/>
      <c r="CK332" s="624"/>
      <c r="CL332" s="624"/>
      <c r="CM332" s="620"/>
      <c r="CO332" s="582"/>
      <c r="CP332" s="624"/>
      <c r="CQ332" s="624"/>
      <c r="CR332" s="624"/>
      <c r="CS332" s="624"/>
      <c r="CT332" s="620"/>
      <c r="CV332" s="582"/>
      <c r="CW332" s="624"/>
      <c r="CX332" s="624"/>
      <c r="CY332" s="624"/>
      <c r="CZ332" s="624"/>
      <c r="DA332" s="620"/>
      <c r="DC332" s="582"/>
      <c r="DD332" s="624"/>
      <c r="DE332" s="624"/>
      <c r="DF332" s="624"/>
      <c r="DG332" s="624"/>
      <c r="DH332" s="620"/>
      <c r="DJ332" s="582"/>
      <c r="DK332" s="624"/>
      <c r="DL332" s="624"/>
      <c r="DM332" s="624"/>
      <c r="DN332" s="624"/>
      <c r="DO332" s="620"/>
      <c r="DQ332" s="582"/>
      <c r="DR332" s="624"/>
      <c r="DS332" s="624"/>
      <c r="DT332" s="624"/>
      <c r="DU332" s="624"/>
      <c r="DV332" s="620"/>
      <c r="DX332" s="582"/>
      <c r="DY332" s="624"/>
      <c r="DZ332" s="624"/>
      <c r="EA332" s="624"/>
      <c r="EB332" s="624"/>
      <c r="EC332" s="620"/>
      <c r="EE332" s="582"/>
      <c r="EF332" s="624"/>
      <c r="EG332" s="624"/>
      <c r="EH332" s="624"/>
      <c r="EI332" s="624"/>
      <c r="EJ332" s="620"/>
      <c r="EL332" s="582"/>
      <c r="EM332" s="624"/>
      <c r="EN332" s="624"/>
      <c r="EO332" s="624"/>
      <c r="EP332" s="624"/>
      <c r="EQ332" s="620"/>
      <c r="ES332" s="582"/>
      <c r="ET332" s="624"/>
      <c r="EU332" s="624"/>
      <c r="EV332" s="624"/>
      <c r="EW332" s="624"/>
      <c r="EX332" s="620"/>
      <c r="EZ332" s="582"/>
      <c r="FA332" s="624"/>
      <c r="FB332" s="624"/>
      <c r="FC332" s="624"/>
      <c r="FD332" s="624"/>
      <c r="FE332" s="620"/>
      <c r="FG332" s="582"/>
      <c r="FH332" s="624"/>
      <c r="FI332" s="624"/>
      <c r="FJ332" s="624"/>
      <c r="FK332" s="624"/>
      <c r="FL332" s="620"/>
      <c r="FN332" s="582"/>
      <c r="FO332" s="624"/>
      <c r="FP332" s="624"/>
      <c r="FQ332" s="624"/>
      <c r="FR332" s="624"/>
      <c r="FS332" s="620"/>
      <c r="FU332" s="582"/>
      <c r="FV332" s="624"/>
      <c r="FW332" s="624"/>
      <c r="FX332" s="624"/>
      <c r="FY332" s="624"/>
      <c r="FZ332" s="620"/>
      <c r="GB332" s="582"/>
      <c r="GC332" s="624"/>
      <c r="GD332" s="624"/>
      <c r="GE332" s="624"/>
      <c r="GF332" s="624"/>
      <c r="GG332" s="620"/>
      <c r="GI332" s="582"/>
      <c r="GJ332" s="624"/>
      <c r="GK332" s="624"/>
      <c r="GL332" s="624"/>
      <c r="GM332" s="624"/>
      <c r="GN332" s="620"/>
      <c r="GP332" s="582"/>
      <c r="GQ332" s="624"/>
      <c r="GR332" s="624"/>
      <c r="GS332" s="624"/>
      <c r="GT332" s="624"/>
      <c r="GU332" s="620"/>
      <c r="GW332" s="582"/>
      <c r="GX332" s="624"/>
      <c r="GY332" s="624"/>
      <c r="GZ332" s="624"/>
      <c r="HA332" s="624"/>
      <c r="HB332" s="620"/>
      <c r="HD332" s="582"/>
      <c r="HE332" s="624"/>
      <c r="HF332" s="624"/>
      <c r="HG332" s="624"/>
      <c r="HH332" s="624"/>
      <c r="HI332" s="620"/>
      <c r="HK332" s="582"/>
      <c r="HL332" s="624"/>
      <c r="HM332" s="624"/>
      <c r="HN332" s="624"/>
      <c r="HO332" s="624"/>
      <c r="HP332" s="620"/>
      <c r="HR332" s="582"/>
      <c r="HS332" s="624"/>
      <c r="HT332" s="624"/>
      <c r="HU332" s="624"/>
      <c r="HV332" s="624"/>
      <c r="HW332" s="620"/>
      <c r="HY332" s="582"/>
      <c r="HZ332" s="624"/>
      <c r="IA332" s="624"/>
      <c r="IB332" s="624"/>
      <c r="IC332" s="624"/>
      <c r="ID332" s="620"/>
      <c r="IF332" s="582"/>
      <c r="IG332" s="624"/>
      <c r="IH332" s="624"/>
      <c r="II332" s="624"/>
      <c r="IJ332" s="624"/>
      <c r="IK332" s="620"/>
      <c r="IM332" s="582"/>
      <c r="IN332" s="624"/>
      <c r="IO332" s="624"/>
      <c r="IP332" s="624"/>
      <c r="IQ332" s="624"/>
      <c r="IR332" s="620"/>
      <c r="IT332" s="582"/>
      <c r="IU332" s="624"/>
    </row>
    <row r="333" spans="1:255" outlineLevel="1" x14ac:dyDescent="0.25">
      <c r="A333" s="623" t="str">
        <f>LEFT(B333,3)</f>
        <v>581</v>
      </c>
      <c r="B333" s="565" t="s">
        <v>3173</v>
      </c>
      <c r="C333" s="565" t="s">
        <v>3174</v>
      </c>
      <c r="D333" s="587">
        <f>IF(VLOOKUP($A333,'hk2018'!$A:$G,1)=$A333,VLOOKUP($A333,'hk2018'!$A:$G,6),0)</f>
        <v>0</v>
      </c>
      <c r="E333" s="587">
        <f>IF(VLOOKUP($A333,'hk2018'!$A:$G,1)=$A333,VLOOKUP($A333,'hk2018'!$A:$G,7),0)</f>
        <v>0</v>
      </c>
      <c r="F333" s="587">
        <f>IF(VLOOKUP($A333,'hk2018'!$A:$H,1)=$A333,VLOOKUP($A333,'hk2018'!$A:$H,8),0)</f>
        <v>0</v>
      </c>
      <c r="G333" s="588">
        <f t="shared" si="111"/>
        <v>0</v>
      </c>
      <c r="H333" s="587">
        <f>IF(VLOOKUP($A333,'hk2017'!$A:$G,1)=$A333,VLOOKUP($A333,'hk2017'!$A:$G,6),0)</f>
        <v>0</v>
      </c>
      <c r="I333" s="587">
        <f>IF(VLOOKUP($A333,'hk2017'!$A:$G,1)=$A333,VLOOKUP($A333,'hk2017'!$A:$G,7),0)</f>
        <v>0</v>
      </c>
      <c r="J333" s="587">
        <f>IF(VLOOKUP($A333,'hk2017'!$A:$H,1)=$A333,VLOOKUP($A333,'hk2017'!$A:$H,8),0)</f>
        <v>0</v>
      </c>
      <c r="K333" s="589">
        <f t="shared" si="112"/>
        <v>0</v>
      </c>
      <c r="L333" s="595"/>
    </row>
    <row r="334" spans="1:255" outlineLevel="1" x14ac:dyDescent="0.25">
      <c r="A334" s="569" t="str">
        <f>LEFT(B334,3)</f>
        <v>582</v>
      </c>
      <c r="B334" s="565" t="s">
        <v>3175</v>
      </c>
      <c r="C334" s="565" t="s">
        <v>3176</v>
      </c>
      <c r="D334" s="587">
        <f>IF(VLOOKUP($A334,'hk2018'!$A:$G,1)=$A334,VLOOKUP($A334,'hk2018'!$A:$G,6),0)</f>
        <v>0</v>
      </c>
      <c r="E334" s="587">
        <f>IF(VLOOKUP($A334,'hk2018'!$A:$G,1)=$A334,VLOOKUP($A334,'hk2018'!$A:$G,7),0)</f>
        <v>0</v>
      </c>
      <c r="F334" s="587">
        <f>IF(VLOOKUP($A334,'hk2018'!$A:$H,1)=$A334,VLOOKUP($A334,'hk2018'!$A:$H,8),0)</f>
        <v>0</v>
      </c>
      <c r="G334" s="588">
        <f t="shared" si="111"/>
        <v>0</v>
      </c>
      <c r="H334" s="587">
        <f>IF(VLOOKUP($A334,'hk2017'!$A:$G,1)=$A334,VLOOKUP($A334,'hk2017'!$A:$G,6),0)</f>
        <v>0</v>
      </c>
      <c r="I334" s="587">
        <f>IF(VLOOKUP($A334,'hk2017'!$A:$G,1)=$A334,VLOOKUP($A334,'hk2017'!$A:$G,7),0)</f>
        <v>0</v>
      </c>
      <c r="J334" s="587">
        <f>IF(VLOOKUP($A334,'hk2017'!$A:$H,1)=$A334,VLOOKUP($A334,'hk2017'!$A:$H,8),0)</f>
        <v>0</v>
      </c>
      <c r="K334" s="589">
        <f t="shared" si="112"/>
        <v>0</v>
      </c>
      <c r="L334" s="595"/>
    </row>
    <row r="335" spans="1:255" outlineLevel="1" x14ac:dyDescent="0.25">
      <c r="A335" s="623" t="str">
        <f>LEFT(B335,3)</f>
        <v>584</v>
      </c>
      <c r="B335" s="565" t="s">
        <v>3177</v>
      </c>
      <c r="C335" s="565" t="s">
        <v>3170</v>
      </c>
      <c r="D335" s="587">
        <f>IF(VLOOKUP($A335,'hk2018'!$A:$G,1)=$A335,VLOOKUP($A335,'hk2018'!$A:$G,6),0)</f>
        <v>0</v>
      </c>
      <c r="E335" s="587">
        <f>IF(VLOOKUP($A335,'hk2018'!$A:$G,1)=$A335,VLOOKUP($A335,'hk2018'!$A:$G,7),0)</f>
        <v>0</v>
      </c>
      <c r="F335" s="587">
        <f>IF(VLOOKUP($A335,'hk2018'!$A:$H,1)=$A335,VLOOKUP($A335,'hk2018'!$A:$H,8),0)</f>
        <v>0</v>
      </c>
      <c r="G335" s="588">
        <f t="shared" si="111"/>
        <v>0</v>
      </c>
      <c r="H335" s="587">
        <f>IF(VLOOKUP($A335,'hk2017'!$A:$G,1)=$A335,VLOOKUP($A335,'hk2017'!$A:$G,6),0)</f>
        <v>0</v>
      </c>
      <c r="I335" s="587">
        <f>IF(VLOOKUP($A335,'hk2017'!$A:$G,1)=$A335,VLOOKUP($A335,'hk2017'!$A:$G,7),0)</f>
        <v>0</v>
      </c>
      <c r="J335" s="587">
        <f>IF(VLOOKUP($A335,'hk2017'!$A:$H,1)=$A335,VLOOKUP($A335,'hk2017'!$A:$H,8),0)</f>
        <v>0</v>
      </c>
      <c r="K335" s="589">
        <f t="shared" si="112"/>
        <v>0</v>
      </c>
    </row>
    <row r="336" spans="1:255" outlineLevel="1" x14ac:dyDescent="0.25">
      <c r="A336" s="569" t="str">
        <f>LEFT(B336,3)</f>
        <v>588</v>
      </c>
      <c r="B336" s="565" t="s">
        <v>3178</v>
      </c>
      <c r="C336" s="565" t="s">
        <v>3179</v>
      </c>
      <c r="D336" s="587">
        <f>IF(VLOOKUP($A336,'hk2018'!$A:$G,1)=$A336,VLOOKUP($A336,'hk2018'!$A:$G,6),0)</f>
        <v>0</v>
      </c>
      <c r="E336" s="587">
        <f>IF(VLOOKUP($A336,'hk2018'!$A:$G,1)=$A336,VLOOKUP($A336,'hk2018'!$A:$G,7),0)</f>
        <v>0</v>
      </c>
      <c r="F336" s="587">
        <f>IF(VLOOKUP($A336,'hk2018'!$A:$H,1)=$A336,VLOOKUP($A336,'hk2018'!$A:$H,8),0)</f>
        <v>0</v>
      </c>
      <c r="G336" s="588">
        <f t="shared" si="111"/>
        <v>0</v>
      </c>
      <c r="H336" s="587">
        <f>IF(VLOOKUP($A336,'hk2017'!$A:$G,1)=$A336,VLOOKUP($A336,'hk2017'!$A:$G,6),0)</f>
        <v>0</v>
      </c>
      <c r="I336" s="587">
        <f>IF(VLOOKUP($A336,'hk2017'!$A:$G,1)=$A336,VLOOKUP($A336,'hk2017'!$A:$G,7),0)</f>
        <v>0</v>
      </c>
      <c r="J336" s="587">
        <f>IF(VLOOKUP($A336,'hk2017'!$A:$H,1)=$A336,VLOOKUP($A336,'hk2017'!$A:$H,8),0)</f>
        <v>0</v>
      </c>
      <c r="K336" s="589">
        <f t="shared" si="112"/>
        <v>0</v>
      </c>
    </row>
    <row r="337" spans="1:255" outlineLevel="1" x14ac:dyDescent="0.25">
      <c r="A337" s="623" t="str">
        <f>LEFT(B337,3)</f>
        <v>589</v>
      </c>
      <c r="B337" s="565" t="s">
        <v>3180</v>
      </c>
      <c r="C337" s="565" t="s">
        <v>3172</v>
      </c>
      <c r="D337" s="587">
        <f>IF(VLOOKUP($A337,'hk2018'!$A:$G,1)=$A337,VLOOKUP($A337,'hk2018'!$A:$G,6),0)</f>
        <v>0</v>
      </c>
      <c r="E337" s="587">
        <f>IF(VLOOKUP($A337,'hk2018'!$A:$G,1)=$A337,VLOOKUP($A337,'hk2018'!$A:$G,7),0)</f>
        <v>0</v>
      </c>
      <c r="F337" s="587">
        <f>IF(VLOOKUP($A337,'hk2018'!$A:$H,1)=$A337,VLOOKUP($A337,'hk2018'!$A:$H,8),0)</f>
        <v>0</v>
      </c>
      <c r="G337" s="588">
        <f t="shared" si="111"/>
        <v>0</v>
      </c>
      <c r="H337" s="587">
        <f>IF(VLOOKUP($A337,'hk2017'!$A:$G,1)=$A337,VLOOKUP($A337,'hk2017'!$A:$G,6),0)</f>
        <v>0</v>
      </c>
      <c r="I337" s="587">
        <f>IF(VLOOKUP($A337,'hk2017'!$A:$G,1)=$A337,VLOOKUP($A337,'hk2017'!$A:$G,7),0)</f>
        <v>0</v>
      </c>
      <c r="J337" s="587">
        <f>IF(VLOOKUP($A337,'hk2017'!$A:$H,1)=$A337,VLOOKUP($A337,'hk2017'!$A:$H,8),0)</f>
        <v>0</v>
      </c>
      <c r="K337" s="589">
        <f t="shared" si="112"/>
        <v>0</v>
      </c>
    </row>
    <row r="338" spans="1:255" outlineLevel="1" x14ac:dyDescent="0.25">
      <c r="A338" s="569"/>
      <c r="B338" s="565"/>
      <c r="C338" s="565"/>
      <c r="H338" s="610"/>
      <c r="I338" s="610"/>
      <c r="J338" s="610"/>
      <c r="K338" s="611"/>
    </row>
    <row r="339" spans="1:255" x14ac:dyDescent="0.25">
      <c r="A339" s="604" t="s">
        <v>1223</v>
      </c>
      <c r="B339" s="605"/>
      <c r="C339" s="606" t="s">
        <v>3181</v>
      </c>
      <c r="D339" s="578">
        <f t="shared" ref="D339:K339" si="113">SUM(D340:D347)</f>
        <v>0</v>
      </c>
      <c r="E339" s="578">
        <f t="shared" si="113"/>
        <v>0</v>
      </c>
      <c r="F339" s="578">
        <f t="shared" si="113"/>
        <v>0</v>
      </c>
      <c r="G339" s="579">
        <f t="shared" si="113"/>
        <v>0</v>
      </c>
      <c r="H339" s="578">
        <f t="shared" si="113"/>
        <v>0</v>
      </c>
      <c r="I339" s="578">
        <f t="shared" si="113"/>
        <v>960</v>
      </c>
      <c r="J339" s="578">
        <f t="shared" si="113"/>
        <v>0</v>
      </c>
      <c r="K339" s="580">
        <f t="shared" si="113"/>
        <v>960</v>
      </c>
      <c r="L339" s="624"/>
      <c r="M339" s="624"/>
      <c r="N339" s="620"/>
      <c r="P339" s="582"/>
      <c r="Q339" s="624"/>
      <c r="R339" s="624"/>
      <c r="S339" s="624"/>
      <c r="T339" s="624"/>
      <c r="U339" s="620"/>
      <c r="W339" s="582"/>
      <c r="X339" s="624"/>
      <c r="Y339" s="624"/>
      <c r="Z339" s="624"/>
      <c r="AA339" s="624"/>
      <c r="AB339" s="620"/>
      <c r="AD339" s="582"/>
      <c r="AE339" s="624"/>
      <c r="AF339" s="624"/>
      <c r="AG339" s="624"/>
      <c r="AH339" s="624"/>
      <c r="AI339" s="620"/>
      <c r="AK339" s="582"/>
      <c r="AL339" s="624"/>
      <c r="AM339" s="624"/>
      <c r="AN339" s="624"/>
      <c r="AO339" s="624"/>
      <c r="AP339" s="620"/>
      <c r="AR339" s="582"/>
      <c r="AS339" s="624"/>
      <c r="AT339" s="624"/>
      <c r="AU339" s="624"/>
      <c r="AV339" s="624"/>
      <c r="AW339" s="620"/>
      <c r="AY339" s="582"/>
      <c r="AZ339" s="624"/>
      <c r="BA339" s="624"/>
      <c r="BB339" s="624"/>
      <c r="BC339" s="624"/>
      <c r="BD339" s="620"/>
      <c r="BF339" s="582"/>
      <c r="BG339" s="624"/>
      <c r="BH339" s="624"/>
      <c r="BI339" s="624"/>
      <c r="BJ339" s="624"/>
      <c r="BK339" s="620"/>
      <c r="BM339" s="582"/>
      <c r="BN339" s="624"/>
      <c r="BO339" s="624"/>
      <c r="BP339" s="624"/>
      <c r="BQ339" s="624"/>
      <c r="BR339" s="620"/>
      <c r="BT339" s="582"/>
      <c r="BU339" s="624"/>
      <c r="BV339" s="624"/>
      <c r="BW339" s="624"/>
      <c r="BX339" s="624"/>
      <c r="BY339" s="620"/>
      <c r="CA339" s="582"/>
      <c r="CB339" s="624"/>
      <c r="CC339" s="624"/>
      <c r="CD339" s="624"/>
      <c r="CE339" s="624"/>
      <c r="CF339" s="620"/>
      <c r="CH339" s="582"/>
      <c r="CI339" s="624"/>
      <c r="CJ339" s="624"/>
      <c r="CK339" s="624"/>
      <c r="CL339" s="624"/>
      <c r="CM339" s="620"/>
      <c r="CO339" s="582"/>
      <c r="CP339" s="624"/>
      <c r="CQ339" s="624"/>
      <c r="CR339" s="624"/>
      <c r="CS339" s="624"/>
      <c r="CT339" s="620"/>
      <c r="CV339" s="582"/>
      <c r="CW339" s="624"/>
      <c r="CX339" s="624"/>
      <c r="CY339" s="624"/>
      <c r="CZ339" s="624"/>
      <c r="DA339" s="620"/>
      <c r="DC339" s="582"/>
      <c r="DD339" s="624"/>
      <c r="DE339" s="624"/>
      <c r="DF339" s="624"/>
      <c r="DG339" s="624"/>
      <c r="DH339" s="620"/>
      <c r="DJ339" s="582"/>
      <c r="DK339" s="624"/>
      <c r="DL339" s="624"/>
      <c r="DM339" s="624"/>
      <c r="DN339" s="624"/>
      <c r="DO339" s="620"/>
      <c r="DQ339" s="582"/>
      <c r="DR339" s="624"/>
      <c r="DS339" s="624"/>
      <c r="DT339" s="624"/>
      <c r="DU339" s="624"/>
      <c r="DV339" s="620"/>
      <c r="DX339" s="582"/>
      <c r="DY339" s="624"/>
      <c r="DZ339" s="624"/>
      <c r="EA339" s="624"/>
      <c r="EB339" s="624"/>
      <c r="EC339" s="620"/>
      <c r="EE339" s="582"/>
      <c r="EF339" s="624"/>
      <c r="EG339" s="624"/>
      <c r="EH339" s="624"/>
      <c r="EI339" s="624"/>
      <c r="EJ339" s="620"/>
      <c r="EL339" s="582"/>
      <c r="EM339" s="624"/>
      <c r="EN339" s="624"/>
      <c r="EO339" s="624"/>
      <c r="EP339" s="624"/>
      <c r="EQ339" s="620"/>
      <c r="ES339" s="582"/>
      <c r="ET339" s="624"/>
      <c r="EU339" s="624"/>
      <c r="EV339" s="624"/>
      <c r="EW339" s="624"/>
      <c r="EX339" s="620"/>
      <c r="EZ339" s="582"/>
      <c r="FA339" s="624"/>
      <c r="FB339" s="624"/>
      <c r="FC339" s="624"/>
      <c r="FD339" s="624"/>
      <c r="FE339" s="620"/>
      <c r="FG339" s="582"/>
      <c r="FH339" s="624"/>
      <c r="FI339" s="624"/>
      <c r="FJ339" s="624"/>
      <c r="FK339" s="624"/>
      <c r="FL339" s="620"/>
      <c r="FN339" s="582"/>
      <c r="FO339" s="624"/>
      <c r="FP339" s="624"/>
      <c r="FQ339" s="624"/>
      <c r="FR339" s="624"/>
      <c r="FS339" s="620"/>
      <c r="FU339" s="582"/>
      <c r="FV339" s="624"/>
      <c r="FW339" s="624"/>
      <c r="FX339" s="624"/>
      <c r="FY339" s="624"/>
      <c r="FZ339" s="620"/>
      <c r="GB339" s="582"/>
      <c r="GC339" s="624"/>
      <c r="GD339" s="624"/>
      <c r="GE339" s="624"/>
      <c r="GF339" s="624"/>
      <c r="GG339" s="620"/>
      <c r="GI339" s="582"/>
      <c r="GJ339" s="624"/>
      <c r="GK339" s="624"/>
      <c r="GL339" s="624"/>
      <c r="GM339" s="624"/>
      <c r="GN339" s="620"/>
      <c r="GP339" s="582"/>
      <c r="GQ339" s="624"/>
      <c r="GR339" s="624"/>
      <c r="GS339" s="624"/>
      <c r="GT339" s="624"/>
      <c r="GU339" s="620"/>
      <c r="GW339" s="582"/>
      <c r="GX339" s="624"/>
      <c r="GY339" s="624"/>
      <c r="GZ339" s="624"/>
      <c r="HA339" s="624"/>
      <c r="HB339" s="620"/>
      <c r="HD339" s="582"/>
      <c r="HE339" s="624"/>
      <c r="HF339" s="624"/>
      <c r="HG339" s="624"/>
      <c r="HH339" s="624"/>
      <c r="HI339" s="620"/>
      <c r="HK339" s="582"/>
      <c r="HL339" s="624"/>
      <c r="HM339" s="624"/>
      <c r="HN339" s="624"/>
      <c r="HO339" s="624"/>
      <c r="HP339" s="620"/>
      <c r="HR339" s="582"/>
      <c r="HS339" s="624"/>
      <c r="HT339" s="624"/>
      <c r="HU339" s="624"/>
      <c r="HV339" s="624"/>
      <c r="HW339" s="620"/>
      <c r="HY339" s="582"/>
      <c r="HZ339" s="624"/>
      <c r="IA339" s="624"/>
      <c r="IB339" s="624"/>
      <c r="IC339" s="624"/>
      <c r="ID339" s="620"/>
      <c r="IF339" s="582"/>
      <c r="IG339" s="624"/>
      <c r="IH339" s="624"/>
      <c r="II339" s="624"/>
      <c r="IJ339" s="624"/>
      <c r="IK339" s="620"/>
      <c r="IM339" s="582"/>
      <c r="IN339" s="624"/>
      <c r="IO339" s="624"/>
      <c r="IP339" s="624"/>
      <c r="IQ339" s="624"/>
      <c r="IR339" s="620"/>
      <c r="IT339" s="582"/>
      <c r="IU339" s="624"/>
    </row>
    <row r="340" spans="1:255" outlineLevel="1" x14ac:dyDescent="0.25">
      <c r="A340" s="569" t="str">
        <f t="shared" ref="A340:A347" si="114">LEFT(B340,3)</f>
        <v>591</v>
      </c>
      <c r="B340" s="565" t="s">
        <v>3182</v>
      </c>
      <c r="C340" s="565" t="s">
        <v>3183</v>
      </c>
      <c r="D340" s="587">
        <f>IF(VLOOKUP($A340,'hk2018'!$A:$G,1)=$A340,VLOOKUP($A340,'hk2018'!$A:$G,6),0)</f>
        <v>0</v>
      </c>
      <c r="E340" s="587">
        <f>IF(VLOOKUP($A340,'hk2018'!$A:$G,1)=$A340,VLOOKUP($A340,'hk2018'!$A:$G,7),0)</f>
        <v>0</v>
      </c>
      <c r="F340" s="587">
        <f>IF(VLOOKUP($A340,'hk2018'!$A:$H,1)=$A340,VLOOKUP($A340,'hk2018'!$A:$H,8),0)</f>
        <v>0</v>
      </c>
      <c r="G340" s="588">
        <f t="shared" ref="G340:G347" si="115">SUM(D340+E340-F340)</f>
        <v>0</v>
      </c>
      <c r="H340" s="587">
        <f>IF(VLOOKUP($A340,'hk2017'!$A:$G,1)=$A340,VLOOKUP($A340,'hk2017'!$A:$G,6),0)</f>
        <v>0</v>
      </c>
      <c r="I340" s="587">
        <f>IF(VLOOKUP($A340,'hk2017'!$A:$G,1)=$A340,VLOOKUP($A340,'hk2017'!$A:$G,7),0)</f>
        <v>960</v>
      </c>
      <c r="J340" s="587">
        <f>IF(VLOOKUP($A340,'hk2017'!$A:$H,1)=$A340,VLOOKUP($A340,'hk2017'!$A:$H,8),0)</f>
        <v>0</v>
      </c>
      <c r="K340" s="589">
        <f t="shared" ref="K340:K347" si="116">SUM(H340+I340-J340)</f>
        <v>960</v>
      </c>
    </row>
    <row r="341" spans="1:255" outlineLevel="1" x14ac:dyDescent="0.25">
      <c r="A341" s="569" t="str">
        <f t="shared" si="114"/>
        <v>592</v>
      </c>
      <c r="B341" s="565" t="s">
        <v>3184</v>
      </c>
      <c r="C341" s="565" t="s">
        <v>3185</v>
      </c>
      <c r="D341" s="587">
        <f>IF(VLOOKUP($A341,'hk2018'!$A:$G,1)=$A341,VLOOKUP($A341,'hk2018'!$A:$G,6),0)</f>
        <v>0</v>
      </c>
      <c r="E341" s="587">
        <f>IF(VLOOKUP($A341,'hk2018'!$A:$G,1)=$A341,VLOOKUP($A341,'hk2018'!$A:$G,7),0)</f>
        <v>0</v>
      </c>
      <c r="F341" s="587">
        <f>IF(VLOOKUP($A341,'hk2018'!$A:$H,1)=$A341,VLOOKUP($A341,'hk2018'!$A:$H,8),0)</f>
        <v>0</v>
      </c>
      <c r="G341" s="588">
        <f t="shared" si="115"/>
        <v>0</v>
      </c>
      <c r="H341" s="587">
        <f>IF(VLOOKUP($A341,'hk2017'!$A:$G,1)=$A341,VLOOKUP($A341,'hk2017'!$A:$G,6),0)</f>
        <v>0</v>
      </c>
      <c r="I341" s="587">
        <f>IF(VLOOKUP($A341,'hk2017'!$A:$G,1)=$A341,VLOOKUP($A341,'hk2017'!$A:$G,7),0)</f>
        <v>0</v>
      </c>
      <c r="J341" s="587">
        <f>IF(VLOOKUP($A341,'hk2017'!$A:$H,1)=$A341,VLOOKUP($A341,'hk2017'!$A:$H,8),0)</f>
        <v>0</v>
      </c>
      <c r="K341" s="589">
        <f t="shared" si="116"/>
        <v>0</v>
      </c>
    </row>
    <row r="342" spans="1:255" outlineLevel="1" x14ac:dyDescent="0.25">
      <c r="A342" s="569" t="str">
        <f t="shared" si="114"/>
        <v>593</v>
      </c>
      <c r="B342" s="565" t="s">
        <v>3186</v>
      </c>
      <c r="C342" s="565" t="s">
        <v>3187</v>
      </c>
      <c r="D342" s="587">
        <f>IF(VLOOKUP($A342,'hk2018'!$A:$G,1)=$A342,VLOOKUP($A342,'hk2018'!$A:$G,6),0)</f>
        <v>0</v>
      </c>
      <c r="E342" s="587">
        <f>IF(VLOOKUP($A342,'hk2018'!$A:$G,1)=$A342,VLOOKUP($A342,'hk2018'!$A:$G,7),0)</f>
        <v>0</v>
      </c>
      <c r="F342" s="587">
        <f>IF(VLOOKUP($A342,'hk2018'!$A:$H,1)=$A342,VLOOKUP($A342,'hk2018'!$A:$H,8),0)</f>
        <v>0</v>
      </c>
      <c r="G342" s="588">
        <f t="shared" si="115"/>
        <v>0</v>
      </c>
      <c r="H342" s="587">
        <f>IF(VLOOKUP($A342,'hk2017'!$A:$G,1)=$A342,VLOOKUP($A342,'hk2017'!$A:$G,6),0)</f>
        <v>0</v>
      </c>
      <c r="I342" s="587">
        <f>IF(VLOOKUP($A342,'hk2017'!$A:$G,1)=$A342,VLOOKUP($A342,'hk2017'!$A:$G,7),0)</f>
        <v>0</v>
      </c>
      <c r="J342" s="587">
        <f>IF(VLOOKUP($A342,'hk2017'!$A:$H,1)=$A342,VLOOKUP($A342,'hk2017'!$A:$H,8),0)</f>
        <v>0</v>
      </c>
      <c r="K342" s="589">
        <f t="shared" si="116"/>
        <v>0</v>
      </c>
    </row>
    <row r="343" spans="1:255" outlineLevel="1" x14ac:dyDescent="0.25">
      <c r="A343" s="569" t="str">
        <f t="shared" si="114"/>
        <v>594</v>
      </c>
      <c r="B343" s="565" t="s">
        <v>3188</v>
      </c>
      <c r="C343" s="565" t="s">
        <v>3185</v>
      </c>
      <c r="D343" s="587">
        <f>IF(VLOOKUP($A343,'hk2018'!$A:$G,1)=$A343,VLOOKUP($A343,'hk2018'!$A:$G,6),0)</f>
        <v>0</v>
      </c>
      <c r="E343" s="587">
        <f>IF(VLOOKUP($A343,'hk2018'!$A:$G,1)=$A343,VLOOKUP($A343,'hk2018'!$A:$G,7),0)</f>
        <v>0</v>
      </c>
      <c r="F343" s="587">
        <f>IF(VLOOKUP($A343,'hk2018'!$A:$H,1)=$A343,VLOOKUP($A343,'hk2018'!$A:$H,8),0)</f>
        <v>0</v>
      </c>
      <c r="G343" s="588">
        <f t="shared" si="115"/>
        <v>0</v>
      </c>
      <c r="H343" s="587">
        <f>IF(VLOOKUP($A343,'hk2017'!$A:$G,1)=$A343,VLOOKUP($A343,'hk2017'!$A:$G,6),0)</f>
        <v>0</v>
      </c>
      <c r="I343" s="587">
        <f>IF(VLOOKUP($A343,'hk2017'!$A:$G,1)=$A343,VLOOKUP($A343,'hk2017'!$A:$G,7),0)</f>
        <v>0</v>
      </c>
      <c r="J343" s="587">
        <f>IF(VLOOKUP($A343,'hk2017'!$A:$H,1)=$A343,VLOOKUP($A343,'hk2017'!$A:$H,8),0)</f>
        <v>0</v>
      </c>
      <c r="K343" s="589">
        <f t="shared" si="116"/>
        <v>0</v>
      </c>
    </row>
    <row r="344" spans="1:255" outlineLevel="1" x14ac:dyDescent="0.25">
      <c r="A344" s="569" t="str">
        <f t="shared" si="114"/>
        <v>595</v>
      </c>
      <c r="B344" s="565" t="s">
        <v>3189</v>
      </c>
      <c r="C344" s="565" t="s">
        <v>3190</v>
      </c>
      <c r="D344" s="587">
        <f>IF(VLOOKUP($A344,'hk2018'!$A:$G,1)=$A344,VLOOKUP($A344,'hk2018'!$A:$G,6),0)</f>
        <v>0</v>
      </c>
      <c r="E344" s="587">
        <f>IF(VLOOKUP($A344,'hk2018'!$A:$G,1)=$A344,VLOOKUP($A344,'hk2018'!$A:$G,7),0)</f>
        <v>0</v>
      </c>
      <c r="F344" s="587">
        <f>IF(VLOOKUP($A344,'hk2018'!$A:$H,1)=$A344,VLOOKUP($A344,'hk2018'!$A:$H,8),0)</f>
        <v>0</v>
      </c>
      <c r="G344" s="588">
        <f t="shared" si="115"/>
        <v>0</v>
      </c>
      <c r="H344" s="587">
        <f>IF(VLOOKUP($A344,'hk2017'!$A:$G,1)=$A344,VLOOKUP($A344,'hk2017'!$A:$G,6),0)</f>
        <v>0</v>
      </c>
      <c r="I344" s="587">
        <f>IF(VLOOKUP($A344,'hk2017'!$A:$G,1)=$A344,VLOOKUP($A344,'hk2017'!$A:$G,7),0)</f>
        <v>0</v>
      </c>
      <c r="J344" s="587">
        <f>IF(VLOOKUP($A344,'hk2017'!$A:$H,1)=$A344,VLOOKUP($A344,'hk2017'!$A:$H,8),0)</f>
        <v>0</v>
      </c>
      <c r="K344" s="589">
        <f t="shared" si="116"/>
        <v>0</v>
      </c>
    </row>
    <row r="345" spans="1:255" outlineLevel="1" x14ac:dyDescent="0.25">
      <c r="A345" s="569" t="str">
        <f t="shared" si="114"/>
        <v>596</v>
      </c>
      <c r="B345" s="565" t="s">
        <v>3191</v>
      </c>
      <c r="C345" s="565" t="s">
        <v>3192</v>
      </c>
      <c r="D345" s="587">
        <f>IF(VLOOKUP($A345,'hk2018'!$A:$G,1)=$A345,VLOOKUP($A345,'hk2018'!$A:$G,6),0)</f>
        <v>0</v>
      </c>
      <c r="E345" s="587">
        <f>IF(VLOOKUP($A345,'hk2018'!$A:$G,1)=$A345,VLOOKUP($A345,'hk2018'!$A:$G,7),0)</f>
        <v>0</v>
      </c>
      <c r="F345" s="587">
        <f>IF(VLOOKUP($A345,'hk2018'!$A:$H,1)=$A345,VLOOKUP($A345,'hk2018'!$A:$H,8),0)</f>
        <v>0</v>
      </c>
      <c r="G345" s="588">
        <f t="shared" si="115"/>
        <v>0</v>
      </c>
      <c r="H345" s="587">
        <f>IF(VLOOKUP($A345,'hk2017'!$A:$G,1)=$A345,VLOOKUP($A345,'hk2017'!$A:$G,6),0)</f>
        <v>0</v>
      </c>
      <c r="I345" s="587">
        <f>IF(VLOOKUP($A345,'hk2017'!$A:$G,1)=$A345,VLOOKUP($A345,'hk2017'!$A:$G,7),0)</f>
        <v>0</v>
      </c>
      <c r="J345" s="587">
        <f>IF(VLOOKUP($A345,'hk2017'!$A:$H,1)=$A345,VLOOKUP($A345,'hk2017'!$A:$H,8),0)</f>
        <v>0</v>
      </c>
      <c r="K345" s="589">
        <f t="shared" si="116"/>
        <v>0</v>
      </c>
    </row>
    <row r="346" spans="1:255" outlineLevel="1" x14ac:dyDescent="0.25">
      <c r="A346" s="569" t="str">
        <f t="shared" si="114"/>
        <v>597</v>
      </c>
      <c r="B346" s="565" t="s">
        <v>3193</v>
      </c>
      <c r="C346" s="565" t="s">
        <v>3194</v>
      </c>
      <c r="D346" s="587">
        <f>IF(VLOOKUP($A346,'hk2018'!$A:$G,1)=$A346,VLOOKUP($A346,'hk2018'!$A:$G,6),0)</f>
        <v>0</v>
      </c>
      <c r="E346" s="587">
        <f>IF(VLOOKUP($A346,'hk2018'!$A:$G,1)=$A346,VLOOKUP($A346,'hk2018'!$A:$G,7),0)</f>
        <v>0</v>
      </c>
      <c r="F346" s="587">
        <f>IF(VLOOKUP($A346,'hk2018'!$A:$H,1)=$A346,VLOOKUP($A346,'hk2018'!$A:$H,8),0)</f>
        <v>0</v>
      </c>
      <c r="G346" s="588">
        <f t="shared" si="115"/>
        <v>0</v>
      </c>
      <c r="H346" s="587">
        <f>IF(VLOOKUP($A346,'hk2017'!$A:$G,1)=$A346,VLOOKUP($A346,'hk2017'!$A:$G,6),0)</f>
        <v>0</v>
      </c>
      <c r="I346" s="587">
        <f>IF(VLOOKUP($A346,'hk2017'!$A:$G,1)=$A346,VLOOKUP($A346,'hk2017'!$A:$G,7),0)</f>
        <v>0</v>
      </c>
      <c r="J346" s="587">
        <f>IF(VLOOKUP($A346,'hk2017'!$A:$H,1)=$A346,VLOOKUP($A346,'hk2017'!$A:$H,8),0)</f>
        <v>0</v>
      </c>
      <c r="K346" s="589">
        <f t="shared" si="116"/>
        <v>0</v>
      </c>
    </row>
    <row r="347" spans="1:255" outlineLevel="1" x14ac:dyDescent="0.25">
      <c r="A347" s="569" t="str">
        <f t="shared" si="114"/>
        <v>598</v>
      </c>
      <c r="B347" s="565" t="s">
        <v>3195</v>
      </c>
      <c r="C347" s="565" t="s">
        <v>3196</v>
      </c>
      <c r="D347" s="587">
        <f>IF(VLOOKUP($A347,'hk2018'!$A:$G,1)=$A347,VLOOKUP($A347,'hk2018'!$A:$G,6),0)</f>
        <v>0</v>
      </c>
      <c r="E347" s="587">
        <f>IF(VLOOKUP($A347,'hk2018'!$A:$G,1)=$A347,VLOOKUP($A347,'hk2018'!$A:$G,7),0)</f>
        <v>0</v>
      </c>
      <c r="F347" s="587">
        <f>IF(VLOOKUP($A347,'hk2018'!$A:$H,1)=$A347,VLOOKUP($A347,'hk2018'!$A:$H,8),0)</f>
        <v>0</v>
      </c>
      <c r="G347" s="588">
        <f t="shared" si="115"/>
        <v>0</v>
      </c>
      <c r="H347" s="587">
        <f>IF(VLOOKUP($A347,'hk2017'!$A:$G,1)=$A347,VLOOKUP($A347,'hk2017'!$A:$G,6),0)</f>
        <v>0</v>
      </c>
      <c r="I347" s="587">
        <f>IF(VLOOKUP($A347,'hk2017'!$A:$G,1)=$A347,VLOOKUP($A347,'hk2017'!$A:$G,7),0)</f>
        <v>0</v>
      </c>
      <c r="J347" s="587">
        <f>IF(VLOOKUP($A347,'hk2017'!$A:$H,1)=$A347,VLOOKUP($A347,'hk2017'!$A:$H,8),0)</f>
        <v>0</v>
      </c>
      <c r="K347" s="589">
        <f t="shared" si="116"/>
        <v>0</v>
      </c>
    </row>
    <row r="348" spans="1:255" outlineLevel="1" x14ac:dyDescent="0.25">
      <c r="A348" s="569"/>
      <c r="B348" s="565"/>
      <c r="C348" s="565"/>
      <c r="H348" s="610"/>
      <c r="I348" s="610"/>
      <c r="J348" s="610"/>
      <c r="K348" s="611"/>
    </row>
    <row r="349" spans="1:255" x14ac:dyDescent="0.25">
      <c r="A349" s="570" t="s">
        <v>3197</v>
      </c>
      <c r="B349" s="570"/>
      <c r="C349" s="571" t="s">
        <v>52</v>
      </c>
      <c r="D349" s="601">
        <f t="shared" ref="D349:K349" si="117">SUM(D350+D357+D364+D371+D380+D388+D399+D403+D411)</f>
        <v>0</v>
      </c>
      <c r="E349" s="601">
        <f t="shared" si="117"/>
        <v>74036.94</v>
      </c>
      <c r="F349" s="601">
        <f t="shared" si="117"/>
        <v>439643.87</v>
      </c>
      <c r="G349" s="621">
        <f t="shared" si="117"/>
        <v>-365606.93</v>
      </c>
      <c r="H349" s="601">
        <f t="shared" si="117"/>
        <v>0</v>
      </c>
      <c r="I349" s="601">
        <f t="shared" si="117"/>
        <v>153783.13</v>
      </c>
      <c r="J349" s="601">
        <f t="shared" si="117"/>
        <v>555566.04</v>
      </c>
      <c r="K349" s="622">
        <f t="shared" si="117"/>
        <v>-401782.91000000003</v>
      </c>
    </row>
    <row r="350" spans="1:255" x14ac:dyDescent="0.25">
      <c r="A350" s="604" t="s">
        <v>1224</v>
      </c>
      <c r="B350" s="605"/>
      <c r="C350" s="606" t="s">
        <v>3198</v>
      </c>
      <c r="D350" s="578">
        <f t="shared" ref="D350:K350" si="118">SUM(D351:D356)</f>
        <v>0</v>
      </c>
      <c r="E350" s="578">
        <f t="shared" si="118"/>
        <v>0</v>
      </c>
      <c r="F350" s="578">
        <f t="shared" si="118"/>
        <v>42787.199999999997</v>
      </c>
      <c r="G350" s="579">
        <f t="shared" si="118"/>
        <v>-42787.199999999997</v>
      </c>
      <c r="H350" s="578">
        <f t="shared" si="118"/>
        <v>0</v>
      </c>
      <c r="I350" s="578">
        <f t="shared" si="118"/>
        <v>0</v>
      </c>
      <c r="J350" s="578">
        <f t="shared" si="118"/>
        <v>44852.35</v>
      </c>
      <c r="K350" s="580">
        <f t="shared" si="118"/>
        <v>-44852.35</v>
      </c>
    </row>
    <row r="351" spans="1:255" outlineLevel="1" x14ac:dyDescent="0.25">
      <c r="A351" s="569" t="s">
        <v>1056</v>
      </c>
      <c r="B351" s="582"/>
      <c r="C351" s="583" t="s">
        <v>3199</v>
      </c>
      <c r="D351" s="587">
        <f>IF(VLOOKUP($A351,'hk2018'!$A:$G,1)=$A351,VLOOKUP($A351,'hk2018'!$A:$G,6),0)</f>
        <v>0</v>
      </c>
      <c r="E351" s="587">
        <f>IF(VLOOKUP($A351,'hk2018'!$A:$G,1)=$A351,VLOOKUP($A351,'hk2018'!$A:$G,7),0)</f>
        <v>0</v>
      </c>
      <c r="F351" s="587">
        <f>IF(VLOOKUP($A351,'hk2018'!$A:$H,1)=$A351,VLOOKUP($A351,'hk2018'!$A:$H,8),0)</f>
        <v>0</v>
      </c>
      <c r="G351" s="588">
        <f t="shared" ref="G351:G356" si="119">SUM(D351+E351-F351)</f>
        <v>0</v>
      </c>
      <c r="H351" s="587">
        <f>IF(VLOOKUP($A351,'hk2017'!$A:$G,1)=$A351,VLOOKUP($A351,'hk2017'!$A:$G,6),0)</f>
        <v>0</v>
      </c>
      <c r="I351" s="587">
        <f>IF(VLOOKUP($A351,'hk2017'!$A:$G,1)=$A351,VLOOKUP($A351,'hk2017'!$A:$G,7),0)</f>
        <v>0</v>
      </c>
      <c r="J351" s="587">
        <f>IF(VLOOKUP($A351,'hk2017'!$A:$H,1)=$A351,VLOOKUP($A351,'hk2017'!$A:$H,8),0)</f>
        <v>0</v>
      </c>
      <c r="K351" s="589">
        <f t="shared" ref="K351:K356" si="120">SUM(H351+I351-J351)</f>
        <v>0</v>
      </c>
      <c r="L351" s="595"/>
    </row>
    <row r="352" spans="1:255" outlineLevel="1" x14ac:dyDescent="0.25">
      <c r="A352" s="569" t="str">
        <f>LEFT(B352,3)</f>
        <v>601</v>
      </c>
      <c r="B352" s="565" t="s">
        <v>3200</v>
      </c>
      <c r="C352" s="565" t="s">
        <v>1960</v>
      </c>
      <c r="D352" s="587">
        <f>IF(VLOOKUP($A352,'hk2018'!$A:$G,1)=$A352,VLOOKUP($A352,'hk2018'!$A:$G,6),0)</f>
        <v>0</v>
      </c>
      <c r="E352" s="587">
        <f>IF(VLOOKUP($A352,'hk2018'!$A:$G,1)=$A352,VLOOKUP($A352,'hk2018'!$A:$G,7),0)</f>
        <v>0</v>
      </c>
      <c r="F352" s="587">
        <f>IF(VLOOKUP($A352,'hk2018'!$A:$H,1)=$A352,VLOOKUP($A352,'hk2018'!$A:$H,8),0)</f>
        <v>32713.86</v>
      </c>
      <c r="G352" s="588">
        <f t="shared" si="119"/>
        <v>-32713.86</v>
      </c>
      <c r="H352" s="587">
        <f>IF(VLOOKUP($A352,'hk2017'!$A:$G,1)=$A352,VLOOKUP($A352,'hk2017'!$A:$G,6),0)</f>
        <v>0</v>
      </c>
      <c r="I352" s="587">
        <f>IF(VLOOKUP($A352,'hk2017'!$A:$G,1)=$A352,VLOOKUP($A352,'hk2017'!$A:$G,7),0)</f>
        <v>0</v>
      </c>
      <c r="J352" s="587">
        <f>IF(VLOOKUP($A352,'hk2017'!$A:$H,1)=$A352,VLOOKUP($A352,'hk2017'!$A:$H,8),0)</f>
        <v>42721.78</v>
      </c>
      <c r="K352" s="589">
        <f t="shared" si="120"/>
        <v>-42721.78</v>
      </c>
      <c r="L352" s="595"/>
    </row>
    <row r="353" spans="1:12" outlineLevel="1" x14ac:dyDescent="0.25">
      <c r="A353" s="569" t="str">
        <f>LEFT(B353,3)</f>
        <v>602</v>
      </c>
      <c r="B353" s="565" t="s">
        <v>3201</v>
      </c>
      <c r="C353" s="565" t="s">
        <v>1961</v>
      </c>
      <c r="D353" s="587">
        <f>IF(VLOOKUP($A353,'hk2018'!$A:$G,1)=$A353,VLOOKUP($A353,'hk2018'!$A:$G,6),0)</f>
        <v>0</v>
      </c>
      <c r="E353" s="587">
        <f>IF(VLOOKUP($A353,'hk2018'!$A:$G,1)=$A353,VLOOKUP($A353,'hk2018'!$A:$G,7),0)</f>
        <v>0</v>
      </c>
      <c r="F353" s="587">
        <f>IF(VLOOKUP($A353,'hk2018'!$A:$H,1)=$A353,VLOOKUP($A353,'hk2018'!$A:$H,8),0)</f>
        <v>10073.34</v>
      </c>
      <c r="G353" s="588">
        <f t="shared" si="119"/>
        <v>-10073.34</v>
      </c>
      <c r="H353" s="587">
        <f>IF(VLOOKUP($A353,'hk2017'!$A:$G,1)=$A353,VLOOKUP($A353,'hk2017'!$A:$G,6),0)</f>
        <v>0</v>
      </c>
      <c r="I353" s="587">
        <f>IF(VLOOKUP($A353,'hk2017'!$A:$G,1)=$A353,VLOOKUP($A353,'hk2017'!$A:$G,7),0)</f>
        <v>0</v>
      </c>
      <c r="J353" s="587">
        <f>IF(VLOOKUP($A353,'hk2017'!$A:$H,1)=$A353,VLOOKUP($A353,'hk2017'!$A:$H,8),0)</f>
        <v>2130.5700000000002</v>
      </c>
      <c r="K353" s="589">
        <f t="shared" si="120"/>
        <v>-2130.5700000000002</v>
      </c>
      <c r="L353" s="595"/>
    </row>
    <row r="354" spans="1:12" outlineLevel="1" x14ac:dyDescent="0.25">
      <c r="A354" s="569" t="str">
        <f>LEFT(B354,3)</f>
        <v>604</v>
      </c>
      <c r="B354" s="565" t="s">
        <v>3202</v>
      </c>
      <c r="C354" s="565" t="s">
        <v>1962</v>
      </c>
      <c r="D354" s="587">
        <f>IF(VLOOKUP($A354,'hk2018'!$A:$G,1)=$A354,VLOOKUP($A354,'hk2018'!$A:$G,6),0)</f>
        <v>0</v>
      </c>
      <c r="E354" s="587">
        <f>IF(VLOOKUP($A354,'hk2018'!$A:$G,1)=$A354,VLOOKUP($A354,'hk2018'!$A:$G,7),0)</f>
        <v>0</v>
      </c>
      <c r="F354" s="587">
        <f>IF(VLOOKUP($A354,'hk2018'!$A:$H,1)=$A354,VLOOKUP($A354,'hk2018'!$A:$H,8),0)</f>
        <v>0</v>
      </c>
      <c r="G354" s="588">
        <f t="shared" si="119"/>
        <v>0</v>
      </c>
      <c r="H354" s="587">
        <f>IF(VLOOKUP($A354,'hk2017'!$A:$G,1)=$A354,VLOOKUP($A354,'hk2017'!$A:$G,6),0)</f>
        <v>0</v>
      </c>
      <c r="I354" s="587">
        <f>IF(VLOOKUP($A354,'hk2017'!$A:$G,1)=$A354,VLOOKUP($A354,'hk2017'!$A:$G,7),0)</f>
        <v>0</v>
      </c>
      <c r="J354" s="587">
        <f>IF(VLOOKUP($A354,'hk2017'!$A:$H,1)=$A354,VLOOKUP($A354,'hk2017'!$A:$H,8),0)</f>
        <v>0</v>
      </c>
      <c r="K354" s="589">
        <f t="shared" si="120"/>
        <v>0</v>
      </c>
      <c r="L354" s="595"/>
    </row>
    <row r="355" spans="1:12" outlineLevel="1" x14ac:dyDescent="0.25">
      <c r="A355" s="569" t="s">
        <v>1071</v>
      </c>
      <c r="B355" s="565"/>
      <c r="C355" s="565"/>
      <c r="D355" s="587">
        <f>IF(VLOOKUP($A355,'hk2018'!$A:$G,1)=$A355,VLOOKUP($A355,'hk2018'!$A:$G,6),0)</f>
        <v>0</v>
      </c>
      <c r="E355" s="587">
        <f>IF(VLOOKUP($A355,'hk2018'!$A:$G,1)=$A355,VLOOKUP($A355,'hk2018'!$A:$G,7),0)</f>
        <v>0</v>
      </c>
      <c r="F355" s="587">
        <f>IF(VLOOKUP($A355,'hk2018'!$A:$H,1)=$A355,VLOOKUP($A355,'hk2018'!$A:$H,8),0)</f>
        <v>0</v>
      </c>
      <c r="G355" s="588">
        <f t="shared" si="119"/>
        <v>0</v>
      </c>
      <c r="H355" s="587">
        <f>IF(VLOOKUP($A355,'hk2017'!$A:$G,1)=$A355,VLOOKUP($A355,'hk2017'!$A:$G,6),0)</f>
        <v>0</v>
      </c>
      <c r="I355" s="587">
        <f>IF(VLOOKUP($A355,'hk2017'!$A:$G,1)=$A355,VLOOKUP($A355,'hk2017'!$A:$G,7),0)</f>
        <v>0</v>
      </c>
      <c r="J355" s="587">
        <f>IF(VLOOKUP($A355,'hk2017'!$A:$H,1)=$A355,VLOOKUP($A355,'hk2017'!$A:$H,8),0)</f>
        <v>0</v>
      </c>
      <c r="K355" s="589">
        <f t="shared" si="120"/>
        <v>0</v>
      </c>
      <c r="L355" s="595"/>
    </row>
    <row r="356" spans="1:12" outlineLevel="1" x14ac:dyDescent="0.25">
      <c r="A356" s="569" t="s">
        <v>1074</v>
      </c>
      <c r="B356" s="565"/>
      <c r="C356" s="565"/>
      <c r="D356" s="587">
        <f>IF(VLOOKUP($A356,'hk2018'!$A:$G,1)=$A356,VLOOKUP($A356,'hk2018'!$A:$G,6),0)</f>
        <v>0</v>
      </c>
      <c r="E356" s="587">
        <f>IF(VLOOKUP($A356,'hk2018'!$A:$G,1)=$A356,VLOOKUP($A356,'hk2018'!$A:$G,7),0)</f>
        <v>0</v>
      </c>
      <c r="F356" s="587">
        <f>IF(VLOOKUP($A356,'hk2018'!$A:$H,1)=$A356,VLOOKUP($A356,'hk2018'!$A:$H,8),0)</f>
        <v>0</v>
      </c>
      <c r="G356" s="588">
        <f t="shared" si="119"/>
        <v>0</v>
      </c>
      <c r="H356" s="587">
        <f>IF(VLOOKUP($A356,'hk2017'!$A:$G,1)=$A356,VLOOKUP($A356,'hk2017'!$A:$G,6),0)</f>
        <v>0</v>
      </c>
      <c r="I356" s="587">
        <f>IF(VLOOKUP($A356,'hk2017'!$A:$G,1)=$A356,VLOOKUP($A356,'hk2017'!$A:$G,7),0)</f>
        <v>0</v>
      </c>
      <c r="J356" s="587">
        <f>IF(VLOOKUP($A356,'hk2017'!$A:$H,1)=$A356,VLOOKUP($A356,'hk2017'!$A:$H,8),0)</f>
        <v>0</v>
      </c>
      <c r="K356" s="589">
        <f t="shared" si="120"/>
        <v>0</v>
      </c>
      <c r="L356" s="595"/>
    </row>
    <row r="357" spans="1:12" x14ac:dyDescent="0.25">
      <c r="A357" s="604" t="s">
        <v>1229</v>
      </c>
      <c r="B357" s="605"/>
      <c r="C357" s="606" t="s">
        <v>3203</v>
      </c>
      <c r="D357" s="578">
        <f t="shared" ref="D357:K357" si="121">SUM(D358:D362)</f>
        <v>0</v>
      </c>
      <c r="E357" s="578">
        <f t="shared" si="121"/>
        <v>74036.94</v>
      </c>
      <c r="F357" s="578">
        <f t="shared" si="121"/>
        <v>78537.78</v>
      </c>
      <c r="G357" s="579">
        <f t="shared" si="121"/>
        <v>-4500.8399999999965</v>
      </c>
      <c r="H357" s="578">
        <f t="shared" si="121"/>
        <v>0</v>
      </c>
      <c r="I357" s="578">
        <f t="shared" si="121"/>
        <v>123019.81</v>
      </c>
      <c r="J357" s="578">
        <f t="shared" si="121"/>
        <v>103209.38</v>
      </c>
      <c r="K357" s="580">
        <f t="shared" si="121"/>
        <v>19810.43</v>
      </c>
      <c r="L357" s="595"/>
    </row>
    <row r="358" spans="1:12" outlineLevel="1" x14ac:dyDescent="0.25">
      <c r="A358" s="569" t="s">
        <v>1077</v>
      </c>
      <c r="B358" s="582"/>
      <c r="C358" s="583" t="s">
        <v>3204</v>
      </c>
      <c r="D358" s="587">
        <f>IF(VLOOKUP($A358,'hk2018'!$A:$G,1)=$A358,VLOOKUP($A358,'hk2018'!$A:$G,6),0)</f>
        <v>0</v>
      </c>
      <c r="E358" s="587">
        <f>IF(VLOOKUP($A358,'hk2018'!$A:$G,1)=$A358,VLOOKUP($A358,'hk2018'!$A:$G,7),0)</f>
        <v>0</v>
      </c>
      <c r="F358" s="587">
        <f>IF(VLOOKUP($A358,'hk2018'!$A:$H,1)=$A358,VLOOKUP($A358,'hk2018'!$A:$H,8),0)</f>
        <v>0</v>
      </c>
      <c r="G358" s="588">
        <f>SUM(D358+E358-F358)</f>
        <v>0</v>
      </c>
      <c r="H358" s="587">
        <f>IF(VLOOKUP($A358,'hk2017'!$A:$G,1)=$A358,VLOOKUP($A358,'hk2017'!$A:$G,6),0)</f>
        <v>0</v>
      </c>
      <c r="I358" s="587">
        <f>IF(VLOOKUP($A358,'hk2017'!$A:$G,1)=$A358,VLOOKUP($A358,'hk2017'!$A:$G,7),0)</f>
        <v>0</v>
      </c>
      <c r="J358" s="587">
        <f>IF(VLOOKUP($A358,'hk2017'!$A:$H,1)=$A358,VLOOKUP($A358,'hk2017'!$A:$H,8),0)</f>
        <v>0</v>
      </c>
      <c r="K358" s="589">
        <f>SUM(H358+I358-J358)</f>
        <v>0</v>
      </c>
      <c r="L358" s="595"/>
    </row>
    <row r="359" spans="1:12" outlineLevel="1" x14ac:dyDescent="0.25">
      <c r="A359" s="569" t="str">
        <f>LEFT(B359,3)</f>
        <v>611</v>
      </c>
      <c r="B359" s="565" t="s">
        <v>3205</v>
      </c>
      <c r="C359" s="565" t="s">
        <v>3206</v>
      </c>
      <c r="D359" s="587">
        <f>IF(VLOOKUP($A359,'hk2018'!$A:$G,1)=$A359,VLOOKUP($A359,'hk2018'!$A:$G,6),0)</f>
        <v>0</v>
      </c>
      <c r="E359" s="587">
        <f>IF(VLOOKUP($A359,'hk2018'!$A:$G,1)=$A359,VLOOKUP($A359,'hk2018'!$A:$G,7),0)</f>
        <v>0</v>
      </c>
      <c r="F359" s="587">
        <f>IF(VLOOKUP($A359,'hk2018'!$A:$H,1)=$A359,VLOOKUP($A359,'hk2018'!$A:$H,8),0)</f>
        <v>10487.39</v>
      </c>
      <c r="G359" s="588">
        <f>SUM(D359+E359-F359)</f>
        <v>-10487.39</v>
      </c>
      <c r="H359" s="587">
        <f>IF(VLOOKUP($A359,'hk2017'!$A:$G,1)=$A359,VLOOKUP($A359,'hk2017'!$A:$G,6),0)</f>
        <v>0</v>
      </c>
      <c r="I359" s="587">
        <f>IF(VLOOKUP($A359,'hk2017'!$A:$G,1)=$A359,VLOOKUP($A359,'hk2017'!$A:$G,7),0)</f>
        <v>0</v>
      </c>
      <c r="J359" s="587">
        <f>IF(VLOOKUP($A359,'hk2017'!$A:$H,1)=$A359,VLOOKUP($A359,'hk2017'!$A:$H,8),0)</f>
        <v>-11752.96</v>
      </c>
      <c r="K359" s="589">
        <f>SUM(H359+I359-J359)</f>
        <v>11752.96</v>
      </c>
      <c r="L359" s="595"/>
    </row>
    <row r="360" spans="1:12" outlineLevel="1" x14ac:dyDescent="0.25">
      <c r="A360" s="569" t="str">
        <f>LEFT(B360,3)</f>
        <v>612</v>
      </c>
      <c r="B360" s="565" t="s">
        <v>3207</v>
      </c>
      <c r="C360" s="565" t="s">
        <v>3208</v>
      </c>
      <c r="D360" s="587">
        <f>IF(VLOOKUP($A360,'hk2018'!$A:$G,1)=$A360,VLOOKUP($A360,'hk2018'!$A:$G,6),0)</f>
        <v>0</v>
      </c>
      <c r="E360" s="587">
        <f>IF(VLOOKUP($A360,'hk2018'!$A:$G,1)=$A360,VLOOKUP($A360,'hk2018'!$A:$G,7),0)</f>
        <v>0</v>
      </c>
      <c r="F360" s="587">
        <f>IF(VLOOKUP($A360,'hk2018'!$A:$H,1)=$A360,VLOOKUP($A360,'hk2018'!$A:$H,8),0)</f>
        <v>0</v>
      </c>
      <c r="G360" s="588">
        <f>SUM(D360+E360-F360)</f>
        <v>0</v>
      </c>
      <c r="H360" s="587">
        <f>IF(VLOOKUP($A360,'hk2017'!$A:$G,1)=$A360,VLOOKUP($A360,'hk2017'!$A:$G,6),0)</f>
        <v>0</v>
      </c>
      <c r="I360" s="587">
        <f>IF(VLOOKUP($A360,'hk2017'!$A:$G,1)=$A360,VLOOKUP($A360,'hk2017'!$A:$G,7),0)</f>
        <v>0</v>
      </c>
      <c r="J360" s="587">
        <f>IF(VLOOKUP($A360,'hk2017'!$A:$H,1)=$A360,VLOOKUP($A360,'hk2017'!$A:$H,8),0)</f>
        <v>0</v>
      </c>
      <c r="K360" s="589">
        <f>SUM(H360+I360-J360)</f>
        <v>0</v>
      </c>
      <c r="L360" s="595"/>
    </row>
    <row r="361" spans="1:12" outlineLevel="1" x14ac:dyDescent="0.25">
      <c r="A361" s="569" t="str">
        <f>LEFT(B361,3)</f>
        <v>613</v>
      </c>
      <c r="B361" s="565" t="s">
        <v>3209</v>
      </c>
      <c r="C361" s="565" t="s">
        <v>3210</v>
      </c>
      <c r="D361" s="587">
        <f>IF(VLOOKUP($A361,'hk2018'!$A:$G,1)=$A361,VLOOKUP($A361,'hk2018'!$A:$G,6),0)</f>
        <v>0</v>
      </c>
      <c r="E361" s="587">
        <f>IF(VLOOKUP($A361,'hk2018'!$A:$G,1)=$A361,VLOOKUP($A361,'hk2018'!$A:$G,7),0)</f>
        <v>67022.94</v>
      </c>
      <c r="F361" s="587">
        <f>IF(VLOOKUP($A361,'hk2018'!$A:$H,1)=$A361,VLOOKUP($A361,'hk2018'!$A:$H,8),0)</f>
        <v>59997.39</v>
      </c>
      <c r="G361" s="588">
        <f>SUM(D361+E361-F361)</f>
        <v>7025.5500000000029</v>
      </c>
      <c r="H361" s="587">
        <f>IF(VLOOKUP($A361,'hk2017'!$A:$G,1)=$A361,VLOOKUP($A361,'hk2017'!$A:$G,6),0)</f>
        <v>0</v>
      </c>
      <c r="I361" s="587">
        <f>IF(VLOOKUP($A361,'hk2017'!$A:$G,1)=$A361,VLOOKUP($A361,'hk2017'!$A:$G,7),0)</f>
        <v>100639.79</v>
      </c>
      <c r="J361" s="587">
        <f>IF(VLOOKUP($A361,'hk2017'!$A:$H,1)=$A361,VLOOKUP($A361,'hk2017'!$A:$H,8),0)</f>
        <v>96829.93</v>
      </c>
      <c r="K361" s="589">
        <f>SUM(H361+I361-J361)</f>
        <v>3809.8600000000006</v>
      </c>
      <c r="L361" s="595"/>
    </row>
    <row r="362" spans="1:12" outlineLevel="1" x14ac:dyDescent="0.25">
      <c r="A362" s="569" t="str">
        <f>LEFT(B362,3)</f>
        <v>614</v>
      </c>
      <c r="B362" s="565" t="s">
        <v>3211</v>
      </c>
      <c r="C362" s="565" t="s">
        <v>3212</v>
      </c>
      <c r="D362" s="587">
        <f>IF(VLOOKUP($A362,'hk2018'!$A:$G,1)=$A362,VLOOKUP($A362,'hk2018'!$A:$G,6),0)</f>
        <v>0</v>
      </c>
      <c r="E362" s="587">
        <f>IF(VLOOKUP($A362,'hk2018'!$A:$G,1)=$A362,VLOOKUP($A362,'hk2018'!$A:$G,7),0)</f>
        <v>7014</v>
      </c>
      <c r="F362" s="587">
        <f>IF(VLOOKUP($A362,'hk2018'!$A:$H,1)=$A362,VLOOKUP($A362,'hk2018'!$A:$H,8),0)</f>
        <v>8053</v>
      </c>
      <c r="G362" s="588">
        <f>SUM(D362+E362-F362)</f>
        <v>-1039</v>
      </c>
      <c r="H362" s="587">
        <f>IF(VLOOKUP($A362,'hk2017'!$A:$G,1)=$A362,VLOOKUP($A362,'hk2017'!$A:$G,6),0)</f>
        <v>0</v>
      </c>
      <c r="I362" s="587">
        <f>IF(VLOOKUP($A362,'hk2017'!$A:$G,1)=$A362,VLOOKUP($A362,'hk2017'!$A:$G,7),0)</f>
        <v>22380.02</v>
      </c>
      <c r="J362" s="587">
        <f>IF(VLOOKUP($A362,'hk2017'!$A:$H,1)=$A362,VLOOKUP($A362,'hk2017'!$A:$H,8),0)</f>
        <v>18132.41</v>
      </c>
      <c r="K362" s="589">
        <f>SUM(H362+I362-J362)</f>
        <v>4247.6100000000006</v>
      </c>
      <c r="L362" s="595"/>
    </row>
    <row r="363" spans="1:12" outlineLevel="1" x14ac:dyDescent="0.25">
      <c r="A363" s="569"/>
      <c r="B363" s="565"/>
      <c r="C363" s="565"/>
      <c r="H363" s="610"/>
      <c r="I363" s="610"/>
      <c r="J363" s="610"/>
      <c r="K363" s="611"/>
      <c r="L363" s="595"/>
    </row>
    <row r="364" spans="1:12" x14ac:dyDescent="0.25">
      <c r="A364" s="604" t="s">
        <v>1256</v>
      </c>
      <c r="B364" s="605"/>
      <c r="C364" s="606" t="s">
        <v>2545</v>
      </c>
      <c r="D364" s="578">
        <f t="shared" ref="D364:K364" si="122">SUM(D365:D369)</f>
        <v>0</v>
      </c>
      <c r="E364" s="578">
        <f t="shared" si="122"/>
        <v>0</v>
      </c>
      <c r="F364" s="578">
        <f t="shared" si="122"/>
        <v>4524.6000000000004</v>
      </c>
      <c r="G364" s="579">
        <f t="shared" si="122"/>
        <v>-4524.6000000000004</v>
      </c>
      <c r="H364" s="578">
        <f t="shared" si="122"/>
        <v>0</v>
      </c>
      <c r="I364" s="578">
        <f t="shared" si="122"/>
        <v>0</v>
      </c>
      <c r="J364" s="578">
        <f t="shared" si="122"/>
        <v>12048.1</v>
      </c>
      <c r="K364" s="580">
        <f t="shared" si="122"/>
        <v>-12048.1</v>
      </c>
      <c r="L364" s="595"/>
    </row>
    <row r="365" spans="1:12" outlineLevel="1" x14ac:dyDescent="0.25">
      <c r="A365" s="569" t="s">
        <v>1092</v>
      </c>
      <c r="B365" s="582"/>
      <c r="C365" s="583" t="s">
        <v>2545</v>
      </c>
      <c r="D365" s="587">
        <f>IF(VLOOKUP($A365,'hk2018'!$A:$G,1)=$A365,VLOOKUP($A365,'hk2018'!$A:$G,6),0)</f>
        <v>0</v>
      </c>
      <c r="E365" s="587">
        <f>IF(VLOOKUP($A365,'hk2018'!$A:$G,1)=$A365,VLOOKUP($A365,'hk2018'!$A:$G,7),0)</f>
        <v>0</v>
      </c>
      <c r="F365" s="587">
        <f>IF(VLOOKUP($A365,'hk2018'!$A:$H,1)=$A365,VLOOKUP($A365,'hk2018'!$A:$H,8),0)</f>
        <v>0</v>
      </c>
      <c r="G365" s="588">
        <f>SUM(D365+E365-F365)</f>
        <v>0</v>
      </c>
      <c r="H365" s="587">
        <f>IF(VLOOKUP($A365,'hk2017'!$A:$G,1)=$A365,VLOOKUP($A365,'hk2017'!$A:$G,6),0)</f>
        <v>0</v>
      </c>
      <c r="I365" s="587">
        <f>IF(VLOOKUP($A365,'hk2017'!$A:$G,1)=$A365,VLOOKUP($A365,'hk2017'!$A:$G,7),0)</f>
        <v>0</v>
      </c>
      <c r="J365" s="587">
        <f>IF(VLOOKUP($A365,'hk2017'!$A:$H,1)=$A365,VLOOKUP($A365,'hk2017'!$A:$H,8),0)</f>
        <v>0</v>
      </c>
      <c r="K365" s="589">
        <f>SUM(H365+I365-J365)</f>
        <v>0</v>
      </c>
      <c r="L365" s="595"/>
    </row>
    <row r="366" spans="1:12" outlineLevel="1" x14ac:dyDescent="0.25">
      <c r="A366" s="569" t="str">
        <f>LEFT(B366,3)</f>
        <v>621</v>
      </c>
      <c r="B366" s="565" t="s">
        <v>3213</v>
      </c>
      <c r="C366" s="565" t="s">
        <v>3214</v>
      </c>
      <c r="D366" s="587">
        <f>IF(VLOOKUP($A366,'hk2018'!$A:$G,1)=$A366,VLOOKUP($A366,'hk2018'!$A:$G,6),0)</f>
        <v>0</v>
      </c>
      <c r="E366" s="587">
        <f>IF(VLOOKUP($A366,'hk2018'!$A:$G,1)=$A366,VLOOKUP($A366,'hk2018'!$A:$G,7),0)</f>
        <v>0</v>
      </c>
      <c r="F366" s="587">
        <f>IF(VLOOKUP($A366,'hk2018'!$A:$H,1)=$A366,VLOOKUP($A366,'hk2018'!$A:$H,8),0)</f>
        <v>0</v>
      </c>
      <c r="G366" s="588">
        <f>SUM(D366+E366-F366)</f>
        <v>0</v>
      </c>
      <c r="H366" s="587">
        <f>IF(VLOOKUP($A366,'hk2017'!$A:$G,1)=$A366,VLOOKUP($A366,'hk2017'!$A:$G,6),0)</f>
        <v>0</v>
      </c>
      <c r="I366" s="587">
        <f>IF(VLOOKUP($A366,'hk2017'!$A:$G,1)=$A366,VLOOKUP($A366,'hk2017'!$A:$G,7),0)</f>
        <v>0</v>
      </c>
      <c r="J366" s="587">
        <f>IF(VLOOKUP($A366,'hk2017'!$A:$H,1)=$A366,VLOOKUP($A366,'hk2017'!$A:$H,8),0)</f>
        <v>0</v>
      </c>
      <c r="K366" s="589">
        <f>SUM(H366+I366-J366)</f>
        <v>0</v>
      </c>
      <c r="L366" s="595"/>
    </row>
    <row r="367" spans="1:12" outlineLevel="1" x14ac:dyDescent="0.25">
      <c r="A367" s="569" t="str">
        <f>LEFT(B367,3)</f>
        <v>622</v>
      </c>
      <c r="B367" s="565" t="s">
        <v>3215</v>
      </c>
      <c r="C367" s="565" t="s">
        <v>3216</v>
      </c>
      <c r="D367" s="587">
        <f>IF(VLOOKUP($A367,'hk2018'!$A:$G,1)=$A367,VLOOKUP($A367,'hk2018'!$A:$G,6),0)</f>
        <v>0</v>
      </c>
      <c r="E367" s="587">
        <f>IF(VLOOKUP($A367,'hk2018'!$A:$G,1)=$A367,VLOOKUP($A367,'hk2018'!$A:$G,7),0)</f>
        <v>0</v>
      </c>
      <c r="F367" s="587">
        <f>IF(VLOOKUP($A367,'hk2018'!$A:$H,1)=$A367,VLOOKUP($A367,'hk2018'!$A:$H,8),0)</f>
        <v>0</v>
      </c>
      <c r="G367" s="588">
        <f>SUM(D367+E367-F367)</f>
        <v>0</v>
      </c>
      <c r="H367" s="587">
        <f>IF(VLOOKUP($A367,'hk2017'!$A:$G,1)=$A367,VLOOKUP($A367,'hk2017'!$A:$G,6),0)</f>
        <v>0</v>
      </c>
      <c r="I367" s="587">
        <f>IF(VLOOKUP($A367,'hk2017'!$A:$G,1)=$A367,VLOOKUP($A367,'hk2017'!$A:$G,7),0)</f>
        <v>0</v>
      </c>
      <c r="J367" s="587">
        <f>IF(VLOOKUP($A367,'hk2017'!$A:$H,1)=$A367,VLOOKUP($A367,'hk2017'!$A:$H,8),0)</f>
        <v>0</v>
      </c>
      <c r="K367" s="589">
        <f>SUM(H367+I367-J367)</f>
        <v>0</v>
      </c>
      <c r="L367" s="595"/>
    </row>
    <row r="368" spans="1:12" outlineLevel="1" x14ac:dyDescent="0.25">
      <c r="A368" s="569" t="str">
        <f>LEFT(B368,3)</f>
        <v>623</v>
      </c>
      <c r="B368" s="565" t="s">
        <v>3217</v>
      </c>
      <c r="C368" s="565" t="s">
        <v>3218</v>
      </c>
      <c r="D368" s="587">
        <f>IF(VLOOKUP($A368,'hk2018'!$A:$G,1)=$A368,VLOOKUP($A368,'hk2018'!$A:$G,6),0)</f>
        <v>0</v>
      </c>
      <c r="E368" s="587">
        <f>IF(VLOOKUP($A368,'hk2018'!$A:$G,1)=$A368,VLOOKUP($A368,'hk2018'!$A:$G,7),0)</f>
        <v>0</v>
      </c>
      <c r="F368" s="587">
        <f>IF(VLOOKUP($A368,'hk2018'!$A:$H,1)=$A368,VLOOKUP($A368,'hk2018'!$A:$H,8),0)</f>
        <v>0</v>
      </c>
      <c r="G368" s="588">
        <f>SUM(D368+E368-F368)</f>
        <v>0</v>
      </c>
      <c r="H368" s="587">
        <f>IF(VLOOKUP($A368,'hk2017'!$A:$G,1)=$A368,VLOOKUP($A368,'hk2017'!$A:$G,6),0)</f>
        <v>0</v>
      </c>
      <c r="I368" s="587">
        <f>IF(VLOOKUP($A368,'hk2017'!$A:$G,1)=$A368,VLOOKUP($A368,'hk2017'!$A:$G,7),0)</f>
        <v>0</v>
      </c>
      <c r="J368" s="587">
        <f>IF(VLOOKUP($A368,'hk2017'!$A:$H,1)=$A368,VLOOKUP($A368,'hk2017'!$A:$H,8),0)</f>
        <v>0</v>
      </c>
      <c r="K368" s="589">
        <f>SUM(H368+I368-J368)</f>
        <v>0</v>
      </c>
      <c r="L368" s="595"/>
    </row>
    <row r="369" spans="1:13" outlineLevel="1" x14ac:dyDescent="0.25">
      <c r="A369" s="569" t="str">
        <f>LEFT(B369,3)</f>
        <v>624</v>
      </c>
      <c r="B369" s="565" t="s">
        <v>3219</v>
      </c>
      <c r="C369" s="565" t="s">
        <v>3220</v>
      </c>
      <c r="D369" s="587">
        <f>IF(VLOOKUP($A369,'hk2018'!$A:$G,1)=$A369,VLOOKUP($A369,'hk2018'!$A:$G,6),0)</f>
        <v>0</v>
      </c>
      <c r="E369" s="587">
        <f>IF(VLOOKUP($A369,'hk2018'!$A:$G,1)=$A369,VLOOKUP($A369,'hk2018'!$A:$G,7),0)</f>
        <v>0</v>
      </c>
      <c r="F369" s="587">
        <f>IF(VLOOKUP($A369,'hk2018'!$A:$H,1)=$A369,VLOOKUP($A369,'hk2018'!$A:$H,8),0)</f>
        <v>4524.6000000000004</v>
      </c>
      <c r="G369" s="588">
        <f>SUM(D369+E369-F369)</f>
        <v>-4524.6000000000004</v>
      </c>
      <c r="H369" s="587">
        <f>IF(VLOOKUP($A369,'hk2017'!$A:$G,1)=$A369,VLOOKUP($A369,'hk2017'!$A:$G,6),0)</f>
        <v>0</v>
      </c>
      <c r="I369" s="587">
        <f>IF(VLOOKUP($A369,'hk2017'!$A:$G,1)=$A369,VLOOKUP($A369,'hk2017'!$A:$G,7),0)</f>
        <v>0</v>
      </c>
      <c r="J369" s="587">
        <f>IF(VLOOKUP($A369,'hk2017'!$A:$H,1)=$A369,VLOOKUP($A369,'hk2017'!$A:$H,8),0)</f>
        <v>12048.1</v>
      </c>
      <c r="K369" s="589">
        <f>SUM(H369+I369-J369)</f>
        <v>-12048.1</v>
      </c>
      <c r="L369" s="595"/>
    </row>
    <row r="370" spans="1:13" outlineLevel="1" x14ac:dyDescent="0.25">
      <c r="A370" s="569"/>
      <c r="B370" s="565"/>
      <c r="C370" s="565"/>
      <c r="H370" s="610"/>
      <c r="I370" s="610"/>
      <c r="J370" s="610"/>
      <c r="K370" s="611"/>
      <c r="L370" s="595"/>
    </row>
    <row r="371" spans="1:13" x14ac:dyDescent="0.25">
      <c r="A371" s="604" t="s">
        <v>1244</v>
      </c>
      <c r="B371" s="605"/>
      <c r="C371" s="606" t="s">
        <v>3221</v>
      </c>
      <c r="D371" s="578">
        <f t="shared" ref="D371:K371" si="123">SUM(D372:D378)</f>
        <v>0</v>
      </c>
      <c r="E371" s="578">
        <f t="shared" si="123"/>
        <v>0</v>
      </c>
      <c r="F371" s="578">
        <f t="shared" si="123"/>
        <v>313794.28999999998</v>
      </c>
      <c r="G371" s="579">
        <f t="shared" si="123"/>
        <v>-313794.28999999998</v>
      </c>
      <c r="H371" s="578">
        <f t="shared" si="123"/>
        <v>0</v>
      </c>
      <c r="I371" s="578">
        <f t="shared" si="123"/>
        <v>30763.32</v>
      </c>
      <c r="J371" s="578">
        <f t="shared" si="123"/>
        <v>395456.21</v>
      </c>
      <c r="K371" s="580">
        <f t="shared" si="123"/>
        <v>-364692.89</v>
      </c>
      <c r="L371" s="595"/>
    </row>
    <row r="372" spans="1:13" outlineLevel="1" x14ac:dyDescent="0.25">
      <c r="A372" s="569" t="s">
        <v>1109</v>
      </c>
      <c r="B372" s="582"/>
      <c r="C372" s="583" t="s">
        <v>3222</v>
      </c>
      <c r="D372" s="587">
        <f>IF(VLOOKUP($A372,'hk2018'!$A:$G,1)=$A372,VLOOKUP($A372,'hk2018'!$A:$G,6),0)</f>
        <v>0</v>
      </c>
      <c r="E372" s="587">
        <f>IF(VLOOKUP($A372,'hk2018'!$A:$G,1)=$A372,VLOOKUP($A372,'hk2018'!$A:$G,7),0)</f>
        <v>0</v>
      </c>
      <c r="F372" s="587">
        <f>IF(VLOOKUP($A372,'hk2018'!$A:$H,1)=$A372,VLOOKUP($A372,'hk2018'!$A:$H,8),0)</f>
        <v>0</v>
      </c>
      <c r="G372" s="588">
        <f t="shared" ref="G372:G378" si="124">SUM(D372+E372-F372)</f>
        <v>0</v>
      </c>
      <c r="H372" s="587">
        <f>IF(VLOOKUP($A372,'hk2017'!$A:$G,1)=$A372,VLOOKUP($A372,'hk2017'!$A:$G,6),0)</f>
        <v>0</v>
      </c>
      <c r="I372" s="587">
        <f>IF(VLOOKUP($A372,'hk2017'!$A:$G,1)=$A372,VLOOKUP($A372,'hk2017'!$A:$G,7),0)</f>
        <v>0</v>
      </c>
      <c r="J372" s="587">
        <f>IF(VLOOKUP($A372,'hk2017'!$A:$H,1)=$A372,VLOOKUP($A372,'hk2017'!$A:$H,8),0)</f>
        <v>0</v>
      </c>
      <c r="K372" s="589">
        <f t="shared" ref="K372:K378" si="125">SUM(H372+I372-J372)</f>
        <v>0</v>
      </c>
      <c r="L372" s="595"/>
    </row>
    <row r="373" spans="1:13" outlineLevel="1" x14ac:dyDescent="0.25">
      <c r="A373" s="569" t="str">
        <f t="shared" ref="A373:A378" si="126">LEFT(B373,3)</f>
        <v>641</v>
      </c>
      <c r="B373" s="565" t="s">
        <v>3223</v>
      </c>
      <c r="C373" s="565" t="s">
        <v>3224</v>
      </c>
      <c r="D373" s="587">
        <f>IF(VLOOKUP($A373,'hk2018'!$A:$G,1)=$A373,VLOOKUP($A373,'hk2018'!$A:$G,6),0)</f>
        <v>0</v>
      </c>
      <c r="E373" s="587">
        <f>IF(VLOOKUP($A373,'hk2018'!$A:$G,1)=$A373,VLOOKUP($A373,'hk2018'!$A:$G,7),0)</f>
        <v>0</v>
      </c>
      <c r="F373" s="587">
        <f>IF(VLOOKUP($A373,'hk2018'!$A:$H,1)=$A373,VLOOKUP($A373,'hk2018'!$A:$H,8),0)</f>
        <v>741</v>
      </c>
      <c r="G373" s="588">
        <f t="shared" si="124"/>
        <v>-741</v>
      </c>
      <c r="H373" s="587">
        <f>IF(VLOOKUP($A373,'hk2017'!$A:$G,1)=$A373,VLOOKUP($A373,'hk2017'!$A:$G,6),0)</f>
        <v>0</v>
      </c>
      <c r="I373" s="587">
        <f>IF(VLOOKUP($A373,'hk2017'!$A:$G,1)=$A373,VLOOKUP($A373,'hk2017'!$A:$G,7),0)</f>
        <v>0</v>
      </c>
      <c r="J373" s="587">
        <f>IF(VLOOKUP($A373,'hk2017'!$A:$H,1)=$A373,VLOOKUP($A373,'hk2017'!$A:$H,8),0)</f>
        <v>1317</v>
      </c>
      <c r="K373" s="589">
        <f t="shared" si="125"/>
        <v>-1317</v>
      </c>
      <c r="L373" s="595"/>
    </row>
    <row r="374" spans="1:13" outlineLevel="1" x14ac:dyDescent="0.25">
      <c r="A374" s="569" t="str">
        <f t="shared" si="126"/>
        <v>642</v>
      </c>
      <c r="B374" s="565" t="s">
        <v>3225</v>
      </c>
      <c r="C374" s="565" t="s">
        <v>3226</v>
      </c>
      <c r="D374" s="587">
        <f>IF(VLOOKUP($A374,'hk2018'!$A:$G,1)=$A374,VLOOKUP($A374,'hk2018'!$A:$G,6),0)</f>
        <v>0</v>
      </c>
      <c r="E374" s="587">
        <f>IF(VLOOKUP($A374,'hk2018'!$A:$G,1)=$A374,VLOOKUP($A374,'hk2018'!$A:$G,7),0)</f>
        <v>0</v>
      </c>
      <c r="F374" s="587">
        <f>IF(VLOOKUP($A374,'hk2018'!$A:$H,1)=$A374,VLOOKUP($A374,'hk2018'!$A:$H,8),0)</f>
        <v>0</v>
      </c>
      <c r="G374" s="588">
        <f t="shared" si="124"/>
        <v>0</v>
      </c>
      <c r="H374" s="587">
        <f>IF(VLOOKUP($A374,'hk2017'!$A:$G,1)=$A374,VLOOKUP($A374,'hk2017'!$A:$G,6),0)</f>
        <v>0</v>
      </c>
      <c r="I374" s="587">
        <f>IF(VLOOKUP($A374,'hk2017'!$A:$G,1)=$A374,VLOOKUP($A374,'hk2017'!$A:$G,7),0)</f>
        <v>0</v>
      </c>
      <c r="J374" s="587">
        <f>IF(VLOOKUP($A374,'hk2017'!$A:$H,1)=$A374,VLOOKUP($A374,'hk2017'!$A:$H,8),0)</f>
        <v>0</v>
      </c>
      <c r="K374" s="589">
        <f t="shared" si="125"/>
        <v>0</v>
      </c>
      <c r="L374" s="595"/>
    </row>
    <row r="375" spans="1:13" outlineLevel="1" x14ac:dyDescent="0.25">
      <c r="A375" s="569" t="str">
        <f t="shared" si="126"/>
        <v>644</v>
      </c>
      <c r="B375" s="565" t="s">
        <v>3227</v>
      </c>
      <c r="C375" s="565" t="s">
        <v>3130</v>
      </c>
      <c r="D375" s="587">
        <f>IF(VLOOKUP($A375,'hk2018'!$A:$G,1)=$A375,VLOOKUP($A375,'hk2018'!$A:$G,6),0)</f>
        <v>0</v>
      </c>
      <c r="E375" s="587">
        <f>IF(VLOOKUP($A375,'hk2018'!$A:$G,1)=$A375,VLOOKUP($A375,'hk2018'!$A:$G,7),0)</f>
        <v>0</v>
      </c>
      <c r="F375" s="587">
        <f>IF(VLOOKUP($A375,'hk2018'!$A:$H,1)=$A375,VLOOKUP($A375,'hk2018'!$A:$H,8),0)</f>
        <v>0</v>
      </c>
      <c r="G375" s="588">
        <f t="shared" si="124"/>
        <v>0</v>
      </c>
      <c r="H375" s="587">
        <f>IF(VLOOKUP($A375,'hk2017'!$A:$G,1)=$A375,VLOOKUP($A375,'hk2017'!$A:$G,6),0)</f>
        <v>0</v>
      </c>
      <c r="I375" s="587">
        <f>IF(VLOOKUP($A375,'hk2017'!$A:$G,1)=$A375,VLOOKUP($A375,'hk2017'!$A:$G,7),0)</f>
        <v>0</v>
      </c>
      <c r="J375" s="587">
        <f>IF(VLOOKUP($A375,'hk2017'!$A:$H,1)=$A375,VLOOKUP($A375,'hk2017'!$A:$H,8),0)</f>
        <v>0</v>
      </c>
      <c r="K375" s="589">
        <f t="shared" si="125"/>
        <v>0</v>
      </c>
      <c r="L375" s="595"/>
    </row>
    <row r="376" spans="1:13" outlineLevel="1" x14ac:dyDescent="0.25">
      <c r="A376" s="569" t="str">
        <f t="shared" si="126"/>
        <v>645</v>
      </c>
      <c r="B376" s="565" t="s">
        <v>3228</v>
      </c>
      <c r="C376" s="565" t="s">
        <v>3132</v>
      </c>
      <c r="D376" s="587">
        <f>IF(VLOOKUP($A376,'hk2018'!$A:$G,1)=$A376,VLOOKUP($A376,'hk2018'!$A:$G,6),0)</f>
        <v>0</v>
      </c>
      <c r="E376" s="587">
        <f>IF(VLOOKUP($A376,'hk2018'!$A:$G,1)=$A376,VLOOKUP($A376,'hk2018'!$A:$G,7),0)</f>
        <v>0</v>
      </c>
      <c r="F376" s="587">
        <f>IF(VLOOKUP($A376,'hk2018'!$A:$H,1)=$A376,VLOOKUP($A376,'hk2018'!$A:$H,8),0)</f>
        <v>0</v>
      </c>
      <c r="G376" s="588">
        <f t="shared" si="124"/>
        <v>0</v>
      </c>
      <c r="H376" s="587">
        <f>IF(VLOOKUP($A376,'hk2017'!$A:$G,1)=$A376,VLOOKUP($A376,'hk2017'!$A:$G,6),0)</f>
        <v>0</v>
      </c>
      <c r="I376" s="587">
        <f>IF(VLOOKUP($A376,'hk2017'!$A:$G,1)=$A376,VLOOKUP($A376,'hk2017'!$A:$G,7),0)</f>
        <v>0</v>
      </c>
      <c r="J376" s="587">
        <f>IF(VLOOKUP($A376,'hk2017'!$A:$H,1)=$A376,VLOOKUP($A376,'hk2017'!$A:$H,8),0)</f>
        <v>0</v>
      </c>
      <c r="K376" s="589">
        <f t="shared" si="125"/>
        <v>0</v>
      </c>
      <c r="L376" s="595"/>
    </row>
    <row r="377" spans="1:13" outlineLevel="1" x14ac:dyDescent="0.25">
      <c r="A377" s="569" t="str">
        <f t="shared" si="126"/>
        <v>646</v>
      </c>
      <c r="B377" s="565" t="s">
        <v>3229</v>
      </c>
      <c r="C377" s="565" t="s">
        <v>3230</v>
      </c>
      <c r="D377" s="587">
        <f>IF(VLOOKUP($A377,'hk2018'!$A:$G,1)=$A377,VLOOKUP($A377,'hk2018'!$A:$G,6),0)</f>
        <v>0</v>
      </c>
      <c r="E377" s="587">
        <f>IF(VLOOKUP($A377,'hk2018'!$A:$G,1)=$A377,VLOOKUP($A377,'hk2018'!$A:$G,7),0)</f>
        <v>0</v>
      </c>
      <c r="F377" s="587">
        <f>IF(VLOOKUP($A377,'hk2018'!$A:$H,1)=$A377,VLOOKUP($A377,'hk2018'!$A:$H,8),0)</f>
        <v>0</v>
      </c>
      <c r="G377" s="588">
        <f t="shared" si="124"/>
        <v>0</v>
      </c>
      <c r="H377" s="587">
        <f>IF(VLOOKUP($A377,'hk2017'!$A:$G,1)=$A377,VLOOKUP($A377,'hk2017'!$A:$G,6),0)</f>
        <v>0</v>
      </c>
      <c r="I377" s="587">
        <f>IF(VLOOKUP($A377,'hk2017'!$A:$G,1)=$A377,VLOOKUP($A377,'hk2017'!$A:$G,7),0)</f>
        <v>0</v>
      </c>
      <c r="J377" s="587">
        <f>IF(VLOOKUP($A377,'hk2017'!$A:$H,1)=$A377,VLOOKUP($A377,'hk2017'!$A:$H,8),0)</f>
        <v>0</v>
      </c>
      <c r="K377" s="589">
        <f t="shared" si="125"/>
        <v>0</v>
      </c>
      <c r="L377" s="595"/>
    </row>
    <row r="378" spans="1:13" outlineLevel="1" x14ac:dyDescent="0.25">
      <c r="A378" s="569" t="str">
        <f t="shared" si="126"/>
        <v>648</v>
      </c>
      <c r="B378" s="565" t="s">
        <v>3231</v>
      </c>
      <c r="C378" s="565" t="s">
        <v>2547</v>
      </c>
      <c r="D378" s="587">
        <f>IF(VLOOKUP($A378,'hk2018'!$A:$G,1)=$A378,VLOOKUP($A378,'hk2018'!$A:$G,6),0)</f>
        <v>0</v>
      </c>
      <c r="E378" s="587">
        <f>IF(VLOOKUP($A378,'hk2018'!$A:$G,1)=$A378,VLOOKUP($A378,'hk2018'!$A:$G,7),0)</f>
        <v>0</v>
      </c>
      <c r="F378" s="587">
        <f>IF(VLOOKUP($A378,'hk2018'!$A:$H,1)=$A378,VLOOKUP($A378,'hk2018'!$A:$H,8),0)</f>
        <v>313053.28999999998</v>
      </c>
      <c r="G378" s="588">
        <f t="shared" si="124"/>
        <v>-313053.28999999998</v>
      </c>
      <c r="H378" s="587">
        <f>IF(VLOOKUP($A378,'hk2017'!$A:$G,1)=$A378,VLOOKUP($A378,'hk2017'!$A:$G,6),0)</f>
        <v>0</v>
      </c>
      <c r="I378" s="587">
        <f>IF(VLOOKUP($A378,'hk2017'!$A:$G,1)=$A378,VLOOKUP($A378,'hk2017'!$A:$G,7),0)</f>
        <v>30763.32</v>
      </c>
      <c r="J378" s="587">
        <f>IF(VLOOKUP($A378,'hk2017'!$A:$H,1)=$A378,VLOOKUP($A378,'hk2017'!$A:$H,8),0)</f>
        <v>394139.21</v>
      </c>
      <c r="K378" s="589">
        <f t="shared" si="125"/>
        <v>-363375.89</v>
      </c>
      <c r="L378" s="595"/>
      <c r="M378" s="587"/>
    </row>
    <row r="379" spans="1:13" outlineLevel="1" x14ac:dyDescent="0.25">
      <c r="A379" s="569"/>
      <c r="B379" s="565"/>
      <c r="C379" s="565"/>
      <c r="H379" s="610"/>
      <c r="I379" s="610"/>
      <c r="J379" s="610"/>
      <c r="K379" s="611"/>
      <c r="L379" s="595"/>
    </row>
    <row r="380" spans="1:13" x14ac:dyDescent="0.25">
      <c r="A380" s="604" t="s">
        <v>1218</v>
      </c>
      <c r="B380" s="605"/>
      <c r="C380" s="606" t="s">
        <v>3232</v>
      </c>
      <c r="D380" s="578">
        <f t="shared" ref="D380:K380" si="127">SUM(D381:D386)</f>
        <v>0</v>
      </c>
      <c r="E380" s="578">
        <f t="shared" si="127"/>
        <v>0</v>
      </c>
      <c r="F380" s="578">
        <f t="shared" si="127"/>
        <v>0</v>
      </c>
      <c r="G380" s="579">
        <f t="shared" si="127"/>
        <v>0</v>
      </c>
      <c r="H380" s="578">
        <f t="shared" si="127"/>
        <v>0</v>
      </c>
      <c r="I380" s="578">
        <f t="shared" si="127"/>
        <v>0</v>
      </c>
      <c r="J380" s="578">
        <f t="shared" si="127"/>
        <v>0</v>
      </c>
      <c r="K380" s="580">
        <f t="shared" si="127"/>
        <v>0</v>
      </c>
      <c r="L380" s="595"/>
    </row>
    <row r="381" spans="1:13" outlineLevel="1" x14ac:dyDescent="0.25">
      <c r="A381" s="623" t="str">
        <f t="shared" ref="A381:A386" si="128">LEFT(B381,3)</f>
        <v>652</v>
      </c>
      <c r="B381" s="565" t="s">
        <v>3233</v>
      </c>
      <c r="C381" s="565" t="s">
        <v>3234</v>
      </c>
      <c r="D381" s="587">
        <f>IF(VLOOKUP($A381,'hk2018'!$A:$G,1)=$A381,VLOOKUP($A381,'hk2018'!$A:$G,6),0)</f>
        <v>0</v>
      </c>
      <c r="E381" s="587">
        <f>IF(VLOOKUP($A381,'hk2018'!$A:$G,1)=$A381,VLOOKUP($A381,'hk2018'!$A:$G,7),0)</f>
        <v>0</v>
      </c>
      <c r="F381" s="587">
        <f>IF(VLOOKUP($A381,'hk2018'!$A:$H,1)=$A381,VLOOKUP($A381,'hk2018'!$A:$H,8),0)</f>
        <v>0</v>
      </c>
      <c r="G381" s="588">
        <f t="shared" ref="G381:G386" si="129">SUM(D381+E381-F381)</f>
        <v>0</v>
      </c>
      <c r="H381" s="587">
        <f>IF(VLOOKUP($A381,'hk2017'!$A:$G,1)=$A381,VLOOKUP($A381,'hk2017'!$A:$G,6),0)</f>
        <v>0</v>
      </c>
      <c r="I381" s="587">
        <f>IF(VLOOKUP($A381,'hk2017'!$A:$G,1)=$A381,VLOOKUP($A381,'hk2017'!$A:$G,7),0)</f>
        <v>0</v>
      </c>
      <c r="J381" s="587">
        <f>IF(VLOOKUP($A381,'hk2017'!$A:$H,1)=$A381,VLOOKUP($A381,'hk2017'!$A:$H,8),0)</f>
        <v>0</v>
      </c>
      <c r="K381" s="589">
        <f t="shared" ref="K381:K386" si="130">SUM(H381+I381-J381)</f>
        <v>0</v>
      </c>
      <c r="L381" s="595"/>
    </row>
    <row r="382" spans="1:13" outlineLevel="1" x14ac:dyDescent="0.25">
      <c r="A382" s="623" t="str">
        <f t="shared" si="128"/>
        <v>654</v>
      </c>
      <c r="B382" s="565" t="s">
        <v>3235</v>
      </c>
      <c r="C382" s="565" t="s">
        <v>3236</v>
      </c>
      <c r="D382" s="587">
        <f>IF(VLOOKUP($A382,'hk2018'!$A:$G,1)=$A382,VLOOKUP($A382,'hk2018'!$A:$G,6),0)</f>
        <v>0</v>
      </c>
      <c r="E382" s="587">
        <f>IF(VLOOKUP($A382,'hk2018'!$A:$G,1)=$A382,VLOOKUP($A382,'hk2018'!$A:$G,7),0)</f>
        <v>0</v>
      </c>
      <c r="F382" s="587">
        <f>IF(VLOOKUP($A382,'hk2018'!$A:$H,1)=$A382,VLOOKUP($A382,'hk2018'!$A:$H,8),0)</f>
        <v>0</v>
      </c>
      <c r="G382" s="588">
        <f t="shared" si="129"/>
        <v>0</v>
      </c>
      <c r="H382" s="587">
        <f>IF(VLOOKUP($A382,'hk2017'!$A:$G,1)=$A382,VLOOKUP($A382,'hk2017'!$A:$G,6),0)</f>
        <v>0</v>
      </c>
      <c r="I382" s="587">
        <f>IF(VLOOKUP($A382,'hk2017'!$A:$G,1)=$A382,VLOOKUP($A382,'hk2017'!$A:$G,7),0)</f>
        <v>0</v>
      </c>
      <c r="J382" s="587">
        <f>IF(VLOOKUP($A382,'hk2017'!$A:$H,1)=$A382,VLOOKUP($A382,'hk2017'!$A:$H,8),0)</f>
        <v>0</v>
      </c>
      <c r="K382" s="589">
        <f t="shared" si="130"/>
        <v>0</v>
      </c>
      <c r="L382" s="595"/>
    </row>
    <row r="383" spans="1:13" outlineLevel="1" x14ac:dyDescent="0.25">
      <c r="A383" s="569" t="str">
        <f t="shared" si="128"/>
        <v>655</v>
      </c>
      <c r="B383" s="565" t="s">
        <v>3237</v>
      </c>
      <c r="C383" s="565" t="s">
        <v>3145</v>
      </c>
      <c r="D383" s="587">
        <f>IF(VLOOKUP($A383,'hk2018'!$A:$G,1)=$A383,VLOOKUP($A383,'hk2018'!$A:$G,6),0)</f>
        <v>0</v>
      </c>
      <c r="E383" s="587">
        <f>IF(VLOOKUP($A383,'hk2018'!$A:$G,1)=$A383,VLOOKUP($A383,'hk2018'!$A:$G,7),0)</f>
        <v>0</v>
      </c>
      <c r="F383" s="587">
        <f>IF(VLOOKUP($A383,'hk2018'!$A:$H,1)=$A383,VLOOKUP($A383,'hk2018'!$A:$H,8),0)</f>
        <v>0</v>
      </c>
      <c r="G383" s="588">
        <f t="shared" si="129"/>
        <v>0</v>
      </c>
      <c r="H383" s="587">
        <f>IF(VLOOKUP($A383,'hk2017'!$A:$G,1)=$A383,VLOOKUP($A383,'hk2017'!$A:$G,6),0)</f>
        <v>0</v>
      </c>
      <c r="I383" s="587">
        <f>IF(VLOOKUP($A383,'hk2017'!$A:$G,1)=$A383,VLOOKUP($A383,'hk2017'!$A:$G,7),0)</f>
        <v>0</v>
      </c>
      <c r="J383" s="587">
        <f>IF(VLOOKUP($A383,'hk2017'!$A:$H,1)=$A383,VLOOKUP($A383,'hk2017'!$A:$H,8),0)</f>
        <v>0</v>
      </c>
      <c r="K383" s="589">
        <f t="shared" si="130"/>
        <v>0</v>
      </c>
      <c r="L383" s="595"/>
    </row>
    <row r="384" spans="1:13" outlineLevel="1" x14ac:dyDescent="0.25">
      <c r="A384" s="569" t="str">
        <f t="shared" si="128"/>
        <v>657</v>
      </c>
      <c r="B384" s="565" t="s">
        <v>3238</v>
      </c>
      <c r="C384" s="565" t="s">
        <v>3239</v>
      </c>
      <c r="D384" s="587">
        <f>IF(VLOOKUP($A384,'hk2018'!$A:$G,1)=$A384,VLOOKUP($A384,'hk2018'!$A:$G,6),0)</f>
        <v>0</v>
      </c>
      <c r="E384" s="587">
        <f>IF(VLOOKUP($A384,'hk2018'!$A:$G,1)=$A384,VLOOKUP($A384,'hk2018'!$A:$G,7),0)</f>
        <v>0</v>
      </c>
      <c r="F384" s="587">
        <f>IF(VLOOKUP($A384,'hk2018'!$A:$H,1)=$A384,VLOOKUP($A384,'hk2018'!$A:$H,8),0)</f>
        <v>0</v>
      </c>
      <c r="G384" s="588">
        <f t="shared" si="129"/>
        <v>0</v>
      </c>
      <c r="H384" s="587">
        <f>IF(VLOOKUP($A384,'hk2017'!$A:$G,1)=$A384,VLOOKUP($A384,'hk2017'!$A:$G,6),0)</f>
        <v>0</v>
      </c>
      <c r="I384" s="587">
        <f>IF(VLOOKUP($A384,'hk2017'!$A:$G,1)=$A384,VLOOKUP($A384,'hk2017'!$A:$G,7),0)</f>
        <v>0</v>
      </c>
      <c r="J384" s="587">
        <f>IF(VLOOKUP($A384,'hk2017'!$A:$H,1)=$A384,VLOOKUP($A384,'hk2017'!$A:$H,8),0)</f>
        <v>0</v>
      </c>
      <c r="K384" s="589">
        <f t="shared" si="130"/>
        <v>0</v>
      </c>
      <c r="L384" s="595"/>
    </row>
    <row r="385" spans="1:12" outlineLevel="1" x14ac:dyDescent="0.25">
      <c r="A385" s="623" t="str">
        <f t="shared" si="128"/>
        <v>658</v>
      </c>
      <c r="B385" s="565" t="s">
        <v>3240</v>
      </c>
      <c r="C385" s="565" t="s">
        <v>3241</v>
      </c>
      <c r="D385" s="587">
        <f>IF(VLOOKUP($A385,'hk2018'!$A:$G,1)=$A385,VLOOKUP($A385,'hk2018'!$A:$G,6),0)</f>
        <v>0</v>
      </c>
      <c r="E385" s="587">
        <f>IF(VLOOKUP($A385,'hk2018'!$A:$G,1)=$A385,VLOOKUP($A385,'hk2018'!$A:$G,7),0)</f>
        <v>0</v>
      </c>
      <c r="F385" s="587">
        <f>IF(VLOOKUP($A385,'hk2018'!$A:$H,1)=$A385,VLOOKUP($A385,'hk2018'!$A:$H,8),0)</f>
        <v>0</v>
      </c>
      <c r="G385" s="588">
        <f t="shared" si="129"/>
        <v>0</v>
      </c>
      <c r="H385" s="587">
        <f>IF(VLOOKUP($A385,'hk2017'!$A:$G,1)=$A385,VLOOKUP($A385,'hk2017'!$A:$G,6),0)</f>
        <v>0</v>
      </c>
      <c r="I385" s="587">
        <f>IF(VLOOKUP($A385,'hk2017'!$A:$G,1)=$A385,VLOOKUP($A385,'hk2017'!$A:$G,7),0)</f>
        <v>0</v>
      </c>
      <c r="J385" s="587">
        <f>IF(VLOOKUP($A385,'hk2017'!$A:$H,1)=$A385,VLOOKUP($A385,'hk2017'!$A:$H,8),0)</f>
        <v>0</v>
      </c>
      <c r="K385" s="589">
        <f t="shared" si="130"/>
        <v>0</v>
      </c>
      <c r="L385" s="595"/>
    </row>
    <row r="386" spans="1:12" outlineLevel="1" x14ac:dyDescent="0.25">
      <c r="A386" s="623" t="str">
        <f t="shared" si="128"/>
        <v>659</v>
      </c>
      <c r="B386" s="565" t="s">
        <v>3242</v>
      </c>
      <c r="C386" s="565" t="s">
        <v>3243</v>
      </c>
      <c r="D386" s="587">
        <f>IF(VLOOKUP($A386,'hk2018'!$A:$G,1)=$A386,VLOOKUP($A386,'hk2018'!$A:$G,6),0)</f>
        <v>0</v>
      </c>
      <c r="E386" s="587">
        <f>IF(VLOOKUP($A386,'hk2018'!$A:$G,1)=$A386,VLOOKUP($A386,'hk2018'!$A:$G,7),0)</f>
        <v>0</v>
      </c>
      <c r="F386" s="587">
        <f>IF(VLOOKUP($A386,'hk2018'!$A:$H,1)=$A386,VLOOKUP($A386,'hk2018'!$A:$H,8),0)</f>
        <v>0</v>
      </c>
      <c r="G386" s="588">
        <f t="shared" si="129"/>
        <v>0</v>
      </c>
      <c r="H386" s="587">
        <f>IF(VLOOKUP($A386,'hk2017'!$A:$G,1)=$A386,VLOOKUP($A386,'hk2017'!$A:$G,6),0)</f>
        <v>0</v>
      </c>
      <c r="I386" s="587">
        <f>IF(VLOOKUP($A386,'hk2017'!$A:$G,1)=$A386,VLOOKUP($A386,'hk2017'!$A:$G,7),0)</f>
        <v>0</v>
      </c>
      <c r="J386" s="587">
        <f>IF(VLOOKUP($A386,'hk2017'!$A:$H,1)=$A386,VLOOKUP($A386,'hk2017'!$A:$H,8),0)</f>
        <v>0</v>
      </c>
      <c r="K386" s="589">
        <f t="shared" si="130"/>
        <v>0</v>
      </c>
      <c r="L386" s="595"/>
    </row>
    <row r="387" spans="1:12" outlineLevel="1" x14ac:dyDescent="0.25">
      <c r="A387" s="569"/>
      <c r="B387" s="565"/>
      <c r="C387" s="565"/>
      <c r="H387" s="610"/>
      <c r="I387" s="610"/>
      <c r="J387" s="610"/>
      <c r="K387" s="611"/>
      <c r="L387" s="595"/>
    </row>
    <row r="388" spans="1:12" x14ac:dyDescent="0.25">
      <c r="A388" s="604" t="s">
        <v>2206</v>
      </c>
      <c r="B388" s="605"/>
      <c r="C388" s="606" t="s">
        <v>3244</v>
      </c>
      <c r="D388" s="578">
        <f t="shared" ref="D388:K388" si="131">SUM(D389:D397)</f>
        <v>0</v>
      </c>
      <c r="E388" s="578">
        <f t="shared" si="131"/>
        <v>0</v>
      </c>
      <c r="F388" s="578">
        <f t="shared" si="131"/>
        <v>0</v>
      </c>
      <c r="G388" s="579">
        <f t="shared" si="131"/>
        <v>0</v>
      </c>
      <c r="H388" s="578">
        <f t="shared" si="131"/>
        <v>0</v>
      </c>
      <c r="I388" s="578">
        <f t="shared" si="131"/>
        <v>0</v>
      </c>
      <c r="J388" s="578">
        <f t="shared" si="131"/>
        <v>0</v>
      </c>
      <c r="K388" s="580">
        <f t="shared" si="131"/>
        <v>0</v>
      </c>
      <c r="L388" s="595"/>
    </row>
    <row r="389" spans="1:12" outlineLevel="1" x14ac:dyDescent="0.25">
      <c r="A389" s="569" t="s">
        <v>1139</v>
      </c>
      <c r="B389" s="582"/>
      <c r="C389" s="583" t="s">
        <v>3244</v>
      </c>
      <c r="D389" s="587">
        <f>IF(VLOOKUP($A389,'hk2018'!$A:$G,1)=$A389,VLOOKUP($A389,'hk2018'!$A:$G,6),0)</f>
        <v>0</v>
      </c>
      <c r="E389" s="587">
        <f>IF(VLOOKUP($A389,'hk2018'!$A:$G,1)=$A389,VLOOKUP($A389,'hk2018'!$A:$G,7),0)</f>
        <v>0</v>
      </c>
      <c r="F389" s="587">
        <f>IF(VLOOKUP($A389,'hk2018'!$A:$H,1)=$A389,VLOOKUP($A389,'hk2018'!$A:$H,8),0)</f>
        <v>0</v>
      </c>
      <c r="G389" s="588">
        <f t="shared" ref="G389:G397" si="132">SUM(D389+E389-F389)</f>
        <v>0</v>
      </c>
      <c r="H389" s="587">
        <f>IF(VLOOKUP($A389,'hk2017'!$A:$G,1)=$A389,VLOOKUP($A389,'hk2017'!$A:$G,6),0)</f>
        <v>0</v>
      </c>
      <c r="I389" s="587">
        <f>IF(VLOOKUP($A389,'hk2017'!$A:$G,1)=$A389,VLOOKUP($A389,'hk2017'!$A:$G,7),0)</f>
        <v>0</v>
      </c>
      <c r="J389" s="587">
        <f>IF(VLOOKUP($A389,'hk2017'!$A:$H,1)=$A389,VLOOKUP($A389,'hk2017'!$A:$H,8),0)</f>
        <v>0</v>
      </c>
      <c r="K389" s="589">
        <f t="shared" ref="K389:K397" si="133">SUM(H389+I389-J389)</f>
        <v>0</v>
      </c>
      <c r="L389" s="595"/>
    </row>
    <row r="390" spans="1:12" outlineLevel="1" x14ac:dyDescent="0.25">
      <c r="A390" s="569" t="str">
        <f t="shared" ref="A390:A397" si="134">LEFT(B390,3)</f>
        <v>661</v>
      </c>
      <c r="B390" s="565" t="s">
        <v>3245</v>
      </c>
      <c r="C390" s="565" t="s">
        <v>3246</v>
      </c>
      <c r="D390" s="587">
        <f>IF(VLOOKUP($A390,'hk2018'!$A:$G,1)=$A390,VLOOKUP($A390,'hk2018'!$A:$G,6),0)</f>
        <v>0</v>
      </c>
      <c r="E390" s="587">
        <f>IF(VLOOKUP($A390,'hk2018'!$A:$G,1)=$A390,VLOOKUP($A390,'hk2018'!$A:$G,7),0)</f>
        <v>0</v>
      </c>
      <c r="F390" s="587">
        <f>IF(VLOOKUP($A390,'hk2018'!$A:$H,1)=$A390,VLOOKUP($A390,'hk2018'!$A:$H,8),0)</f>
        <v>0</v>
      </c>
      <c r="G390" s="588">
        <f t="shared" si="132"/>
        <v>0</v>
      </c>
      <c r="H390" s="587">
        <f>IF(VLOOKUP($A390,'hk2017'!$A:$G,1)=$A390,VLOOKUP($A390,'hk2017'!$A:$G,6),0)</f>
        <v>0</v>
      </c>
      <c r="I390" s="587">
        <f>IF(VLOOKUP($A390,'hk2017'!$A:$G,1)=$A390,VLOOKUP($A390,'hk2017'!$A:$G,7),0)</f>
        <v>0</v>
      </c>
      <c r="J390" s="587">
        <f>IF(VLOOKUP($A390,'hk2017'!$A:$H,1)=$A390,VLOOKUP($A390,'hk2017'!$A:$H,8),0)</f>
        <v>0</v>
      </c>
      <c r="K390" s="589">
        <f t="shared" si="133"/>
        <v>0</v>
      </c>
      <c r="L390" s="595"/>
    </row>
    <row r="391" spans="1:12" outlineLevel="1" x14ac:dyDescent="0.25">
      <c r="A391" s="569" t="str">
        <f t="shared" si="134"/>
        <v>662</v>
      </c>
      <c r="B391" s="565" t="s">
        <v>3247</v>
      </c>
      <c r="C391" s="565" t="s">
        <v>3156</v>
      </c>
      <c r="D391" s="587">
        <f>IF(VLOOKUP($A391,'hk2018'!$A:$G,1)=$A391,VLOOKUP($A391,'hk2018'!$A:$G,6),0)</f>
        <v>0</v>
      </c>
      <c r="E391" s="587">
        <f>IF(VLOOKUP($A391,'hk2018'!$A:$G,1)=$A391,VLOOKUP($A391,'hk2018'!$A:$G,7),0)</f>
        <v>0</v>
      </c>
      <c r="F391" s="587">
        <f>IF(VLOOKUP($A391,'hk2018'!$A:$H,1)=$A391,VLOOKUP($A391,'hk2018'!$A:$H,8),0)</f>
        <v>0</v>
      </c>
      <c r="G391" s="588">
        <f t="shared" si="132"/>
        <v>0</v>
      </c>
      <c r="H391" s="587">
        <f>IF(VLOOKUP($A391,'hk2017'!$A:$G,1)=$A391,VLOOKUP($A391,'hk2017'!$A:$G,6),0)</f>
        <v>0</v>
      </c>
      <c r="I391" s="587">
        <f>IF(VLOOKUP($A391,'hk2017'!$A:$G,1)=$A391,VLOOKUP($A391,'hk2017'!$A:$G,7),0)</f>
        <v>0</v>
      </c>
      <c r="J391" s="587">
        <f>IF(VLOOKUP($A391,'hk2017'!$A:$H,1)=$A391,VLOOKUP($A391,'hk2017'!$A:$H,8),0)</f>
        <v>0</v>
      </c>
      <c r="K391" s="589">
        <f t="shared" si="133"/>
        <v>0</v>
      </c>
      <c r="L391" s="595"/>
    </row>
    <row r="392" spans="1:12" outlineLevel="1" x14ac:dyDescent="0.25">
      <c r="A392" s="569" t="str">
        <f t="shared" si="134"/>
        <v>663</v>
      </c>
      <c r="B392" s="565" t="s">
        <v>3248</v>
      </c>
      <c r="C392" s="565" t="s">
        <v>3249</v>
      </c>
      <c r="D392" s="587">
        <f>IF(VLOOKUP($A392,'hk2018'!$A:$G,1)=$A392,VLOOKUP($A392,'hk2018'!$A:$G,6),0)</f>
        <v>0</v>
      </c>
      <c r="E392" s="587">
        <f>IF(VLOOKUP($A392,'hk2018'!$A:$G,1)=$A392,VLOOKUP($A392,'hk2018'!$A:$G,7),0)</f>
        <v>0</v>
      </c>
      <c r="F392" s="587">
        <f>IF(VLOOKUP($A392,'hk2018'!$A:$H,1)=$A392,VLOOKUP($A392,'hk2018'!$A:$H,8),0)</f>
        <v>0</v>
      </c>
      <c r="G392" s="588">
        <f t="shared" si="132"/>
        <v>0</v>
      </c>
      <c r="H392" s="587">
        <f>IF(VLOOKUP($A392,'hk2017'!$A:$G,1)=$A392,VLOOKUP($A392,'hk2017'!$A:$G,6),0)</f>
        <v>0</v>
      </c>
      <c r="I392" s="587">
        <f>IF(VLOOKUP($A392,'hk2017'!$A:$G,1)=$A392,VLOOKUP($A392,'hk2017'!$A:$G,7),0)</f>
        <v>0</v>
      </c>
      <c r="J392" s="587">
        <f>IF(VLOOKUP($A392,'hk2017'!$A:$H,1)=$A392,VLOOKUP($A392,'hk2017'!$A:$H,8),0)</f>
        <v>0</v>
      </c>
      <c r="K392" s="589">
        <f t="shared" si="133"/>
        <v>0</v>
      </c>
    </row>
    <row r="393" spans="1:12" outlineLevel="1" x14ac:dyDescent="0.25">
      <c r="A393" s="569" t="str">
        <f t="shared" si="134"/>
        <v>664</v>
      </c>
      <c r="B393" s="565" t="s">
        <v>3250</v>
      </c>
      <c r="C393" s="565" t="s">
        <v>3251</v>
      </c>
      <c r="D393" s="587">
        <f>IF(VLOOKUP($A393,'hk2018'!$A:$G,1)=$A393,VLOOKUP($A393,'hk2018'!$A:$G,6),0)</f>
        <v>0</v>
      </c>
      <c r="E393" s="587">
        <f>IF(VLOOKUP($A393,'hk2018'!$A:$G,1)=$A393,VLOOKUP($A393,'hk2018'!$A:$G,7),0)</f>
        <v>0</v>
      </c>
      <c r="F393" s="587">
        <f>IF(VLOOKUP($A393,'hk2018'!$A:$H,1)=$A393,VLOOKUP($A393,'hk2018'!$A:$H,8),0)</f>
        <v>0</v>
      </c>
      <c r="G393" s="588">
        <f t="shared" si="132"/>
        <v>0</v>
      </c>
      <c r="H393" s="587">
        <f>IF(VLOOKUP($A393,'hk2017'!$A:$G,1)=$A393,VLOOKUP($A393,'hk2017'!$A:$G,6),0)</f>
        <v>0</v>
      </c>
      <c r="I393" s="587">
        <f>IF(VLOOKUP($A393,'hk2017'!$A:$G,1)=$A393,VLOOKUP($A393,'hk2017'!$A:$G,7),0)</f>
        <v>0</v>
      </c>
      <c r="J393" s="587">
        <f>IF(VLOOKUP($A393,'hk2017'!$A:$H,1)=$A393,VLOOKUP($A393,'hk2017'!$A:$H,8),0)</f>
        <v>0</v>
      </c>
      <c r="K393" s="589">
        <f t="shared" si="133"/>
        <v>0</v>
      </c>
    </row>
    <row r="394" spans="1:12" outlineLevel="1" x14ac:dyDescent="0.25">
      <c r="A394" s="569" t="str">
        <f t="shared" si="134"/>
        <v>665</v>
      </c>
      <c r="B394" s="565" t="s">
        <v>3252</v>
      </c>
      <c r="C394" s="565" t="s">
        <v>3253</v>
      </c>
      <c r="D394" s="587">
        <f>IF(VLOOKUP($A394,'hk2018'!$A:$G,1)=$A394,VLOOKUP($A394,'hk2018'!$A:$G,6),0)</f>
        <v>0</v>
      </c>
      <c r="E394" s="587">
        <f>IF(VLOOKUP($A394,'hk2018'!$A:$G,1)=$A394,VLOOKUP($A394,'hk2018'!$A:$G,7),0)</f>
        <v>0</v>
      </c>
      <c r="F394" s="587">
        <f>IF(VLOOKUP($A394,'hk2018'!$A:$H,1)=$A394,VLOOKUP($A394,'hk2018'!$A:$H,8),0)</f>
        <v>0</v>
      </c>
      <c r="G394" s="588">
        <f t="shared" si="132"/>
        <v>0</v>
      </c>
      <c r="H394" s="587">
        <f>IF(VLOOKUP($A394,'hk2017'!$A:$G,1)=$A394,VLOOKUP($A394,'hk2017'!$A:$G,6),0)</f>
        <v>0</v>
      </c>
      <c r="I394" s="587">
        <f>IF(VLOOKUP($A394,'hk2017'!$A:$G,1)=$A394,VLOOKUP($A394,'hk2017'!$A:$G,7),0)</f>
        <v>0</v>
      </c>
      <c r="J394" s="587">
        <f>IF(VLOOKUP($A394,'hk2017'!$A:$H,1)=$A394,VLOOKUP($A394,'hk2017'!$A:$H,8),0)</f>
        <v>0</v>
      </c>
      <c r="K394" s="589">
        <f t="shared" si="133"/>
        <v>0</v>
      </c>
    </row>
    <row r="395" spans="1:12" outlineLevel="1" x14ac:dyDescent="0.25">
      <c r="A395" s="569" t="str">
        <f t="shared" si="134"/>
        <v>666</v>
      </c>
      <c r="B395" s="565" t="s">
        <v>3254</v>
      </c>
      <c r="C395" s="565" t="s">
        <v>3255</v>
      </c>
      <c r="D395" s="587">
        <f>IF(VLOOKUP($A395,'hk2018'!$A:$G,1)=$A395,VLOOKUP($A395,'hk2018'!$A:$G,6),0)</f>
        <v>0</v>
      </c>
      <c r="E395" s="587">
        <f>IF(VLOOKUP($A395,'hk2018'!$A:$G,1)=$A395,VLOOKUP($A395,'hk2018'!$A:$G,7),0)</f>
        <v>0</v>
      </c>
      <c r="F395" s="587">
        <f>IF(VLOOKUP($A395,'hk2018'!$A:$H,1)=$A395,VLOOKUP($A395,'hk2018'!$A:$H,8),0)</f>
        <v>0</v>
      </c>
      <c r="G395" s="588">
        <f t="shared" si="132"/>
        <v>0</v>
      </c>
      <c r="H395" s="587">
        <f>IF(VLOOKUP($A395,'hk2017'!$A:$G,1)=$A395,VLOOKUP($A395,'hk2017'!$A:$G,6),0)</f>
        <v>0</v>
      </c>
      <c r="I395" s="587">
        <f>IF(VLOOKUP($A395,'hk2017'!$A:$G,1)=$A395,VLOOKUP($A395,'hk2017'!$A:$G,7),0)</f>
        <v>0</v>
      </c>
      <c r="J395" s="587">
        <f>IF(VLOOKUP($A395,'hk2017'!$A:$H,1)=$A395,VLOOKUP($A395,'hk2017'!$A:$H,8),0)</f>
        <v>0</v>
      </c>
      <c r="K395" s="589">
        <f t="shared" si="133"/>
        <v>0</v>
      </c>
    </row>
    <row r="396" spans="1:12" outlineLevel="1" x14ac:dyDescent="0.25">
      <c r="A396" s="569" t="str">
        <f t="shared" si="134"/>
        <v>667</v>
      </c>
      <c r="B396" s="565" t="s">
        <v>3256</v>
      </c>
      <c r="C396" s="565" t="s">
        <v>3257</v>
      </c>
      <c r="D396" s="587">
        <f>IF(VLOOKUP($A396,'hk2018'!$A:$G,1)=$A396,VLOOKUP($A396,'hk2018'!$A:$G,6),0)</f>
        <v>0</v>
      </c>
      <c r="E396" s="587">
        <f>IF(VLOOKUP($A396,'hk2018'!$A:$G,1)=$A396,VLOOKUP($A396,'hk2018'!$A:$G,7),0)</f>
        <v>0</v>
      </c>
      <c r="F396" s="587">
        <f>IF(VLOOKUP($A396,'hk2018'!$A:$H,1)=$A396,VLOOKUP($A396,'hk2018'!$A:$H,8),0)</f>
        <v>0</v>
      </c>
      <c r="G396" s="588">
        <f t="shared" si="132"/>
        <v>0</v>
      </c>
      <c r="H396" s="587">
        <f>IF(VLOOKUP($A396,'hk2017'!$A:$G,1)=$A396,VLOOKUP($A396,'hk2017'!$A:$G,6),0)</f>
        <v>0</v>
      </c>
      <c r="I396" s="587">
        <f>IF(VLOOKUP($A396,'hk2017'!$A:$G,1)=$A396,VLOOKUP($A396,'hk2017'!$A:$G,7),0)</f>
        <v>0</v>
      </c>
      <c r="J396" s="587">
        <f>IF(VLOOKUP($A396,'hk2017'!$A:$H,1)=$A396,VLOOKUP($A396,'hk2017'!$A:$H,8),0)</f>
        <v>0</v>
      </c>
      <c r="K396" s="589">
        <f t="shared" si="133"/>
        <v>0</v>
      </c>
    </row>
    <row r="397" spans="1:12" outlineLevel="1" x14ac:dyDescent="0.25">
      <c r="A397" s="569" t="str">
        <f t="shared" si="134"/>
        <v>668</v>
      </c>
      <c r="B397" s="565" t="s">
        <v>3258</v>
      </c>
      <c r="C397" s="565" t="s">
        <v>3259</v>
      </c>
      <c r="D397" s="587">
        <f>IF(VLOOKUP($A397,'hk2018'!$A:$G,1)=$A397,VLOOKUP($A397,'hk2018'!$A:$G,6),0)</f>
        <v>0</v>
      </c>
      <c r="E397" s="587">
        <f>IF(VLOOKUP($A397,'hk2018'!$A:$G,1)=$A397,VLOOKUP($A397,'hk2018'!$A:$G,7),0)</f>
        <v>0</v>
      </c>
      <c r="F397" s="587">
        <f>IF(VLOOKUP($A397,'hk2018'!$A:$H,1)=$A397,VLOOKUP($A397,'hk2018'!$A:$H,8),0)</f>
        <v>0</v>
      </c>
      <c r="G397" s="588">
        <f t="shared" si="132"/>
        <v>0</v>
      </c>
      <c r="H397" s="587">
        <f>IF(VLOOKUP($A397,'hk2017'!$A:$G,1)=$A397,VLOOKUP($A397,'hk2017'!$A:$G,6),0)</f>
        <v>0</v>
      </c>
      <c r="I397" s="587">
        <f>IF(VLOOKUP($A397,'hk2017'!$A:$G,1)=$A397,VLOOKUP($A397,'hk2017'!$A:$G,7),0)</f>
        <v>0</v>
      </c>
      <c r="J397" s="587">
        <f>IF(VLOOKUP($A397,'hk2017'!$A:$H,1)=$A397,VLOOKUP($A397,'hk2017'!$A:$H,8),0)</f>
        <v>0</v>
      </c>
      <c r="K397" s="589">
        <f t="shared" si="133"/>
        <v>0</v>
      </c>
    </row>
    <row r="398" spans="1:12" outlineLevel="1" x14ac:dyDescent="0.25">
      <c r="A398" s="569"/>
      <c r="B398" s="565"/>
      <c r="C398" s="565"/>
      <c r="H398" s="610"/>
      <c r="I398" s="610"/>
      <c r="J398" s="610"/>
      <c r="K398" s="611"/>
    </row>
    <row r="399" spans="1:12" x14ac:dyDescent="0.25">
      <c r="A399" s="604" t="s">
        <v>2208</v>
      </c>
      <c r="B399" s="605"/>
      <c r="C399" s="606" t="s">
        <v>3260</v>
      </c>
      <c r="D399" s="578">
        <f t="shared" ref="D399:K399" si="135">SUM(D400:D401)</f>
        <v>0</v>
      </c>
      <c r="E399" s="578">
        <f t="shared" si="135"/>
        <v>0</v>
      </c>
      <c r="F399" s="578">
        <f t="shared" si="135"/>
        <v>0</v>
      </c>
      <c r="G399" s="579">
        <f t="shared" si="135"/>
        <v>0</v>
      </c>
      <c r="H399" s="578">
        <f t="shared" si="135"/>
        <v>0</v>
      </c>
      <c r="I399" s="578">
        <f t="shared" si="135"/>
        <v>0</v>
      </c>
      <c r="J399" s="578">
        <f t="shared" si="135"/>
        <v>0</v>
      </c>
      <c r="K399" s="580">
        <f t="shared" si="135"/>
        <v>0</v>
      </c>
    </row>
    <row r="400" spans="1:12" outlineLevel="1" x14ac:dyDescent="0.25">
      <c r="A400" s="569" t="str">
        <f>LEFT(B400,3)</f>
        <v>674</v>
      </c>
      <c r="B400" s="565" t="s">
        <v>3261</v>
      </c>
      <c r="C400" s="565" t="s">
        <v>3262</v>
      </c>
      <c r="D400" s="587">
        <f>IF(VLOOKUP($A400,'hk2018'!$A:$G,1)=$A400,VLOOKUP($A400,'hk2018'!$A:$G,6),0)</f>
        <v>0</v>
      </c>
      <c r="E400" s="587">
        <f>IF(VLOOKUP($A400,'hk2018'!$A:$G,1)=$A400,VLOOKUP($A400,'hk2018'!$A:$G,7),0)</f>
        <v>0</v>
      </c>
      <c r="F400" s="587">
        <f>IF(VLOOKUP($A400,'hk2018'!$A:$H,1)=$A400,VLOOKUP($A400,'hk2018'!$A:$H,8),0)</f>
        <v>0</v>
      </c>
      <c r="G400" s="588">
        <f>SUM(D400+E400-F400)</f>
        <v>0</v>
      </c>
      <c r="H400" s="587">
        <f>IF(VLOOKUP($A400,'hk2017'!$A:$G,1)=$A400,VLOOKUP($A400,'hk2017'!$A:$G,6),0)</f>
        <v>0</v>
      </c>
      <c r="I400" s="587">
        <f>IF(VLOOKUP($A400,'hk2017'!$A:$G,1)=$A400,VLOOKUP($A400,'hk2017'!$A:$G,7),0)</f>
        <v>0</v>
      </c>
      <c r="J400" s="587">
        <f>IF(VLOOKUP($A400,'hk2017'!$A:$H,1)=$A400,VLOOKUP($A400,'hk2017'!$A:$H,8),0)</f>
        <v>0</v>
      </c>
      <c r="K400" s="589">
        <f>SUM(H400+I400-J400)</f>
        <v>0</v>
      </c>
    </row>
    <row r="401" spans="1:11" outlineLevel="1" x14ac:dyDescent="0.25">
      <c r="A401" s="569" t="str">
        <f>LEFT(B401,3)</f>
        <v>679</v>
      </c>
      <c r="B401" s="565" t="s">
        <v>3263</v>
      </c>
      <c r="C401" s="565" t="s">
        <v>3264</v>
      </c>
      <c r="D401" s="587">
        <f>IF(VLOOKUP($A401,'hk2018'!$A:$G,1)=$A401,VLOOKUP($A401,'hk2018'!$A:$G,6),0)</f>
        <v>0</v>
      </c>
      <c r="E401" s="587">
        <f>IF(VLOOKUP($A401,'hk2018'!$A:$G,1)=$A401,VLOOKUP($A401,'hk2018'!$A:$G,7),0)</f>
        <v>0</v>
      </c>
      <c r="F401" s="587">
        <f>IF(VLOOKUP($A401,'hk2018'!$A:$H,1)=$A401,VLOOKUP($A401,'hk2018'!$A:$H,8),0)</f>
        <v>0</v>
      </c>
      <c r="G401" s="588">
        <f>SUM(D401+E401-F401)</f>
        <v>0</v>
      </c>
      <c r="H401" s="587">
        <f>IF(VLOOKUP($A401,'hk2017'!$A:$G,1)=$A401,VLOOKUP($A401,'hk2017'!$A:$G,6),0)</f>
        <v>0</v>
      </c>
      <c r="I401" s="587">
        <f>IF(VLOOKUP($A401,'hk2017'!$A:$G,1)=$A401,VLOOKUP($A401,'hk2017'!$A:$G,7),0)</f>
        <v>0</v>
      </c>
      <c r="J401" s="587">
        <f>IF(VLOOKUP($A401,'hk2017'!$A:$H,1)=$A401,VLOOKUP($A401,'hk2017'!$A:$H,8),0)</f>
        <v>0</v>
      </c>
      <c r="K401" s="589">
        <f>SUM(H401+I401-J401)</f>
        <v>0</v>
      </c>
    </row>
    <row r="402" spans="1:11" outlineLevel="1" x14ac:dyDescent="0.25">
      <c r="A402" s="569"/>
      <c r="B402" s="565"/>
      <c r="C402" s="565"/>
      <c r="H402" s="610"/>
      <c r="I402" s="610"/>
      <c r="J402" s="610"/>
      <c r="K402" s="611"/>
    </row>
    <row r="403" spans="1:11" x14ac:dyDescent="0.25">
      <c r="A403" s="604" t="s">
        <v>2210</v>
      </c>
      <c r="B403" s="605"/>
      <c r="C403" s="606" t="s">
        <v>2568</v>
      </c>
      <c r="D403" s="578">
        <f t="shared" ref="D403:K403" si="136">SUM(D404:D409)</f>
        <v>0</v>
      </c>
      <c r="E403" s="578">
        <f t="shared" si="136"/>
        <v>0</v>
      </c>
      <c r="F403" s="578">
        <f t="shared" si="136"/>
        <v>0</v>
      </c>
      <c r="G403" s="579">
        <f t="shared" si="136"/>
        <v>0</v>
      </c>
      <c r="H403" s="578">
        <f t="shared" si="136"/>
        <v>0</v>
      </c>
      <c r="I403" s="578">
        <f t="shared" si="136"/>
        <v>0</v>
      </c>
      <c r="J403" s="578">
        <f t="shared" si="136"/>
        <v>0</v>
      </c>
      <c r="K403" s="580">
        <f t="shared" si="136"/>
        <v>0</v>
      </c>
    </row>
    <row r="404" spans="1:11" outlineLevel="1" x14ac:dyDescent="0.25">
      <c r="A404" s="569" t="s">
        <v>1174</v>
      </c>
      <c r="B404" s="582"/>
      <c r="C404" s="583" t="s">
        <v>2568</v>
      </c>
      <c r="D404" s="587">
        <f>IF(VLOOKUP($A404,'hk2018'!$A:$G,1)=$A404,VLOOKUP($A404,'hk2018'!$A:$G,6),0)</f>
        <v>0</v>
      </c>
      <c r="E404" s="587">
        <f>IF(VLOOKUP($A404,'hk2018'!$A:$G,1)=$A404,VLOOKUP($A404,'hk2018'!$A:$G,7),0)</f>
        <v>0</v>
      </c>
      <c r="F404" s="587">
        <f>IF(VLOOKUP($A404,'hk2018'!$A:$H,1)=$A404,VLOOKUP($A404,'hk2018'!$A:$H,8),0)</f>
        <v>0</v>
      </c>
      <c r="G404" s="588">
        <f t="shared" ref="G404:G409" si="137">SUM(D404+E404-F404)</f>
        <v>0</v>
      </c>
      <c r="H404" s="587">
        <f>IF(VLOOKUP($A404,'hk2017'!$A:$G,1)=$A404,VLOOKUP($A404,'hk2017'!$A:$G,6),0)</f>
        <v>0</v>
      </c>
      <c r="I404" s="587">
        <f>IF(VLOOKUP($A404,'hk2017'!$A:$G,1)=$A404,VLOOKUP($A404,'hk2017'!$A:$G,7),0)</f>
        <v>0</v>
      </c>
      <c r="J404" s="587">
        <f>IF(VLOOKUP($A404,'hk2017'!$A:$H,1)=$A404,VLOOKUP($A404,'hk2017'!$A:$H,8),0)</f>
        <v>0</v>
      </c>
      <c r="K404" s="589">
        <f t="shared" ref="K404:K409" si="138">SUM(H404+I404-J404)</f>
        <v>0</v>
      </c>
    </row>
    <row r="405" spans="1:11" outlineLevel="1" x14ac:dyDescent="0.25">
      <c r="A405" s="623" t="str">
        <f>LEFT(B405,3)</f>
        <v>681</v>
      </c>
      <c r="B405" s="565" t="s">
        <v>3265</v>
      </c>
      <c r="C405" s="565" t="s">
        <v>3266</v>
      </c>
      <c r="D405" s="587">
        <f>IF(VLOOKUP($A405,'hk2018'!$A:$G,1)=$A405,VLOOKUP($A405,'hk2018'!$A:$G,6),0)</f>
        <v>0</v>
      </c>
      <c r="E405" s="587">
        <f>IF(VLOOKUP($A405,'hk2018'!$A:$G,1)=$A405,VLOOKUP($A405,'hk2018'!$A:$G,7),0)</f>
        <v>0</v>
      </c>
      <c r="F405" s="587">
        <f>IF(VLOOKUP($A405,'hk2018'!$A:$H,1)=$A405,VLOOKUP($A405,'hk2018'!$A:$H,8),0)</f>
        <v>0</v>
      </c>
      <c r="G405" s="588">
        <f t="shared" si="137"/>
        <v>0</v>
      </c>
      <c r="H405" s="587">
        <f>IF(VLOOKUP($A405,'hk2017'!$A:$G,1)=$A405,VLOOKUP($A405,'hk2017'!$A:$G,6),0)</f>
        <v>0</v>
      </c>
      <c r="I405" s="587">
        <f>IF(VLOOKUP($A405,'hk2017'!$A:$G,1)=$A405,VLOOKUP($A405,'hk2017'!$A:$G,7),0)</f>
        <v>0</v>
      </c>
      <c r="J405" s="587">
        <f>IF(VLOOKUP($A405,'hk2017'!$A:$H,1)=$A405,VLOOKUP($A405,'hk2017'!$A:$H,8),0)</f>
        <v>0</v>
      </c>
      <c r="K405" s="589">
        <f t="shared" si="138"/>
        <v>0</v>
      </c>
    </row>
    <row r="406" spans="1:11" outlineLevel="1" x14ac:dyDescent="0.25">
      <c r="A406" s="623" t="str">
        <f>LEFT(B406,3)</f>
        <v>682</v>
      </c>
      <c r="B406" s="565" t="s">
        <v>3267</v>
      </c>
      <c r="C406" s="565" t="s">
        <v>3268</v>
      </c>
      <c r="D406" s="587">
        <f>IF(VLOOKUP($A406,'hk2018'!$A:$G,1)=$A406,VLOOKUP($A406,'hk2018'!$A:$G,6),0)</f>
        <v>0</v>
      </c>
      <c r="E406" s="587">
        <f>IF(VLOOKUP($A406,'hk2018'!$A:$G,1)=$A406,VLOOKUP($A406,'hk2018'!$A:$G,7),0)</f>
        <v>0</v>
      </c>
      <c r="F406" s="587">
        <f>IF(VLOOKUP($A406,'hk2018'!$A:$H,1)=$A406,VLOOKUP($A406,'hk2018'!$A:$H,8),0)</f>
        <v>0</v>
      </c>
      <c r="G406" s="588">
        <f t="shared" si="137"/>
        <v>0</v>
      </c>
      <c r="H406" s="587">
        <f>IF(VLOOKUP($A406,'hk2017'!$A:$G,1)=$A406,VLOOKUP($A406,'hk2017'!$A:$G,6),0)</f>
        <v>0</v>
      </c>
      <c r="I406" s="587">
        <f>IF(VLOOKUP($A406,'hk2017'!$A:$G,1)=$A406,VLOOKUP($A406,'hk2017'!$A:$G,7),0)</f>
        <v>0</v>
      </c>
      <c r="J406" s="587">
        <f>IF(VLOOKUP($A406,'hk2017'!$A:$H,1)=$A406,VLOOKUP($A406,'hk2017'!$A:$H,8),0)</f>
        <v>0</v>
      </c>
      <c r="K406" s="589">
        <f t="shared" si="138"/>
        <v>0</v>
      </c>
    </row>
    <row r="407" spans="1:11" outlineLevel="1" x14ac:dyDescent="0.25">
      <c r="A407" s="623" t="str">
        <f>LEFT(B407,3)</f>
        <v>684</v>
      </c>
      <c r="B407" s="565" t="s">
        <v>3269</v>
      </c>
      <c r="C407" s="565" t="s">
        <v>3262</v>
      </c>
      <c r="D407" s="587">
        <f>IF(VLOOKUP($A407,'hk2018'!$A:$G,1)=$A407,VLOOKUP($A407,'hk2018'!$A:$G,6),0)</f>
        <v>0</v>
      </c>
      <c r="E407" s="587">
        <f>IF(VLOOKUP($A407,'hk2018'!$A:$G,1)=$A407,VLOOKUP($A407,'hk2018'!$A:$G,7),0)</f>
        <v>0</v>
      </c>
      <c r="F407" s="587">
        <f>IF(VLOOKUP($A407,'hk2018'!$A:$H,1)=$A407,VLOOKUP($A407,'hk2018'!$A:$H,8),0)</f>
        <v>0</v>
      </c>
      <c r="G407" s="588">
        <f t="shared" si="137"/>
        <v>0</v>
      </c>
      <c r="H407" s="587">
        <f>IF(VLOOKUP($A407,'hk2017'!$A:$G,1)=$A407,VLOOKUP($A407,'hk2017'!$A:$G,6),0)</f>
        <v>0</v>
      </c>
      <c r="I407" s="587">
        <f>IF(VLOOKUP($A407,'hk2017'!$A:$G,1)=$A407,VLOOKUP($A407,'hk2017'!$A:$G,7),0)</f>
        <v>0</v>
      </c>
      <c r="J407" s="587">
        <f>IF(VLOOKUP($A407,'hk2017'!$A:$H,1)=$A407,VLOOKUP($A407,'hk2017'!$A:$H,8),0)</f>
        <v>0</v>
      </c>
      <c r="K407" s="589">
        <f t="shared" si="138"/>
        <v>0</v>
      </c>
    </row>
    <row r="408" spans="1:11" outlineLevel="1" x14ac:dyDescent="0.25">
      <c r="A408" s="569" t="str">
        <f>LEFT(B408,3)</f>
        <v>688</v>
      </c>
      <c r="B408" s="565" t="s">
        <v>3270</v>
      </c>
      <c r="C408" s="565" t="s">
        <v>3271</v>
      </c>
      <c r="D408" s="587">
        <f>IF(VLOOKUP($A408,'hk2018'!$A:$G,1)=$A408,VLOOKUP($A408,'hk2018'!$A:$G,6),0)</f>
        <v>0</v>
      </c>
      <c r="E408" s="587">
        <f>IF(VLOOKUP($A408,'hk2018'!$A:$G,1)=$A408,VLOOKUP($A408,'hk2018'!$A:$G,7),0)</f>
        <v>0</v>
      </c>
      <c r="F408" s="587">
        <f>IF(VLOOKUP($A408,'hk2018'!$A:$H,1)=$A408,VLOOKUP($A408,'hk2018'!$A:$H,8),0)</f>
        <v>0</v>
      </c>
      <c r="G408" s="588">
        <f t="shared" si="137"/>
        <v>0</v>
      </c>
      <c r="H408" s="587">
        <f>IF(VLOOKUP($A408,'hk2017'!$A:$G,1)=$A408,VLOOKUP($A408,'hk2017'!$A:$G,6),0)</f>
        <v>0</v>
      </c>
      <c r="I408" s="587">
        <f>IF(VLOOKUP($A408,'hk2017'!$A:$G,1)=$A408,VLOOKUP($A408,'hk2017'!$A:$G,7),0)</f>
        <v>0</v>
      </c>
      <c r="J408" s="587">
        <f>IF(VLOOKUP($A408,'hk2017'!$A:$H,1)=$A408,VLOOKUP($A408,'hk2017'!$A:$H,8),0)</f>
        <v>0</v>
      </c>
      <c r="K408" s="589">
        <f t="shared" si="138"/>
        <v>0</v>
      </c>
    </row>
    <row r="409" spans="1:11" outlineLevel="1" x14ac:dyDescent="0.25">
      <c r="A409" s="569" t="str">
        <f>LEFT(B409,3)</f>
        <v>689</v>
      </c>
      <c r="B409" s="565" t="s">
        <v>3272</v>
      </c>
      <c r="C409" s="565" t="s">
        <v>3264</v>
      </c>
      <c r="D409" s="587">
        <f>IF(VLOOKUP($A409,'hk2018'!$A:$G,1)=$A409,VLOOKUP($A409,'hk2018'!$A:$G,6),0)</f>
        <v>0</v>
      </c>
      <c r="E409" s="587">
        <f>IF(VLOOKUP($A409,'hk2018'!$A:$G,1)=$A409,VLOOKUP($A409,'hk2018'!$A:$G,7),0)</f>
        <v>0</v>
      </c>
      <c r="F409" s="587">
        <f>IF(VLOOKUP($A409,'hk2018'!$A:$H,1)=$A409,VLOOKUP($A409,'hk2018'!$A:$H,8),0)</f>
        <v>0</v>
      </c>
      <c r="G409" s="588">
        <f t="shared" si="137"/>
        <v>0</v>
      </c>
      <c r="H409" s="587">
        <f>IF(VLOOKUP($A409,'hk2017'!$A:$G,1)=$A409,VLOOKUP($A409,'hk2017'!$A:$G,6),0)</f>
        <v>0</v>
      </c>
      <c r="I409" s="587">
        <f>IF(VLOOKUP($A409,'hk2017'!$A:$G,1)=$A409,VLOOKUP($A409,'hk2017'!$A:$G,7),0)</f>
        <v>0</v>
      </c>
      <c r="J409" s="587">
        <f>IF(VLOOKUP($A409,'hk2017'!$A:$H,1)=$A409,VLOOKUP($A409,'hk2017'!$A:$H,8),0)</f>
        <v>0</v>
      </c>
      <c r="K409" s="589">
        <f t="shared" si="138"/>
        <v>0</v>
      </c>
    </row>
    <row r="410" spans="1:11" outlineLevel="1" x14ac:dyDescent="0.25">
      <c r="A410" s="569"/>
      <c r="B410" s="565"/>
      <c r="C410" s="565" t="s">
        <v>3273</v>
      </c>
      <c r="H410" s="610"/>
      <c r="I410" s="610"/>
      <c r="J410" s="610"/>
      <c r="K410" s="611"/>
    </row>
    <row r="411" spans="1:11" x14ac:dyDescent="0.25">
      <c r="A411" s="604" t="s">
        <v>2211</v>
      </c>
      <c r="B411" s="605"/>
      <c r="C411" s="606" t="s">
        <v>3274</v>
      </c>
      <c r="D411" s="578">
        <f t="shared" ref="D411:K411" si="139">SUM(D412:D413)</f>
        <v>0</v>
      </c>
      <c r="E411" s="578">
        <f t="shared" si="139"/>
        <v>0</v>
      </c>
      <c r="F411" s="578">
        <f t="shared" si="139"/>
        <v>0</v>
      </c>
      <c r="G411" s="579">
        <f t="shared" si="139"/>
        <v>0</v>
      </c>
      <c r="H411" s="578">
        <f t="shared" si="139"/>
        <v>0</v>
      </c>
      <c r="I411" s="578">
        <f t="shared" si="139"/>
        <v>0</v>
      </c>
      <c r="J411" s="578">
        <f t="shared" si="139"/>
        <v>0</v>
      </c>
      <c r="K411" s="580">
        <f t="shared" si="139"/>
        <v>0</v>
      </c>
    </row>
    <row r="412" spans="1:11" outlineLevel="1" x14ac:dyDescent="0.25">
      <c r="A412" s="569" t="str">
        <f>LEFT(B412,3)</f>
        <v>697</v>
      </c>
      <c r="B412" s="565" t="s">
        <v>3275</v>
      </c>
      <c r="C412" s="565" t="s">
        <v>3276</v>
      </c>
      <c r="D412" s="587">
        <f>IF(VLOOKUP($A412,'hk2018'!$A:$G,1)=$A412,VLOOKUP($A412,'hk2018'!$A:$G,6),0)</f>
        <v>0</v>
      </c>
      <c r="E412" s="587">
        <f>IF(VLOOKUP($A412,'hk2018'!$A:$G,1)=$A412,VLOOKUP($A412,'hk2018'!$A:$G,7),0)</f>
        <v>0</v>
      </c>
      <c r="F412" s="587">
        <f>IF(VLOOKUP($A412,'hk2018'!$A:$H,1)=$A412,VLOOKUP($A412,'hk2018'!$A:$H,8),0)</f>
        <v>0</v>
      </c>
      <c r="G412" s="588">
        <f>SUM(D412+E412-F412)</f>
        <v>0</v>
      </c>
      <c r="H412" s="587">
        <f>IF(VLOOKUP($A412,'hk2017'!$A:$G,1)=$A412,VLOOKUP($A412,'hk2017'!$A:$G,6),0)</f>
        <v>0</v>
      </c>
      <c r="I412" s="587">
        <f>IF(VLOOKUP($A412,'hk2017'!$A:$G,1)=$A412,VLOOKUP($A412,'hk2017'!$A:$G,7),0)</f>
        <v>0</v>
      </c>
      <c r="J412" s="587">
        <f>IF(VLOOKUP($A412,'hk2017'!$A:$H,1)=$A412,VLOOKUP($A412,'hk2017'!$A:$H,8),0)</f>
        <v>0</v>
      </c>
      <c r="K412" s="589">
        <f>SUM(H412+I412-J412)</f>
        <v>0</v>
      </c>
    </row>
    <row r="413" spans="1:11" outlineLevel="1" x14ac:dyDescent="0.25">
      <c r="A413" s="569" t="str">
        <f>LEFT(B413,3)</f>
        <v>698</v>
      </c>
      <c r="B413" s="565" t="s">
        <v>3277</v>
      </c>
      <c r="C413" s="565" t="s">
        <v>3278</v>
      </c>
      <c r="D413" s="587">
        <f>IF(VLOOKUP($A413,'hk2018'!$A:$G,1)=$A413,VLOOKUP($A413,'hk2018'!$A:$G,6),0)</f>
        <v>0</v>
      </c>
      <c r="E413" s="587">
        <f>IF(VLOOKUP($A413,'hk2018'!$A:$G,1)=$A413,VLOOKUP($A413,'hk2018'!$A:$G,7),0)</f>
        <v>0</v>
      </c>
      <c r="F413" s="587">
        <f>IF(VLOOKUP($A413,'hk2018'!$A:$H,1)=$A413,VLOOKUP($A413,'hk2018'!$A:$H,8),0)</f>
        <v>0</v>
      </c>
      <c r="G413" s="588">
        <f>SUM(D413+E413-F413)</f>
        <v>0</v>
      </c>
      <c r="H413" s="587">
        <f>IF(VLOOKUP($A413,'hk2017'!$A:$G,1)=$A413,VLOOKUP($A413,'hk2017'!$A:$G,6),0)</f>
        <v>0</v>
      </c>
      <c r="I413" s="587">
        <f>IF(VLOOKUP($A413,'hk2017'!$A:$G,1)=$A413,VLOOKUP($A413,'hk2017'!$A:$G,7),0)</f>
        <v>0</v>
      </c>
      <c r="J413" s="587">
        <f>IF(VLOOKUP($A413,'hk2017'!$A:$H,1)=$A413,VLOOKUP($A413,'hk2017'!$A:$H,8),0)</f>
        <v>0</v>
      </c>
      <c r="K413" s="589">
        <f>SUM(H413+I413-J413)</f>
        <v>0</v>
      </c>
    </row>
    <row r="414" spans="1:11" outlineLevel="1" x14ac:dyDescent="0.25">
      <c r="A414" s="569"/>
      <c r="B414" s="565"/>
      <c r="C414" s="565"/>
      <c r="H414" s="610"/>
      <c r="I414" s="610"/>
      <c r="J414" s="610"/>
      <c r="K414" s="611"/>
    </row>
    <row r="415" spans="1:11" x14ac:dyDescent="0.25">
      <c r="A415" s="570" t="s">
        <v>3279</v>
      </c>
      <c r="B415" s="565"/>
      <c r="C415" s="571" t="s">
        <v>3280</v>
      </c>
      <c r="D415" s="601"/>
      <c r="E415" s="601"/>
      <c r="F415" s="601"/>
      <c r="G415" s="602"/>
      <c r="H415" s="601"/>
      <c r="I415" s="601"/>
      <c r="J415" s="601"/>
      <c r="K415" s="603"/>
    </row>
    <row r="416" spans="1:11" x14ac:dyDescent="0.25">
      <c r="A416" s="604" t="s">
        <v>1257</v>
      </c>
      <c r="B416" s="605"/>
      <c r="C416" s="606" t="s">
        <v>3281</v>
      </c>
      <c r="D416" s="578">
        <f t="shared" ref="D416:K416" si="140">SUM(D417:D418)</f>
        <v>0</v>
      </c>
      <c r="E416" s="578">
        <f t="shared" si="140"/>
        <v>0</v>
      </c>
      <c r="F416" s="578">
        <f t="shared" si="140"/>
        <v>0</v>
      </c>
      <c r="G416" s="579">
        <f t="shared" si="140"/>
        <v>0</v>
      </c>
      <c r="H416" s="578">
        <f t="shared" si="140"/>
        <v>0</v>
      </c>
      <c r="I416" s="578">
        <f t="shared" si="140"/>
        <v>0</v>
      </c>
      <c r="J416" s="578">
        <f t="shared" si="140"/>
        <v>0</v>
      </c>
      <c r="K416" s="580">
        <f t="shared" si="140"/>
        <v>0</v>
      </c>
    </row>
    <row r="417" spans="1:18" outlineLevel="1" x14ac:dyDescent="0.25">
      <c r="A417" s="569" t="str">
        <f>LEFT(B417,3)</f>
        <v>701</v>
      </c>
      <c r="B417" s="565" t="s">
        <v>3282</v>
      </c>
      <c r="C417" s="565" t="s">
        <v>3283</v>
      </c>
      <c r="D417" s="587">
        <f>IF(VLOOKUP($A417,'hk2018'!$A:$G,1)=$A417,VLOOKUP($A417,'hk2018'!$A:$G,5),0)</f>
        <v>0</v>
      </c>
      <c r="E417" s="587">
        <f>IF(VLOOKUP($A417,'hk2018'!$A:$G,1)=$A417,VLOOKUP($A417,'hk2018'!$A:$G,6),0)</f>
        <v>0</v>
      </c>
      <c r="F417" s="587">
        <f>IF(VLOOKUP($A417,'hk2018'!$A:$H,1)=$A417,VLOOKUP($A417,'hk2018'!$A:$H,7),0)</f>
        <v>0</v>
      </c>
      <c r="G417" s="588">
        <f>SUM(D417+E417-F417)</f>
        <v>0</v>
      </c>
      <c r="H417" s="587">
        <f>IF(VLOOKUP($A417,'hk2017'!$A:$G,1)=$A417,VLOOKUP($A417,'hk2017'!$A:$G,5),0)</f>
        <v>0</v>
      </c>
      <c r="I417" s="587">
        <f>IF(VLOOKUP($A417,'hk2017'!$A:$G,1)=$A417,VLOOKUP($A417,'hk2017'!$A:$G,6),0)</f>
        <v>0</v>
      </c>
      <c r="J417" s="587">
        <f>IF(VLOOKUP($A417,'hk2017'!$A:$H,1)=$A417,VLOOKUP($A417,'hk2017'!$A:$H,7),0)</f>
        <v>0</v>
      </c>
      <c r="K417" s="589">
        <f>SUM(H417+I417-J417)</f>
        <v>0</v>
      </c>
    </row>
    <row r="418" spans="1:18" outlineLevel="1" x14ac:dyDescent="0.25">
      <c r="A418" s="569" t="str">
        <f>LEFT(B418,3)</f>
        <v>702</v>
      </c>
      <c r="B418" s="565" t="s">
        <v>3284</v>
      </c>
      <c r="C418" s="565" t="s">
        <v>3285</v>
      </c>
      <c r="D418" s="587">
        <f>IF(VLOOKUP($A418,'hk2018'!$A:$G,1)=$A418,VLOOKUP($A418,'hk2018'!$A:$G,5),0)</f>
        <v>0</v>
      </c>
      <c r="E418" s="587">
        <f>IF(VLOOKUP($A418,'hk2018'!$A:$G,1)=$A418,VLOOKUP($A418,'hk2018'!$A:$G,6),0)</f>
        <v>0</v>
      </c>
      <c r="F418" s="587">
        <f>IF(VLOOKUP($A418,'hk2018'!$A:$H,1)=$A418,VLOOKUP($A418,'hk2018'!$A:$H,7),0)</f>
        <v>0</v>
      </c>
      <c r="G418" s="588">
        <f>SUM(D418+E418-F418)</f>
        <v>0</v>
      </c>
      <c r="H418" s="587">
        <f>IF(VLOOKUP($A418,'hk2017'!$A:$G,1)=$A418,VLOOKUP($A418,'hk2017'!$A:$G,5),0)</f>
        <v>0</v>
      </c>
      <c r="I418" s="587">
        <f>IF(VLOOKUP($A418,'hk2017'!$A:$G,1)=$A418,VLOOKUP($A418,'hk2017'!$A:$G,6),0)</f>
        <v>0</v>
      </c>
      <c r="J418" s="587">
        <f>IF(VLOOKUP($A418,'hk2017'!$A:$H,1)=$A418,VLOOKUP($A418,'hk2017'!$A:$H,7),0)</f>
        <v>0</v>
      </c>
      <c r="K418" s="589">
        <f>SUM(H418+I418-J418)</f>
        <v>0</v>
      </c>
    </row>
    <row r="419" spans="1:18" outlineLevel="1" x14ac:dyDescent="0.25">
      <c r="A419" s="620"/>
      <c r="B419" s="582"/>
      <c r="C419" s="582"/>
      <c r="D419" s="587"/>
      <c r="E419" s="587"/>
      <c r="F419" s="587"/>
      <c r="G419" s="588"/>
      <c r="H419" s="587"/>
      <c r="I419" s="587"/>
      <c r="J419" s="587"/>
      <c r="K419" s="589"/>
      <c r="L419" s="624"/>
      <c r="M419" s="620"/>
      <c r="O419" s="582"/>
      <c r="P419" s="624"/>
      <c r="Q419" s="624"/>
      <c r="R419" s="624"/>
    </row>
    <row r="420" spans="1:18" ht="13.5" customHeight="1" x14ac:dyDescent="0.25">
      <c r="A420" s="604" t="s">
        <v>2212</v>
      </c>
      <c r="B420" s="605"/>
      <c r="C420" s="606" t="s">
        <v>3286</v>
      </c>
      <c r="D420" s="578">
        <f t="shared" ref="D420:K420" si="141">SUM(D421)</f>
        <v>0</v>
      </c>
      <c r="E420" s="578">
        <f t="shared" si="141"/>
        <v>0</v>
      </c>
      <c r="F420" s="578">
        <f t="shared" si="141"/>
        <v>0</v>
      </c>
      <c r="G420" s="579">
        <f t="shared" si="141"/>
        <v>0</v>
      </c>
      <c r="H420" s="578">
        <f t="shared" si="141"/>
        <v>0</v>
      </c>
      <c r="I420" s="578">
        <f t="shared" si="141"/>
        <v>0</v>
      </c>
      <c r="J420" s="578">
        <f t="shared" si="141"/>
        <v>0</v>
      </c>
      <c r="K420" s="580">
        <f t="shared" si="141"/>
        <v>0</v>
      </c>
    </row>
    <row r="421" spans="1:18" outlineLevel="1" x14ac:dyDescent="0.25">
      <c r="A421" s="569" t="str">
        <f>LEFT(B421,3)</f>
        <v>710</v>
      </c>
      <c r="B421" s="565" t="s">
        <v>3287</v>
      </c>
      <c r="C421" s="565" t="s">
        <v>3288</v>
      </c>
      <c r="D421" s="587">
        <f>IF(VLOOKUP($A421,'hk2018'!$A:$G,1)=$A421,VLOOKUP($A421,'hk2018'!$A:$G,5),0)</f>
        <v>0</v>
      </c>
      <c r="E421" s="587">
        <f>IF(VLOOKUP($A421,'hk2018'!$A:$G,1)=$A421,VLOOKUP($A421,'hk2018'!$A:$G,6),0)</f>
        <v>0</v>
      </c>
      <c r="F421" s="587">
        <f>IF(VLOOKUP($A421,'hk2018'!$A:$H,1)=$A421,VLOOKUP($A421,'hk2018'!$A:$H,7),0)</f>
        <v>0</v>
      </c>
      <c r="G421" s="588">
        <f>SUM(D421+E421-F421)</f>
        <v>0</v>
      </c>
      <c r="H421" s="587">
        <f>IF(VLOOKUP($A421,'hk2017'!$A:$G,1)=$A421,VLOOKUP($A421,'hk2017'!$A:$G,5),0)</f>
        <v>0</v>
      </c>
      <c r="I421" s="587">
        <f>IF(VLOOKUP($A421,'hk2017'!$A:$G,1)=$A421,VLOOKUP($A421,'hk2017'!$A:$G,6),0)</f>
        <v>0</v>
      </c>
      <c r="J421" s="587">
        <f>IF(VLOOKUP($A421,'hk2017'!$A:$H,1)=$A421,VLOOKUP($A421,'hk2017'!$A:$H,7),0)</f>
        <v>0</v>
      </c>
      <c r="K421" s="589">
        <f>SUM(H421+I421-J421)</f>
        <v>0</v>
      </c>
    </row>
    <row r="422" spans="1:18" outlineLevel="1" x14ac:dyDescent="0.25">
      <c r="H422" s="610"/>
      <c r="I422" s="610"/>
      <c r="J422" s="610"/>
      <c r="K422" s="611"/>
    </row>
    <row r="423" spans="1:18" x14ac:dyDescent="0.25">
      <c r="A423" s="570"/>
      <c r="B423" s="565"/>
      <c r="C423" s="571" t="s">
        <v>3289</v>
      </c>
      <c r="D423" s="601"/>
      <c r="E423" s="601"/>
      <c r="F423" s="601"/>
      <c r="G423" s="602"/>
      <c r="H423" s="601"/>
      <c r="I423" s="601"/>
      <c r="J423" s="601"/>
      <c r="K423" s="603"/>
    </row>
    <row r="424" spans="1:18" x14ac:dyDescent="0.25">
      <c r="H424" s="610"/>
      <c r="I424" s="610"/>
      <c r="J424" s="610"/>
      <c r="K424" s="611"/>
    </row>
    <row r="425" spans="1:18" x14ac:dyDescent="0.25">
      <c r="A425" s="570"/>
      <c r="B425" s="565"/>
      <c r="C425" s="571" t="s">
        <v>3290</v>
      </c>
      <c r="D425" s="601"/>
      <c r="E425" s="601"/>
      <c r="F425" s="601"/>
      <c r="G425" s="602"/>
      <c r="H425" s="601"/>
      <c r="I425" s="601"/>
      <c r="J425" s="601"/>
      <c r="K425" s="603"/>
    </row>
  </sheetData>
  <sheetProtection sheet="1" formatColumns="0" formatRows="0" insertColumns="0" insertRows="0" insertHyperlinks="0" deleteColumns="0" deleteRows="0" sort="0" autoFilter="0"/>
  <mergeCells count="3">
    <mergeCell ref="C1:K1"/>
    <mergeCell ref="D3:G3"/>
    <mergeCell ref="H3:K3"/>
  </mergeCells>
  <printOptions gridLines="1"/>
  <pageMargins left="0.75" right="0.75" top="1" bottom="1" header="0.5" footer="0.5"/>
  <pageSetup paperSize="9" firstPageNumber="0" orientation="landscape" horizontalDpi="300" verticalDpi="300"/>
  <headerFooter>
    <oddHeader>&amp;C&amp;A</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661"/>
  <sheetViews>
    <sheetView zoomScaleNormal="100" workbookViewId="0"/>
  </sheetViews>
  <sheetFormatPr defaultRowHeight="15" x14ac:dyDescent="0.25"/>
  <cols>
    <col min="1" max="1" width="9.140625" customWidth="1"/>
    <col min="2" max="2" width="36.85546875" customWidth="1"/>
    <col min="3" max="1025" width="9.140625" customWidth="1"/>
  </cols>
  <sheetData>
    <row r="1" spans="1:2" ht="12.6" customHeight="1" x14ac:dyDescent="0.25">
      <c r="A1" s="626" t="s">
        <v>3291</v>
      </c>
      <c r="B1" t="s">
        <v>3292</v>
      </c>
    </row>
    <row r="2" spans="1:2" x14ac:dyDescent="0.25">
      <c r="A2" s="626" t="s">
        <v>3293</v>
      </c>
      <c r="B2" t="s">
        <v>3294</v>
      </c>
    </row>
    <row r="3" spans="1:2" x14ac:dyDescent="0.25">
      <c r="A3" s="626" t="s">
        <v>3295</v>
      </c>
      <c r="B3" t="s">
        <v>3296</v>
      </c>
    </row>
    <row r="4" spans="1:2" x14ac:dyDescent="0.25">
      <c r="A4" s="626" t="s">
        <v>3297</v>
      </c>
      <c r="B4" t="s">
        <v>3298</v>
      </c>
    </row>
    <row r="5" spans="1:2" x14ac:dyDescent="0.25">
      <c r="A5" s="626" t="s">
        <v>3299</v>
      </c>
      <c r="B5" t="s">
        <v>3300</v>
      </c>
    </row>
    <row r="6" spans="1:2" x14ac:dyDescent="0.25">
      <c r="A6" s="626" t="s">
        <v>3301</v>
      </c>
      <c r="B6" t="s">
        <v>3302</v>
      </c>
    </row>
    <row r="7" spans="1:2" x14ac:dyDescent="0.25">
      <c r="A7" s="626" t="s">
        <v>3303</v>
      </c>
      <c r="B7" t="s">
        <v>3304</v>
      </c>
    </row>
    <row r="8" spans="1:2" x14ac:dyDescent="0.25">
      <c r="A8" s="626" t="s">
        <v>3305</v>
      </c>
      <c r="B8" t="s">
        <v>3306</v>
      </c>
    </row>
    <row r="9" spans="1:2" x14ac:dyDescent="0.25">
      <c r="A9" s="626" t="s">
        <v>3307</v>
      </c>
      <c r="B9" t="s">
        <v>3308</v>
      </c>
    </row>
    <row r="10" spans="1:2" x14ac:dyDescent="0.25">
      <c r="A10" s="626" t="s">
        <v>3309</v>
      </c>
      <c r="B10" t="s">
        <v>3310</v>
      </c>
    </row>
    <row r="11" spans="1:2" x14ac:dyDescent="0.25">
      <c r="A11" s="626" t="s">
        <v>3311</v>
      </c>
      <c r="B11" t="s">
        <v>3312</v>
      </c>
    </row>
    <row r="12" spans="1:2" x14ac:dyDescent="0.25">
      <c r="A12" s="626" t="s">
        <v>3313</v>
      </c>
      <c r="B12" t="s">
        <v>3314</v>
      </c>
    </row>
    <row r="13" spans="1:2" x14ac:dyDescent="0.25">
      <c r="A13" s="626" t="s">
        <v>3315</v>
      </c>
      <c r="B13" t="s">
        <v>3316</v>
      </c>
    </row>
    <row r="14" spans="1:2" x14ac:dyDescent="0.25">
      <c r="A14" s="626" t="s">
        <v>3317</v>
      </c>
      <c r="B14" t="s">
        <v>3318</v>
      </c>
    </row>
    <row r="15" spans="1:2" x14ac:dyDescent="0.25">
      <c r="A15" s="626" t="s">
        <v>3319</v>
      </c>
      <c r="B15" t="s">
        <v>3320</v>
      </c>
    </row>
    <row r="16" spans="1:2" x14ac:dyDescent="0.25">
      <c r="A16" s="626" t="s">
        <v>3321</v>
      </c>
      <c r="B16" t="s">
        <v>3322</v>
      </c>
    </row>
    <row r="17" spans="1:2" x14ac:dyDescent="0.25">
      <c r="A17" s="626" t="s">
        <v>3323</v>
      </c>
      <c r="B17" t="s">
        <v>3324</v>
      </c>
    </row>
    <row r="18" spans="1:2" x14ac:dyDescent="0.25">
      <c r="A18" s="626" t="s">
        <v>3325</v>
      </c>
      <c r="B18" t="s">
        <v>3326</v>
      </c>
    </row>
    <row r="19" spans="1:2" x14ac:dyDescent="0.25">
      <c r="A19" s="626" t="s">
        <v>3327</v>
      </c>
      <c r="B19" t="s">
        <v>3328</v>
      </c>
    </row>
    <row r="20" spans="1:2" x14ac:dyDescent="0.25">
      <c r="A20" s="626" t="s">
        <v>3329</v>
      </c>
      <c r="B20" t="s">
        <v>3330</v>
      </c>
    </row>
    <row r="21" spans="1:2" x14ac:dyDescent="0.25">
      <c r="A21" s="626" t="s">
        <v>3331</v>
      </c>
      <c r="B21" t="s">
        <v>3332</v>
      </c>
    </row>
    <row r="22" spans="1:2" x14ac:dyDescent="0.25">
      <c r="A22" s="626" t="s">
        <v>3333</v>
      </c>
      <c r="B22" t="s">
        <v>3334</v>
      </c>
    </row>
    <row r="23" spans="1:2" x14ac:dyDescent="0.25">
      <c r="A23" s="626" t="s">
        <v>3335</v>
      </c>
      <c r="B23" t="s">
        <v>3336</v>
      </c>
    </row>
    <row r="24" spans="1:2" x14ac:dyDescent="0.25">
      <c r="A24" s="626" t="s">
        <v>3337</v>
      </c>
      <c r="B24" t="s">
        <v>3338</v>
      </c>
    </row>
    <row r="25" spans="1:2" x14ac:dyDescent="0.25">
      <c r="A25" s="626" t="s">
        <v>3339</v>
      </c>
      <c r="B25" t="s">
        <v>3340</v>
      </c>
    </row>
    <row r="26" spans="1:2" x14ac:dyDescent="0.25">
      <c r="A26" s="626" t="s">
        <v>3341</v>
      </c>
      <c r="B26" t="s">
        <v>3342</v>
      </c>
    </row>
    <row r="27" spans="1:2" x14ac:dyDescent="0.25">
      <c r="A27" s="626" t="s">
        <v>3343</v>
      </c>
      <c r="B27" t="s">
        <v>3344</v>
      </c>
    </row>
    <row r="28" spans="1:2" x14ac:dyDescent="0.25">
      <c r="A28" s="626" t="s">
        <v>3345</v>
      </c>
      <c r="B28" t="s">
        <v>3346</v>
      </c>
    </row>
    <row r="29" spans="1:2" x14ac:dyDescent="0.25">
      <c r="A29" s="626" t="s">
        <v>3347</v>
      </c>
      <c r="B29" t="s">
        <v>3348</v>
      </c>
    </row>
    <row r="30" spans="1:2" x14ac:dyDescent="0.25">
      <c r="A30" s="626" t="s">
        <v>3349</v>
      </c>
      <c r="B30" t="s">
        <v>3350</v>
      </c>
    </row>
    <row r="31" spans="1:2" x14ac:dyDescent="0.25">
      <c r="A31" s="626" t="s">
        <v>8</v>
      </c>
      <c r="B31" t="s">
        <v>3351</v>
      </c>
    </row>
    <row r="32" spans="1:2" x14ac:dyDescent="0.25">
      <c r="A32" s="626" t="s">
        <v>3352</v>
      </c>
      <c r="B32" t="s">
        <v>3353</v>
      </c>
    </row>
    <row r="33" spans="1:2" x14ac:dyDescent="0.25">
      <c r="A33" s="626" t="s">
        <v>3354</v>
      </c>
      <c r="B33" t="s">
        <v>3355</v>
      </c>
    </row>
    <row r="34" spans="1:2" x14ac:dyDescent="0.25">
      <c r="A34" s="626" t="s">
        <v>3356</v>
      </c>
      <c r="B34" t="s">
        <v>3357</v>
      </c>
    </row>
    <row r="35" spans="1:2" x14ac:dyDescent="0.25">
      <c r="A35" s="626" t="s">
        <v>3358</v>
      </c>
      <c r="B35" t="s">
        <v>3359</v>
      </c>
    </row>
    <row r="36" spans="1:2" x14ac:dyDescent="0.25">
      <c r="A36" s="626" t="s">
        <v>3360</v>
      </c>
      <c r="B36" t="s">
        <v>3361</v>
      </c>
    </row>
    <row r="37" spans="1:2" x14ac:dyDescent="0.25">
      <c r="A37" s="626" t="s">
        <v>3362</v>
      </c>
      <c r="B37" t="s">
        <v>3363</v>
      </c>
    </row>
    <row r="38" spans="1:2" x14ac:dyDescent="0.25">
      <c r="A38" s="626" t="s">
        <v>3364</v>
      </c>
      <c r="B38" t="s">
        <v>3365</v>
      </c>
    </row>
    <row r="39" spans="1:2" x14ac:dyDescent="0.25">
      <c r="A39" s="626" t="s">
        <v>3366</v>
      </c>
      <c r="B39" t="s">
        <v>3367</v>
      </c>
    </row>
    <row r="40" spans="1:2" x14ac:dyDescent="0.25">
      <c r="A40" s="626" t="s">
        <v>3368</v>
      </c>
      <c r="B40" t="s">
        <v>3369</v>
      </c>
    </row>
    <row r="41" spans="1:2" x14ac:dyDescent="0.25">
      <c r="A41" s="626" t="s">
        <v>3370</v>
      </c>
      <c r="B41" t="s">
        <v>3371</v>
      </c>
    </row>
    <row r="42" spans="1:2" x14ac:dyDescent="0.25">
      <c r="A42" s="626" t="s">
        <v>3372</v>
      </c>
      <c r="B42" t="s">
        <v>3373</v>
      </c>
    </row>
    <row r="43" spans="1:2" x14ac:dyDescent="0.25">
      <c r="A43" s="626" t="s">
        <v>3374</v>
      </c>
      <c r="B43" t="s">
        <v>3375</v>
      </c>
    </row>
    <row r="44" spans="1:2" x14ac:dyDescent="0.25">
      <c r="A44" s="626" t="s">
        <v>3376</v>
      </c>
      <c r="B44" t="s">
        <v>3377</v>
      </c>
    </row>
    <row r="45" spans="1:2" x14ac:dyDescent="0.25">
      <c r="A45" s="626" t="s">
        <v>3378</v>
      </c>
      <c r="B45" t="s">
        <v>3379</v>
      </c>
    </row>
    <row r="46" spans="1:2" x14ac:dyDescent="0.25">
      <c r="A46" s="626" t="s">
        <v>3380</v>
      </c>
      <c r="B46" t="s">
        <v>3381</v>
      </c>
    </row>
    <row r="47" spans="1:2" x14ac:dyDescent="0.25">
      <c r="A47" s="626" t="s">
        <v>3382</v>
      </c>
      <c r="B47" t="s">
        <v>3383</v>
      </c>
    </row>
    <row r="48" spans="1:2" x14ac:dyDescent="0.25">
      <c r="A48" s="626" t="s">
        <v>3384</v>
      </c>
      <c r="B48" t="s">
        <v>3385</v>
      </c>
    </row>
    <row r="49" spans="1:2" x14ac:dyDescent="0.25">
      <c r="A49" s="626" t="s">
        <v>3386</v>
      </c>
      <c r="B49" t="s">
        <v>3387</v>
      </c>
    </row>
    <row r="50" spans="1:2" x14ac:dyDescent="0.25">
      <c r="A50" s="626" t="s">
        <v>3388</v>
      </c>
      <c r="B50" t="s">
        <v>3389</v>
      </c>
    </row>
    <row r="51" spans="1:2" x14ac:dyDescent="0.25">
      <c r="A51" s="626" t="s">
        <v>3390</v>
      </c>
      <c r="B51" t="s">
        <v>3391</v>
      </c>
    </row>
    <row r="52" spans="1:2" x14ac:dyDescent="0.25">
      <c r="A52" s="626" t="s">
        <v>3392</v>
      </c>
      <c r="B52" t="s">
        <v>3393</v>
      </c>
    </row>
    <row r="53" spans="1:2" x14ac:dyDescent="0.25">
      <c r="A53" s="626" t="s">
        <v>3394</v>
      </c>
      <c r="B53" t="s">
        <v>3395</v>
      </c>
    </row>
    <row r="54" spans="1:2" x14ac:dyDescent="0.25">
      <c r="A54" s="626" t="s">
        <v>3396</v>
      </c>
      <c r="B54" t="s">
        <v>3397</v>
      </c>
    </row>
    <row r="55" spans="1:2" x14ac:dyDescent="0.25">
      <c r="A55" s="626" t="s">
        <v>3398</v>
      </c>
      <c r="B55" t="s">
        <v>3399</v>
      </c>
    </row>
    <row r="56" spans="1:2" x14ac:dyDescent="0.25">
      <c r="A56" s="626" t="s">
        <v>3400</v>
      </c>
      <c r="B56" t="s">
        <v>3401</v>
      </c>
    </row>
    <row r="57" spans="1:2" x14ac:dyDescent="0.25">
      <c r="A57" s="626" t="s">
        <v>3402</v>
      </c>
      <c r="B57" t="s">
        <v>3403</v>
      </c>
    </row>
    <row r="58" spans="1:2" x14ac:dyDescent="0.25">
      <c r="A58" s="626" t="s">
        <v>3404</v>
      </c>
      <c r="B58" t="s">
        <v>3405</v>
      </c>
    </row>
    <row r="59" spans="1:2" x14ac:dyDescent="0.25">
      <c r="A59" s="626" t="s">
        <v>3406</v>
      </c>
      <c r="B59" t="s">
        <v>3407</v>
      </c>
    </row>
    <row r="60" spans="1:2" x14ac:dyDescent="0.25">
      <c r="A60" s="626" t="s">
        <v>3408</v>
      </c>
      <c r="B60" t="s">
        <v>3409</v>
      </c>
    </row>
    <row r="61" spans="1:2" x14ac:dyDescent="0.25">
      <c r="A61" s="626" t="s">
        <v>3410</v>
      </c>
      <c r="B61" t="s">
        <v>3411</v>
      </c>
    </row>
    <row r="62" spans="1:2" x14ac:dyDescent="0.25">
      <c r="A62" s="626" t="s">
        <v>3412</v>
      </c>
      <c r="B62" t="s">
        <v>3413</v>
      </c>
    </row>
    <row r="63" spans="1:2" x14ac:dyDescent="0.25">
      <c r="A63" s="626" t="s">
        <v>3414</v>
      </c>
      <c r="B63" t="s">
        <v>3415</v>
      </c>
    </row>
    <row r="64" spans="1:2" x14ac:dyDescent="0.25">
      <c r="A64" s="626" t="s">
        <v>3416</v>
      </c>
      <c r="B64" t="s">
        <v>3417</v>
      </c>
    </row>
    <row r="65" spans="1:2" x14ac:dyDescent="0.25">
      <c r="A65" s="626" t="s">
        <v>3418</v>
      </c>
      <c r="B65" t="s">
        <v>3419</v>
      </c>
    </row>
    <row r="66" spans="1:2" x14ac:dyDescent="0.25">
      <c r="A66" s="626" t="s">
        <v>3420</v>
      </c>
      <c r="B66" t="s">
        <v>3421</v>
      </c>
    </row>
    <row r="67" spans="1:2" x14ac:dyDescent="0.25">
      <c r="A67" s="626" t="s">
        <v>3422</v>
      </c>
      <c r="B67" t="s">
        <v>3423</v>
      </c>
    </row>
    <row r="68" spans="1:2" x14ac:dyDescent="0.25">
      <c r="A68" s="626" t="s">
        <v>3424</v>
      </c>
      <c r="B68" t="s">
        <v>3425</v>
      </c>
    </row>
    <row r="69" spans="1:2" x14ac:dyDescent="0.25">
      <c r="A69" s="626" t="s">
        <v>3426</v>
      </c>
      <c r="B69" t="s">
        <v>3427</v>
      </c>
    </row>
    <row r="70" spans="1:2" x14ac:dyDescent="0.25">
      <c r="A70" s="626" t="s">
        <v>3428</v>
      </c>
      <c r="B70" t="s">
        <v>3429</v>
      </c>
    </row>
    <row r="71" spans="1:2" x14ac:dyDescent="0.25">
      <c r="A71" s="626" t="s">
        <v>3430</v>
      </c>
      <c r="B71" t="s">
        <v>3431</v>
      </c>
    </row>
    <row r="72" spans="1:2" x14ac:dyDescent="0.25">
      <c r="A72" s="626" t="s">
        <v>3432</v>
      </c>
      <c r="B72" t="s">
        <v>3433</v>
      </c>
    </row>
    <row r="73" spans="1:2" x14ac:dyDescent="0.25">
      <c r="A73" s="626" t="s">
        <v>3434</v>
      </c>
      <c r="B73" t="s">
        <v>3435</v>
      </c>
    </row>
    <row r="74" spans="1:2" x14ac:dyDescent="0.25">
      <c r="A74" s="626" t="s">
        <v>3436</v>
      </c>
      <c r="B74" t="s">
        <v>3437</v>
      </c>
    </row>
    <row r="75" spans="1:2" x14ac:dyDescent="0.25">
      <c r="A75" s="626" t="s">
        <v>3438</v>
      </c>
      <c r="B75" t="s">
        <v>3439</v>
      </c>
    </row>
    <row r="76" spans="1:2" x14ac:dyDescent="0.25">
      <c r="A76" s="626" t="s">
        <v>3440</v>
      </c>
      <c r="B76" t="s">
        <v>3441</v>
      </c>
    </row>
    <row r="77" spans="1:2" x14ac:dyDescent="0.25">
      <c r="A77" s="626" t="s">
        <v>3442</v>
      </c>
      <c r="B77" t="s">
        <v>3443</v>
      </c>
    </row>
    <row r="78" spans="1:2" x14ac:dyDescent="0.25">
      <c r="A78" s="626" t="s">
        <v>3444</v>
      </c>
      <c r="B78" t="s">
        <v>3445</v>
      </c>
    </row>
    <row r="79" spans="1:2" x14ac:dyDescent="0.25">
      <c r="A79" s="626" t="s">
        <v>3446</v>
      </c>
      <c r="B79" t="s">
        <v>3447</v>
      </c>
    </row>
    <row r="80" spans="1:2" x14ac:dyDescent="0.25">
      <c r="A80" s="626" t="s">
        <v>3448</v>
      </c>
      <c r="B80" t="s">
        <v>3449</v>
      </c>
    </row>
    <row r="81" spans="1:2" x14ac:dyDescent="0.25">
      <c r="A81" s="626" t="s">
        <v>3450</v>
      </c>
      <c r="B81" t="s">
        <v>3451</v>
      </c>
    </row>
    <row r="82" spans="1:2" x14ac:dyDescent="0.25">
      <c r="A82" s="626" t="s">
        <v>3452</v>
      </c>
      <c r="B82" t="s">
        <v>3453</v>
      </c>
    </row>
    <row r="83" spans="1:2" x14ac:dyDescent="0.25">
      <c r="A83" s="626" t="s">
        <v>3454</v>
      </c>
      <c r="B83" t="s">
        <v>3455</v>
      </c>
    </row>
    <row r="84" spans="1:2" x14ac:dyDescent="0.25">
      <c r="A84" s="626" t="s">
        <v>3456</v>
      </c>
      <c r="B84" t="s">
        <v>3457</v>
      </c>
    </row>
    <row r="85" spans="1:2" x14ac:dyDescent="0.25">
      <c r="A85" s="626" t="s">
        <v>3458</v>
      </c>
      <c r="B85" t="s">
        <v>3459</v>
      </c>
    </row>
    <row r="86" spans="1:2" x14ac:dyDescent="0.25">
      <c r="A86" s="626" t="s">
        <v>3460</v>
      </c>
      <c r="B86" t="s">
        <v>3461</v>
      </c>
    </row>
    <row r="87" spans="1:2" x14ac:dyDescent="0.25">
      <c r="A87" s="626" t="s">
        <v>3462</v>
      </c>
      <c r="B87" t="s">
        <v>3463</v>
      </c>
    </row>
    <row r="88" spans="1:2" x14ac:dyDescent="0.25">
      <c r="A88" s="626" t="s">
        <v>3464</v>
      </c>
      <c r="B88" t="s">
        <v>3465</v>
      </c>
    </row>
    <row r="89" spans="1:2" x14ac:dyDescent="0.25">
      <c r="A89" s="626" t="s">
        <v>3466</v>
      </c>
      <c r="B89" t="s">
        <v>3467</v>
      </c>
    </row>
    <row r="90" spans="1:2" x14ac:dyDescent="0.25">
      <c r="A90" s="626" t="s">
        <v>3468</v>
      </c>
      <c r="B90" t="s">
        <v>3469</v>
      </c>
    </row>
    <row r="91" spans="1:2" x14ac:dyDescent="0.25">
      <c r="A91" s="626" t="s">
        <v>3470</v>
      </c>
      <c r="B91" t="s">
        <v>3471</v>
      </c>
    </row>
    <row r="92" spans="1:2" x14ac:dyDescent="0.25">
      <c r="A92" s="626" t="s">
        <v>3472</v>
      </c>
      <c r="B92" t="s">
        <v>3473</v>
      </c>
    </row>
    <row r="93" spans="1:2" x14ac:dyDescent="0.25">
      <c r="A93" s="626" t="s">
        <v>3474</v>
      </c>
      <c r="B93" t="s">
        <v>3475</v>
      </c>
    </row>
    <row r="94" spans="1:2" x14ac:dyDescent="0.25">
      <c r="A94" s="626" t="s">
        <v>3476</v>
      </c>
      <c r="B94" t="s">
        <v>3477</v>
      </c>
    </row>
    <row r="95" spans="1:2" x14ac:dyDescent="0.25">
      <c r="A95" s="626" t="s">
        <v>3478</v>
      </c>
      <c r="B95" t="s">
        <v>3479</v>
      </c>
    </row>
    <row r="96" spans="1:2" x14ac:dyDescent="0.25">
      <c r="A96" s="626" t="s">
        <v>3480</v>
      </c>
      <c r="B96" t="s">
        <v>3481</v>
      </c>
    </row>
    <row r="97" spans="1:2" x14ac:dyDescent="0.25">
      <c r="A97" s="626" t="s">
        <v>3482</v>
      </c>
      <c r="B97" t="s">
        <v>3483</v>
      </c>
    </row>
    <row r="98" spans="1:2" x14ac:dyDescent="0.25">
      <c r="A98" s="626" t="s">
        <v>3484</v>
      </c>
      <c r="B98" t="s">
        <v>3485</v>
      </c>
    </row>
    <row r="99" spans="1:2" x14ac:dyDescent="0.25">
      <c r="A99" s="626" t="s">
        <v>3486</v>
      </c>
      <c r="B99" t="s">
        <v>3487</v>
      </c>
    </row>
    <row r="100" spans="1:2" x14ac:dyDescent="0.25">
      <c r="A100" s="626" t="s">
        <v>3488</v>
      </c>
      <c r="B100" t="s">
        <v>3489</v>
      </c>
    </row>
    <row r="101" spans="1:2" x14ac:dyDescent="0.25">
      <c r="A101" s="626" t="s">
        <v>3490</v>
      </c>
      <c r="B101" t="s">
        <v>3491</v>
      </c>
    </row>
    <row r="102" spans="1:2" x14ac:dyDescent="0.25">
      <c r="A102" s="626" t="s">
        <v>3492</v>
      </c>
      <c r="B102" t="s">
        <v>3493</v>
      </c>
    </row>
    <row r="103" spans="1:2" x14ac:dyDescent="0.25">
      <c r="A103" s="626" t="s">
        <v>3494</v>
      </c>
      <c r="B103" t="s">
        <v>3495</v>
      </c>
    </row>
    <row r="104" spans="1:2" x14ac:dyDescent="0.25">
      <c r="A104" s="626" t="s">
        <v>3496</v>
      </c>
      <c r="B104" t="s">
        <v>3497</v>
      </c>
    </row>
    <row r="105" spans="1:2" x14ac:dyDescent="0.25">
      <c r="A105" s="626" t="s">
        <v>3498</v>
      </c>
      <c r="B105" t="s">
        <v>3499</v>
      </c>
    </row>
    <row r="106" spans="1:2" x14ac:dyDescent="0.25">
      <c r="A106" s="626" t="s">
        <v>3500</v>
      </c>
      <c r="B106" t="s">
        <v>3501</v>
      </c>
    </row>
    <row r="107" spans="1:2" x14ac:dyDescent="0.25">
      <c r="A107" s="626" t="s">
        <v>3502</v>
      </c>
      <c r="B107" t="s">
        <v>3503</v>
      </c>
    </row>
    <row r="108" spans="1:2" x14ac:dyDescent="0.25">
      <c r="A108" s="626" t="s">
        <v>3504</v>
      </c>
      <c r="B108" t="s">
        <v>3505</v>
      </c>
    </row>
    <row r="109" spans="1:2" x14ac:dyDescent="0.25">
      <c r="A109" s="626" t="s">
        <v>3506</v>
      </c>
      <c r="B109" t="s">
        <v>3507</v>
      </c>
    </row>
    <row r="110" spans="1:2" x14ac:dyDescent="0.25">
      <c r="A110" s="626" t="s">
        <v>3508</v>
      </c>
      <c r="B110" t="s">
        <v>3509</v>
      </c>
    </row>
    <row r="111" spans="1:2" x14ac:dyDescent="0.25">
      <c r="A111" s="626" t="s">
        <v>3510</v>
      </c>
      <c r="B111" t="s">
        <v>3511</v>
      </c>
    </row>
    <row r="112" spans="1:2" x14ac:dyDescent="0.25">
      <c r="A112" s="626" t="s">
        <v>3512</v>
      </c>
      <c r="B112" t="s">
        <v>3513</v>
      </c>
    </row>
    <row r="113" spans="1:2" x14ac:dyDescent="0.25">
      <c r="A113" s="626" t="s">
        <v>3514</v>
      </c>
      <c r="B113" t="s">
        <v>3515</v>
      </c>
    </row>
    <row r="114" spans="1:2" x14ac:dyDescent="0.25">
      <c r="A114" s="626" t="s">
        <v>3516</v>
      </c>
      <c r="B114" t="s">
        <v>3517</v>
      </c>
    </row>
    <row r="115" spans="1:2" x14ac:dyDescent="0.25">
      <c r="A115" s="626" t="s">
        <v>3518</v>
      </c>
      <c r="B115" t="s">
        <v>3519</v>
      </c>
    </row>
    <row r="116" spans="1:2" x14ac:dyDescent="0.25">
      <c r="A116" s="626" t="s">
        <v>3520</v>
      </c>
      <c r="B116" t="s">
        <v>3521</v>
      </c>
    </row>
    <row r="117" spans="1:2" x14ac:dyDescent="0.25">
      <c r="A117" s="626" t="s">
        <v>3522</v>
      </c>
      <c r="B117" t="s">
        <v>3523</v>
      </c>
    </row>
    <row r="118" spans="1:2" x14ac:dyDescent="0.25">
      <c r="A118" s="626" t="s">
        <v>3524</v>
      </c>
      <c r="B118" t="s">
        <v>3525</v>
      </c>
    </row>
    <row r="119" spans="1:2" x14ac:dyDescent="0.25">
      <c r="A119" s="626" t="s">
        <v>3526</v>
      </c>
      <c r="B119" t="s">
        <v>3527</v>
      </c>
    </row>
    <row r="120" spans="1:2" x14ac:dyDescent="0.25">
      <c r="A120" s="626" t="s">
        <v>3528</v>
      </c>
      <c r="B120" t="s">
        <v>3529</v>
      </c>
    </row>
    <row r="121" spans="1:2" x14ac:dyDescent="0.25">
      <c r="A121" s="626" t="s">
        <v>3530</v>
      </c>
      <c r="B121" t="s">
        <v>3531</v>
      </c>
    </row>
    <row r="122" spans="1:2" x14ac:dyDescent="0.25">
      <c r="A122" s="626" t="s">
        <v>3532</v>
      </c>
      <c r="B122" t="s">
        <v>3533</v>
      </c>
    </row>
    <row r="123" spans="1:2" x14ac:dyDescent="0.25">
      <c r="A123" s="626" t="s">
        <v>3534</v>
      </c>
      <c r="B123" t="s">
        <v>3535</v>
      </c>
    </row>
    <row r="124" spans="1:2" x14ac:dyDescent="0.25">
      <c r="A124" s="626" t="s">
        <v>3536</v>
      </c>
      <c r="B124" t="s">
        <v>3537</v>
      </c>
    </row>
    <row r="125" spans="1:2" x14ac:dyDescent="0.25">
      <c r="A125" s="626" t="s">
        <v>3538</v>
      </c>
      <c r="B125" t="s">
        <v>3539</v>
      </c>
    </row>
    <row r="126" spans="1:2" x14ac:dyDescent="0.25">
      <c r="A126" s="626" t="s">
        <v>3540</v>
      </c>
      <c r="B126" t="s">
        <v>3541</v>
      </c>
    </row>
    <row r="127" spans="1:2" x14ac:dyDescent="0.25">
      <c r="A127" s="626" t="s">
        <v>3542</v>
      </c>
      <c r="B127" t="s">
        <v>3543</v>
      </c>
    </row>
    <row r="128" spans="1:2" x14ac:dyDescent="0.25">
      <c r="A128" s="626" t="s">
        <v>3544</v>
      </c>
      <c r="B128" t="s">
        <v>3545</v>
      </c>
    </row>
    <row r="129" spans="1:2" x14ac:dyDescent="0.25">
      <c r="A129" s="626" t="s">
        <v>3546</v>
      </c>
      <c r="B129" t="s">
        <v>3547</v>
      </c>
    </row>
    <row r="130" spans="1:2" x14ac:dyDescent="0.25">
      <c r="A130" s="626" t="s">
        <v>3548</v>
      </c>
      <c r="B130" t="s">
        <v>3549</v>
      </c>
    </row>
    <row r="131" spans="1:2" x14ac:dyDescent="0.25">
      <c r="A131" s="626" t="s">
        <v>3550</v>
      </c>
      <c r="B131" t="s">
        <v>3551</v>
      </c>
    </row>
    <row r="132" spans="1:2" x14ac:dyDescent="0.25">
      <c r="A132" s="626" t="s">
        <v>3552</v>
      </c>
      <c r="B132" t="s">
        <v>3553</v>
      </c>
    </row>
    <row r="133" spans="1:2" x14ac:dyDescent="0.25">
      <c r="A133" s="626" t="s">
        <v>3554</v>
      </c>
      <c r="B133" t="s">
        <v>3555</v>
      </c>
    </row>
    <row r="134" spans="1:2" x14ac:dyDescent="0.25">
      <c r="A134" s="626" t="s">
        <v>3556</v>
      </c>
      <c r="B134" t="s">
        <v>3557</v>
      </c>
    </row>
    <row r="135" spans="1:2" x14ac:dyDescent="0.25">
      <c r="A135" s="626" t="s">
        <v>3558</v>
      </c>
      <c r="B135" t="s">
        <v>3559</v>
      </c>
    </row>
    <row r="136" spans="1:2" x14ac:dyDescent="0.25">
      <c r="A136" s="626" t="s">
        <v>3560</v>
      </c>
      <c r="B136" t="s">
        <v>3561</v>
      </c>
    </row>
    <row r="137" spans="1:2" x14ac:dyDescent="0.25">
      <c r="A137" s="626" t="s">
        <v>3562</v>
      </c>
      <c r="B137" t="s">
        <v>3563</v>
      </c>
    </row>
    <row r="138" spans="1:2" x14ac:dyDescent="0.25">
      <c r="A138" s="626" t="s">
        <v>3564</v>
      </c>
      <c r="B138" t="s">
        <v>3565</v>
      </c>
    </row>
    <row r="139" spans="1:2" x14ac:dyDescent="0.25">
      <c r="A139" s="626" t="s">
        <v>3566</v>
      </c>
      <c r="B139" t="s">
        <v>3567</v>
      </c>
    </row>
    <row r="140" spans="1:2" x14ac:dyDescent="0.25">
      <c r="A140" s="626" t="s">
        <v>3568</v>
      </c>
      <c r="B140" t="s">
        <v>3569</v>
      </c>
    </row>
    <row r="141" spans="1:2" x14ac:dyDescent="0.25">
      <c r="A141" s="626" t="s">
        <v>3570</v>
      </c>
      <c r="B141" t="s">
        <v>3571</v>
      </c>
    </row>
    <row r="142" spans="1:2" x14ac:dyDescent="0.25">
      <c r="A142" s="626" t="s">
        <v>3572</v>
      </c>
      <c r="B142" t="s">
        <v>3573</v>
      </c>
    </row>
    <row r="143" spans="1:2" x14ac:dyDescent="0.25">
      <c r="A143" s="626" t="s">
        <v>3574</v>
      </c>
      <c r="B143" t="s">
        <v>3575</v>
      </c>
    </row>
    <row r="144" spans="1:2" x14ac:dyDescent="0.25">
      <c r="A144" s="626" t="s">
        <v>3576</v>
      </c>
      <c r="B144" t="s">
        <v>3577</v>
      </c>
    </row>
    <row r="145" spans="1:2" x14ac:dyDescent="0.25">
      <c r="A145" s="626" t="s">
        <v>3578</v>
      </c>
      <c r="B145" t="s">
        <v>3579</v>
      </c>
    </row>
    <row r="146" spans="1:2" x14ac:dyDescent="0.25">
      <c r="A146" s="626" t="s">
        <v>3580</v>
      </c>
      <c r="B146" t="s">
        <v>3581</v>
      </c>
    </row>
    <row r="147" spans="1:2" x14ac:dyDescent="0.25">
      <c r="A147" s="626" t="s">
        <v>3582</v>
      </c>
      <c r="B147" t="s">
        <v>3583</v>
      </c>
    </row>
    <row r="148" spans="1:2" x14ac:dyDescent="0.25">
      <c r="A148" s="626" t="s">
        <v>3584</v>
      </c>
      <c r="B148" t="s">
        <v>3585</v>
      </c>
    </row>
    <row r="149" spans="1:2" x14ac:dyDescent="0.25">
      <c r="A149" s="626" t="s">
        <v>3586</v>
      </c>
      <c r="B149" t="s">
        <v>3587</v>
      </c>
    </row>
    <row r="150" spans="1:2" x14ac:dyDescent="0.25">
      <c r="A150" s="626" t="s">
        <v>3588</v>
      </c>
      <c r="B150" t="s">
        <v>3589</v>
      </c>
    </row>
    <row r="151" spans="1:2" x14ac:dyDescent="0.25">
      <c r="A151" s="626" t="s">
        <v>3590</v>
      </c>
      <c r="B151" t="s">
        <v>3591</v>
      </c>
    </row>
    <row r="152" spans="1:2" x14ac:dyDescent="0.25">
      <c r="A152" s="626" t="s">
        <v>3592</v>
      </c>
      <c r="B152" t="s">
        <v>3593</v>
      </c>
    </row>
    <row r="153" spans="1:2" x14ac:dyDescent="0.25">
      <c r="A153" s="626" t="s">
        <v>3594</v>
      </c>
      <c r="B153" t="s">
        <v>3595</v>
      </c>
    </row>
    <row r="154" spans="1:2" x14ac:dyDescent="0.25">
      <c r="A154" s="626" t="s">
        <v>3596</v>
      </c>
      <c r="B154" t="s">
        <v>3597</v>
      </c>
    </row>
    <row r="155" spans="1:2" x14ac:dyDescent="0.25">
      <c r="A155" s="626" t="s">
        <v>3598</v>
      </c>
      <c r="B155" t="s">
        <v>3599</v>
      </c>
    </row>
    <row r="156" spans="1:2" x14ac:dyDescent="0.25">
      <c r="A156" s="626" t="s">
        <v>3600</v>
      </c>
      <c r="B156" t="s">
        <v>3601</v>
      </c>
    </row>
    <row r="157" spans="1:2" x14ac:dyDescent="0.25">
      <c r="A157" s="626" t="s">
        <v>3602</v>
      </c>
      <c r="B157" t="s">
        <v>3603</v>
      </c>
    </row>
    <row r="158" spans="1:2" x14ac:dyDescent="0.25">
      <c r="A158" s="626" t="s">
        <v>3604</v>
      </c>
      <c r="B158" t="s">
        <v>3605</v>
      </c>
    </row>
    <row r="159" spans="1:2" x14ac:dyDescent="0.25">
      <c r="A159" s="626" t="s">
        <v>3606</v>
      </c>
      <c r="B159" t="s">
        <v>3607</v>
      </c>
    </row>
    <row r="160" spans="1:2" x14ac:dyDescent="0.25">
      <c r="A160" s="626" t="s">
        <v>3608</v>
      </c>
      <c r="B160" t="s">
        <v>3609</v>
      </c>
    </row>
    <row r="161" spans="1:2" x14ac:dyDescent="0.25">
      <c r="A161" s="626" t="s">
        <v>3610</v>
      </c>
      <c r="B161" t="s">
        <v>3611</v>
      </c>
    </row>
    <row r="162" spans="1:2" x14ac:dyDescent="0.25">
      <c r="A162" s="626" t="s">
        <v>3612</v>
      </c>
      <c r="B162" t="s">
        <v>3613</v>
      </c>
    </row>
    <row r="163" spans="1:2" x14ac:dyDescent="0.25">
      <c r="A163" s="626" t="s">
        <v>3614</v>
      </c>
      <c r="B163" t="s">
        <v>3615</v>
      </c>
    </row>
    <row r="164" spans="1:2" x14ac:dyDescent="0.25">
      <c r="A164" s="626" t="s">
        <v>3616</v>
      </c>
      <c r="B164" t="s">
        <v>3617</v>
      </c>
    </row>
    <row r="165" spans="1:2" x14ac:dyDescent="0.25">
      <c r="A165" s="626" t="s">
        <v>3618</v>
      </c>
      <c r="B165" t="s">
        <v>3619</v>
      </c>
    </row>
    <row r="166" spans="1:2" x14ac:dyDescent="0.25">
      <c r="A166" s="626" t="s">
        <v>3620</v>
      </c>
      <c r="B166" t="s">
        <v>3621</v>
      </c>
    </row>
    <row r="167" spans="1:2" x14ac:dyDescent="0.25">
      <c r="A167" s="626" t="s">
        <v>3622</v>
      </c>
      <c r="B167" t="s">
        <v>3623</v>
      </c>
    </row>
    <row r="168" spans="1:2" x14ac:dyDescent="0.25">
      <c r="A168" s="626" t="s">
        <v>3624</v>
      </c>
      <c r="B168" t="s">
        <v>3625</v>
      </c>
    </row>
    <row r="169" spans="1:2" x14ac:dyDescent="0.25">
      <c r="A169" s="626" t="s">
        <v>3626</v>
      </c>
      <c r="B169" t="s">
        <v>3627</v>
      </c>
    </row>
    <row r="170" spans="1:2" x14ac:dyDescent="0.25">
      <c r="A170" s="626" t="s">
        <v>3628</v>
      </c>
      <c r="B170" t="s">
        <v>3629</v>
      </c>
    </row>
    <row r="171" spans="1:2" x14ac:dyDescent="0.25">
      <c r="A171" s="626" t="s">
        <v>3630</v>
      </c>
      <c r="B171" t="s">
        <v>3631</v>
      </c>
    </row>
    <row r="172" spans="1:2" x14ac:dyDescent="0.25">
      <c r="A172" s="626" t="s">
        <v>3632</v>
      </c>
      <c r="B172" t="s">
        <v>3633</v>
      </c>
    </row>
    <row r="173" spans="1:2" x14ac:dyDescent="0.25">
      <c r="A173" s="626" t="s">
        <v>3634</v>
      </c>
      <c r="B173" t="s">
        <v>3635</v>
      </c>
    </row>
    <row r="174" spans="1:2" x14ac:dyDescent="0.25">
      <c r="A174" s="626" t="s">
        <v>3636</v>
      </c>
      <c r="B174" t="s">
        <v>3637</v>
      </c>
    </row>
    <row r="175" spans="1:2" x14ac:dyDescent="0.25">
      <c r="A175" s="626" t="s">
        <v>3638</v>
      </c>
      <c r="B175" t="s">
        <v>3639</v>
      </c>
    </row>
    <row r="176" spans="1:2" x14ac:dyDescent="0.25">
      <c r="A176" s="626" t="s">
        <v>3640</v>
      </c>
      <c r="B176" t="s">
        <v>3641</v>
      </c>
    </row>
    <row r="177" spans="1:2" x14ac:dyDescent="0.25">
      <c r="A177" s="626" t="s">
        <v>3642</v>
      </c>
      <c r="B177" t="s">
        <v>3643</v>
      </c>
    </row>
    <row r="178" spans="1:2" x14ac:dyDescent="0.25">
      <c r="A178" s="626" t="s">
        <v>3644</v>
      </c>
      <c r="B178" t="s">
        <v>3645</v>
      </c>
    </row>
    <row r="179" spans="1:2" x14ac:dyDescent="0.25">
      <c r="A179" s="626" t="s">
        <v>3646</v>
      </c>
      <c r="B179" t="s">
        <v>3647</v>
      </c>
    </row>
    <row r="180" spans="1:2" x14ac:dyDescent="0.25">
      <c r="A180" s="626" t="s">
        <v>3648</v>
      </c>
      <c r="B180" t="s">
        <v>3649</v>
      </c>
    </row>
    <row r="181" spans="1:2" x14ac:dyDescent="0.25">
      <c r="A181" s="626" t="s">
        <v>3650</v>
      </c>
      <c r="B181" t="s">
        <v>3651</v>
      </c>
    </row>
    <row r="182" spans="1:2" x14ac:dyDescent="0.25">
      <c r="A182" s="626" t="s">
        <v>3652</v>
      </c>
      <c r="B182" t="s">
        <v>3653</v>
      </c>
    </row>
    <row r="183" spans="1:2" x14ac:dyDescent="0.25">
      <c r="A183" s="626" t="s">
        <v>3654</v>
      </c>
      <c r="B183" t="s">
        <v>3655</v>
      </c>
    </row>
    <row r="184" spans="1:2" x14ac:dyDescent="0.25">
      <c r="A184" s="626" t="s">
        <v>3656</v>
      </c>
      <c r="B184" t="s">
        <v>3657</v>
      </c>
    </row>
    <row r="185" spans="1:2" x14ac:dyDescent="0.25">
      <c r="A185" s="626" t="s">
        <v>3658</v>
      </c>
      <c r="B185" t="s">
        <v>3659</v>
      </c>
    </row>
    <row r="186" spans="1:2" x14ac:dyDescent="0.25">
      <c r="A186" s="626" t="s">
        <v>3660</v>
      </c>
      <c r="B186" t="s">
        <v>3661</v>
      </c>
    </row>
    <row r="187" spans="1:2" x14ac:dyDescent="0.25">
      <c r="A187" s="626" t="s">
        <v>3662</v>
      </c>
      <c r="B187" t="s">
        <v>3663</v>
      </c>
    </row>
    <row r="188" spans="1:2" x14ac:dyDescent="0.25">
      <c r="A188" s="626" t="s">
        <v>3664</v>
      </c>
      <c r="B188" t="s">
        <v>3665</v>
      </c>
    </row>
    <row r="189" spans="1:2" x14ac:dyDescent="0.25">
      <c r="A189" s="626" t="s">
        <v>3666</v>
      </c>
      <c r="B189" t="s">
        <v>3667</v>
      </c>
    </row>
    <row r="190" spans="1:2" x14ac:dyDescent="0.25">
      <c r="A190" s="626" t="s">
        <v>3668</v>
      </c>
      <c r="B190" t="s">
        <v>3669</v>
      </c>
    </row>
    <row r="191" spans="1:2" x14ac:dyDescent="0.25">
      <c r="A191" s="626" t="s">
        <v>3670</v>
      </c>
      <c r="B191" t="s">
        <v>3671</v>
      </c>
    </row>
    <row r="192" spans="1:2" x14ac:dyDescent="0.25">
      <c r="A192" s="626" t="s">
        <v>3672</v>
      </c>
      <c r="B192" t="s">
        <v>3673</v>
      </c>
    </row>
    <row r="193" spans="1:2" x14ac:dyDescent="0.25">
      <c r="A193" s="626" t="s">
        <v>3674</v>
      </c>
      <c r="B193" t="s">
        <v>3675</v>
      </c>
    </row>
    <row r="194" spans="1:2" x14ac:dyDescent="0.25">
      <c r="A194" s="626" t="s">
        <v>3676</v>
      </c>
      <c r="B194" t="s">
        <v>3677</v>
      </c>
    </row>
    <row r="195" spans="1:2" x14ac:dyDescent="0.25">
      <c r="A195" s="626" t="s">
        <v>3678</v>
      </c>
      <c r="B195" t="s">
        <v>3679</v>
      </c>
    </row>
    <row r="196" spans="1:2" x14ac:dyDescent="0.25">
      <c r="A196" s="626" t="s">
        <v>3680</v>
      </c>
      <c r="B196" t="s">
        <v>3681</v>
      </c>
    </row>
    <row r="197" spans="1:2" x14ac:dyDescent="0.25">
      <c r="A197" s="626" t="s">
        <v>3682</v>
      </c>
      <c r="B197" t="s">
        <v>3683</v>
      </c>
    </row>
    <row r="198" spans="1:2" x14ac:dyDescent="0.25">
      <c r="A198" s="626" t="s">
        <v>3684</v>
      </c>
      <c r="B198" t="s">
        <v>3685</v>
      </c>
    </row>
    <row r="199" spans="1:2" x14ac:dyDescent="0.25">
      <c r="A199" s="626" t="s">
        <v>3686</v>
      </c>
      <c r="B199" t="s">
        <v>3687</v>
      </c>
    </row>
    <row r="200" spans="1:2" x14ac:dyDescent="0.25">
      <c r="A200" s="626" t="s">
        <v>3688</v>
      </c>
      <c r="B200" t="s">
        <v>3689</v>
      </c>
    </row>
    <row r="201" spans="1:2" x14ac:dyDescent="0.25">
      <c r="A201" s="626" t="s">
        <v>3690</v>
      </c>
      <c r="B201" t="s">
        <v>3691</v>
      </c>
    </row>
    <row r="202" spans="1:2" x14ac:dyDescent="0.25">
      <c r="A202" s="626" t="s">
        <v>3692</v>
      </c>
      <c r="B202" t="s">
        <v>3693</v>
      </c>
    </row>
    <row r="203" spans="1:2" x14ac:dyDescent="0.25">
      <c r="A203" s="626" t="s">
        <v>3694</v>
      </c>
      <c r="B203" t="s">
        <v>3695</v>
      </c>
    </row>
    <row r="204" spans="1:2" x14ac:dyDescent="0.25">
      <c r="A204" s="626" t="s">
        <v>3696</v>
      </c>
      <c r="B204" t="s">
        <v>3697</v>
      </c>
    </row>
    <row r="205" spans="1:2" x14ac:dyDescent="0.25">
      <c r="A205" s="626" t="s">
        <v>3698</v>
      </c>
      <c r="B205" t="s">
        <v>3699</v>
      </c>
    </row>
    <row r="206" spans="1:2" x14ac:dyDescent="0.25">
      <c r="A206" s="626" t="s">
        <v>3700</v>
      </c>
      <c r="B206" t="s">
        <v>3701</v>
      </c>
    </row>
    <row r="207" spans="1:2" x14ac:dyDescent="0.25">
      <c r="A207" s="626" t="s">
        <v>3702</v>
      </c>
      <c r="B207" t="s">
        <v>3703</v>
      </c>
    </row>
    <row r="208" spans="1:2" x14ac:dyDescent="0.25">
      <c r="A208" s="626" t="s">
        <v>3704</v>
      </c>
      <c r="B208" t="s">
        <v>3705</v>
      </c>
    </row>
    <row r="209" spans="1:2" x14ac:dyDescent="0.25">
      <c r="A209" s="626" t="s">
        <v>3706</v>
      </c>
      <c r="B209" t="s">
        <v>3707</v>
      </c>
    </row>
    <row r="210" spans="1:2" x14ac:dyDescent="0.25">
      <c r="A210" s="626" t="s">
        <v>3708</v>
      </c>
      <c r="B210" t="s">
        <v>3709</v>
      </c>
    </row>
    <row r="211" spans="1:2" x14ac:dyDescent="0.25">
      <c r="A211" s="626" t="s">
        <v>3710</v>
      </c>
      <c r="B211" t="s">
        <v>3711</v>
      </c>
    </row>
    <row r="212" spans="1:2" x14ac:dyDescent="0.25">
      <c r="A212" s="626" t="s">
        <v>3712</v>
      </c>
      <c r="B212" t="s">
        <v>3713</v>
      </c>
    </row>
    <row r="213" spans="1:2" x14ac:dyDescent="0.25">
      <c r="A213" s="626" t="s">
        <v>3714</v>
      </c>
      <c r="B213" t="s">
        <v>3715</v>
      </c>
    </row>
    <row r="214" spans="1:2" x14ac:dyDescent="0.25">
      <c r="A214" s="626" t="s">
        <v>3716</v>
      </c>
      <c r="B214" t="s">
        <v>3717</v>
      </c>
    </row>
    <row r="215" spans="1:2" x14ac:dyDescent="0.25">
      <c r="A215" s="626" t="s">
        <v>3718</v>
      </c>
      <c r="B215" t="s">
        <v>3719</v>
      </c>
    </row>
    <row r="216" spans="1:2" x14ac:dyDescent="0.25">
      <c r="A216" s="626" t="s">
        <v>3720</v>
      </c>
      <c r="B216" t="s">
        <v>3721</v>
      </c>
    </row>
    <row r="217" spans="1:2" x14ac:dyDescent="0.25">
      <c r="A217" s="626" t="s">
        <v>3722</v>
      </c>
      <c r="B217" t="s">
        <v>3723</v>
      </c>
    </row>
    <row r="218" spans="1:2" x14ac:dyDescent="0.25">
      <c r="A218" s="626" t="s">
        <v>3724</v>
      </c>
      <c r="B218" t="s">
        <v>3725</v>
      </c>
    </row>
    <row r="219" spans="1:2" x14ac:dyDescent="0.25">
      <c r="A219" s="626" t="s">
        <v>3726</v>
      </c>
      <c r="B219" t="s">
        <v>3727</v>
      </c>
    </row>
    <row r="220" spans="1:2" x14ac:dyDescent="0.25">
      <c r="A220" s="626" t="s">
        <v>3728</v>
      </c>
      <c r="B220" t="s">
        <v>3729</v>
      </c>
    </row>
    <row r="221" spans="1:2" x14ac:dyDescent="0.25">
      <c r="A221" s="626" t="s">
        <v>3730</v>
      </c>
      <c r="B221" t="s">
        <v>3731</v>
      </c>
    </row>
    <row r="222" spans="1:2" x14ac:dyDescent="0.25">
      <c r="A222" s="626" t="s">
        <v>3732</v>
      </c>
      <c r="B222" t="s">
        <v>3733</v>
      </c>
    </row>
    <row r="223" spans="1:2" x14ac:dyDescent="0.25">
      <c r="A223" s="626" t="s">
        <v>3734</v>
      </c>
      <c r="B223" t="s">
        <v>3735</v>
      </c>
    </row>
    <row r="224" spans="1:2" x14ac:dyDescent="0.25">
      <c r="A224" s="626" t="s">
        <v>3736</v>
      </c>
      <c r="B224" t="s">
        <v>3737</v>
      </c>
    </row>
    <row r="225" spans="1:2" x14ac:dyDescent="0.25">
      <c r="A225" s="626" t="s">
        <v>3738</v>
      </c>
      <c r="B225" t="s">
        <v>3739</v>
      </c>
    </row>
    <row r="226" spans="1:2" x14ac:dyDescent="0.25">
      <c r="A226" s="626" t="s">
        <v>3740</v>
      </c>
      <c r="B226" t="s">
        <v>3741</v>
      </c>
    </row>
    <row r="227" spans="1:2" x14ac:dyDescent="0.25">
      <c r="A227" s="626" t="s">
        <v>3742</v>
      </c>
      <c r="B227" t="s">
        <v>3743</v>
      </c>
    </row>
    <row r="228" spans="1:2" x14ac:dyDescent="0.25">
      <c r="A228" s="626" t="s">
        <v>3744</v>
      </c>
      <c r="B228" t="s">
        <v>3745</v>
      </c>
    </row>
    <row r="229" spans="1:2" x14ac:dyDescent="0.25">
      <c r="A229" s="626" t="s">
        <v>3746</v>
      </c>
      <c r="B229" t="s">
        <v>3747</v>
      </c>
    </row>
    <row r="230" spans="1:2" x14ac:dyDescent="0.25">
      <c r="A230" s="626" t="s">
        <v>3748</v>
      </c>
      <c r="B230" t="s">
        <v>3749</v>
      </c>
    </row>
    <row r="231" spans="1:2" x14ac:dyDescent="0.25">
      <c r="A231" s="626" t="s">
        <v>3750</v>
      </c>
      <c r="B231" t="s">
        <v>3751</v>
      </c>
    </row>
    <row r="232" spans="1:2" x14ac:dyDescent="0.25">
      <c r="A232" s="626" t="s">
        <v>3752</v>
      </c>
      <c r="B232" t="s">
        <v>3753</v>
      </c>
    </row>
    <row r="233" spans="1:2" x14ac:dyDescent="0.25">
      <c r="A233" s="626" t="s">
        <v>3754</v>
      </c>
      <c r="B233" t="s">
        <v>3755</v>
      </c>
    </row>
    <row r="234" spans="1:2" x14ac:dyDescent="0.25">
      <c r="A234" s="626" t="s">
        <v>3756</v>
      </c>
      <c r="B234" t="s">
        <v>3757</v>
      </c>
    </row>
    <row r="235" spans="1:2" x14ac:dyDescent="0.25">
      <c r="A235" s="626" t="s">
        <v>3758</v>
      </c>
      <c r="B235" t="s">
        <v>3759</v>
      </c>
    </row>
    <row r="236" spans="1:2" x14ac:dyDescent="0.25">
      <c r="A236" s="626" t="s">
        <v>3760</v>
      </c>
      <c r="B236" t="s">
        <v>3761</v>
      </c>
    </row>
    <row r="237" spans="1:2" x14ac:dyDescent="0.25">
      <c r="A237" s="626" t="s">
        <v>3762</v>
      </c>
      <c r="B237" t="s">
        <v>3763</v>
      </c>
    </row>
    <row r="238" spans="1:2" x14ac:dyDescent="0.25">
      <c r="A238" s="626" t="s">
        <v>3764</v>
      </c>
      <c r="B238" t="s">
        <v>3765</v>
      </c>
    </row>
    <row r="239" spans="1:2" x14ac:dyDescent="0.25">
      <c r="A239" s="626" t="s">
        <v>3766</v>
      </c>
      <c r="B239" t="s">
        <v>3767</v>
      </c>
    </row>
    <row r="240" spans="1:2" x14ac:dyDescent="0.25">
      <c r="A240" s="626" t="s">
        <v>3768</v>
      </c>
      <c r="B240" t="s">
        <v>3769</v>
      </c>
    </row>
    <row r="241" spans="1:2" x14ac:dyDescent="0.25">
      <c r="A241" s="626" t="s">
        <v>3770</v>
      </c>
      <c r="B241" t="s">
        <v>3771</v>
      </c>
    </row>
    <row r="242" spans="1:2" x14ac:dyDescent="0.25">
      <c r="A242" s="626" t="s">
        <v>3772</v>
      </c>
      <c r="B242" t="s">
        <v>3773</v>
      </c>
    </row>
    <row r="243" spans="1:2" x14ac:dyDescent="0.25">
      <c r="A243" s="626" t="s">
        <v>3774</v>
      </c>
      <c r="B243" t="s">
        <v>3775</v>
      </c>
    </row>
    <row r="244" spans="1:2" x14ac:dyDescent="0.25">
      <c r="A244" s="626" t="s">
        <v>3776</v>
      </c>
      <c r="B244" t="s">
        <v>3777</v>
      </c>
    </row>
    <row r="245" spans="1:2" x14ac:dyDescent="0.25">
      <c r="A245" s="626" t="s">
        <v>3778</v>
      </c>
      <c r="B245" t="s">
        <v>3779</v>
      </c>
    </row>
    <row r="246" spans="1:2" x14ac:dyDescent="0.25">
      <c r="A246" s="626" t="s">
        <v>3780</v>
      </c>
      <c r="B246" t="s">
        <v>3781</v>
      </c>
    </row>
    <row r="247" spans="1:2" x14ac:dyDescent="0.25">
      <c r="A247" s="626" t="s">
        <v>3782</v>
      </c>
      <c r="B247" t="s">
        <v>3783</v>
      </c>
    </row>
    <row r="248" spans="1:2" x14ac:dyDescent="0.25">
      <c r="A248" s="626" t="s">
        <v>3784</v>
      </c>
      <c r="B248" t="s">
        <v>3785</v>
      </c>
    </row>
    <row r="249" spans="1:2" x14ac:dyDescent="0.25">
      <c r="A249" s="626" t="s">
        <v>3786</v>
      </c>
      <c r="B249" t="s">
        <v>3787</v>
      </c>
    </row>
    <row r="250" spans="1:2" x14ac:dyDescent="0.25">
      <c r="A250" s="626" t="s">
        <v>3788</v>
      </c>
      <c r="B250" t="s">
        <v>3789</v>
      </c>
    </row>
    <row r="251" spans="1:2" x14ac:dyDescent="0.25">
      <c r="A251" s="626" t="s">
        <v>3790</v>
      </c>
      <c r="B251" t="s">
        <v>3791</v>
      </c>
    </row>
    <row r="252" spans="1:2" x14ac:dyDescent="0.25">
      <c r="A252" s="626" t="s">
        <v>3792</v>
      </c>
      <c r="B252" t="s">
        <v>3793</v>
      </c>
    </row>
    <row r="253" spans="1:2" x14ac:dyDescent="0.25">
      <c r="A253" s="626" t="s">
        <v>3794</v>
      </c>
      <c r="B253" t="s">
        <v>3795</v>
      </c>
    </row>
    <row r="254" spans="1:2" x14ac:dyDescent="0.25">
      <c r="A254" s="626" t="s">
        <v>3796</v>
      </c>
      <c r="B254" t="s">
        <v>3797</v>
      </c>
    </row>
    <row r="255" spans="1:2" x14ac:dyDescent="0.25">
      <c r="A255" s="626" t="s">
        <v>3798</v>
      </c>
      <c r="B255" t="s">
        <v>3799</v>
      </c>
    </row>
    <row r="256" spans="1:2" x14ac:dyDescent="0.25">
      <c r="A256" s="626" t="s">
        <v>3800</v>
      </c>
      <c r="B256" t="s">
        <v>3801</v>
      </c>
    </row>
    <row r="257" spans="1:2" x14ac:dyDescent="0.25">
      <c r="A257" s="626" t="s">
        <v>3802</v>
      </c>
      <c r="B257" t="s">
        <v>3803</v>
      </c>
    </row>
    <row r="258" spans="1:2" x14ac:dyDescent="0.25">
      <c r="A258" s="626" t="s">
        <v>3804</v>
      </c>
      <c r="B258" t="s">
        <v>3805</v>
      </c>
    </row>
    <row r="259" spans="1:2" x14ac:dyDescent="0.25">
      <c r="A259" s="626" t="s">
        <v>3806</v>
      </c>
      <c r="B259" t="s">
        <v>3807</v>
      </c>
    </row>
    <row r="260" spans="1:2" x14ac:dyDescent="0.25">
      <c r="A260" s="626" t="s">
        <v>3808</v>
      </c>
      <c r="B260" t="s">
        <v>3809</v>
      </c>
    </row>
    <row r="261" spans="1:2" x14ac:dyDescent="0.25">
      <c r="A261" s="626" t="s">
        <v>3810</v>
      </c>
      <c r="B261" t="s">
        <v>3811</v>
      </c>
    </row>
    <row r="262" spans="1:2" x14ac:dyDescent="0.25">
      <c r="A262" s="626" t="s">
        <v>3812</v>
      </c>
      <c r="B262" t="s">
        <v>3813</v>
      </c>
    </row>
    <row r="263" spans="1:2" x14ac:dyDescent="0.25">
      <c r="A263" s="626" t="s">
        <v>3814</v>
      </c>
      <c r="B263" t="s">
        <v>3815</v>
      </c>
    </row>
    <row r="264" spans="1:2" x14ac:dyDescent="0.25">
      <c r="A264" s="626" t="s">
        <v>3816</v>
      </c>
      <c r="B264" t="s">
        <v>3817</v>
      </c>
    </row>
    <row r="265" spans="1:2" x14ac:dyDescent="0.25">
      <c r="A265" s="626" t="s">
        <v>3818</v>
      </c>
      <c r="B265" t="s">
        <v>3819</v>
      </c>
    </row>
    <row r="266" spans="1:2" x14ac:dyDescent="0.25">
      <c r="A266" s="626" t="s">
        <v>3820</v>
      </c>
      <c r="B266" t="s">
        <v>3821</v>
      </c>
    </row>
    <row r="267" spans="1:2" x14ac:dyDescent="0.25">
      <c r="A267" s="626" t="s">
        <v>3822</v>
      </c>
      <c r="B267" t="s">
        <v>3823</v>
      </c>
    </row>
    <row r="268" spans="1:2" x14ac:dyDescent="0.25">
      <c r="A268" s="626" t="s">
        <v>3824</v>
      </c>
      <c r="B268" t="s">
        <v>3825</v>
      </c>
    </row>
    <row r="269" spans="1:2" x14ac:dyDescent="0.25">
      <c r="A269" s="626" t="s">
        <v>3826</v>
      </c>
      <c r="B269" t="s">
        <v>3827</v>
      </c>
    </row>
    <row r="270" spans="1:2" x14ac:dyDescent="0.25">
      <c r="A270" s="626" t="s">
        <v>3828</v>
      </c>
      <c r="B270" t="s">
        <v>3829</v>
      </c>
    </row>
    <row r="271" spans="1:2" x14ac:dyDescent="0.25">
      <c r="A271" s="626" t="s">
        <v>3830</v>
      </c>
      <c r="B271" t="s">
        <v>3831</v>
      </c>
    </row>
    <row r="272" spans="1:2" x14ac:dyDescent="0.25">
      <c r="A272" s="626" t="s">
        <v>3832</v>
      </c>
      <c r="B272" t="s">
        <v>3833</v>
      </c>
    </row>
    <row r="273" spans="1:2" x14ac:dyDescent="0.25">
      <c r="A273" s="626" t="s">
        <v>3834</v>
      </c>
      <c r="B273" t="s">
        <v>3835</v>
      </c>
    </row>
    <row r="274" spans="1:2" x14ac:dyDescent="0.25">
      <c r="A274" s="626" t="s">
        <v>3836</v>
      </c>
      <c r="B274" t="s">
        <v>3837</v>
      </c>
    </row>
    <row r="275" spans="1:2" x14ac:dyDescent="0.25">
      <c r="A275" s="626" t="s">
        <v>3838</v>
      </c>
      <c r="B275" t="s">
        <v>3839</v>
      </c>
    </row>
    <row r="276" spans="1:2" x14ac:dyDescent="0.25">
      <c r="A276" s="626" t="s">
        <v>3840</v>
      </c>
      <c r="B276" t="s">
        <v>3841</v>
      </c>
    </row>
    <row r="277" spans="1:2" x14ac:dyDescent="0.25">
      <c r="A277" s="626" t="s">
        <v>3842</v>
      </c>
      <c r="B277" t="s">
        <v>3843</v>
      </c>
    </row>
    <row r="278" spans="1:2" x14ac:dyDescent="0.25">
      <c r="A278" s="626" t="s">
        <v>3844</v>
      </c>
      <c r="B278" t="s">
        <v>3845</v>
      </c>
    </row>
    <row r="279" spans="1:2" x14ac:dyDescent="0.25">
      <c r="A279" s="626" t="s">
        <v>3846</v>
      </c>
      <c r="B279" t="s">
        <v>3847</v>
      </c>
    </row>
    <row r="280" spans="1:2" x14ac:dyDescent="0.25">
      <c r="A280" s="626" t="s">
        <v>3848</v>
      </c>
      <c r="B280" t="s">
        <v>3849</v>
      </c>
    </row>
    <row r="281" spans="1:2" x14ac:dyDescent="0.25">
      <c r="A281" s="626" t="s">
        <v>3850</v>
      </c>
      <c r="B281" t="s">
        <v>3851</v>
      </c>
    </row>
    <row r="282" spans="1:2" x14ac:dyDescent="0.25">
      <c r="A282" s="626" t="s">
        <v>3852</v>
      </c>
      <c r="B282" t="s">
        <v>3853</v>
      </c>
    </row>
    <row r="283" spans="1:2" x14ac:dyDescent="0.25">
      <c r="A283" s="626" t="s">
        <v>3854</v>
      </c>
      <c r="B283" t="s">
        <v>3855</v>
      </c>
    </row>
    <row r="284" spans="1:2" x14ac:dyDescent="0.25">
      <c r="A284" s="626" t="s">
        <v>3856</v>
      </c>
      <c r="B284" t="s">
        <v>3857</v>
      </c>
    </row>
    <row r="285" spans="1:2" x14ac:dyDescent="0.25">
      <c r="A285" s="626" t="s">
        <v>3858</v>
      </c>
      <c r="B285" t="s">
        <v>3859</v>
      </c>
    </row>
    <row r="286" spans="1:2" x14ac:dyDescent="0.25">
      <c r="A286" s="626" t="s">
        <v>3860</v>
      </c>
      <c r="B286" t="s">
        <v>3861</v>
      </c>
    </row>
    <row r="287" spans="1:2" x14ac:dyDescent="0.25">
      <c r="A287" s="626" t="s">
        <v>3862</v>
      </c>
      <c r="B287" t="s">
        <v>3863</v>
      </c>
    </row>
    <row r="288" spans="1:2" x14ac:dyDescent="0.25">
      <c r="A288" s="626" t="s">
        <v>3864</v>
      </c>
      <c r="B288" t="s">
        <v>3865</v>
      </c>
    </row>
    <row r="289" spans="1:2" x14ac:dyDescent="0.25">
      <c r="A289" s="626" t="s">
        <v>3866</v>
      </c>
      <c r="B289" t="s">
        <v>3867</v>
      </c>
    </row>
    <row r="290" spans="1:2" x14ac:dyDescent="0.25">
      <c r="A290" s="626" t="s">
        <v>3868</v>
      </c>
      <c r="B290" t="s">
        <v>3869</v>
      </c>
    </row>
    <row r="291" spans="1:2" x14ac:dyDescent="0.25">
      <c r="A291" s="626" t="s">
        <v>3870</v>
      </c>
      <c r="B291" t="s">
        <v>3871</v>
      </c>
    </row>
    <row r="292" spans="1:2" x14ac:dyDescent="0.25">
      <c r="A292" s="626" t="s">
        <v>3872</v>
      </c>
      <c r="B292" t="s">
        <v>3873</v>
      </c>
    </row>
    <row r="293" spans="1:2" x14ac:dyDescent="0.25">
      <c r="A293" s="626" t="s">
        <v>3874</v>
      </c>
      <c r="B293" t="s">
        <v>3875</v>
      </c>
    </row>
    <row r="294" spans="1:2" x14ac:dyDescent="0.25">
      <c r="A294" s="626" t="s">
        <v>3876</v>
      </c>
      <c r="B294" t="s">
        <v>3877</v>
      </c>
    </row>
    <row r="295" spans="1:2" x14ac:dyDescent="0.25">
      <c r="A295" s="626" t="s">
        <v>3878</v>
      </c>
      <c r="B295" t="s">
        <v>3879</v>
      </c>
    </row>
    <row r="296" spans="1:2" x14ac:dyDescent="0.25">
      <c r="A296" s="626" t="s">
        <v>3880</v>
      </c>
      <c r="B296" t="s">
        <v>3881</v>
      </c>
    </row>
    <row r="297" spans="1:2" x14ac:dyDescent="0.25">
      <c r="A297" s="626" t="s">
        <v>3882</v>
      </c>
      <c r="B297" t="s">
        <v>3883</v>
      </c>
    </row>
    <row r="298" spans="1:2" x14ac:dyDescent="0.25">
      <c r="A298" s="626" t="s">
        <v>3884</v>
      </c>
      <c r="B298" t="s">
        <v>3885</v>
      </c>
    </row>
    <row r="299" spans="1:2" x14ac:dyDescent="0.25">
      <c r="A299" s="626" t="s">
        <v>3886</v>
      </c>
      <c r="B299" t="s">
        <v>3887</v>
      </c>
    </row>
    <row r="300" spans="1:2" x14ac:dyDescent="0.25">
      <c r="A300" s="626" t="s">
        <v>3888</v>
      </c>
      <c r="B300" t="s">
        <v>3889</v>
      </c>
    </row>
    <row r="301" spans="1:2" x14ac:dyDescent="0.25">
      <c r="A301" s="626" t="s">
        <v>3890</v>
      </c>
      <c r="B301" t="s">
        <v>3891</v>
      </c>
    </row>
    <row r="302" spans="1:2" x14ac:dyDescent="0.25">
      <c r="A302" s="626" t="s">
        <v>3892</v>
      </c>
      <c r="B302" t="s">
        <v>3893</v>
      </c>
    </row>
    <row r="303" spans="1:2" x14ac:dyDescent="0.25">
      <c r="A303" s="626" t="s">
        <v>3894</v>
      </c>
      <c r="B303" t="s">
        <v>3895</v>
      </c>
    </row>
    <row r="304" spans="1:2" x14ac:dyDescent="0.25">
      <c r="A304" s="626" t="s">
        <v>3896</v>
      </c>
      <c r="B304" t="s">
        <v>3897</v>
      </c>
    </row>
    <row r="305" spans="1:2" x14ac:dyDescent="0.25">
      <c r="A305" s="626" t="s">
        <v>3898</v>
      </c>
      <c r="B305" t="s">
        <v>3899</v>
      </c>
    </row>
    <row r="306" spans="1:2" x14ac:dyDescent="0.25">
      <c r="A306" s="626" t="s">
        <v>3900</v>
      </c>
      <c r="B306" t="s">
        <v>3901</v>
      </c>
    </row>
    <row r="307" spans="1:2" x14ac:dyDescent="0.25">
      <c r="A307" s="626" t="s">
        <v>3902</v>
      </c>
      <c r="B307" t="s">
        <v>3903</v>
      </c>
    </row>
    <row r="308" spans="1:2" x14ac:dyDescent="0.25">
      <c r="A308" s="626" t="s">
        <v>3904</v>
      </c>
      <c r="B308" t="s">
        <v>3905</v>
      </c>
    </row>
    <row r="309" spans="1:2" x14ac:dyDescent="0.25">
      <c r="A309" s="626" t="s">
        <v>3906</v>
      </c>
      <c r="B309" t="s">
        <v>3907</v>
      </c>
    </row>
    <row r="310" spans="1:2" x14ac:dyDescent="0.25">
      <c r="A310" s="626" t="s">
        <v>3908</v>
      </c>
      <c r="B310" t="s">
        <v>3909</v>
      </c>
    </row>
    <row r="311" spans="1:2" x14ac:dyDescent="0.25">
      <c r="A311" s="626" t="s">
        <v>3910</v>
      </c>
      <c r="B311" t="s">
        <v>3911</v>
      </c>
    </row>
    <row r="312" spans="1:2" x14ac:dyDescent="0.25">
      <c r="A312" s="626" t="s">
        <v>3912</v>
      </c>
      <c r="B312" t="s">
        <v>3913</v>
      </c>
    </row>
    <row r="313" spans="1:2" x14ac:dyDescent="0.25">
      <c r="A313" s="626" t="s">
        <v>3914</v>
      </c>
      <c r="B313" t="s">
        <v>3915</v>
      </c>
    </row>
    <row r="314" spans="1:2" x14ac:dyDescent="0.25">
      <c r="A314" s="626" t="s">
        <v>3916</v>
      </c>
      <c r="B314" t="s">
        <v>3917</v>
      </c>
    </row>
    <row r="315" spans="1:2" x14ac:dyDescent="0.25">
      <c r="A315" s="626" t="s">
        <v>3918</v>
      </c>
      <c r="B315" t="s">
        <v>3919</v>
      </c>
    </row>
    <row r="316" spans="1:2" x14ac:dyDescent="0.25">
      <c r="A316" s="626" t="s">
        <v>3920</v>
      </c>
      <c r="B316" t="s">
        <v>3921</v>
      </c>
    </row>
    <row r="317" spans="1:2" x14ac:dyDescent="0.25">
      <c r="A317" s="626" t="s">
        <v>3922</v>
      </c>
      <c r="B317" t="s">
        <v>3923</v>
      </c>
    </row>
    <row r="318" spans="1:2" x14ac:dyDescent="0.25">
      <c r="A318" s="626" t="s">
        <v>3924</v>
      </c>
      <c r="B318" t="s">
        <v>3925</v>
      </c>
    </row>
    <row r="319" spans="1:2" x14ac:dyDescent="0.25">
      <c r="A319" s="626" t="s">
        <v>3926</v>
      </c>
      <c r="B319" t="s">
        <v>3927</v>
      </c>
    </row>
    <row r="320" spans="1:2" x14ac:dyDescent="0.25">
      <c r="A320" s="626" t="s">
        <v>3928</v>
      </c>
      <c r="B320" t="s">
        <v>3929</v>
      </c>
    </row>
    <row r="321" spans="1:2" x14ac:dyDescent="0.25">
      <c r="A321" s="626" t="s">
        <v>3930</v>
      </c>
      <c r="B321" t="s">
        <v>3931</v>
      </c>
    </row>
    <row r="322" spans="1:2" x14ac:dyDescent="0.25">
      <c r="A322" s="626" t="s">
        <v>3932</v>
      </c>
      <c r="B322" t="s">
        <v>3933</v>
      </c>
    </row>
    <row r="323" spans="1:2" x14ac:dyDescent="0.25">
      <c r="A323" s="626" t="s">
        <v>3934</v>
      </c>
      <c r="B323" t="s">
        <v>3935</v>
      </c>
    </row>
    <row r="324" spans="1:2" x14ac:dyDescent="0.25">
      <c r="A324" s="626" t="s">
        <v>3936</v>
      </c>
      <c r="B324" t="s">
        <v>3937</v>
      </c>
    </row>
    <row r="325" spans="1:2" x14ac:dyDescent="0.25">
      <c r="A325" s="626" t="s">
        <v>3938</v>
      </c>
      <c r="B325" t="s">
        <v>3939</v>
      </c>
    </row>
    <row r="326" spans="1:2" x14ac:dyDescent="0.25">
      <c r="A326" s="626" t="s">
        <v>3940</v>
      </c>
      <c r="B326" t="s">
        <v>3941</v>
      </c>
    </row>
    <row r="327" spans="1:2" x14ac:dyDescent="0.25">
      <c r="A327" s="626" t="s">
        <v>3942</v>
      </c>
      <c r="B327" t="s">
        <v>3943</v>
      </c>
    </row>
    <row r="328" spans="1:2" x14ac:dyDescent="0.25">
      <c r="A328" s="626" t="s">
        <v>3944</v>
      </c>
      <c r="B328" t="s">
        <v>3945</v>
      </c>
    </row>
    <row r="329" spans="1:2" x14ac:dyDescent="0.25">
      <c r="A329" s="626" t="s">
        <v>3946</v>
      </c>
      <c r="B329" t="s">
        <v>3947</v>
      </c>
    </row>
    <row r="330" spans="1:2" x14ac:dyDescent="0.25">
      <c r="A330" s="626" t="s">
        <v>3948</v>
      </c>
      <c r="B330" t="s">
        <v>3949</v>
      </c>
    </row>
    <row r="331" spans="1:2" x14ac:dyDescent="0.25">
      <c r="A331" s="626" t="s">
        <v>3950</v>
      </c>
      <c r="B331" t="s">
        <v>3951</v>
      </c>
    </row>
    <row r="332" spans="1:2" x14ac:dyDescent="0.25">
      <c r="A332" s="626" t="s">
        <v>3952</v>
      </c>
      <c r="B332" t="s">
        <v>3953</v>
      </c>
    </row>
    <row r="333" spans="1:2" x14ac:dyDescent="0.25">
      <c r="A333" s="626" t="s">
        <v>3954</v>
      </c>
      <c r="B333" t="s">
        <v>3955</v>
      </c>
    </row>
    <row r="334" spans="1:2" x14ac:dyDescent="0.25">
      <c r="A334" s="626" t="s">
        <v>3956</v>
      </c>
      <c r="B334" t="s">
        <v>3957</v>
      </c>
    </row>
    <row r="335" spans="1:2" x14ac:dyDescent="0.25">
      <c r="A335" s="626" t="s">
        <v>3958</v>
      </c>
      <c r="B335" t="s">
        <v>3959</v>
      </c>
    </row>
    <row r="336" spans="1:2" x14ac:dyDescent="0.25">
      <c r="A336" s="626" t="s">
        <v>3960</v>
      </c>
      <c r="B336" t="s">
        <v>3961</v>
      </c>
    </row>
    <row r="337" spans="1:2" x14ac:dyDescent="0.25">
      <c r="A337" s="626" t="s">
        <v>3962</v>
      </c>
      <c r="B337" t="s">
        <v>3963</v>
      </c>
    </row>
    <row r="338" spans="1:2" x14ac:dyDescent="0.25">
      <c r="A338" s="626" t="s">
        <v>3964</v>
      </c>
      <c r="B338" t="s">
        <v>3965</v>
      </c>
    </row>
    <row r="339" spans="1:2" x14ac:dyDescent="0.25">
      <c r="A339" s="626" t="s">
        <v>3966</v>
      </c>
      <c r="B339" t="s">
        <v>3967</v>
      </c>
    </row>
    <row r="340" spans="1:2" x14ac:dyDescent="0.25">
      <c r="A340" s="626" t="s">
        <v>3968</v>
      </c>
      <c r="B340" t="s">
        <v>3969</v>
      </c>
    </row>
    <row r="341" spans="1:2" x14ac:dyDescent="0.25">
      <c r="A341" s="626" t="s">
        <v>3970</v>
      </c>
      <c r="B341" t="s">
        <v>3971</v>
      </c>
    </row>
    <row r="342" spans="1:2" x14ac:dyDescent="0.25">
      <c r="A342" s="626" t="s">
        <v>3972</v>
      </c>
      <c r="B342" t="s">
        <v>3973</v>
      </c>
    </row>
    <row r="343" spans="1:2" x14ac:dyDescent="0.25">
      <c r="A343" s="626" t="s">
        <v>3974</v>
      </c>
      <c r="B343" t="s">
        <v>3975</v>
      </c>
    </row>
    <row r="344" spans="1:2" x14ac:dyDescent="0.25">
      <c r="A344" s="626" t="s">
        <v>3976</v>
      </c>
      <c r="B344" t="s">
        <v>3977</v>
      </c>
    </row>
    <row r="345" spans="1:2" x14ac:dyDescent="0.25">
      <c r="A345" s="626" t="s">
        <v>3978</v>
      </c>
      <c r="B345" t="s">
        <v>3979</v>
      </c>
    </row>
    <row r="346" spans="1:2" x14ac:dyDescent="0.25">
      <c r="A346" s="626" t="s">
        <v>3980</v>
      </c>
      <c r="B346" t="s">
        <v>3981</v>
      </c>
    </row>
    <row r="347" spans="1:2" x14ac:dyDescent="0.25">
      <c r="A347" s="626" t="s">
        <v>3982</v>
      </c>
      <c r="B347" t="s">
        <v>3983</v>
      </c>
    </row>
    <row r="348" spans="1:2" x14ac:dyDescent="0.25">
      <c r="A348" s="626" t="s">
        <v>3984</v>
      </c>
      <c r="B348" t="s">
        <v>3985</v>
      </c>
    </row>
    <row r="349" spans="1:2" x14ac:dyDescent="0.25">
      <c r="A349" s="626" t="s">
        <v>3986</v>
      </c>
      <c r="B349" t="s">
        <v>3987</v>
      </c>
    </row>
    <row r="350" spans="1:2" x14ac:dyDescent="0.25">
      <c r="A350" s="626" t="s">
        <v>3988</v>
      </c>
      <c r="B350" t="s">
        <v>3989</v>
      </c>
    </row>
    <row r="351" spans="1:2" x14ac:dyDescent="0.25">
      <c r="A351" s="626" t="s">
        <v>3990</v>
      </c>
      <c r="B351" t="s">
        <v>3991</v>
      </c>
    </row>
    <row r="352" spans="1:2" x14ac:dyDescent="0.25">
      <c r="A352" s="626" t="s">
        <v>3992</v>
      </c>
      <c r="B352" t="s">
        <v>3993</v>
      </c>
    </row>
    <row r="353" spans="1:2" x14ac:dyDescent="0.25">
      <c r="A353" s="626" t="s">
        <v>3994</v>
      </c>
      <c r="B353" t="s">
        <v>3995</v>
      </c>
    </row>
    <row r="354" spans="1:2" x14ac:dyDescent="0.25">
      <c r="A354" s="626" t="s">
        <v>3996</v>
      </c>
      <c r="B354" t="s">
        <v>3997</v>
      </c>
    </row>
    <row r="355" spans="1:2" x14ac:dyDescent="0.25">
      <c r="A355" s="626" t="s">
        <v>3998</v>
      </c>
      <c r="B355" t="s">
        <v>3999</v>
      </c>
    </row>
    <row r="356" spans="1:2" x14ac:dyDescent="0.25">
      <c r="A356" s="626" t="s">
        <v>4000</v>
      </c>
      <c r="B356" t="s">
        <v>4001</v>
      </c>
    </row>
    <row r="357" spans="1:2" x14ac:dyDescent="0.25">
      <c r="A357" s="626" t="s">
        <v>4002</v>
      </c>
      <c r="B357" t="s">
        <v>4003</v>
      </c>
    </row>
    <row r="358" spans="1:2" x14ac:dyDescent="0.25">
      <c r="A358" s="626" t="s">
        <v>4004</v>
      </c>
      <c r="B358" t="s">
        <v>4005</v>
      </c>
    </row>
    <row r="359" spans="1:2" x14ac:dyDescent="0.25">
      <c r="A359" s="626" t="s">
        <v>4006</v>
      </c>
      <c r="B359" t="s">
        <v>4007</v>
      </c>
    </row>
    <row r="360" spans="1:2" x14ac:dyDescent="0.25">
      <c r="A360" s="626" t="s">
        <v>4008</v>
      </c>
      <c r="B360" t="s">
        <v>4009</v>
      </c>
    </row>
    <row r="361" spans="1:2" x14ac:dyDescent="0.25">
      <c r="A361" s="626" t="s">
        <v>4010</v>
      </c>
      <c r="B361" t="s">
        <v>4011</v>
      </c>
    </row>
    <row r="362" spans="1:2" x14ac:dyDescent="0.25">
      <c r="A362" s="626" t="s">
        <v>4012</v>
      </c>
      <c r="B362" t="s">
        <v>4013</v>
      </c>
    </row>
    <row r="363" spans="1:2" x14ac:dyDescent="0.25">
      <c r="A363" s="626" t="s">
        <v>4014</v>
      </c>
      <c r="B363" t="s">
        <v>4015</v>
      </c>
    </row>
    <row r="364" spans="1:2" x14ac:dyDescent="0.25">
      <c r="A364" s="626" t="s">
        <v>4016</v>
      </c>
      <c r="B364" t="s">
        <v>4017</v>
      </c>
    </row>
    <row r="365" spans="1:2" x14ac:dyDescent="0.25">
      <c r="A365" s="626" t="s">
        <v>4018</v>
      </c>
      <c r="B365" t="s">
        <v>4019</v>
      </c>
    </row>
    <row r="366" spans="1:2" x14ac:dyDescent="0.25">
      <c r="A366" s="626" t="s">
        <v>4020</v>
      </c>
      <c r="B366" t="s">
        <v>4021</v>
      </c>
    </row>
    <row r="367" spans="1:2" x14ac:dyDescent="0.25">
      <c r="A367" s="626" t="s">
        <v>4022</v>
      </c>
      <c r="B367" t="s">
        <v>4023</v>
      </c>
    </row>
    <row r="368" spans="1:2" x14ac:dyDescent="0.25">
      <c r="A368" s="626" t="s">
        <v>4024</v>
      </c>
      <c r="B368" t="s">
        <v>4025</v>
      </c>
    </row>
    <row r="369" spans="1:2" x14ac:dyDescent="0.25">
      <c r="A369" s="626" t="s">
        <v>4026</v>
      </c>
      <c r="B369" t="s">
        <v>4027</v>
      </c>
    </row>
    <row r="370" spans="1:2" x14ac:dyDescent="0.25">
      <c r="A370" s="626" t="s">
        <v>4028</v>
      </c>
      <c r="B370" t="s">
        <v>4029</v>
      </c>
    </row>
    <row r="371" spans="1:2" x14ac:dyDescent="0.25">
      <c r="A371" s="626" t="s">
        <v>4030</v>
      </c>
      <c r="B371" t="s">
        <v>4031</v>
      </c>
    </row>
    <row r="372" spans="1:2" x14ac:dyDescent="0.25">
      <c r="A372" s="626" t="s">
        <v>4032</v>
      </c>
      <c r="B372" t="s">
        <v>4033</v>
      </c>
    </row>
    <row r="373" spans="1:2" x14ac:dyDescent="0.25">
      <c r="A373" s="626" t="s">
        <v>4034</v>
      </c>
      <c r="B373" t="s">
        <v>4035</v>
      </c>
    </row>
    <row r="374" spans="1:2" x14ac:dyDescent="0.25">
      <c r="A374" s="626" t="s">
        <v>4036</v>
      </c>
      <c r="B374" t="s">
        <v>4037</v>
      </c>
    </row>
    <row r="375" spans="1:2" x14ac:dyDescent="0.25">
      <c r="A375" s="626" t="s">
        <v>4038</v>
      </c>
      <c r="B375" t="s">
        <v>4039</v>
      </c>
    </row>
    <row r="376" spans="1:2" x14ac:dyDescent="0.25">
      <c r="A376" s="626" t="s">
        <v>4040</v>
      </c>
      <c r="B376" t="s">
        <v>4041</v>
      </c>
    </row>
    <row r="377" spans="1:2" x14ac:dyDescent="0.25">
      <c r="A377" s="626" t="s">
        <v>4042</v>
      </c>
      <c r="B377" t="s">
        <v>4043</v>
      </c>
    </row>
    <row r="378" spans="1:2" x14ac:dyDescent="0.25">
      <c r="A378" s="626" t="s">
        <v>4044</v>
      </c>
      <c r="B378" t="s">
        <v>4045</v>
      </c>
    </row>
    <row r="379" spans="1:2" x14ac:dyDescent="0.25">
      <c r="A379" s="626" t="s">
        <v>4046</v>
      </c>
      <c r="B379" t="s">
        <v>4047</v>
      </c>
    </row>
    <row r="380" spans="1:2" x14ac:dyDescent="0.25">
      <c r="A380" s="626" t="s">
        <v>4048</v>
      </c>
      <c r="B380" t="s">
        <v>4049</v>
      </c>
    </row>
    <row r="381" spans="1:2" x14ac:dyDescent="0.25">
      <c r="A381" s="626" t="s">
        <v>4050</v>
      </c>
      <c r="B381" t="s">
        <v>4051</v>
      </c>
    </row>
    <row r="382" spans="1:2" x14ac:dyDescent="0.25">
      <c r="A382" s="626" t="s">
        <v>4052</v>
      </c>
      <c r="B382" t="s">
        <v>4053</v>
      </c>
    </row>
    <row r="383" spans="1:2" x14ac:dyDescent="0.25">
      <c r="A383" s="626" t="s">
        <v>4054</v>
      </c>
      <c r="B383" t="s">
        <v>4055</v>
      </c>
    </row>
    <row r="384" spans="1:2" x14ac:dyDescent="0.25">
      <c r="A384" s="626" t="s">
        <v>4056</v>
      </c>
      <c r="B384" t="s">
        <v>4057</v>
      </c>
    </row>
    <row r="385" spans="1:2" x14ac:dyDescent="0.25">
      <c r="A385" s="626" t="s">
        <v>4058</v>
      </c>
      <c r="B385" t="s">
        <v>4059</v>
      </c>
    </row>
    <row r="386" spans="1:2" x14ac:dyDescent="0.25">
      <c r="A386" s="626" t="s">
        <v>4060</v>
      </c>
      <c r="B386" t="s">
        <v>4061</v>
      </c>
    </row>
    <row r="387" spans="1:2" x14ac:dyDescent="0.25">
      <c r="A387" s="626" t="s">
        <v>4062</v>
      </c>
      <c r="B387" t="s">
        <v>4063</v>
      </c>
    </row>
    <row r="388" spans="1:2" x14ac:dyDescent="0.25">
      <c r="A388" s="626" t="s">
        <v>4064</v>
      </c>
      <c r="B388" t="s">
        <v>4065</v>
      </c>
    </row>
    <row r="389" spans="1:2" x14ac:dyDescent="0.25">
      <c r="A389" s="626" t="s">
        <v>4066</v>
      </c>
      <c r="B389" t="s">
        <v>4067</v>
      </c>
    </row>
    <row r="390" spans="1:2" x14ac:dyDescent="0.25">
      <c r="A390" s="626" t="s">
        <v>4068</v>
      </c>
      <c r="B390" t="s">
        <v>4069</v>
      </c>
    </row>
    <row r="391" spans="1:2" x14ac:dyDescent="0.25">
      <c r="A391" s="626" t="s">
        <v>4070</v>
      </c>
      <c r="B391" t="s">
        <v>4071</v>
      </c>
    </row>
    <row r="392" spans="1:2" x14ac:dyDescent="0.25">
      <c r="A392" s="626" t="s">
        <v>4072</v>
      </c>
      <c r="B392" t="s">
        <v>4073</v>
      </c>
    </row>
    <row r="393" spans="1:2" x14ac:dyDescent="0.25">
      <c r="A393" s="626" t="s">
        <v>4074</v>
      </c>
      <c r="B393" t="s">
        <v>4075</v>
      </c>
    </row>
    <row r="394" spans="1:2" x14ac:dyDescent="0.25">
      <c r="A394" s="626" t="s">
        <v>4076</v>
      </c>
      <c r="B394" t="s">
        <v>4077</v>
      </c>
    </row>
    <row r="395" spans="1:2" x14ac:dyDescent="0.25">
      <c r="A395" s="626" t="s">
        <v>4078</v>
      </c>
      <c r="B395" t="s">
        <v>4079</v>
      </c>
    </row>
    <row r="396" spans="1:2" x14ac:dyDescent="0.25">
      <c r="A396" s="626" t="s">
        <v>4080</v>
      </c>
      <c r="B396" t="s">
        <v>4081</v>
      </c>
    </row>
    <row r="397" spans="1:2" x14ac:dyDescent="0.25">
      <c r="A397" s="626" t="s">
        <v>4082</v>
      </c>
      <c r="B397" t="s">
        <v>4083</v>
      </c>
    </row>
    <row r="398" spans="1:2" x14ac:dyDescent="0.25">
      <c r="A398" s="626" t="s">
        <v>4084</v>
      </c>
      <c r="B398" t="s">
        <v>4085</v>
      </c>
    </row>
    <row r="399" spans="1:2" x14ac:dyDescent="0.25">
      <c r="A399" s="626" t="s">
        <v>4086</v>
      </c>
      <c r="B399" t="s">
        <v>4087</v>
      </c>
    </row>
    <row r="400" spans="1:2" x14ac:dyDescent="0.25">
      <c r="A400" s="626" t="s">
        <v>4088</v>
      </c>
      <c r="B400" t="s">
        <v>4089</v>
      </c>
    </row>
    <row r="401" spans="1:2" x14ac:dyDescent="0.25">
      <c r="A401" s="626" t="s">
        <v>4090</v>
      </c>
      <c r="B401" t="s">
        <v>4091</v>
      </c>
    </row>
    <row r="402" spans="1:2" x14ac:dyDescent="0.25">
      <c r="A402" s="626" t="s">
        <v>4092</v>
      </c>
      <c r="B402" t="s">
        <v>4093</v>
      </c>
    </row>
    <row r="403" spans="1:2" x14ac:dyDescent="0.25">
      <c r="A403" s="626" t="s">
        <v>4094</v>
      </c>
      <c r="B403" t="s">
        <v>4095</v>
      </c>
    </row>
    <row r="404" spans="1:2" x14ac:dyDescent="0.25">
      <c r="A404" s="626" t="s">
        <v>4096</v>
      </c>
      <c r="B404" t="s">
        <v>4097</v>
      </c>
    </row>
    <row r="405" spans="1:2" x14ac:dyDescent="0.25">
      <c r="A405" s="626" t="s">
        <v>4098</v>
      </c>
      <c r="B405" t="s">
        <v>4099</v>
      </c>
    </row>
    <row r="406" spans="1:2" x14ac:dyDescent="0.25">
      <c r="A406" s="626" t="s">
        <v>4100</v>
      </c>
      <c r="B406" t="s">
        <v>4101</v>
      </c>
    </row>
    <row r="407" spans="1:2" x14ac:dyDescent="0.25">
      <c r="A407" s="626" t="s">
        <v>4102</v>
      </c>
      <c r="B407" t="s">
        <v>4103</v>
      </c>
    </row>
    <row r="408" spans="1:2" x14ac:dyDescent="0.25">
      <c r="A408" s="626" t="s">
        <v>4104</v>
      </c>
      <c r="B408" t="s">
        <v>4105</v>
      </c>
    </row>
    <row r="409" spans="1:2" x14ac:dyDescent="0.25">
      <c r="A409" s="626" t="s">
        <v>4106</v>
      </c>
      <c r="B409" t="s">
        <v>4107</v>
      </c>
    </row>
    <row r="410" spans="1:2" x14ac:dyDescent="0.25">
      <c r="A410" s="626" t="s">
        <v>4108</v>
      </c>
      <c r="B410" t="s">
        <v>4109</v>
      </c>
    </row>
    <row r="411" spans="1:2" x14ac:dyDescent="0.25">
      <c r="A411" s="626" t="s">
        <v>4110</v>
      </c>
      <c r="B411" t="s">
        <v>4111</v>
      </c>
    </row>
    <row r="412" spans="1:2" x14ac:dyDescent="0.25">
      <c r="A412" s="626" t="s">
        <v>4112</v>
      </c>
      <c r="B412" t="s">
        <v>4113</v>
      </c>
    </row>
    <row r="413" spans="1:2" x14ac:dyDescent="0.25">
      <c r="A413" s="626" t="s">
        <v>4114</v>
      </c>
      <c r="B413" t="s">
        <v>4115</v>
      </c>
    </row>
    <row r="414" spans="1:2" x14ac:dyDescent="0.25">
      <c r="A414" s="626" t="s">
        <v>4116</v>
      </c>
      <c r="B414" t="s">
        <v>4117</v>
      </c>
    </row>
    <row r="415" spans="1:2" x14ac:dyDescent="0.25">
      <c r="A415" s="626" t="s">
        <v>4118</v>
      </c>
      <c r="B415" t="s">
        <v>4119</v>
      </c>
    </row>
    <row r="416" spans="1:2" x14ac:dyDescent="0.25">
      <c r="A416" s="626" t="s">
        <v>4120</v>
      </c>
      <c r="B416" t="s">
        <v>4121</v>
      </c>
    </row>
    <row r="417" spans="1:2" x14ac:dyDescent="0.25">
      <c r="A417" s="626" t="s">
        <v>4122</v>
      </c>
      <c r="B417" t="s">
        <v>4123</v>
      </c>
    </row>
    <row r="418" spans="1:2" x14ac:dyDescent="0.25">
      <c r="A418" s="626" t="s">
        <v>4124</v>
      </c>
      <c r="B418" t="s">
        <v>4125</v>
      </c>
    </row>
    <row r="419" spans="1:2" x14ac:dyDescent="0.25">
      <c r="A419" s="626" t="s">
        <v>4126</v>
      </c>
      <c r="B419" t="s">
        <v>4127</v>
      </c>
    </row>
    <row r="420" spans="1:2" x14ac:dyDescent="0.25">
      <c r="A420" s="626" t="s">
        <v>4128</v>
      </c>
      <c r="B420" t="s">
        <v>4129</v>
      </c>
    </row>
    <row r="421" spans="1:2" x14ac:dyDescent="0.25">
      <c r="A421" s="626" t="s">
        <v>4130</v>
      </c>
      <c r="B421" t="s">
        <v>4131</v>
      </c>
    </row>
    <row r="422" spans="1:2" x14ac:dyDescent="0.25">
      <c r="A422" s="626" t="s">
        <v>4132</v>
      </c>
      <c r="B422" t="s">
        <v>4133</v>
      </c>
    </row>
    <row r="423" spans="1:2" x14ac:dyDescent="0.25">
      <c r="A423" s="626" t="s">
        <v>4134</v>
      </c>
      <c r="B423" t="s">
        <v>4135</v>
      </c>
    </row>
    <row r="424" spans="1:2" x14ac:dyDescent="0.25">
      <c r="A424" s="626" t="s">
        <v>4136</v>
      </c>
      <c r="B424" t="s">
        <v>4137</v>
      </c>
    </row>
    <row r="425" spans="1:2" x14ac:dyDescent="0.25">
      <c r="A425" s="626" t="s">
        <v>4138</v>
      </c>
      <c r="B425" t="s">
        <v>4139</v>
      </c>
    </row>
    <row r="426" spans="1:2" x14ac:dyDescent="0.25">
      <c r="A426" s="626" t="s">
        <v>4140</v>
      </c>
      <c r="B426" t="s">
        <v>4141</v>
      </c>
    </row>
    <row r="427" spans="1:2" x14ac:dyDescent="0.25">
      <c r="A427" s="626" t="s">
        <v>4142</v>
      </c>
      <c r="B427" t="s">
        <v>4143</v>
      </c>
    </row>
    <row r="428" spans="1:2" x14ac:dyDescent="0.25">
      <c r="A428" s="626" t="s">
        <v>4144</v>
      </c>
      <c r="B428" t="s">
        <v>4145</v>
      </c>
    </row>
    <row r="429" spans="1:2" x14ac:dyDescent="0.25">
      <c r="A429" s="626" t="s">
        <v>4146</v>
      </c>
      <c r="B429" t="s">
        <v>4147</v>
      </c>
    </row>
    <row r="430" spans="1:2" x14ac:dyDescent="0.25">
      <c r="A430" s="626" t="s">
        <v>4148</v>
      </c>
      <c r="B430" t="s">
        <v>4149</v>
      </c>
    </row>
    <row r="431" spans="1:2" x14ac:dyDescent="0.25">
      <c r="A431" s="626" t="s">
        <v>4150</v>
      </c>
      <c r="B431" t="s">
        <v>4151</v>
      </c>
    </row>
    <row r="432" spans="1:2" x14ac:dyDescent="0.25">
      <c r="A432" s="626" t="s">
        <v>4152</v>
      </c>
      <c r="B432" t="s">
        <v>4153</v>
      </c>
    </row>
    <row r="433" spans="1:2" x14ac:dyDescent="0.25">
      <c r="A433" s="626" t="s">
        <v>4154</v>
      </c>
      <c r="B433" t="s">
        <v>4155</v>
      </c>
    </row>
    <row r="434" spans="1:2" x14ac:dyDescent="0.25">
      <c r="A434" s="626" t="s">
        <v>4156</v>
      </c>
      <c r="B434" t="s">
        <v>4157</v>
      </c>
    </row>
    <row r="435" spans="1:2" x14ac:dyDescent="0.25">
      <c r="A435" s="626" t="s">
        <v>4158</v>
      </c>
      <c r="B435" t="s">
        <v>4159</v>
      </c>
    </row>
    <row r="436" spans="1:2" x14ac:dyDescent="0.25">
      <c r="A436" s="626" t="s">
        <v>4160</v>
      </c>
      <c r="B436" t="s">
        <v>4161</v>
      </c>
    </row>
    <row r="437" spans="1:2" x14ac:dyDescent="0.25">
      <c r="A437" s="626" t="s">
        <v>4162</v>
      </c>
      <c r="B437" t="s">
        <v>4163</v>
      </c>
    </row>
    <row r="438" spans="1:2" x14ac:dyDescent="0.25">
      <c r="A438" s="626" t="s">
        <v>4164</v>
      </c>
      <c r="B438" t="s">
        <v>4165</v>
      </c>
    </row>
    <row r="439" spans="1:2" x14ac:dyDescent="0.25">
      <c r="A439" s="626" t="s">
        <v>4166</v>
      </c>
      <c r="B439" t="s">
        <v>4167</v>
      </c>
    </row>
    <row r="440" spans="1:2" x14ac:dyDescent="0.25">
      <c r="A440" s="626" t="s">
        <v>4168</v>
      </c>
      <c r="B440" t="s">
        <v>4169</v>
      </c>
    </row>
    <row r="441" spans="1:2" x14ac:dyDescent="0.25">
      <c r="A441" s="626" t="s">
        <v>4170</v>
      </c>
      <c r="B441" t="s">
        <v>4171</v>
      </c>
    </row>
    <row r="442" spans="1:2" x14ac:dyDescent="0.25">
      <c r="A442" s="626" t="s">
        <v>4172</v>
      </c>
      <c r="B442" t="s">
        <v>4173</v>
      </c>
    </row>
    <row r="443" spans="1:2" x14ac:dyDescent="0.25">
      <c r="A443" s="626" t="s">
        <v>4174</v>
      </c>
      <c r="B443" t="s">
        <v>4175</v>
      </c>
    </row>
    <row r="444" spans="1:2" x14ac:dyDescent="0.25">
      <c r="A444" s="626" t="s">
        <v>4176</v>
      </c>
      <c r="B444" t="s">
        <v>4177</v>
      </c>
    </row>
    <row r="445" spans="1:2" x14ac:dyDescent="0.25">
      <c r="A445" s="626" t="s">
        <v>4178</v>
      </c>
      <c r="B445" t="s">
        <v>4179</v>
      </c>
    </row>
    <row r="446" spans="1:2" x14ac:dyDescent="0.25">
      <c r="A446" s="626" t="s">
        <v>4180</v>
      </c>
      <c r="B446" t="s">
        <v>4181</v>
      </c>
    </row>
    <row r="447" spans="1:2" x14ac:dyDescent="0.25">
      <c r="A447" s="626" t="s">
        <v>4182</v>
      </c>
      <c r="B447" t="s">
        <v>4183</v>
      </c>
    </row>
    <row r="448" spans="1:2" x14ac:dyDescent="0.25">
      <c r="A448" s="626" t="s">
        <v>4184</v>
      </c>
      <c r="B448" t="s">
        <v>4185</v>
      </c>
    </row>
    <row r="449" spans="1:2" x14ac:dyDescent="0.25">
      <c r="A449" s="626" t="s">
        <v>4186</v>
      </c>
      <c r="B449" t="s">
        <v>4187</v>
      </c>
    </row>
    <row r="450" spans="1:2" x14ac:dyDescent="0.25">
      <c r="A450" s="626" t="s">
        <v>4188</v>
      </c>
      <c r="B450" t="s">
        <v>4189</v>
      </c>
    </row>
    <row r="451" spans="1:2" x14ac:dyDescent="0.25">
      <c r="A451" s="626" t="s">
        <v>4190</v>
      </c>
      <c r="B451" t="s">
        <v>4191</v>
      </c>
    </row>
    <row r="452" spans="1:2" x14ac:dyDescent="0.25">
      <c r="A452" s="626" t="s">
        <v>4192</v>
      </c>
      <c r="B452" t="s">
        <v>4193</v>
      </c>
    </row>
    <row r="453" spans="1:2" x14ac:dyDescent="0.25">
      <c r="A453" s="626" t="s">
        <v>4194</v>
      </c>
      <c r="B453" t="s">
        <v>4195</v>
      </c>
    </row>
    <row r="454" spans="1:2" x14ac:dyDescent="0.25">
      <c r="A454" s="626" t="s">
        <v>4196</v>
      </c>
      <c r="B454" t="s">
        <v>4197</v>
      </c>
    </row>
    <row r="455" spans="1:2" x14ac:dyDescent="0.25">
      <c r="A455" s="626" t="s">
        <v>4198</v>
      </c>
      <c r="B455" t="s">
        <v>4199</v>
      </c>
    </row>
    <row r="456" spans="1:2" x14ac:dyDescent="0.25">
      <c r="A456" s="626" t="s">
        <v>4200</v>
      </c>
      <c r="B456" t="s">
        <v>4201</v>
      </c>
    </row>
    <row r="457" spans="1:2" x14ac:dyDescent="0.25">
      <c r="A457" s="626" t="s">
        <v>4202</v>
      </c>
      <c r="B457" t="s">
        <v>4203</v>
      </c>
    </row>
    <row r="458" spans="1:2" x14ac:dyDescent="0.25">
      <c r="A458" s="626" t="s">
        <v>4204</v>
      </c>
      <c r="B458" t="s">
        <v>4205</v>
      </c>
    </row>
    <row r="459" spans="1:2" x14ac:dyDescent="0.25">
      <c r="A459" s="626" t="s">
        <v>4206</v>
      </c>
      <c r="B459" t="s">
        <v>4207</v>
      </c>
    </row>
    <row r="460" spans="1:2" x14ac:dyDescent="0.25">
      <c r="A460" s="626" t="s">
        <v>4208</v>
      </c>
      <c r="B460" t="s">
        <v>4209</v>
      </c>
    </row>
    <row r="461" spans="1:2" x14ac:dyDescent="0.25">
      <c r="A461" s="626" t="s">
        <v>4210</v>
      </c>
      <c r="B461" t="s">
        <v>4211</v>
      </c>
    </row>
    <row r="462" spans="1:2" x14ac:dyDescent="0.25">
      <c r="A462" s="626" t="s">
        <v>4212</v>
      </c>
      <c r="B462" t="s">
        <v>4213</v>
      </c>
    </row>
    <row r="463" spans="1:2" x14ac:dyDescent="0.25">
      <c r="A463" s="626" t="s">
        <v>4214</v>
      </c>
      <c r="B463" t="s">
        <v>4215</v>
      </c>
    </row>
    <row r="464" spans="1:2" x14ac:dyDescent="0.25">
      <c r="A464" s="626" t="s">
        <v>4216</v>
      </c>
      <c r="B464" t="s">
        <v>4217</v>
      </c>
    </row>
    <row r="465" spans="1:2" x14ac:dyDescent="0.25">
      <c r="A465" s="626" t="s">
        <v>4218</v>
      </c>
      <c r="B465" t="s">
        <v>4219</v>
      </c>
    </row>
    <row r="466" spans="1:2" x14ac:dyDescent="0.25">
      <c r="A466" s="626" t="s">
        <v>4220</v>
      </c>
      <c r="B466" t="s">
        <v>4221</v>
      </c>
    </row>
    <row r="467" spans="1:2" x14ac:dyDescent="0.25">
      <c r="A467" s="626" t="s">
        <v>4222</v>
      </c>
      <c r="B467" t="s">
        <v>4223</v>
      </c>
    </row>
    <row r="468" spans="1:2" x14ac:dyDescent="0.25">
      <c r="A468" s="626" t="s">
        <v>4224</v>
      </c>
      <c r="B468" t="s">
        <v>4225</v>
      </c>
    </row>
    <row r="469" spans="1:2" x14ac:dyDescent="0.25">
      <c r="A469" s="626" t="s">
        <v>4226</v>
      </c>
      <c r="B469" t="s">
        <v>4227</v>
      </c>
    </row>
    <row r="470" spans="1:2" x14ac:dyDescent="0.25">
      <c r="A470" s="626" t="s">
        <v>4228</v>
      </c>
      <c r="B470" t="s">
        <v>4229</v>
      </c>
    </row>
    <row r="471" spans="1:2" x14ac:dyDescent="0.25">
      <c r="A471" s="626" t="s">
        <v>4230</v>
      </c>
      <c r="B471" t="s">
        <v>4231</v>
      </c>
    </row>
    <row r="472" spans="1:2" x14ac:dyDescent="0.25">
      <c r="A472" s="626" t="s">
        <v>4232</v>
      </c>
      <c r="B472" t="s">
        <v>4233</v>
      </c>
    </row>
    <row r="473" spans="1:2" x14ac:dyDescent="0.25">
      <c r="A473" s="626" t="s">
        <v>4234</v>
      </c>
      <c r="B473" t="s">
        <v>4235</v>
      </c>
    </row>
    <row r="474" spans="1:2" x14ac:dyDescent="0.25">
      <c r="A474" s="626" t="s">
        <v>4236</v>
      </c>
      <c r="B474" t="s">
        <v>4237</v>
      </c>
    </row>
    <row r="475" spans="1:2" x14ac:dyDescent="0.25">
      <c r="A475" s="626" t="s">
        <v>4238</v>
      </c>
      <c r="B475" t="s">
        <v>4239</v>
      </c>
    </row>
    <row r="476" spans="1:2" x14ac:dyDescent="0.25">
      <c r="A476" s="626" t="s">
        <v>4240</v>
      </c>
      <c r="B476" t="s">
        <v>4241</v>
      </c>
    </row>
    <row r="477" spans="1:2" x14ac:dyDescent="0.25">
      <c r="A477" s="626" t="s">
        <v>4242</v>
      </c>
      <c r="B477" t="s">
        <v>4243</v>
      </c>
    </row>
    <row r="478" spans="1:2" x14ac:dyDescent="0.25">
      <c r="A478" s="626" t="s">
        <v>4244</v>
      </c>
      <c r="B478" t="s">
        <v>4245</v>
      </c>
    </row>
    <row r="479" spans="1:2" x14ac:dyDescent="0.25">
      <c r="A479" s="626" t="s">
        <v>4246</v>
      </c>
      <c r="B479" t="s">
        <v>4247</v>
      </c>
    </row>
    <row r="480" spans="1:2" x14ac:dyDescent="0.25">
      <c r="A480" s="626" t="s">
        <v>4248</v>
      </c>
      <c r="B480" t="s">
        <v>4249</v>
      </c>
    </row>
    <row r="481" spans="1:2" x14ac:dyDescent="0.25">
      <c r="A481" s="626" t="s">
        <v>4250</v>
      </c>
      <c r="B481" t="s">
        <v>4251</v>
      </c>
    </row>
    <row r="482" spans="1:2" x14ac:dyDescent="0.25">
      <c r="A482" s="626" t="s">
        <v>4252</v>
      </c>
      <c r="B482" t="s">
        <v>4253</v>
      </c>
    </row>
    <row r="483" spans="1:2" x14ac:dyDescent="0.25">
      <c r="A483" s="626" t="s">
        <v>4254</v>
      </c>
      <c r="B483" t="s">
        <v>4255</v>
      </c>
    </row>
    <row r="484" spans="1:2" x14ac:dyDescent="0.25">
      <c r="A484" s="626" t="s">
        <v>4256</v>
      </c>
      <c r="B484" t="s">
        <v>4257</v>
      </c>
    </row>
    <row r="485" spans="1:2" x14ac:dyDescent="0.25">
      <c r="A485" s="626" t="s">
        <v>4258</v>
      </c>
      <c r="B485" t="s">
        <v>4259</v>
      </c>
    </row>
    <row r="486" spans="1:2" x14ac:dyDescent="0.25">
      <c r="A486" s="626" t="s">
        <v>4260</v>
      </c>
      <c r="B486" t="s">
        <v>4261</v>
      </c>
    </row>
    <row r="487" spans="1:2" x14ac:dyDescent="0.25">
      <c r="A487" s="626" t="s">
        <v>4262</v>
      </c>
      <c r="B487" t="s">
        <v>4263</v>
      </c>
    </row>
    <row r="488" spans="1:2" x14ac:dyDescent="0.25">
      <c r="A488" s="626" t="s">
        <v>4264</v>
      </c>
      <c r="B488" t="s">
        <v>4265</v>
      </c>
    </row>
    <row r="489" spans="1:2" x14ac:dyDescent="0.25">
      <c r="A489" s="626" t="s">
        <v>4266</v>
      </c>
      <c r="B489" t="s">
        <v>4267</v>
      </c>
    </row>
    <row r="490" spans="1:2" x14ac:dyDescent="0.25">
      <c r="A490" s="626" t="s">
        <v>4268</v>
      </c>
      <c r="B490" t="s">
        <v>4269</v>
      </c>
    </row>
    <row r="491" spans="1:2" x14ac:dyDescent="0.25">
      <c r="A491" s="626" t="s">
        <v>4270</v>
      </c>
      <c r="B491" t="s">
        <v>4271</v>
      </c>
    </row>
    <row r="492" spans="1:2" x14ac:dyDescent="0.25">
      <c r="A492" s="626" t="s">
        <v>4272</v>
      </c>
      <c r="B492" t="s">
        <v>4273</v>
      </c>
    </row>
    <row r="493" spans="1:2" x14ac:dyDescent="0.25">
      <c r="A493" s="626" t="s">
        <v>4274</v>
      </c>
      <c r="B493" t="s">
        <v>4275</v>
      </c>
    </row>
    <row r="494" spans="1:2" x14ac:dyDescent="0.25">
      <c r="A494" s="626" t="s">
        <v>4276</v>
      </c>
      <c r="B494" t="s">
        <v>4277</v>
      </c>
    </row>
    <row r="495" spans="1:2" x14ac:dyDescent="0.25">
      <c r="A495" s="626" t="s">
        <v>4278</v>
      </c>
      <c r="B495" t="s">
        <v>4279</v>
      </c>
    </row>
    <row r="496" spans="1:2" x14ac:dyDescent="0.25">
      <c r="A496" s="626" t="s">
        <v>4280</v>
      </c>
      <c r="B496" t="s">
        <v>4281</v>
      </c>
    </row>
    <row r="497" spans="1:2" x14ac:dyDescent="0.25">
      <c r="A497" s="626" t="s">
        <v>4282</v>
      </c>
      <c r="B497" t="s">
        <v>4283</v>
      </c>
    </row>
    <row r="498" spans="1:2" x14ac:dyDescent="0.25">
      <c r="A498" s="626" t="s">
        <v>4284</v>
      </c>
      <c r="B498" t="s">
        <v>4285</v>
      </c>
    </row>
    <row r="499" spans="1:2" x14ac:dyDescent="0.25">
      <c r="A499" s="626" t="s">
        <v>4286</v>
      </c>
      <c r="B499" t="s">
        <v>4287</v>
      </c>
    </row>
    <row r="500" spans="1:2" x14ac:dyDescent="0.25">
      <c r="A500" s="626" t="s">
        <v>4288</v>
      </c>
      <c r="B500" t="s">
        <v>4289</v>
      </c>
    </row>
    <row r="501" spans="1:2" x14ac:dyDescent="0.25">
      <c r="A501" s="626" t="s">
        <v>4290</v>
      </c>
      <c r="B501" t="s">
        <v>4291</v>
      </c>
    </row>
    <row r="502" spans="1:2" x14ac:dyDescent="0.25">
      <c r="A502" s="626" t="s">
        <v>4292</v>
      </c>
      <c r="B502" t="s">
        <v>4293</v>
      </c>
    </row>
    <row r="503" spans="1:2" x14ac:dyDescent="0.25">
      <c r="A503" s="626" t="s">
        <v>4294</v>
      </c>
      <c r="B503" t="s">
        <v>4295</v>
      </c>
    </row>
    <row r="504" spans="1:2" x14ac:dyDescent="0.25">
      <c r="A504" s="626" t="s">
        <v>4296</v>
      </c>
      <c r="B504" t="s">
        <v>4297</v>
      </c>
    </row>
    <row r="505" spans="1:2" x14ac:dyDescent="0.25">
      <c r="A505" s="626" t="s">
        <v>4298</v>
      </c>
      <c r="B505" t="s">
        <v>4299</v>
      </c>
    </row>
    <row r="506" spans="1:2" x14ac:dyDescent="0.25">
      <c r="A506" s="626" t="s">
        <v>4300</v>
      </c>
      <c r="B506" t="s">
        <v>4301</v>
      </c>
    </row>
    <row r="507" spans="1:2" x14ac:dyDescent="0.25">
      <c r="A507" s="626" t="s">
        <v>4302</v>
      </c>
      <c r="B507" t="s">
        <v>4303</v>
      </c>
    </row>
    <row r="508" spans="1:2" x14ac:dyDescent="0.25">
      <c r="A508" s="626" t="s">
        <v>4304</v>
      </c>
      <c r="B508" t="s">
        <v>4305</v>
      </c>
    </row>
    <row r="509" spans="1:2" x14ac:dyDescent="0.25">
      <c r="A509" s="626" t="s">
        <v>4306</v>
      </c>
      <c r="B509" t="s">
        <v>4307</v>
      </c>
    </row>
    <row r="510" spans="1:2" x14ac:dyDescent="0.25">
      <c r="A510" s="626" t="s">
        <v>4308</v>
      </c>
      <c r="B510" t="s">
        <v>4309</v>
      </c>
    </row>
    <row r="511" spans="1:2" x14ac:dyDescent="0.25">
      <c r="A511" s="626" t="s">
        <v>4310</v>
      </c>
      <c r="B511" t="s">
        <v>4311</v>
      </c>
    </row>
    <row r="512" spans="1:2" x14ac:dyDescent="0.25">
      <c r="A512" s="626" t="s">
        <v>4312</v>
      </c>
      <c r="B512" t="s">
        <v>4313</v>
      </c>
    </row>
    <row r="513" spans="1:2" x14ac:dyDescent="0.25">
      <c r="A513" s="626" t="s">
        <v>4314</v>
      </c>
      <c r="B513" t="s">
        <v>4315</v>
      </c>
    </row>
    <row r="514" spans="1:2" x14ac:dyDescent="0.25">
      <c r="A514" s="626" t="s">
        <v>4316</v>
      </c>
      <c r="B514" t="s">
        <v>4317</v>
      </c>
    </row>
    <row r="515" spans="1:2" x14ac:dyDescent="0.25">
      <c r="A515" s="626" t="s">
        <v>4318</v>
      </c>
      <c r="B515" t="s">
        <v>4319</v>
      </c>
    </row>
    <row r="516" spans="1:2" x14ac:dyDescent="0.25">
      <c r="A516" s="626" t="s">
        <v>4320</v>
      </c>
      <c r="B516" t="s">
        <v>4321</v>
      </c>
    </row>
    <row r="517" spans="1:2" x14ac:dyDescent="0.25">
      <c r="A517" s="626" t="s">
        <v>4322</v>
      </c>
      <c r="B517" t="s">
        <v>4323</v>
      </c>
    </row>
    <row r="518" spans="1:2" x14ac:dyDescent="0.25">
      <c r="A518" s="626" t="s">
        <v>4324</v>
      </c>
      <c r="B518" t="s">
        <v>4325</v>
      </c>
    </row>
    <row r="519" spans="1:2" x14ac:dyDescent="0.25">
      <c r="A519" s="626" t="s">
        <v>4326</v>
      </c>
      <c r="B519" t="s">
        <v>4327</v>
      </c>
    </row>
    <row r="520" spans="1:2" x14ac:dyDescent="0.25">
      <c r="A520" s="626" t="s">
        <v>4328</v>
      </c>
      <c r="B520" t="s">
        <v>4329</v>
      </c>
    </row>
    <row r="521" spans="1:2" x14ac:dyDescent="0.25">
      <c r="A521" s="626" t="s">
        <v>4330</v>
      </c>
      <c r="B521" t="s">
        <v>4331</v>
      </c>
    </row>
    <row r="522" spans="1:2" x14ac:dyDescent="0.25">
      <c r="A522" s="626" t="s">
        <v>4332</v>
      </c>
      <c r="B522" t="s">
        <v>4333</v>
      </c>
    </row>
    <row r="523" spans="1:2" x14ac:dyDescent="0.25">
      <c r="A523" s="626" t="s">
        <v>4334</v>
      </c>
      <c r="B523" t="s">
        <v>4335</v>
      </c>
    </row>
    <row r="524" spans="1:2" x14ac:dyDescent="0.25">
      <c r="A524" s="626" t="s">
        <v>4336</v>
      </c>
      <c r="B524" t="s">
        <v>4337</v>
      </c>
    </row>
    <row r="525" spans="1:2" x14ac:dyDescent="0.25">
      <c r="A525" s="626" t="s">
        <v>4338</v>
      </c>
      <c r="B525" t="s">
        <v>4339</v>
      </c>
    </row>
    <row r="526" spans="1:2" x14ac:dyDescent="0.25">
      <c r="A526" s="626" t="s">
        <v>4340</v>
      </c>
      <c r="B526" t="s">
        <v>4341</v>
      </c>
    </row>
    <row r="527" spans="1:2" x14ac:dyDescent="0.25">
      <c r="A527" s="626" t="s">
        <v>4342</v>
      </c>
      <c r="B527" t="s">
        <v>4343</v>
      </c>
    </row>
    <row r="528" spans="1:2" x14ac:dyDescent="0.25">
      <c r="A528" s="626" t="s">
        <v>4344</v>
      </c>
      <c r="B528" t="s">
        <v>4345</v>
      </c>
    </row>
    <row r="529" spans="1:2" x14ac:dyDescent="0.25">
      <c r="A529" s="626" t="s">
        <v>4346</v>
      </c>
      <c r="B529" t="s">
        <v>4347</v>
      </c>
    </row>
    <row r="530" spans="1:2" x14ac:dyDescent="0.25">
      <c r="A530" s="626" t="s">
        <v>4348</v>
      </c>
      <c r="B530" t="s">
        <v>4349</v>
      </c>
    </row>
    <row r="531" spans="1:2" x14ac:dyDescent="0.25">
      <c r="A531" s="626" t="s">
        <v>4350</v>
      </c>
      <c r="B531" t="s">
        <v>4351</v>
      </c>
    </row>
    <row r="532" spans="1:2" x14ac:dyDescent="0.25">
      <c r="A532" s="626" t="s">
        <v>4352</v>
      </c>
      <c r="B532" t="s">
        <v>4353</v>
      </c>
    </row>
    <row r="533" spans="1:2" x14ac:dyDescent="0.25">
      <c r="A533" s="626" t="s">
        <v>4354</v>
      </c>
      <c r="B533" t="s">
        <v>4355</v>
      </c>
    </row>
    <row r="534" spans="1:2" x14ac:dyDescent="0.25">
      <c r="A534" s="626" t="s">
        <v>4356</v>
      </c>
      <c r="B534" t="s">
        <v>4357</v>
      </c>
    </row>
    <row r="535" spans="1:2" x14ac:dyDescent="0.25">
      <c r="A535" s="626" t="s">
        <v>4358</v>
      </c>
      <c r="B535" t="s">
        <v>4359</v>
      </c>
    </row>
    <row r="536" spans="1:2" x14ac:dyDescent="0.25">
      <c r="A536" s="626" t="s">
        <v>4360</v>
      </c>
      <c r="B536" t="s">
        <v>4361</v>
      </c>
    </row>
    <row r="537" spans="1:2" x14ac:dyDescent="0.25">
      <c r="A537" s="626" t="s">
        <v>4362</v>
      </c>
      <c r="B537" t="s">
        <v>4363</v>
      </c>
    </row>
    <row r="538" spans="1:2" x14ac:dyDescent="0.25">
      <c r="A538" s="626" t="s">
        <v>4364</v>
      </c>
      <c r="B538" t="s">
        <v>4365</v>
      </c>
    </row>
    <row r="539" spans="1:2" x14ac:dyDescent="0.25">
      <c r="A539" s="626" t="s">
        <v>4366</v>
      </c>
      <c r="B539" t="s">
        <v>4367</v>
      </c>
    </row>
    <row r="540" spans="1:2" x14ac:dyDescent="0.25">
      <c r="A540" s="626" t="s">
        <v>4368</v>
      </c>
      <c r="B540" t="s">
        <v>4369</v>
      </c>
    </row>
    <row r="541" spans="1:2" x14ac:dyDescent="0.25">
      <c r="A541" s="626" t="s">
        <v>4370</v>
      </c>
      <c r="B541" t="s">
        <v>4371</v>
      </c>
    </row>
    <row r="542" spans="1:2" x14ac:dyDescent="0.25">
      <c r="A542" s="626" t="s">
        <v>4372</v>
      </c>
      <c r="B542" t="s">
        <v>4373</v>
      </c>
    </row>
    <row r="543" spans="1:2" x14ac:dyDescent="0.25">
      <c r="A543" s="626" t="s">
        <v>4374</v>
      </c>
      <c r="B543" t="s">
        <v>4375</v>
      </c>
    </row>
    <row r="544" spans="1:2" x14ac:dyDescent="0.25">
      <c r="A544" s="626" t="s">
        <v>4376</v>
      </c>
      <c r="B544" t="s">
        <v>4377</v>
      </c>
    </row>
    <row r="545" spans="1:2" x14ac:dyDescent="0.25">
      <c r="A545" s="626" t="s">
        <v>4378</v>
      </c>
      <c r="B545" t="s">
        <v>4379</v>
      </c>
    </row>
    <row r="546" spans="1:2" x14ac:dyDescent="0.25">
      <c r="A546" s="626" t="s">
        <v>4380</v>
      </c>
      <c r="B546" t="s">
        <v>4381</v>
      </c>
    </row>
    <row r="547" spans="1:2" x14ac:dyDescent="0.25">
      <c r="A547" s="626" t="s">
        <v>4382</v>
      </c>
      <c r="B547" t="s">
        <v>4383</v>
      </c>
    </row>
    <row r="548" spans="1:2" x14ac:dyDescent="0.25">
      <c r="A548" s="626" t="s">
        <v>4384</v>
      </c>
      <c r="B548" t="s">
        <v>4385</v>
      </c>
    </row>
    <row r="549" spans="1:2" x14ac:dyDescent="0.25">
      <c r="A549" s="626" t="s">
        <v>4386</v>
      </c>
      <c r="B549" t="s">
        <v>4387</v>
      </c>
    </row>
    <row r="550" spans="1:2" x14ac:dyDescent="0.25">
      <c r="A550" s="626" t="s">
        <v>4388</v>
      </c>
      <c r="B550" t="s">
        <v>4389</v>
      </c>
    </row>
    <row r="551" spans="1:2" x14ac:dyDescent="0.25">
      <c r="A551" s="626" t="s">
        <v>4390</v>
      </c>
      <c r="B551" t="s">
        <v>4391</v>
      </c>
    </row>
    <row r="552" spans="1:2" x14ac:dyDescent="0.25">
      <c r="A552" s="626" t="s">
        <v>4392</v>
      </c>
      <c r="B552" t="s">
        <v>4393</v>
      </c>
    </row>
    <row r="553" spans="1:2" x14ac:dyDescent="0.25">
      <c r="A553" s="626" t="s">
        <v>4394</v>
      </c>
      <c r="B553" t="s">
        <v>4395</v>
      </c>
    </row>
    <row r="554" spans="1:2" x14ac:dyDescent="0.25">
      <c r="A554" s="626" t="s">
        <v>4396</v>
      </c>
      <c r="B554" t="s">
        <v>4397</v>
      </c>
    </row>
    <row r="555" spans="1:2" x14ac:dyDescent="0.25">
      <c r="A555" s="626" t="s">
        <v>4398</v>
      </c>
      <c r="B555" t="s">
        <v>4399</v>
      </c>
    </row>
    <row r="556" spans="1:2" x14ac:dyDescent="0.25">
      <c r="A556" s="626" t="s">
        <v>4400</v>
      </c>
      <c r="B556" t="s">
        <v>4401</v>
      </c>
    </row>
    <row r="557" spans="1:2" x14ac:dyDescent="0.25">
      <c r="A557" s="626" t="s">
        <v>4402</v>
      </c>
      <c r="B557" t="s">
        <v>4403</v>
      </c>
    </row>
    <row r="558" spans="1:2" x14ac:dyDescent="0.25">
      <c r="A558" s="626" t="s">
        <v>4404</v>
      </c>
      <c r="B558" t="s">
        <v>4405</v>
      </c>
    </row>
    <row r="559" spans="1:2" x14ac:dyDescent="0.25">
      <c r="A559" s="626" t="s">
        <v>4406</v>
      </c>
      <c r="B559" t="s">
        <v>4407</v>
      </c>
    </row>
    <row r="560" spans="1:2" x14ac:dyDescent="0.25">
      <c r="A560" s="626" t="s">
        <v>4408</v>
      </c>
      <c r="B560" t="s">
        <v>4409</v>
      </c>
    </row>
    <row r="561" spans="1:2" x14ac:dyDescent="0.25">
      <c r="A561" s="626" t="s">
        <v>4410</v>
      </c>
      <c r="B561" t="s">
        <v>4411</v>
      </c>
    </row>
    <row r="562" spans="1:2" x14ac:dyDescent="0.25">
      <c r="A562" s="626" t="s">
        <v>4412</v>
      </c>
      <c r="B562" t="s">
        <v>4413</v>
      </c>
    </row>
    <row r="563" spans="1:2" x14ac:dyDescent="0.25">
      <c r="A563" s="626" t="s">
        <v>4414</v>
      </c>
      <c r="B563" t="s">
        <v>4415</v>
      </c>
    </row>
    <row r="564" spans="1:2" x14ac:dyDescent="0.25">
      <c r="A564" s="626" t="s">
        <v>4416</v>
      </c>
      <c r="B564" t="s">
        <v>4417</v>
      </c>
    </row>
    <row r="565" spans="1:2" x14ac:dyDescent="0.25">
      <c r="A565" s="626" t="s">
        <v>4418</v>
      </c>
      <c r="B565" t="s">
        <v>4419</v>
      </c>
    </row>
    <row r="566" spans="1:2" x14ac:dyDescent="0.25">
      <c r="A566" s="626" t="s">
        <v>4420</v>
      </c>
      <c r="B566" t="s">
        <v>4421</v>
      </c>
    </row>
    <row r="567" spans="1:2" x14ac:dyDescent="0.25">
      <c r="A567" s="626" t="s">
        <v>4422</v>
      </c>
      <c r="B567" t="s">
        <v>4423</v>
      </c>
    </row>
    <row r="568" spans="1:2" x14ac:dyDescent="0.25">
      <c r="A568" s="626" t="s">
        <v>4424</v>
      </c>
      <c r="B568" t="s">
        <v>4425</v>
      </c>
    </row>
    <row r="569" spans="1:2" x14ac:dyDescent="0.25">
      <c r="A569" s="626" t="s">
        <v>4426</v>
      </c>
      <c r="B569" t="s">
        <v>4427</v>
      </c>
    </row>
    <row r="570" spans="1:2" x14ac:dyDescent="0.25">
      <c r="A570" s="626" t="s">
        <v>4428</v>
      </c>
      <c r="B570" t="s">
        <v>4429</v>
      </c>
    </row>
    <row r="571" spans="1:2" x14ac:dyDescent="0.25">
      <c r="A571" s="626" t="s">
        <v>4430</v>
      </c>
      <c r="B571" t="s">
        <v>4431</v>
      </c>
    </row>
    <row r="572" spans="1:2" x14ac:dyDescent="0.25">
      <c r="A572" s="626" t="s">
        <v>4432</v>
      </c>
      <c r="B572" t="s">
        <v>4433</v>
      </c>
    </row>
    <row r="573" spans="1:2" x14ac:dyDescent="0.25">
      <c r="A573" s="626" t="s">
        <v>4434</v>
      </c>
      <c r="B573" t="s">
        <v>4435</v>
      </c>
    </row>
    <row r="574" spans="1:2" x14ac:dyDescent="0.25">
      <c r="A574" s="626" t="s">
        <v>4436</v>
      </c>
      <c r="B574" t="s">
        <v>4437</v>
      </c>
    </row>
    <row r="575" spans="1:2" x14ac:dyDescent="0.25">
      <c r="A575" s="626" t="s">
        <v>4438</v>
      </c>
      <c r="B575" t="s">
        <v>4439</v>
      </c>
    </row>
    <row r="576" spans="1:2" x14ac:dyDescent="0.25">
      <c r="A576" s="626" t="s">
        <v>4440</v>
      </c>
      <c r="B576" t="s">
        <v>4441</v>
      </c>
    </row>
    <row r="577" spans="1:2" x14ac:dyDescent="0.25">
      <c r="A577" s="626" t="s">
        <v>4442</v>
      </c>
      <c r="B577" t="s">
        <v>4443</v>
      </c>
    </row>
    <row r="578" spans="1:2" x14ac:dyDescent="0.25">
      <c r="A578" s="626" t="s">
        <v>4444</v>
      </c>
      <c r="B578" t="s">
        <v>4445</v>
      </c>
    </row>
    <row r="579" spans="1:2" x14ac:dyDescent="0.25">
      <c r="A579" s="626" t="s">
        <v>4446</v>
      </c>
      <c r="B579" t="s">
        <v>4447</v>
      </c>
    </row>
    <row r="580" spans="1:2" x14ac:dyDescent="0.25">
      <c r="A580" s="626" t="s">
        <v>4448</v>
      </c>
      <c r="B580" t="s">
        <v>4449</v>
      </c>
    </row>
    <row r="581" spans="1:2" x14ac:dyDescent="0.25">
      <c r="A581" s="626" t="s">
        <v>4450</v>
      </c>
      <c r="B581" t="s">
        <v>4451</v>
      </c>
    </row>
    <row r="582" spans="1:2" x14ac:dyDescent="0.25">
      <c r="A582" s="626" t="s">
        <v>4452</v>
      </c>
      <c r="B582" t="s">
        <v>4453</v>
      </c>
    </row>
    <row r="583" spans="1:2" x14ac:dyDescent="0.25">
      <c r="A583" s="626" t="s">
        <v>4454</v>
      </c>
      <c r="B583" t="s">
        <v>4455</v>
      </c>
    </row>
    <row r="584" spans="1:2" x14ac:dyDescent="0.25">
      <c r="A584" s="626" t="s">
        <v>4456</v>
      </c>
      <c r="B584" t="s">
        <v>4457</v>
      </c>
    </row>
    <row r="585" spans="1:2" x14ac:dyDescent="0.25">
      <c r="A585" s="626" t="s">
        <v>4458</v>
      </c>
      <c r="B585" t="s">
        <v>4459</v>
      </c>
    </row>
    <row r="586" spans="1:2" x14ac:dyDescent="0.25">
      <c r="A586" s="626" t="s">
        <v>4460</v>
      </c>
      <c r="B586" t="s">
        <v>4461</v>
      </c>
    </row>
    <row r="587" spans="1:2" x14ac:dyDescent="0.25">
      <c r="A587" s="626" t="s">
        <v>4462</v>
      </c>
      <c r="B587" t="s">
        <v>4463</v>
      </c>
    </row>
    <row r="588" spans="1:2" x14ac:dyDescent="0.25">
      <c r="A588" s="626" t="s">
        <v>4464</v>
      </c>
      <c r="B588" t="s">
        <v>4465</v>
      </c>
    </row>
    <row r="589" spans="1:2" x14ac:dyDescent="0.25">
      <c r="A589" s="626" t="s">
        <v>4466</v>
      </c>
      <c r="B589" t="s">
        <v>4467</v>
      </c>
    </row>
    <row r="590" spans="1:2" x14ac:dyDescent="0.25">
      <c r="A590" s="626" t="s">
        <v>4468</v>
      </c>
      <c r="B590" t="s">
        <v>4469</v>
      </c>
    </row>
    <row r="591" spans="1:2" x14ac:dyDescent="0.25">
      <c r="A591" s="626" t="s">
        <v>4470</v>
      </c>
      <c r="B591" t="s">
        <v>4471</v>
      </c>
    </row>
    <row r="592" spans="1:2" x14ac:dyDescent="0.25">
      <c r="A592" s="626" t="s">
        <v>4472</v>
      </c>
      <c r="B592" t="s">
        <v>4473</v>
      </c>
    </row>
    <row r="593" spans="1:2" x14ac:dyDescent="0.25">
      <c r="A593" s="626" t="s">
        <v>4474</v>
      </c>
      <c r="B593" t="s">
        <v>4475</v>
      </c>
    </row>
    <row r="594" spans="1:2" x14ac:dyDescent="0.25">
      <c r="A594" s="626" t="s">
        <v>4476</v>
      </c>
      <c r="B594" t="s">
        <v>4477</v>
      </c>
    </row>
    <row r="595" spans="1:2" x14ac:dyDescent="0.25">
      <c r="A595" s="626" t="s">
        <v>4478</v>
      </c>
      <c r="B595" t="s">
        <v>4479</v>
      </c>
    </row>
    <row r="596" spans="1:2" x14ac:dyDescent="0.25">
      <c r="A596" s="626" t="s">
        <v>4480</v>
      </c>
      <c r="B596" t="s">
        <v>4481</v>
      </c>
    </row>
    <row r="597" spans="1:2" x14ac:dyDescent="0.25">
      <c r="A597" s="626" t="s">
        <v>4482</v>
      </c>
      <c r="B597" t="s">
        <v>4483</v>
      </c>
    </row>
    <row r="598" spans="1:2" x14ac:dyDescent="0.25">
      <c r="A598" s="626" t="s">
        <v>4484</v>
      </c>
      <c r="B598" t="s">
        <v>4485</v>
      </c>
    </row>
    <row r="599" spans="1:2" x14ac:dyDescent="0.25">
      <c r="A599" s="626" t="s">
        <v>4486</v>
      </c>
      <c r="B599" t="s">
        <v>4487</v>
      </c>
    </row>
    <row r="600" spans="1:2" x14ac:dyDescent="0.25">
      <c r="A600" s="626" t="s">
        <v>4488</v>
      </c>
      <c r="B600" t="s">
        <v>4489</v>
      </c>
    </row>
    <row r="601" spans="1:2" x14ac:dyDescent="0.25">
      <c r="A601" s="626" t="s">
        <v>4490</v>
      </c>
      <c r="B601" t="s">
        <v>4491</v>
      </c>
    </row>
    <row r="602" spans="1:2" x14ac:dyDescent="0.25">
      <c r="A602" s="626" t="s">
        <v>4492</v>
      </c>
      <c r="B602" t="s">
        <v>4493</v>
      </c>
    </row>
    <row r="603" spans="1:2" x14ac:dyDescent="0.25">
      <c r="A603" s="626" t="s">
        <v>4494</v>
      </c>
      <c r="B603" t="s">
        <v>4495</v>
      </c>
    </row>
    <row r="604" spans="1:2" x14ac:dyDescent="0.25">
      <c r="A604" s="626" t="s">
        <v>4496</v>
      </c>
      <c r="B604" t="s">
        <v>4497</v>
      </c>
    </row>
    <row r="605" spans="1:2" x14ac:dyDescent="0.25">
      <c r="A605" s="626" t="s">
        <v>4498</v>
      </c>
      <c r="B605" t="s">
        <v>4499</v>
      </c>
    </row>
    <row r="606" spans="1:2" x14ac:dyDescent="0.25">
      <c r="A606" s="626" t="s">
        <v>4500</v>
      </c>
      <c r="B606" t="s">
        <v>4501</v>
      </c>
    </row>
    <row r="607" spans="1:2" x14ac:dyDescent="0.25">
      <c r="A607" s="626" t="s">
        <v>4502</v>
      </c>
      <c r="B607" t="s">
        <v>4503</v>
      </c>
    </row>
    <row r="608" spans="1:2" x14ac:dyDescent="0.25">
      <c r="A608" s="626" t="s">
        <v>4504</v>
      </c>
      <c r="B608" t="s">
        <v>4505</v>
      </c>
    </row>
    <row r="609" spans="1:2" x14ac:dyDescent="0.25">
      <c r="A609" s="626" t="s">
        <v>4506</v>
      </c>
      <c r="B609" t="s">
        <v>4507</v>
      </c>
    </row>
    <row r="610" spans="1:2" x14ac:dyDescent="0.25">
      <c r="A610" s="626" t="s">
        <v>4508</v>
      </c>
      <c r="B610" t="s">
        <v>4509</v>
      </c>
    </row>
    <row r="611" spans="1:2" x14ac:dyDescent="0.25">
      <c r="A611" s="626" t="s">
        <v>4510</v>
      </c>
      <c r="B611" t="s">
        <v>4511</v>
      </c>
    </row>
    <row r="612" spans="1:2" x14ac:dyDescent="0.25">
      <c r="A612" s="626" t="s">
        <v>4512</v>
      </c>
      <c r="B612" t="s">
        <v>4513</v>
      </c>
    </row>
    <row r="613" spans="1:2" x14ac:dyDescent="0.25">
      <c r="A613" s="626" t="s">
        <v>4514</v>
      </c>
      <c r="B613" t="s">
        <v>4515</v>
      </c>
    </row>
    <row r="614" spans="1:2" x14ac:dyDescent="0.25">
      <c r="A614" s="626" t="s">
        <v>4516</v>
      </c>
      <c r="B614" t="s">
        <v>4517</v>
      </c>
    </row>
    <row r="615" spans="1:2" x14ac:dyDescent="0.25">
      <c r="A615" s="626" t="s">
        <v>4518</v>
      </c>
      <c r="B615" t="s">
        <v>4519</v>
      </c>
    </row>
    <row r="616" spans="1:2" x14ac:dyDescent="0.25">
      <c r="A616" s="626" t="s">
        <v>4520</v>
      </c>
      <c r="B616" t="s">
        <v>4521</v>
      </c>
    </row>
    <row r="617" spans="1:2" x14ac:dyDescent="0.25">
      <c r="A617" s="626" t="s">
        <v>4522</v>
      </c>
      <c r="B617" t="s">
        <v>4523</v>
      </c>
    </row>
    <row r="618" spans="1:2" x14ac:dyDescent="0.25">
      <c r="A618" s="626" t="s">
        <v>4524</v>
      </c>
      <c r="B618" t="s">
        <v>4525</v>
      </c>
    </row>
    <row r="619" spans="1:2" x14ac:dyDescent="0.25">
      <c r="A619" s="626" t="s">
        <v>4526</v>
      </c>
      <c r="B619" t="s">
        <v>4527</v>
      </c>
    </row>
    <row r="620" spans="1:2" x14ac:dyDescent="0.25">
      <c r="A620" s="626" t="s">
        <v>4528</v>
      </c>
      <c r="B620" t="s">
        <v>4529</v>
      </c>
    </row>
    <row r="621" spans="1:2" x14ac:dyDescent="0.25">
      <c r="A621" s="626" t="s">
        <v>4530</v>
      </c>
      <c r="B621" t="s">
        <v>4531</v>
      </c>
    </row>
    <row r="622" spans="1:2" x14ac:dyDescent="0.25">
      <c r="A622" s="626" t="s">
        <v>4532</v>
      </c>
      <c r="B622" t="s">
        <v>4533</v>
      </c>
    </row>
    <row r="623" spans="1:2" x14ac:dyDescent="0.25">
      <c r="A623" s="626" t="s">
        <v>4534</v>
      </c>
      <c r="B623" t="s">
        <v>4535</v>
      </c>
    </row>
    <row r="624" spans="1:2" x14ac:dyDescent="0.25">
      <c r="A624" s="626" t="s">
        <v>4536</v>
      </c>
      <c r="B624" t="s">
        <v>4537</v>
      </c>
    </row>
    <row r="625" spans="1:2" x14ac:dyDescent="0.25">
      <c r="A625" s="626" t="s">
        <v>4538</v>
      </c>
      <c r="B625" t="s">
        <v>4539</v>
      </c>
    </row>
    <row r="626" spans="1:2" x14ac:dyDescent="0.25">
      <c r="A626" s="626" t="s">
        <v>4540</v>
      </c>
      <c r="B626" t="s">
        <v>4541</v>
      </c>
    </row>
    <row r="627" spans="1:2" x14ac:dyDescent="0.25">
      <c r="A627" s="626" t="s">
        <v>4542</v>
      </c>
      <c r="B627" t="s">
        <v>4543</v>
      </c>
    </row>
    <row r="628" spans="1:2" x14ac:dyDescent="0.25">
      <c r="A628" s="626" t="s">
        <v>4544</v>
      </c>
      <c r="B628" t="s">
        <v>4545</v>
      </c>
    </row>
    <row r="629" spans="1:2" x14ac:dyDescent="0.25">
      <c r="A629" s="626" t="s">
        <v>4546</v>
      </c>
      <c r="B629" t="s">
        <v>4547</v>
      </c>
    </row>
    <row r="630" spans="1:2" x14ac:dyDescent="0.25">
      <c r="A630" s="626" t="s">
        <v>4548</v>
      </c>
      <c r="B630" t="s">
        <v>4549</v>
      </c>
    </row>
    <row r="631" spans="1:2" x14ac:dyDescent="0.25">
      <c r="A631" s="626" t="s">
        <v>4550</v>
      </c>
      <c r="B631" t="s">
        <v>4551</v>
      </c>
    </row>
    <row r="632" spans="1:2" x14ac:dyDescent="0.25">
      <c r="A632" s="626" t="s">
        <v>4552</v>
      </c>
      <c r="B632" t="s">
        <v>4553</v>
      </c>
    </row>
    <row r="633" spans="1:2" x14ac:dyDescent="0.25">
      <c r="A633" s="626" t="s">
        <v>4554</v>
      </c>
      <c r="B633" t="s">
        <v>4555</v>
      </c>
    </row>
    <row r="634" spans="1:2" x14ac:dyDescent="0.25">
      <c r="A634" s="626" t="s">
        <v>4556</v>
      </c>
      <c r="B634" t="s">
        <v>4557</v>
      </c>
    </row>
    <row r="635" spans="1:2" x14ac:dyDescent="0.25">
      <c r="A635" s="626" t="s">
        <v>4558</v>
      </c>
      <c r="B635" t="s">
        <v>4559</v>
      </c>
    </row>
    <row r="636" spans="1:2" x14ac:dyDescent="0.25">
      <c r="A636" s="626" t="s">
        <v>4560</v>
      </c>
      <c r="B636" t="s">
        <v>4561</v>
      </c>
    </row>
    <row r="637" spans="1:2" x14ac:dyDescent="0.25">
      <c r="A637" s="626" t="s">
        <v>4562</v>
      </c>
      <c r="B637" t="s">
        <v>4563</v>
      </c>
    </row>
    <row r="638" spans="1:2" x14ac:dyDescent="0.25">
      <c r="A638" s="626" t="s">
        <v>4564</v>
      </c>
      <c r="B638" t="s">
        <v>4565</v>
      </c>
    </row>
    <row r="639" spans="1:2" x14ac:dyDescent="0.25">
      <c r="A639" s="626" t="s">
        <v>4566</v>
      </c>
      <c r="B639" t="s">
        <v>4567</v>
      </c>
    </row>
    <row r="640" spans="1:2" x14ac:dyDescent="0.25">
      <c r="A640" s="626" t="s">
        <v>4568</v>
      </c>
      <c r="B640" t="s">
        <v>4569</v>
      </c>
    </row>
    <row r="641" spans="1:2" x14ac:dyDescent="0.25">
      <c r="A641" s="626" t="s">
        <v>4570</v>
      </c>
      <c r="B641" t="s">
        <v>4571</v>
      </c>
    </row>
    <row r="642" spans="1:2" x14ac:dyDescent="0.25">
      <c r="A642" s="626" t="s">
        <v>4572</v>
      </c>
      <c r="B642" t="s">
        <v>4573</v>
      </c>
    </row>
    <row r="643" spans="1:2" x14ac:dyDescent="0.25">
      <c r="A643" s="627"/>
      <c r="B643" s="628" t="s">
        <v>4574</v>
      </c>
    </row>
    <row r="644" spans="1:2" x14ac:dyDescent="0.25">
      <c r="A644" s="627"/>
      <c r="B644" s="628" t="s">
        <v>4575</v>
      </c>
    </row>
    <row r="645" spans="1:2" x14ac:dyDescent="0.25">
      <c r="A645" s="627"/>
      <c r="B645" s="628" t="s">
        <v>4576</v>
      </c>
    </row>
    <row r="646" spans="1:2" x14ac:dyDescent="0.25">
      <c r="A646" s="627"/>
      <c r="B646" s="628" t="s">
        <v>4577</v>
      </c>
    </row>
    <row r="647" spans="1:2" x14ac:dyDescent="0.25">
      <c r="A647" s="627"/>
      <c r="B647" s="628" t="s">
        <v>4578</v>
      </c>
    </row>
    <row r="648" spans="1:2" x14ac:dyDescent="0.25">
      <c r="A648" s="627"/>
      <c r="B648" s="628" t="s">
        <v>4579</v>
      </c>
    </row>
    <row r="649" spans="1:2" x14ac:dyDescent="0.25">
      <c r="A649" s="627"/>
      <c r="B649" s="628" t="s">
        <v>4580</v>
      </c>
    </row>
    <row r="650" spans="1:2" x14ac:dyDescent="0.25">
      <c r="B650" s="628" t="s">
        <v>4581</v>
      </c>
    </row>
    <row r="651" spans="1:2" x14ac:dyDescent="0.25">
      <c r="A651" s="627"/>
      <c r="B651" s="628" t="s">
        <v>4582</v>
      </c>
    </row>
    <row r="652" spans="1:2" x14ac:dyDescent="0.25">
      <c r="A652" s="627"/>
      <c r="B652" s="628" t="s">
        <v>4583</v>
      </c>
    </row>
    <row r="653" spans="1:2" x14ac:dyDescent="0.25">
      <c r="A653" s="629"/>
      <c r="B653" s="628" t="s">
        <v>4584</v>
      </c>
    </row>
    <row r="654" spans="1:2" x14ac:dyDescent="0.25">
      <c r="A654" s="627"/>
      <c r="B654" s="628" t="s">
        <v>4585</v>
      </c>
    </row>
    <row r="655" spans="1:2" x14ac:dyDescent="0.25">
      <c r="A655" s="629"/>
      <c r="B655" s="628" t="s">
        <v>4586</v>
      </c>
    </row>
    <row r="656" spans="1:2" x14ac:dyDescent="0.25">
      <c r="A656" s="627"/>
      <c r="B656" s="628" t="s">
        <v>4587</v>
      </c>
    </row>
    <row r="657" spans="1:2" x14ac:dyDescent="0.25">
      <c r="A657" s="627"/>
      <c r="B657" s="628" t="s">
        <v>4588</v>
      </c>
    </row>
    <row r="658" spans="1:2" x14ac:dyDescent="0.25">
      <c r="A658" s="627"/>
      <c r="B658" s="628" t="s">
        <v>4589</v>
      </c>
    </row>
    <row r="659" spans="1:2" x14ac:dyDescent="0.25">
      <c r="A659" s="627"/>
      <c r="B659" s="628" t="s">
        <v>4590</v>
      </c>
    </row>
    <row r="660" spans="1:2" x14ac:dyDescent="0.25">
      <c r="A660" s="627"/>
      <c r="B660" s="628" t="s">
        <v>4591</v>
      </c>
    </row>
    <row r="661" spans="1:2" x14ac:dyDescent="0.25">
      <c r="A661" s="627"/>
      <c r="B661" s="628" t="s">
        <v>4592</v>
      </c>
    </row>
  </sheetData>
  <pageMargins left="0.7" right="0.7" top="0.78749999999999998" bottom="0.78749999999999998"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6"/>
  <sheetViews>
    <sheetView zoomScaleNormal="100" workbookViewId="0"/>
  </sheetViews>
  <sheetFormatPr defaultRowHeight="15" x14ac:dyDescent="0.25"/>
  <cols>
    <col min="1" max="2" width="2.7109375" customWidth="1"/>
    <col min="3" max="3" width="31.42578125" customWidth="1"/>
    <col min="4" max="1025" width="9.140625" customWidth="1"/>
  </cols>
  <sheetData>
    <row r="3" spans="1:5" x14ac:dyDescent="0.25">
      <c r="A3" s="39">
        <v>1</v>
      </c>
      <c r="B3" s="39"/>
      <c r="C3" s="39" t="s">
        <v>1544</v>
      </c>
      <c r="D3" s="39" t="s">
        <v>4593</v>
      </c>
      <c r="E3" s="39" t="s">
        <v>4594</v>
      </c>
    </row>
    <row r="4" spans="1:5" x14ac:dyDescent="0.25">
      <c r="A4" s="39">
        <v>2</v>
      </c>
      <c r="B4" s="39"/>
      <c r="C4" s="391" t="s">
        <v>4595</v>
      </c>
      <c r="D4" s="39" t="s">
        <v>4596</v>
      </c>
      <c r="E4" s="39" t="s">
        <v>4597</v>
      </c>
    </row>
    <row r="5" spans="1:5" x14ac:dyDescent="0.25">
      <c r="A5" s="39">
        <v>3</v>
      </c>
      <c r="B5" s="39"/>
      <c r="C5" s="391" t="s">
        <v>4598</v>
      </c>
      <c r="D5" s="39" t="s">
        <v>4599</v>
      </c>
      <c r="E5" s="39" t="s">
        <v>4600</v>
      </c>
    </row>
    <row r="6" spans="1:5" x14ac:dyDescent="0.25">
      <c r="A6" s="39">
        <v>4</v>
      </c>
      <c r="B6" s="39"/>
      <c r="C6" s="391" t="s">
        <v>5</v>
      </c>
      <c r="D6" s="39" t="s">
        <v>4601</v>
      </c>
      <c r="E6" s="39" t="s">
        <v>5</v>
      </c>
    </row>
    <row r="7" spans="1:5" x14ac:dyDescent="0.25">
      <c r="A7" s="39">
        <v>5</v>
      </c>
      <c r="B7" s="39"/>
      <c r="C7" s="391" t="s">
        <v>4602</v>
      </c>
      <c r="D7" s="39" t="s">
        <v>4603</v>
      </c>
      <c r="E7" s="39" t="s">
        <v>4604</v>
      </c>
    </row>
    <row r="8" spans="1:5" x14ac:dyDescent="0.25">
      <c r="A8" s="39">
        <v>6</v>
      </c>
      <c r="B8" s="39"/>
      <c r="C8" s="391" t="s">
        <v>3</v>
      </c>
      <c r="D8" s="39" t="s">
        <v>4605</v>
      </c>
      <c r="E8" s="39" t="s">
        <v>2327</v>
      </c>
    </row>
    <row r="9" spans="1:5" x14ac:dyDescent="0.25">
      <c r="A9" s="39">
        <v>7</v>
      </c>
      <c r="B9" s="39"/>
      <c r="C9" s="391" t="s">
        <v>4606</v>
      </c>
      <c r="D9" s="39" t="s">
        <v>4607</v>
      </c>
      <c r="E9" s="39" t="s">
        <v>4608</v>
      </c>
    </row>
    <row r="10" spans="1:5" x14ac:dyDescent="0.25">
      <c r="A10" s="39">
        <v>8</v>
      </c>
      <c r="B10" s="39"/>
      <c r="C10" s="391" t="s">
        <v>4609</v>
      </c>
      <c r="D10" s="39" t="s">
        <v>4610</v>
      </c>
      <c r="E10" s="39" t="s">
        <v>4611</v>
      </c>
    </row>
    <row r="11" spans="1:5" x14ac:dyDescent="0.25">
      <c r="A11" s="39">
        <v>9</v>
      </c>
      <c r="B11" s="39"/>
      <c r="C11" s="391" t="s">
        <v>4612</v>
      </c>
      <c r="D11" s="39" t="s">
        <v>4613</v>
      </c>
      <c r="E11" s="39" t="s">
        <v>4614</v>
      </c>
    </row>
    <row r="12" spans="1:5" x14ac:dyDescent="0.25">
      <c r="A12" s="39">
        <v>10</v>
      </c>
      <c r="B12" s="39"/>
      <c r="C12" s="391" t="s">
        <v>4615</v>
      </c>
      <c r="D12" s="39" t="s">
        <v>4616</v>
      </c>
      <c r="E12" s="39" t="s">
        <v>4617</v>
      </c>
    </row>
    <row r="13" spans="1:5" x14ac:dyDescent="0.25">
      <c r="A13" s="39">
        <v>11</v>
      </c>
      <c r="B13" s="39"/>
      <c r="C13" s="391" t="s">
        <v>4618</v>
      </c>
      <c r="D13" s="39" t="s">
        <v>4619</v>
      </c>
      <c r="E13" s="39" t="s">
        <v>4620</v>
      </c>
    </row>
    <row r="14" spans="1:5" x14ac:dyDescent="0.25">
      <c r="A14" s="39">
        <v>12</v>
      </c>
      <c r="B14" s="39"/>
      <c r="C14" s="391" t="s">
        <v>4621</v>
      </c>
      <c r="D14" s="39" t="s">
        <v>4622</v>
      </c>
      <c r="E14" s="39" t="s">
        <v>4623</v>
      </c>
    </row>
    <row r="15" spans="1:5" x14ac:dyDescent="0.25">
      <c r="A15" s="39">
        <v>13</v>
      </c>
      <c r="B15" s="39"/>
      <c r="C15" s="391" t="s">
        <v>4624</v>
      </c>
      <c r="D15" s="39" t="s">
        <v>4625</v>
      </c>
      <c r="E15" s="39" t="s">
        <v>4626</v>
      </c>
    </row>
    <row r="16" spans="1:5" x14ac:dyDescent="0.25">
      <c r="A16" s="39">
        <v>14</v>
      </c>
      <c r="B16" s="39"/>
      <c r="C16" s="391" t="s">
        <v>4627</v>
      </c>
      <c r="D16" s="39" t="s">
        <v>4628</v>
      </c>
      <c r="E16" s="39" t="s">
        <v>4629</v>
      </c>
    </row>
    <row r="17" spans="1:5" x14ac:dyDescent="0.25">
      <c r="A17" s="39">
        <v>15</v>
      </c>
      <c r="B17" s="39"/>
      <c r="C17" s="391" t="s">
        <v>4630</v>
      </c>
      <c r="D17" s="39" t="s">
        <v>4631</v>
      </c>
      <c r="E17" s="39" t="s">
        <v>4632</v>
      </c>
    </row>
    <row r="18" spans="1:5" x14ac:dyDescent="0.25">
      <c r="A18" s="39">
        <v>16</v>
      </c>
      <c r="B18" s="39"/>
      <c r="C18" s="391" t="s">
        <v>4633</v>
      </c>
      <c r="D18" s="39" t="s">
        <v>4634</v>
      </c>
      <c r="E18" s="39" t="s">
        <v>4635</v>
      </c>
    </row>
    <row r="19" spans="1:5" x14ac:dyDescent="0.25">
      <c r="A19" s="39">
        <v>17</v>
      </c>
      <c r="B19" s="39"/>
      <c r="C19" s="391" t="s">
        <v>4636</v>
      </c>
      <c r="D19" s="39" t="s">
        <v>4637</v>
      </c>
      <c r="E19" s="39" t="s">
        <v>4638</v>
      </c>
    </row>
    <row r="20" spans="1:5" x14ac:dyDescent="0.25">
      <c r="A20" s="39">
        <v>18</v>
      </c>
      <c r="B20" s="39"/>
      <c r="C20" s="391" t="s">
        <v>4639</v>
      </c>
      <c r="D20" s="39" t="s">
        <v>4640</v>
      </c>
      <c r="E20" s="39" t="s">
        <v>4641</v>
      </c>
    </row>
    <row r="21" spans="1:5" ht="77.25" x14ac:dyDescent="0.25">
      <c r="A21" s="39">
        <v>19</v>
      </c>
      <c r="B21" s="39"/>
      <c r="C21" s="391" t="s">
        <v>4642</v>
      </c>
      <c r="D21" s="630" t="s">
        <v>4643</v>
      </c>
      <c r="E21" s="39" t="s">
        <v>4644</v>
      </c>
    </row>
    <row r="22" spans="1:5" ht="77.25" x14ac:dyDescent="0.25">
      <c r="A22" s="39">
        <v>20</v>
      </c>
      <c r="B22" s="39"/>
      <c r="C22" s="391" t="s">
        <v>4645</v>
      </c>
      <c r="D22" s="630" t="s">
        <v>4646</v>
      </c>
      <c r="E22" s="39" t="s">
        <v>4647</v>
      </c>
    </row>
    <row r="23" spans="1:5" ht="102.75" x14ac:dyDescent="0.25">
      <c r="A23" s="39">
        <v>21</v>
      </c>
      <c r="B23" s="39"/>
      <c r="C23" s="391" t="s">
        <v>4648</v>
      </c>
      <c r="D23" s="630" t="s">
        <v>4649</v>
      </c>
      <c r="E23" s="39" t="s">
        <v>4650</v>
      </c>
    </row>
    <row r="24" spans="1:5" ht="15.75" x14ac:dyDescent="0.3">
      <c r="A24" s="39">
        <v>22</v>
      </c>
      <c r="B24" s="39"/>
      <c r="C24" s="631" t="s">
        <v>4651</v>
      </c>
      <c r="D24" s="39" t="s">
        <v>4652</v>
      </c>
      <c r="E24" s="39" t="s">
        <v>4653</v>
      </c>
    </row>
    <row r="25" spans="1:5" ht="15.75" x14ac:dyDescent="0.3">
      <c r="A25" s="39">
        <v>23</v>
      </c>
      <c r="B25" s="39"/>
      <c r="C25" s="632" t="s">
        <v>4654</v>
      </c>
      <c r="D25" s="39" t="s">
        <v>4655</v>
      </c>
      <c r="E25" s="39" t="s">
        <v>4656</v>
      </c>
    </row>
    <row r="26" spans="1:5" ht="15.75" x14ac:dyDescent="0.3">
      <c r="A26" s="39">
        <v>24</v>
      </c>
      <c r="B26" s="39"/>
      <c r="C26" s="631" t="s">
        <v>9</v>
      </c>
      <c r="D26" s="39" t="s">
        <v>4657</v>
      </c>
      <c r="E26" s="39" t="s">
        <v>4658</v>
      </c>
    </row>
    <row r="27" spans="1:5" ht="15.75" x14ac:dyDescent="0.3">
      <c r="A27" s="39">
        <v>25</v>
      </c>
      <c r="B27" s="39"/>
      <c r="C27" s="631" t="s">
        <v>11</v>
      </c>
      <c r="D27" s="39" t="s">
        <v>4659</v>
      </c>
      <c r="E27" s="39" t="s">
        <v>4660</v>
      </c>
    </row>
    <row r="28" spans="1:5" ht="15.75" x14ac:dyDescent="0.3">
      <c r="A28" s="39">
        <v>26</v>
      </c>
      <c r="B28" s="39"/>
      <c r="C28" s="632" t="s">
        <v>13</v>
      </c>
      <c r="D28" s="39" t="s">
        <v>4661</v>
      </c>
      <c r="E28" s="39" t="s">
        <v>4662</v>
      </c>
    </row>
    <row r="29" spans="1:5" ht="15.75" x14ac:dyDescent="0.3">
      <c r="A29" s="39">
        <v>27</v>
      </c>
      <c r="B29" s="39"/>
      <c r="C29" s="632" t="s">
        <v>15</v>
      </c>
      <c r="D29" s="39" t="s">
        <v>4663</v>
      </c>
      <c r="E29" s="39" t="s">
        <v>4664</v>
      </c>
    </row>
    <row r="30" spans="1:5" x14ac:dyDescent="0.25">
      <c r="A30" s="39">
        <v>28</v>
      </c>
      <c r="B30" s="39"/>
      <c r="C30" s="633" t="s">
        <v>25</v>
      </c>
      <c r="D30" s="39" t="s">
        <v>4665</v>
      </c>
      <c r="E30" s="39" t="s">
        <v>4666</v>
      </c>
    </row>
    <row r="31" spans="1:5" ht="15.75" x14ac:dyDescent="0.3">
      <c r="A31" s="39">
        <v>29</v>
      </c>
      <c r="B31" s="39"/>
      <c r="C31" s="634" t="s">
        <v>17</v>
      </c>
      <c r="D31" s="41" t="s">
        <v>4667</v>
      </c>
      <c r="E31" s="41" t="s">
        <v>4668</v>
      </c>
    </row>
    <row r="32" spans="1:5" ht="15.75" x14ac:dyDescent="0.3">
      <c r="A32" s="39">
        <v>30</v>
      </c>
      <c r="B32" s="39"/>
      <c r="C32" s="634" t="s">
        <v>19</v>
      </c>
      <c r="D32" s="41" t="s">
        <v>4669</v>
      </c>
      <c r="E32" s="41" t="s">
        <v>4670</v>
      </c>
    </row>
    <row r="33" spans="1:5" ht="15.75" x14ac:dyDescent="0.3">
      <c r="A33" s="39">
        <v>31</v>
      </c>
      <c r="B33" s="39"/>
      <c r="C33" s="634" t="s">
        <v>20</v>
      </c>
      <c r="D33" s="41" t="s">
        <v>4671</v>
      </c>
      <c r="E33" s="41" t="s">
        <v>4672</v>
      </c>
    </row>
    <row r="34" spans="1:5" ht="15.75" x14ac:dyDescent="0.3">
      <c r="A34" s="39">
        <v>32</v>
      </c>
      <c r="B34" s="39"/>
      <c r="C34" s="635" t="s">
        <v>22</v>
      </c>
      <c r="D34" s="41" t="s">
        <v>4673</v>
      </c>
      <c r="E34" s="41" t="s">
        <v>4674</v>
      </c>
    </row>
    <row r="35" spans="1:5" ht="15.75" x14ac:dyDescent="0.3">
      <c r="A35" s="39">
        <v>33</v>
      </c>
      <c r="B35" s="39"/>
      <c r="C35" s="635" t="s">
        <v>23</v>
      </c>
      <c r="D35" s="41" t="s">
        <v>4675</v>
      </c>
      <c r="E35" s="41" t="s">
        <v>4676</v>
      </c>
    </row>
    <row r="36" spans="1:5" x14ac:dyDescent="0.25">
      <c r="A36" s="39">
        <v>34</v>
      </c>
      <c r="B36" s="39"/>
      <c r="C36" s="41" t="s">
        <v>4677</v>
      </c>
      <c r="D36" s="41" t="s">
        <v>4678</v>
      </c>
      <c r="E36" s="41" t="s">
        <v>4679</v>
      </c>
    </row>
  </sheetData>
  <sheetProtection sheet="1" objects="1" scenarios="1"/>
  <pageMargins left="0.7" right="0.7" top="0.78749999999999998" bottom="0.78749999999999998"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6"/>
  <sheetViews>
    <sheetView zoomScaleNormal="100" workbookViewId="0"/>
  </sheetViews>
  <sheetFormatPr defaultRowHeight="15" x14ac:dyDescent="0.25"/>
  <cols>
    <col min="1" max="1025" width="9.140625" customWidth="1"/>
  </cols>
  <sheetData>
    <row r="1" spans="1:1" ht="15" customHeight="1" x14ac:dyDescent="0.25">
      <c r="A1" s="636" t="s">
        <v>4680</v>
      </c>
    </row>
    <row r="2" spans="1:1" ht="15" customHeight="1" x14ac:dyDescent="0.25">
      <c r="A2" s="636" t="s">
        <v>4681</v>
      </c>
    </row>
    <row r="3" spans="1:1" ht="15" customHeight="1" x14ac:dyDescent="0.25">
      <c r="A3" s="636" t="s">
        <v>4682</v>
      </c>
    </row>
    <row r="4" spans="1:1" ht="15" customHeight="1" x14ac:dyDescent="0.25">
      <c r="A4" s="636" t="s">
        <v>4683</v>
      </c>
    </row>
    <row r="5" spans="1:1" ht="15" customHeight="1" x14ac:dyDescent="0.25">
      <c r="A5" s="636" t="s">
        <v>4684</v>
      </c>
    </row>
    <row r="6" spans="1:1" ht="15" customHeight="1" x14ac:dyDescent="0.25">
      <c r="A6" s="636" t="s">
        <v>4685</v>
      </c>
    </row>
    <row r="7" spans="1:1" ht="15" customHeight="1" x14ac:dyDescent="0.25">
      <c r="A7" s="636" t="s">
        <v>4686</v>
      </c>
    </row>
    <row r="8" spans="1:1" ht="15" customHeight="1" x14ac:dyDescent="0.25">
      <c r="A8" s="636" t="s">
        <v>4687</v>
      </c>
    </row>
    <row r="9" spans="1:1" ht="15" customHeight="1" x14ac:dyDescent="0.25">
      <c r="A9" s="636" t="s">
        <v>4688</v>
      </c>
    </row>
    <row r="10" spans="1:1" ht="15" customHeight="1" x14ac:dyDescent="0.25">
      <c r="A10" s="636" t="s">
        <v>4689</v>
      </c>
    </row>
    <row r="11" spans="1:1" ht="15" customHeight="1" x14ac:dyDescent="0.25">
      <c r="A11" s="636" t="s">
        <v>4690</v>
      </c>
    </row>
    <row r="12" spans="1:1" ht="15" customHeight="1" x14ac:dyDescent="0.25">
      <c r="A12" s="636" t="s">
        <v>4691</v>
      </c>
    </row>
    <row r="13" spans="1:1" ht="15" customHeight="1" x14ac:dyDescent="0.25">
      <c r="A13" s="636" t="s">
        <v>4692</v>
      </c>
    </row>
    <row r="14" spans="1:1" ht="15" customHeight="1" x14ac:dyDescent="0.25">
      <c r="A14" s="636" t="s">
        <v>4693</v>
      </c>
    </row>
    <row r="15" spans="1:1" ht="15" customHeight="1" x14ac:dyDescent="0.25">
      <c r="A15" s="636" t="s">
        <v>4694</v>
      </c>
    </row>
    <row r="16" spans="1:1" ht="15" customHeight="1" x14ac:dyDescent="0.25">
      <c r="A16" s="636" t="s">
        <v>4695</v>
      </c>
    </row>
    <row r="17" spans="1:1" ht="15" customHeight="1" x14ac:dyDescent="0.25">
      <c r="A17" s="636" t="s">
        <v>4696</v>
      </c>
    </row>
    <row r="18" spans="1:1" ht="15" customHeight="1" x14ac:dyDescent="0.25">
      <c r="A18" s="636" t="s">
        <v>4697</v>
      </c>
    </row>
    <row r="19" spans="1:1" ht="15" customHeight="1" x14ac:dyDescent="0.25">
      <c r="A19" s="636" t="s">
        <v>4698</v>
      </c>
    </row>
    <row r="20" spans="1:1" ht="15" customHeight="1" x14ac:dyDescent="0.25">
      <c r="A20" s="636" t="s">
        <v>4699</v>
      </c>
    </row>
    <row r="21" spans="1:1" ht="15" customHeight="1" x14ac:dyDescent="0.25">
      <c r="A21" s="636" t="s">
        <v>4700</v>
      </c>
    </row>
    <row r="22" spans="1:1" ht="15" customHeight="1" x14ac:dyDescent="0.25">
      <c r="A22" s="636" t="s">
        <v>4701</v>
      </c>
    </row>
    <row r="23" spans="1:1" ht="15" customHeight="1" x14ac:dyDescent="0.25">
      <c r="A23" s="636" t="s">
        <v>4702</v>
      </c>
    </row>
    <row r="24" spans="1:1" ht="15" customHeight="1" x14ac:dyDescent="0.25">
      <c r="A24" s="636" t="s">
        <v>4703</v>
      </c>
    </row>
    <row r="25" spans="1:1" ht="15" customHeight="1" x14ac:dyDescent="0.25">
      <c r="A25" s="636" t="s">
        <v>4704</v>
      </c>
    </row>
    <row r="26" spans="1:1" ht="15" customHeight="1" x14ac:dyDescent="0.25">
      <c r="A26" s="636" t="s">
        <v>4705</v>
      </c>
    </row>
    <row r="27" spans="1:1" ht="15" customHeight="1" x14ac:dyDescent="0.25">
      <c r="A27" s="636" t="s">
        <v>4706</v>
      </c>
    </row>
    <row r="28" spans="1:1" ht="15" customHeight="1" x14ac:dyDescent="0.25">
      <c r="A28" s="636" t="s">
        <v>4707</v>
      </c>
    </row>
    <row r="29" spans="1:1" ht="15" customHeight="1" x14ac:dyDescent="0.25">
      <c r="A29" s="636" t="s">
        <v>4708</v>
      </c>
    </row>
    <row r="30" spans="1:1" ht="15" customHeight="1" x14ac:dyDescent="0.25">
      <c r="A30" s="636" t="s">
        <v>4709</v>
      </c>
    </row>
    <row r="31" spans="1:1" ht="15" customHeight="1" x14ac:dyDescent="0.25">
      <c r="A31" s="636" t="s">
        <v>4710</v>
      </c>
    </row>
    <row r="32" spans="1:1" ht="15" customHeight="1" x14ac:dyDescent="0.25">
      <c r="A32" s="636" t="s">
        <v>4711</v>
      </c>
    </row>
    <row r="33" spans="1:1" ht="15" customHeight="1" x14ac:dyDescent="0.25">
      <c r="A33" s="636" t="s">
        <v>4712</v>
      </c>
    </row>
    <row r="34" spans="1:1" ht="15" customHeight="1" x14ac:dyDescent="0.25">
      <c r="A34" s="636" t="s">
        <v>4713</v>
      </c>
    </row>
    <row r="35" spans="1:1" ht="15" customHeight="1" x14ac:dyDescent="0.25">
      <c r="A35" s="636" t="s">
        <v>4714</v>
      </c>
    </row>
    <row r="36" spans="1:1" ht="15" customHeight="1" x14ac:dyDescent="0.25">
      <c r="A36" s="636" t="s">
        <v>4715</v>
      </c>
    </row>
  </sheetData>
  <pageMargins left="0.7" right="0.7" top="0.78749999999999998" bottom="0.78749999999999998" header="0.51180555555555496" footer="0.51180555555555496"/>
  <pageSetup paperSize="9" firstPageNumber="0"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
  <sheetViews>
    <sheetView zoomScaleNormal="100" workbookViewId="0"/>
  </sheetViews>
  <sheetFormatPr defaultRowHeight="15" x14ac:dyDescent="0.25"/>
  <cols>
    <col min="1" max="1" width="3.140625" customWidth="1"/>
    <col min="2" max="2" width="5.28515625" customWidth="1"/>
    <col min="3" max="3" width="110.7109375" customWidth="1"/>
    <col min="4" max="4" width="97.7109375" customWidth="1"/>
    <col min="5" max="5" width="131.28515625" customWidth="1"/>
    <col min="6" max="1025" width="1.7109375" customWidth="1"/>
  </cols>
  <sheetData>
    <row r="1" spans="1:5" x14ac:dyDescent="0.25">
      <c r="A1" s="637" t="s">
        <v>2160</v>
      </c>
      <c r="C1" s="638" t="s">
        <v>4716</v>
      </c>
      <c r="D1" s="638" t="s">
        <v>4717</v>
      </c>
      <c r="E1" s="638" t="s">
        <v>4718</v>
      </c>
    </row>
    <row r="2" spans="1:5" x14ac:dyDescent="0.25">
      <c r="A2" s="637" t="s">
        <v>2161</v>
      </c>
      <c r="B2" s="638" t="s">
        <v>2162</v>
      </c>
      <c r="C2" s="638" t="s">
        <v>4719</v>
      </c>
      <c r="D2" s="638" t="s">
        <v>4720</v>
      </c>
      <c r="E2" s="638" t="s">
        <v>4721</v>
      </c>
    </row>
    <row r="3" spans="1:5" x14ac:dyDescent="0.25">
      <c r="A3" s="637" t="s">
        <v>2163</v>
      </c>
      <c r="B3" s="638" t="s">
        <v>2164</v>
      </c>
      <c r="C3" s="638" t="s">
        <v>4722</v>
      </c>
      <c r="D3" s="638" t="s">
        <v>4723</v>
      </c>
      <c r="E3" s="638" t="s">
        <v>4724</v>
      </c>
    </row>
    <row r="4" spans="1:5" x14ac:dyDescent="0.25">
      <c r="A4" s="637" t="s">
        <v>1232</v>
      </c>
      <c r="B4" s="638" t="s">
        <v>2165</v>
      </c>
      <c r="C4" s="638" t="s">
        <v>4725</v>
      </c>
      <c r="D4" s="638" t="s">
        <v>4726</v>
      </c>
      <c r="E4" s="638" t="s">
        <v>4727</v>
      </c>
    </row>
    <row r="5" spans="1:5" x14ac:dyDescent="0.25">
      <c r="A5" s="637" t="s">
        <v>1233</v>
      </c>
      <c r="B5" s="638" t="s">
        <v>2166</v>
      </c>
      <c r="C5" s="638" t="s">
        <v>4728</v>
      </c>
      <c r="D5" s="638" t="s">
        <v>4729</v>
      </c>
      <c r="E5" s="638" t="s">
        <v>4729</v>
      </c>
    </row>
    <row r="6" spans="1:5" x14ac:dyDescent="0.25">
      <c r="A6" s="637" t="s">
        <v>1234</v>
      </c>
      <c r="B6" s="638" t="s">
        <v>2167</v>
      </c>
      <c r="C6" s="638" t="s">
        <v>4730</v>
      </c>
      <c r="D6" s="638" t="s">
        <v>4731</v>
      </c>
      <c r="E6" s="638" t="s">
        <v>4732</v>
      </c>
    </row>
    <row r="7" spans="1:5" x14ac:dyDescent="0.25">
      <c r="A7" s="637" t="s">
        <v>1235</v>
      </c>
      <c r="B7" s="638" t="s">
        <v>2168</v>
      </c>
      <c r="C7" s="638" t="s">
        <v>4733</v>
      </c>
      <c r="D7" s="638" t="s">
        <v>4733</v>
      </c>
      <c r="E7" s="638" t="s">
        <v>4733</v>
      </c>
    </row>
    <row r="8" spans="1:5" ht="25.5" x14ac:dyDescent="0.25">
      <c r="A8" s="637" t="s">
        <v>1236</v>
      </c>
      <c r="B8" s="638" t="s">
        <v>2169</v>
      </c>
      <c r="C8" s="639" t="s">
        <v>4734</v>
      </c>
      <c r="D8" s="639" t="s">
        <v>4735</v>
      </c>
      <c r="E8" s="638" t="s">
        <v>4736</v>
      </c>
    </row>
    <row r="9" spans="1:5" ht="25.5" x14ac:dyDescent="0.25">
      <c r="A9" s="637" t="s">
        <v>2170</v>
      </c>
      <c r="B9" s="638" t="s">
        <v>2171</v>
      </c>
      <c r="C9" s="639" t="s">
        <v>4737</v>
      </c>
      <c r="D9" s="638" t="s">
        <v>4738</v>
      </c>
      <c r="E9" s="638" t="s">
        <v>4739</v>
      </c>
    </row>
    <row r="10" spans="1:5" x14ac:dyDescent="0.25">
      <c r="A10" s="637">
        <v>10</v>
      </c>
      <c r="B10" s="638" t="s">
        <v>2172</v>
      </c>
      <c r="C10" s="638" t="s">
        <v>4740</v>
      </c>
      <c r="D10" s="638" t="s">
        <v>4741</v>
      </c>
      <c r="E10" s="638" t="s">
        <v>4742</v>
      </c>
    </row>
    <row r="11" spans="1:5" x14ac:dyDescent="0.25">
      <c r="A11" s="637">
        <v>11</v>
      </c>
      <c r="B11" s="638" t="s">
        <v>2173</v>
      </c>
      <c r="C11" s="638" t="s">
        <v>4743</v>
      </c>
      <c r="D11" s="638" t="s">
        <v>4744</v>
      </c>
      <c r="E11" s="638" t="s">
        <v>4745</v>
      </c>
    </row>
    <row r="12" spans="1:5" x14ac:dyDescent="0.25">
      <c r="A12" s="637">
        <v>12</v>
      </c>
      <c r="B12" s="638" t="s">
        <v>2175</v>
      </c>
      <c r="C12" s="638" t="s">
        <v>4746</v>
      </c>
      <c r="D12" s="638" t="s">
        <v>4747</v>
      </c>
      <c r="E12" s="638" t="s">
        <v>4748</v>
      </c>
    </row>
    <row r="13" spans="1:5" x14ac:dyDescent="0.25">
      <c r="A13" s="637">
        <v>13</v>
      </c>
      <c r="B13" s="638" t="s">
        <v>2166</v>
      </c>
      <c r="C13" s="638" t="s">
        <v>4749</v>
      </c>
      <c r="D13" s="638" t="s">
        <v>4750</v>
      </c>
      <c r="E13" s="638" t="s">
        <v>4751</v>
      </c>
    </row>
    <row r="14" spans="1:5" x14ac:dyDescent="0.25">
      <c r="A14" s="637">
        <v>14</v>
      </c>
      <c r="B14" s="638" t="s">
        <v>2167</v>
      </c>
      <c r="C14" s="638" t="s">
        <v>4752</v>
      </c>
      <c r="D14" s="638" t="s">
        <v>4753</v>
      </c>
      <c r="E14" s="638" t="s">
        <v>4754</v>
      </c>
    </row>
    <row r="15" spans="1:5" ht="25.5" x14ac:dyDescent="0.25">
      <c r="A15" s="637">
        <v>15</v>
      </c>
      <c r="B15" s="638" t="s">
        <v>2168</v>
      </c>
      <c r="C15" s="639" t="s">
        <v>4755</v>
      </c>
      <c r="D15" s="638" t="s">
        <v>4756</v>
      </c>
      <c r="E15" s="638" t="s">
        <v>4757</v>
      </c>
    </row>
    <row r="16" spans="1:5" x14ac:dyDescent="0.25">
      <c r="A16" s="637">
        <v>16</v>
      </c>
      <c r="B16" s="638" t="s">
        <v>2169</v>
      </c>
      <c r="C16" s="638" t="s">
        <v>4758</v>
      </c>
      <c r="D16" s="638" t="s">
        <v>4759</v>
      </c>
      <c r="E16" s="638" t="s">
        <v>4760</v>
      </c>
    </row>
    <row r="17" spans="1:5" ht="25.5" x14ac:dyDescent="0.25">
      <c r="A17" s="637">
        <v>17</v>
      </c>
      <c r="B17" s="638" t="s">
        <v>2171</v>
      </c>
      <c r="C17" s="639" t="s">
        <v>4761</v>
      </c>
      <c r="D17" s="639" t="s">
        <v>4762</v>
      </c>
      <c r="E17" s="638" t="s">
        <v>4763</v>
      </c>
    </row>
    <row r="18" spans="1:5" ht="25.5" x14ac:dyDescent="0.25">
      <c r="A18" s="637">
        <v>18</v>
      </c>
      <c r="B18" s="638" t="s">
        <v>2172</v>
      </c>
      <c r="C18" s="639" t="s">
        <v>4764</v>
      </c>
      <c r="D18" s="639" t="s">
        <v>4765</v>
      </c>
      <c r="E18" s="639" t="s">
        <v>4766</v>
      </c>
    </row>
    <row r="19" spans="1:5" ht="25.5" x14ac:dyDescent="0.25">
      <c r="A19" s="637">
        <v>19</v>
      </c>
      <c r="B19" s="638" t="s">
        <v>2177</v>
      </c>
      <c r="C19" s="638" t="s">
        <v>4767</v>
      </c>
      <c r="D19" s="638" t="s">
        <v>4768</v>
      </c>
      <c r="E19" s="639" t="s">
        <v>4769</v>
      </c>
    </row>
    <row r="20" spans="1:5" ht="25.5" x14ac:dyDescent="0.25">
      <c r="A20" s="637">
        <v>20</v>
      </c>
      <c r="B20" s="638" t="s">
        <v>2178</v>
      </c>
      <c r="C20" s="639" t="s">
        <v>4770</v>
      </c>
      <c r="D20" s="638" t="s">
        <v>4771</v>
      </c>
      <c r="E20" s="639" t="s">
        <v>4772</v>
      </c>
    </row>
    <row r="21" spans="1:5" x14ac:dyDescent="0.25">
      <c r="A21" s="637">
        <v>21</v>
      </c>
      <c r="B21" s="638" t="s">
        <v>2180</v>
      </c>
      <c r="C21" s="638" t="s">
        <v>4773</v>
      </c>
      <c r="D21" s="638" t="s">
        <v>4774</v>
      </c>
      <c r="E21" s="638" t="s">
        <v>4775</v>
      </c>
    </row>
    <row r="22" spans="1:5" x14ac:dyDescent="0.25">
      <c r="A22" s="637">
        <v>22</v>
      </c>
      <c r="B22" s="638" t="s">
        <v>2182</v>
      </c>
      <c r="C22" s="638" t="s">
        <v>4776</v>
      </c>
      <c r="D22" s="638" t="s">
        <v>4777</v>
      </c>
      <c r="E22" s="638" t="s">
        <v>4778</v>
      </c>
    </row>
    <row r="23" spans="1:5" ht="25.5" x14ac:dyDescent="0.25">
      <c r="A23" s="637">
        <v>23</v>
      </c>
      <c r="B23" s="638" t="s">
        <v>2166</v>
      </c>
      <c r="C23" s="639" t="s">
        <v>4779</v>
      </c>
      <c r="D23" s="639" t="s">
        <v>4780</v>
      </c>
      <c r="E23" s="639" t="s">
        <v>4781</v>
      </c>
    </row>
    <row r="24" spans="1:5" ht="25.5" x14ac:dyDescent="0.25">
      <c r="A24" s="637">
        <v>24</v>
      </c>
      <c r="B24" s="638" t="s">
        <v>2167</v>
      </c>
      <c r="C24" s="639" t="s">
        <v>4782</v>
      </c>
      <c r="D24" s="638" t="s">
        <v>4783</v>
      </c>
      <c r="E24" s="639" t="s">
        <v>4784</v>
      </c>
    </row>
    <row r="25" spans="1:5" ht="25.5" x14ac:dyDescent="0.25">
      <c r="A25" s="637">
        <v>25</v>
      </c>
      <c r="B25" s="638" t="s">
        <v>2168</v>
      </c>
      <c r="C25" s="639" t="s">
        <v>4785</v>
      </c>
      <c r="D25" s="638" t="s">
        <v>4786</v>
      </c>
      <c r="E25" s="639" t="s">
        <v>4787</v>
      </c>
    </row>
    <row r="26" spans="1:5" ht="25.5" x14ac:dyDescent="0.25">
      <c r="A26" s="637">
        <v>26</v>
      </c>
      <c r="B26" s="638" t="s">
        <v>2169</v>
      </c>
      <c r="C26" s="638" t="s">
        <v>4788</v>
      </c>
      <c r="D26" s="638" t="s">
        <v>4789</v>
      </c>
      <c r="E26" s="639" t="s">
        <v>4790</v>
      </c>
    </row>
    <row r="27" spans="1:5" x14ac:dyDescent="0.25">
      <c r="A27" s="637">
        <v>27</v>
      </c>
      <c r="B27" s="638" t="s">
        <v>2171</v>
      </c>
      <c r="C27" s="638" t="s">
        <v>4791</v>
      </c>
      <c r="D27" s="638" t="s">
        <v>4792</v>
      </c>
      <c r="E27" s="638" t="s">
        <v>4793</v>
      </c>
    </row>
    <row r="28" spans="1:5" x14ac:dyDescent="0.25">
      <c r="A28" s="637">
        <v>28</v>
      </c>
      <c r="B28" s="638" t="s">
        <v>2172</v>
      </c>
      <c r="C28" s="638" t="s">
        <v>4794</v>
      </c>
      <c r="D28" s="638" t="s">
        <v>4795</v>
      </c>
      <c r="E28" s="638" t="s">
        <v>4796</v>
      </c>
    </row>
    <row r="29" spans="1:5" ht="25.5" x14ac:dyDescent="0.25">
      <c r="A29" s="637">
        <v>29</v>
      </c>
      <c r="B29" s="638" t="s">
        <v>2177</v>
      </c>
      <c r="C29" s="638" t="s">
        <v>4797</v>
      </c>
      <c r="D29" s="638" t="s">
        <v>4798</v>
      </c>
      <c r="E29" s="639" t="s">
        <v>4799</v>
      </c>
    </row>
    <row r="30" spans="1:5" x14ac:dyDescent="0.25">
      <c r="A30" s="637" t="s">
        <v>1260</v>
      </c>
      <c r="B30" s="638" t="s">
        <v>2178</v>
      </c>
      <c r="C30" s="638" t="s">
        <v>4800</v>
      </c>
      <c r="D30" s="638" t="s">
        <v>4801</v>
      </c>
      <c r="E30" s="638" t="s">
        <v>4802</v>
      </c>
    </row>
    <row r="31" spans="1:5" x14ac:dyDescent="0.25">
      <c r="A31" s="637" t="s">
        <v>1248</v>
      </c>
      <c r="B31" s="638" t="s">
        <v>2183</v>
      </c>
      <c r="C31" s="638" t="s">
        <v>4803</v>
      </c>
      <c r="D31" s="638" t="s">
        <v>4804</v>
      </c>
      <c r="E31" s="638" t="s">
        <v>4805</v>
      </c>
    </row>
    <row r="32" spans="1:5" ht="25.5" x14ac:dyDescent="0.25">
      <c r="A32" s="637" t="s">
        <v>1247</v>
      </c>
      <c r="B32" s="638" t="s">
        <v>2184</v>
      </c>
      <c r="C32" s="638" t="s">
        <v>4806</v>
      </c>
      <c r="D32" s="638" t="s">
        <v>4807</v>
      </c>
      <c r="E32" s="639" t="s">
        <v>4808</v>
      </c>
    </row>
    <row r="33" spans="1:5" x14ac:dyDescent="0.25">
      <c r="A33" s="637" t="s">
        <v>2185</v>
      </c>
      <c r="B33" s="638" t="s">
        <v>2186</v>
      </c>
      <c r="C33" s="638" t="s">
        <v>4809</v>
      </c>
      <c r="D33" s="638" t="s">
        <v>4810</v>
      </c>
      <c r="E33" s="638" t="s">
        <v>4811</v>
      </c>
    </row>
    <row r="34" spans="1:5" x14ac:dyDescent="0.25">
      <c r="A34" s="637" t="s">
        <v>2187</v>
      </c>
      <c r="B34" s="638" t="s">
        <v>2188</v>
      </c>
      <c r="C34" s="638" t="s">
        <v>4812</v>
      </c>
      <c r="D34" s="638" t="s">
        <v>4813</v>
      </c>
      <c r="E34" s="638" t="s">
        <v>4814</v>
      </c>
    </row>
    <row r="35" spans="1:5" x14ac:dyDescent="0.25">
      <c r="A35" s="637" t="s">
        <v>2189</v>
      </c>
      <c r="B35" s="638" t="s">
        <v>2190</v>
      </c>
      <c r="C35" s="638" t="s">
        <v>4815</v>
      </c>
      <c r="D35" s="638" t="s">
        <v>4816</v>
      </c>
      <c r="E35" s="638" t="s">
        <v>4817</v>
      </c>
    </row>
    <row r="36" spans="1:5" ht="25.5" x14ac:dyDescent="0.25">
      <c r="A36" s="637" t="s">
        <v>2191</v>
      </c>
      <c r="B36" s="638" t="s">
        <v>2166</v>
      </c>
      <c r="C36" s="638" t="s">
        <v>4818</v>
      </c>
      <c r="D36" s="639" t="s">
        <v>4819</v>
      </c>
      <c r="E36" s="639" t="s">
        <v>4820</v>
      </c>
    </row>
    <row r="37" spans="1:5" x14ac:dyDescent="0.25">
      <c r="A37" s="637" t="s">
        <v>2192</v>
      </c>
      <c r="B37" s="638" t="s">
        <v>2167</v>
      </c>
      <c r="C37" s="638" t="s">
        <v>4821</v>
      </c>
      <c r="D37" s="638" t="s">
        <v>4822</v>
      </c>
      <c r="E37" s="638" t="s">
        <v>4823</v>
      </c>
    </row>
    <row r="38" spans="1:5" x14ac:dyDescent="0.25">
      <c r="A38" s="637" t="s">
        <v>2193</v>
      </c>
      <c r="B38" s="638" t="s">
        <v>2168</v>
      </c>
      <c r="C38" s="638" t="s">
        <v>4824</v>
      </c>
      <c r="D38" s="638" t="s">
        <v>4825</v>
      </c>
      <c r="E38" s="638" t="s">
        <v>4826</v>
      </c>
    </row>
    <row r="39" spans="1:5" x14ac:dyDescent="0.25">
      <c r="A39" s="637" t="s">
        <v>2194</v>
      </c>
      <c r="B39" s="638" t="s">
        <v>2169</v>
      </c>
      <c r="C39" s="638" t="s">
        <v>4827</v>
      </c>
      <c r="D39" s="638" t="s">
        <v>4828</v>
      </c>
      <c r="E39" s="638" t="s">
        <v>4829</v>
      </c>
    </row>
    <row r="40" spans="1:5" ht="25.5" x14ac:dyDescent="0.25">
      <c r="A40" s="637" t="s">
        <v>1249</v>
      </c>
      <c r="B40" s="638" t="s">
        <v>2171</v>
      </c>
      <c r="C40" s="638" t="s">
        <v>4830</v>
      </c>
      <c r="D40" s="639" t="s">
        <v>4831</v>
      </c>
      <c r="E40" s="638" t="s">
        <v>4832</v>
      </c>
    </row>
    <row r="41" spans="1:5" x14ac:dyDescent="0.25">
      <c r="A41" s="637" t="s">
        <v>2195</v>
      </c>
      <c r="B41" s="638" t="s">
        <v>2196</v>
      </c>
      <c r="C41" s="638" t="s">
        <v>4833</v>
      </c>
      <c r="D41" s="638" t="s">
        <v>4834</v>
      </c>
      <c r="E41" s="638" t="s">
        <v>4835</v>
      </c>
    </row>
    <row r="42" spans="1:5" ht="25.5" x14ac:dyDescent="0.25">
      <c r="A42" s="637" t="s">
        <v>2197</v>
      </c>
      <c r="B42" s="638" t="s">
        <v>2198</v>
      </c>
      <c r="C42" s="638" t="s">
        <v>4836</v>
      </c>
      <c r="D42" s="638" t="s">
        <v>4837</v>
      </c>
      <c r="E42" s="639" t="s">
        <v>4838</v>
      </c>
    </row>
    <row r="43" spans="1:5" x14ac:dyDescent="0.25">
      <c r="A43" s="637" t="s">
        <v>1250</v>
      </c>
      <c r="B43" s="638" t="s">
        <v>2199</v>
      </c>
      <c r="C43" s="638" t="s">
        <v>4839</v>
      </c>
      <c r="D43" s="638" t="s">
        <v>4840</v>
      </c>
      <c r="E43" s="638" t="s">
        <v>4841</v>
      </c>
    </row>
    <row r="44" spans="1:5" ht="25.5" x14ac:dyDescent="0.25">
      <c r="A44" s="637" t="s">
        <v>1251</v>
      </c>
      <c r="B44" s="638" t="s">
        <v>2200</v>
      </c>
      <c r="C44" s="639" t="s">
        <v>4842</v>
      </c>
      <c r="D44" s="638" t="s">
        <v>4843</v>
      </c>
      <c r="E44" s="638" t="s">
        <v>4844</v>
      </c>
    </row>
    <row r="45" spans="1:5" x14ac:dyDescent="0.25">
      <c r="A45" s="637" t="s">
        <v>1252</v>
      </c>
      <c r="B45" s="638" t="s">
        <v>2201</v>
      </c>
      <c r="C45" s="638" t="s">
        <v>4845</v>
      </c>
      <c r="D45" s="638" t="s">
        <v>4846</v>
      </c>
      <c r="E45" s="638" t="s">
        <v>4847</v>
      </c>
    </row>
    <row r="46" spans="1:5" x14ac:dyDescent="0.25">
      <c r="A46" s="637" t="s">
        <v>1261</v>
      </c>
      <c r="B46" s="638" t="s">
        <v>2166</v>
      </c>
      <c r="C46" s="638" t="s">
        <v>4848</v>
      </c>
      <c r="D46" s="638" t="s">
        <v>4849</v>
      </c>
      <c r="E46" s="638" t="s">
        <v>4850</v>
      </c>
    </row>
    <row r="47" spans="1:5" x14ac:dyDescent="0.25">
      <c r="A47" s="637" t="s">
        <v>1220</v>
      </c>
      <c r="B47" s="638" t="s">
        <v>2167</v>
      </c>
      <c r="C47" s="638" t="s">
        <v>4851</v>
      </c>
      <c r="D47" s="638" t="s">
        <v>4852</v>
      </c>
      <c r="E47" s="638" t="s">
        <v>4853</v>
      </c>
    </row>
    <row r="48" spans="1:5" x14ac:dyDescent="0.25">
      <c r="A48" s="637" t="s">
        <v>1221</v>
      </c>
      <c r="B48" s="638" t="s">
        <v>2168</v>
      </c>
      <c r="C48" s="638" t="s">
        <v>4854</v>
      </c>
      <c r="D48" s="638" t="s">
        <v>4855</v>
      </c>
      <c r="E48" s="638" t="s">
        <v>4856</v>
      </c>
    </row>
    <row r="49" spans="1:5" x14ac:dyDescent="0.25">
      <c r="A49" s="637" t="s">
        <v>1228</v>
      </c>
      <c r="B49" s="638" t="s">
        <v>2169</v>
      </c>
      <c r="C49" s="638" t="s">
        <v>4857</v>
      </c>
      <c r="D49" s="638" t="s">
        <v>4858</v>
      </c>
      <c r="E49" s="638" t="s">
        <v>4859</v>
      </c>
    </row>
    <row r="50" spans="1:5" x14ac:dyDescent="0.25">
      <c r="A50" s="637" t="s">
        <v>1243</v>
      </c>
      <c r="B50" s="638" t="s">
        <v>2171</v>
      </c>
      <c r="C50" s="638" t="s">
        <v>4860</v>
      </c>
      <c r="D50" s="638" t="s">
        <v>4861</v>
      </c>
      <c r="E50" s="638" t="s">
        <v>4862</v>
      </c>
    </row>
    <row r="51" spans="1:5" x14ac:dyDescent="0.25">
      <c r="A51" s="637" t="s">
        <v>1216</v>
      </c>
      <c r="B51" s="638" t="s">
        <v>2172</v>
      </c>
      <c r="C51" s="638" t="s">
        <v>4863</v>
      </c>
      <c r="D51" s="638" t="s">
        <v>4864</v>
      </c>
      <c r="E51" s="638" t="s">
        <v>4865</v>
      </c>
    </row>
    <row r="52" spans="1:5" x14ac:dyDescent="0.25">
      <c r="A52" s="637" t="s">
        <v>1266</v>
      </c>
      <c r="B52" s="638" t="s">
        <v>2177</v>
      </c>
      <c r="C52" s="638" t="s">
        <v>4866</v>
      </c>
      <c r="D52" s="638" t="s">
        <v>4867</v>
      </c>
      <c r="E52" s="638" t="s">
        <v>4868</v>
      </c>
    </row>
    <row r="53" spans="1:5" x14ac:dyDescent="0.25">
      <c r="A53" s="637" t="s">
        <v>2202</v>
      </c>
      <c r="B53" s="638" t="s">
        <v>2203</v>
      </c>
      <c r="C53" s="638" t="s">
        <v>4869</v>
      </c>
      <c r="D53" s="638" t="s">
        <v>4870</v>
      </c>
      <c r="E53" s="638" t="s">
        <v>4871</v>
      </c>
    </row>
    <row r="54" spans="1:5" ht="25.5" x14ac:dyDescent="0.25">
      <c r="A54" s="637" t="s">
        <v>2204</v>
      </c>
      <c r="B54" s="638" t="s">
        <v>2205</v>
      </c>
      <c r="C54" s="638" t="s">
        <v>4872</v>
      </c>
      <c r="D54" s="638" t="s">
        <v>4873</v>
      </c>
      <c r="E54" s="639" t="s">
        <v>4874</v>
      </c>
    </row>
    <row r="55" spans="1:5" x14ac:dyDescent="0.25">
      <c r="A55" s="637" t="s">
        <v>1253</v>
      </c>
      <c r="B55" s="638" t="s">
        <v>2199</v>
      </c>
      <c r="C55" s="638" t="s">
        <v>4839</v>
      </c>
      <c r="D55" s="638" t="s">
        <v>4840</v>
      </c>
      <c r="E55" s="638" t="s">
        <v>4875</v>
      </c>
    </row>
    <row r="56" spans="1:5" ht="25.5" x14ac:dyDescent="0.25">
      <c r="A56" s="637" t="s">
        <v>1254</v>
      </c>
      <c r="B56" s="638" t="s">
        <v>2200</v>
      </c>
      <c r="C56" s="639" t="s">
        <v>4842</v>
      </c>
      <c r="D56" s="638" t="s">
        <v>4876</v>
      </c>
      <c r="E56" s="638" t="s">
        <v>4844</v>
      </c>
    </row>
    <row r="57" spans="1:5" x14ac:dyDescent="0.25">
      <c r="A57" s="637" t="s">
        <v>1255</v>
      </c>
      <c r="B57" s="638" t="s">
        <v>2201</v>
      </c>
      <c r="C57" s="638" t="s">
        <v>4845</v>
      </c>
      <c r="D57" s="638" t="s">
        <v>4877</v>
      </c>
      <c r="E57" s="638" t="s">
        <v>4847</v>
      </c>
    </row>
    <row r="58" spans="1:5" x14ac:dyDescent="0.25">
      <c r="A58" s="637" t="s">
        <v>1262</v>
      </c>
      <c r="B58" s="638" t="s">
        <v>2166</v>
      </c>
      <c r="C58" s="638" t="s">
        <v>4848</v>
      </c>
      <c r="D58" s="638" t="s">
        <v>4849</v>
      </c>
      <c r="E58" s="638" t="s">
        <v>4850</v>
      </c>
    </row>
    <row r="59" spans="1:5" x14ac:dyDescent="0.25">
      <c r="A59" s="637" t="s">
        <v>1223</v>
      </c>
      <c r="B59" s="638" t="s">
        <v>2167</v>
      </c>
      <c r="C59" s="638" t="s">
        <v>4878</v>
      </c>
      <c r="D59" s="638" t="s">
        <v>4879</v>
      </c>
      <c r="E59" s="638" t="s">
        <v>4853</v>
      </c>
    </row>
    <row r="60" spans="1:5" x14ac:dyDescent="0.25">
      <c r="A60" s="637" t="s">
        <v>1224</v>
      </c>
      <c r="B60" s="638" t="s">
        <v>2168</v>
      </c>
      <c r="C60" s="638" t="s">
        <v>4880</v>
      </c>
      <c r="D60" s="638" t="s">
        <v>4855</v>
      </c>
      <c r="E60" s="638" t="s">
        <v>4881</v>
      </c>
    </row>
    <row r="61" spans="1:5" x14ac:dyDescent="0.25">
      <c r="A61" s="637" t="s">
        <v>1229</v>
      </c>
      <c r="B61" s="638" t="s">
        <v>2169</v>
      </c>
      <c r="C61" s="638" t="s">
        <v>4882</v>
      </c>
      <c r="D61" s="638" t="s">
        <v>4883</v>
      </c>
      <c r="E61" s="638" t="s">
        <v>4884</v>
      </c>
    </row>
    <row r="62" spans="1:5" ht="25.5" x14ac:dyDescent="0.25">
      <c r="A62" s="637" t="s">
        <v>1256</v>
      </c>
      <c r="B62" s="638" t="s">
        <v>2171</v>
      </c>
      <c r="C62" s="638" t="s">
        <v>4885</v>
      </c>
      <c r="D62" s="638" t="s">
        <v>4886</v>
      </c>
      <c r="E62" s="639" t="s">
        <v>4887</v>
      </c>
    </row>
    <row r="63" spans="1:5" ht="25.5" x14ac:dyDescent="0.25">
      <c r="A63" s="637" t="s">
        <v>1258</v>
      </c>
      <c r="B63" s="638" t="s">
        <v>2172</v>
      </c>
      <c r="C63" s="638" t="s">
        <v>4888</v>
      </c>
      <c r="D63" s="639" t="s">
        <v>4889</v>
      </c>
      <c r="E63" s="638" t="s">
        <v>4890</v>
      </c>
    </row>
    <row r="64" spans="1:5" x14ac:dyDescent="0.25">
      <c r="A64" s="637" t="s">
        <v>1244</v>
      </c>
      <c r="B64" s="638" t="s">
        <v>2177</v>
      </c>
      <c r="C64" s="638" t="s">
        <v>4860</v>
      </c>
      <c r="D64" s="638" t="s">
        <v>4861</v>
      </c>
      <c r="E64" s="638" t="s">
        <v>4862</v>
      </c>
    </row>
    <row r="65" spans="1:5" ht="25.5" x14ac:dyDescent="0.25">
      <c r="A65" s="637" t="s">
        <v>1218</v>
      </c>
      <c r="B65" s="638" t="s">
        <v>2178</v>
      </c>
      <c r="C65" s="639" t="s">
        <v>4891</v>
      </c>
      <c r="D65" s="639" t="s">
        <v>4892</v>
      </c>
      <c r="E65" s="638" t="s">
        <v>4893</v>
      </c>
    </row>
    <row r="66" spans="1:5" x14ac:dyDescent="0.25">
      <c r="A66" s="637" t="s">
        <v>2206</v>
      </c>
      <c r="B66" s="638" t="s">
        <v>2207</v>
      </c>
      <c r="C66" s="638" t="s">
        <v>4894</v>
      </c>
      <c r="D66" s="638" t="s">
        <v>4895</v>
      </c>
      <c r="E66" s="638" t="s">
        <v>4896</v>
      </c>
    </row>
    <row r="67" spans="1:5" ht="25.5" x14ac:dyDescent="0.25">
      <c r="A67" s="637" t="s">
        <v>2208</v>
      </c>
      <c r="B67" s="638" t="s">
        <v>2209</v>
      </c>
      <c r="C67" s="639" t="s">
        <v>4897</v>
      </c>
      <c r="D67" s="638" t="s">
        <v>4898</v>
      </c>
      <c r="E67" s="639" t="s">
        <v>4899</v>
      </c>
    </row>
    <row r="68" spans="1:5" ht="25.5" x14ac:dyDescent="0.25">
      <c r="A68" s="637" t="s">
        <v>2210</v>
      </c>
      <c r="B68" s="638" t="s">
        <v>2166</v>
      </c>
      <c r="C68" s="639" t="s">
        <v>4900</v>
      </c>
      <c r="D68" s="638" t="s">
        <v>4901</v>
      </c>
      <c r="E68" s="638" t="s">
        <v>4902</v>
      </c>
    </row>
    <row r="69" spans="1:5" x14ac:dyDescent="0.25">
      <c r="A69" s="637" t="s">
        <v>2211</v>
      </c>
      <c r="B69" s="638" t="s">
        <v>2167</v>
      </c>
      <c r="C69" s="638" t="s">
        <v>4903</v>
      </c>
      <c r="D69" s="638" t="s">
        <v>4904</v>
      </c>
      <c r="E69" s="638" t="s">
        <v>4905</v>
      </c>
    </row>
    <row r="70" spans="1:5" ht="25.5" x14ac:dyDescent="0.25">
      <c r="A70" s="637" t="s">
        <v>1257</v>
      </c>
      <c r="B70" s="638" t="s">
        <v>2168</v>
      </c>
      <c r="C70" s="639" t="s">
        <v>4906</v>
      </c>
      <c r="D70" s="639" t="s">
        <v>4907</v>
      </c>
      <c r="E70" s="639" t="s">
        <v>4908</v>
      </c>
    </row>
    <row r="71" spans="1:5" x14ac:dyDescent="0.25">
      <c r="A71" s="637" t="s">
        <v>2212</v>
      </c>
      <c r="B71" s="638" t="s">
        <v>2213</v>
      </c>
      <c r="C71" s="638" t="s">
        <v>4909</v>
      </c>
      <c r="D71" s="638" t="s">
        <v>4910</v>
      </c>
      <c r="E71" s="638" t="s">
        <v>4911</v>
      </c>
    </row>
    <row r="72" spans="1:5" x14ac:dyDescent="0.25">
      <c r="A72" s="637" t="s">
        <v>2214</v>
      </c>
      <c r="B72" s="638" t="s">
        <v>2215</v>
      </c>
      <c r="C72" s="638" t="s">
        <v>4912</v>
      </c>
      <c r="D72" s="638" t="s">
        <v>4913</v>
      </c>
      <c r="E72" s="638" t="s">
        <v>4914</v>
      </c>
    </row>
    <row r="73" spans="1:5" x14ac:dyDescent="0.25">
      <c r="A73" s="637" t="s">
        <v>2216</v>
      </c>
      <c r="B73" s="638" t="s">
        <v>2166</v>
      </c>
      <c r="C73" s="638" t="s">
        <v>4915</v>
      </c>
      <c r="D73" s="638" t="s">
        <v>4916</v>
      </c>
      <c r="E73" s="638" t="s">
        <v>4917</v>
      </c>
    </row>
    <row r="74" spans="1:5" x14ac:dyDescent="0.25">
      <c r="A74" s="637" t="s">
        <v>2217</v>
      </c>
      <c r="B74" s="638" t="s">
        <v>2218</v>
      </c>
      <c r="C74" s="638" t="s">
        <v>4918</v>
      </c>
      <c r="D74" s="638" t="s">
        <v>4919</v>
      </c>
      <c r="E74" s="638" t="s">
        <v>4920</v>
      </c>
    </row>
    <row r="75" spans="1:5" ht="25.5" x14ac:dyDescent="0.25">
      <c r="A75" s="637" t="s">
        <v>2219</v>
      </c>
      <c r="B75" s="638" t="s">
        <v>2220</v>
      </c>
      <c r="C75" s="638" t="s">
        <v>4921</v>
      </c>
      <c r="D75" s="638" t="s">
        <v>4922</v>
      </c>
      <c r="E75" s="639" t="s">
        <v>4923</v>
      </c>
    </row>
    <row r="76" spans="1:5" ht="25.5" x14ac:dyDescent="0.25">
      <c r="A76" s="637" t="s">
        <v>2221</v>
      </c>
      <c r="B76" s="638" t="s">
        <v>2166</v>
      </c>
      <c r="C76" s="638" t="s">
        <v>4924</v>
      </c>
      <c r="D76" s="638" t="s">
        <v>4925</v>
      </c>
      <c r="E76" s="639" t="s">
        <v>4926</v>
      </c>
    </row>
    <row r="77" spans="1:5" x14ac:dyDescent="0.25">
      <c r="A77" s="637" t="s">
        <v>2222</v>
      </c>
      <c r="B77" s="638" t="s">
        <v>2167</v>
      </c>
      <c r="C77" s="638" t="s">
        <v>4927</v>
      </c>
      <c r="D77" s="638" t="s">
        <v>4928</v>
      </c>
      <c r="E77" s="638" t="s">
        <v>4929</v>
      </c>
    </row>
    <row r="78" spans="1:5" x14ac:dyDescent="0.25">
      <c r="A78" s="637" t="s">
        <v>2223</v>
      </c>
      <c r="B78" s="638" t="s">
        <v>2168</v>
      </c>
      <c r="C78" s="638" t="s">
        <v>4930</v>
      </c>
      <c r="D78" s="638" t="s">
        <v>4931</v>
      </c>
      <c r="E78" s="638" t="s">
        <v>4932</v>
      </c>
    </row>
    <row r="79" spans="1:5" x14ac:dyDescent="0.25">
      <c r="A79" s="638">
        <v>79</v>
      </c>
      <c r="C79" s="638" t="s">
        <v>4933</v>
      </c>
      <c r="D79" s="638" t="s">
        <v>4934</v>
      </c>
      <c r="E79" s="638" t="s">
        <v>4935</v>
      </c>
    </row>
    <row r="80" spans="1:5" ht="25.5" x14ac:dyDescent="0.25">
      <c r="A80" s="638">
        <v>80</v>
      </c>
      <c r="B80" s="638" t="s">
        <v>2162</v>
      </c>
      <c r="C80" s="639" t="s">
        <v>4936</v>
      </c>
      <c r="D80" s="638" t="s">
        <v>4937</v>
      </c>
      <c r="E80" s="639" t="s">
        <v>4938</v>
      </c>
    </row>
    <row r="81" spans="1:5" x14ac:dyDescent="0.25">
      <c r="A81" s="638">
        <v>81</v>
      </c>
      <c r="B81" s="638" t="s">
        <v>2164</v>
      </c>
      <c r="C81" s="638" t="s">
        <v>4939</v>
      </c>
      <c r="D81" s="638" t="s">
        <v>4940</v>
      </c>
      <c r="E81" s="638" t="s">
        <v>4941</v>
      </c>
    </row>
    <row r="82" spans="1:5" x14ac:dyDescent="0.25">
      <c r="A82" s="638">
        <v>82</v>
      </c>
      <c r="B82" s="638" t="s">
        <v>2165</v>
      </c>
      <c r="C82" s="638" t="s">
        <v>4942</v>
      </c>
      <c r="D82" s="638" t="s">
        <v>4943</v>
      </c>
      <c r="E82" s="638" t="s">
        <v>4944</v>
      </c>
    </row>
    <row r="83" spans="1:5" x14ac:dyDescent="0.25">
      <c r="A83" s="638">
        <v>83</v>
      </c>
      <c r="B83" s="638" t="s">
        <v>2166</v>
      </c>
      <c r="C83" s="638" t="s">
        <v>4945</v>
      </c>
      <c r="D83" s="638" t="s">
        <v>4946</v>
      </c>
      <c r="E83" s="638" t="s">
        <v>4947</v>
      </c>
    </row>
    <row r="84" spans="1:5" x14ac:dyDescent="0.25">
      <c r="A84" s="638">
        <v>84</v>
      </c>
      <c r="B84" s="638" t="s">
        <v>2167</v>
      </c>
      <c r="C84" s="638" t="s">
        <v>4948</v>
      </c>
      <c r="D84" s="638" t="s">
        <v>4949</v>
      </c>
      <c r="E84" s="638" t="s">
        <v>4950</v>
      </c>
    </row>
    <row r="85" spans="1:5" x14ac:dyDescent="0.25">
      <c r="A85" s="638">
        <v>85</v>
      </c>
      <c r="B85" s="638" t="s">
        <v>2173</v>
      </c>
      <c r="C85" s="638" t="s">
        <v>4951</v>
      </c>
      <c r="D85" s="638" t="s">
        <v>4952</v>
      </c>
      <c r="E85" s="638" t="s">
        <v>4953</v>
      </c>
    </row>
    <row r="86" spans="1:5" x14ac:dyDescent="0.25">
      <c r="A86" s="638">
        <v>86</v>
      </c>
      <c r="B86" s="638" t="s">
        <v>2231</v>
      </c>
      <c r="C86" s="638" t="s">
        <v>4954</v>
      </c>
      <c r="D86" s="638" t="s">
        <v>4955</v>
      </c>
      <c r="E86" s="638" t="s">
        <v>4956</v>
      </c>
    </row>
    <row r="87" spans="1:5" x14ac:dyDescent="0.25">
      <c r="A87" s="638">
        <v>87</v>
      </c>
      <c r="B87" s="638" t="s">
        <v>2233</v>
      </c>
      <c r="C87" s="638" t="s">
        <v>4957</v>
      </c>
      <c r="D87" s="638" t="s">
        <v>4958</v>
      </c>
      <c r="E87" s="638" t="s">
        <v>4959</v>
      </c>
    </row>
    <row r="88" spans="1:5" x14ac:dyDescent="0.25">
      <c r="A88" s="638">
        <v>88</v>
      </c>
      <c r="B88" s="638" t="s">
        <v>2235</v>
      </c>
      <c r="C88" s="638" t="s">
        <v>4960</v>
      </c>
      <c r="D88" s="638" t="s">
        <v>4961</v>
      </c>
      <c r="E88" s="638" t="s">
        <v>4962</v>
      </c>
    </row>
    <row r="89" spans="1:5" x14ac:dyDescent="0.25">
      <c r="A89" s="638">
        <v>89</v>
      </c>
      <c r="B89" s="638" t="s">
        <v>2166</v>
      </c>
      <c r="C89" s="638" t="s">
        <v>4963</v>
      </c>
      <c r="D89" s="638" t="s">
        <v>4964</v>
      </c>
      <c r="E89" s="638" t="s">
        <v>4965</v>
      </c>
    </row>
    <row r="90" spans="1:5" x14ac:dyDescent="0.25">
      <c r="A90" s="638">
        <v>90</v>
      </c>
      <c r="B90" s="638" t="s">
        <v>2238</v>
      </c>
      <c r="C90" s="638" t="s">
        <v>4966</v>
      </c>
      <c r="D90" s="638" t="s">
        <v>4967</v>
      </c>
      <c r="E90" s="638" t="s">
        <v>4968</v>
      </c>
    </row>
    <row r="91" spans="1:5" x14ac:dyDescent="0.25">
      <c r="A91" s="638">
        <v>91</v>
      </c>
      <c r="B91" s="638" t="s">
        <v>2240</v>
      </c>
      <c r="C91" s="638" t="s">
        <v>4969</v>
      </c>
      <c r="D91" s="638" t="s">
        <v>4970</v>
      </c>
      <c r="E91" s="638" t="s">
        <v>4971</v>
      </c>
    </row>
    <row r="92" spans="1:5" x14ac:dyDescent="0.25">
      <c r="A92" s="638">
        <v>92</v>
      </c>
      <c r="B92" s="638" t="s">
        <v>2166</v>
      </c>
      <c r="C92" s="638" t="s">
        <v>4972</v>
      </c>
      <c r="D92" s="638" t="s">
        <v>4973</v>
      </c>
      <c r="E92" s="638" t="s">
        <v>4974</v>
      </c>
    </row>
    <row r="93" spans="1:5" x14ac:dyDescent="0.25">
      <c r="A93" s="638">
        <v>93</v>
      </c>
      <c r="B93" s="638" t="s">
        <v>2243</v>
      </c>
      <c r="C93" s="638" t="s">
        <v>4975</v>
      </c>
      <c r="D93" s="638" t="s">
        <v>4976</v>
      </c>
      <c r="E93" s="638" t="s">
        <v>4977</v>
      </c>
    </row>
    <row r="94" spans="1:5" ht="25.5" x14ac:dyDescent="0.25">
      <c r="A94" s="638">
        <v>94</v>
      </c>
      <c r="B94" s="638" t="s">
        <v>2245</v>
      </c>
      <c r="C94" s="638" t="s">
        <v>4978</v>
      </c>
      <c r="D94" s="639" t="s">
        <v>4979</v>
      </c>
      <c r="E94" s="639" t="s">
        <v>4980</v>
      </c>
    </row>
    <row r="95" spans="1:5" ht="25.5" x14ac:dyDescent="0.25">
      <c r="A95" s="638">
        <v>95</v>
      </c>
      <c r="B95" s="638" t="s">
        <v>2166</v>
      </c>
      <c r="C95" s="639" t="s">
        <v>4981</v>
      </c>
      <c r="D95" s="638" t="s">
        <v>4982</v>
      </c>
      <c r="E95" s="638" t="s">
        <v>4983</v>
      </c>
    </row>
    <row r="96" spans="1:5" x14ac:dyDescent="0.25">
      <c r="A96" s="638">
        <v>96</v>
      </c>
      <c r="B96" s="638" t="s">
        <v>2167</v>
      </c>
      <c r="C96" s="638" t="s">
        <v>4984</v>
      </c>
      <c r="D96" s="638" t="s">
        <v>4985</v>
      </c>
      <c r="E96" s="638" t="s">
        <v>4986</v>
      </c>
    </row>
    <row r="97" spans="1:5" x14ac:dyDescent="0.25">
      <c r="A97" s="638">
        <v>97</v>
      </c>
      <c r="B97" s="638" t="s">
        <v>2249</v>
      </c>
      <c r="C97" s="638" t="s">
        <v>4987</v>
      </c>
      <c r="D97" s="638" t="s">
        <v>4988</v>
      </c>
      <c r="E97" s="638" t="s">
        <v>4989</v>
      </c>
    </row>
    <row r="98" spans="1:5" x14ac:dyDescent="0.25">
      <c r="A98" s="638">
        <v>98</v>
      </c>
      <c r="B98" s="638" t="s">
        <v>2251</v>
      </c>
      <c r="C98" s="638" t="s">
        <v>4990</v>
      </c>
      <c r="D98" s="638" t="s">
        <v>4991</v>
      </c>
      <c r="E98" s="638" t="s">
        <v>4992</v>
      </c>
    </row>
    <row r="99" spans="1:5" x14ac:dyDescent="0.25">
      <c r="A99" s="638">
        <v>99</v>
      </c>
      <c r="B99" s="638" t="s">
        <v>2166</v>
      </c>
      <c r="C99" s="638" t="s">
        <v>4993</v>
      </c>
      <c r="D99" s="638" t="s">
        <v>4994</v>
      </c>
      <c r="E99" s="638" t="s">
        <v>4995</v>
      </c>
    </row>
    <row r="100" spans="1:5" ht="25.5" x14ac:dyDescent="0.25">
      <c r="A100" s="638">
        <v>100</v>
      </c>
      <c r="B100" s="638" t="s">
        <v>2254</v>
      </c>
      <c r="C100" s="639" t="s">
        <v>4996</v>
      </c>
      <c r="D100" s="639" t="s">
        <v>4997</v>
      </c>
      <c r="E100" s="638" t="s">
        <v>4998</v>
      </c>
    </row>
    <row r="101" spans="1:5" ht="25.5" x14ac:dyDescent="0.25">
      <c r="A101" s="638">
        <v>101</v>
      </c>
      <c r="B101" s="638" t="s">
        <v>2186</v>
      </c>
      <c r="C101" s="639" t="s">
        <v>4999</v>
      </c>
      <c r="D101" s="638" t="s">
        <v>5000</v>
      </c>
      <c r="E101" s="639" t="s">
        <v>5001</v>
      </c>
    </row>
    <row r="102" spans="1:5" x14ac:dyDescent="0.25">
      <c r="A102" s="638">
        <v>102</v>
      </c>
      <c r="B102" s="638" t="s">
        <v>2188</v>
      </c>
      <c r="C102" s="638" t="s">
        <v>5002</v>
      </c>
      <c r="D102" s="638" t="s">
        <v>5003</v>
      </c>
      <c r="E102" s="638" t="s">
        <v>5004</v>
      </c>
    </row>
    <row r="103" spans="1:5" ht="25.5" x14ac:dyDescent="0.25">
      <c r="A103" s="638">
        <v>103</v>
      </c>
      <c r="B103" s="638" t="s">
        <v>2190</v>
      </c>
      <c r="C103" s="639" t="s">
        <v>5005</v>
      </c>
      <c r="D103" s="638" t="s">
        <v>5006</v>
      </c>
      <c r="E103" s="638" t="s">
        <v>5007</v>
      </c>
    </row>
    <row r="104" spans="1:5" ht="25.5" x14ac:dyDescent="0.25">
      <c r="A104" s="638">
        <v>104</v>
      </c>
      <c r="B104" s="638" t="s">
        <v>2199</v>
      </c>
      <c r="C104" s="638" t="s">
        <v>5008</v>
      </c>
      <c r="D104" s="638" t="s">
        <v>5009</v>
      </c>
      <c r="E104" s="639" t="s">
        <v>5010</v>
      </c>
    </row>
    <row r="105" spans="1:5" x14ac:dyDescent="0.25">
      <c r="A105" s="638">
        <v>105</v>
      </c>
      <c r="B105" s="638" t="s">
        <v>2200</v>
      </c>
      <c r="C105" s="638" t="s">
        <v>5011</v>
      </c>
      <c r="D105" s="638" t="s">
        <v>5012</v>
      </c>
      <c r="E105" s="638" t="s">
        <v>5013</v>
      </c>
    </row>
    <row r="106" spans="1:5" x14ac:dyDescent="0.25">
      <c r="A106" s="638">
        <v>106</v>
      </c>
      <c r="B106" s="638" t="s">
        <v>2201</v>
      </c>
      <c r="C106" s="638" t="s">
        <v>5014</v>
      </c>
      <c r="D106" s="638" t="s">
        <v>5015</v>
      </c>
      <c r="E106" s="638" t="s">
        <v>5016</v>
      </c>
    </row>
    <row r="107" spans="1:5" x14ac:dyDescent="0.25">
      <c r="A107" s="638">
        <v>107</v>
      </c>
      <c r="B107" s="638" t="s">
        <v>2166</v>
      </c>
      <c r="C107" s="638" t="s">
        <v>4848</v>
      </c>
      <c r="D107" s="638" t="s">
        <v>4849</v>
      </c>
      <c r="E107" s="638" t="s">
        <v>4850</v>
      </c>
    </row>
    <row r="108" spans="1:5" x14ac:dyDescent="0.25">
      <c r="A108" s="638">
        <v>108</v>
      </c>
      <c r="B108" s="638" t="s">
        <v>2167</v>
      </c>
      <c r="C108" s="638" t="s">
        <v>5017</v>
      </c>
      <c r="D108" s="638" t="s">
        <v>5018</v>
      </c>
      <c r="E108" s="638" t="s">
        <v>5019</v>
      </c>
    </row>
    <row r="109" spans="1:5" x14ac:dyDescent="0.25">
      <c r="A109" s="638">
        <v>109</v>
      </c>
      <c r="B109" s="638" t="s">
        <v>2168</v>
      </c>
      <c r="C109" s="638" t="s">
        <v>5020</v>
      </c>
      <c r="D109" s="638" t="s">
        <v>5021</v>
      </c>
      <c r="E109" s="638" t="s">
        <v>5022</v>
      </c>
    </row>
    <row r="110" spans="1:5" x14ac:dyDescent="0.25">
      <c r="A110" s="638">
        <v>110</v>
      </c>
      <c r="B110" s="638" t="s">
        <v>2169</v>
      </c>
      <c r="C110" s="638" t="s">
        <v>5023</v>
      </c>
      <c r="D110" s="638" t="s">
        <v>5024</v>
      </c>
      <c r="E110" s="638" t="s">
        <v>5025</v>
      </c>
    </row>
    <row r="111" spans="1:5" x14ac:dyDescent="0.25">
      <c r="A111" s="638">
        <v>111</v>
      </c>
      <c r="B111" s="638" t="s">
        <v>2171</v>
      </c>
      <c r="C111" s="638" t="s">
        <v>5026</v>
      </c>
      <c r="D111" s="638" t="s">
        <v>5027</v>
      </c>
      <c r="E111" s="638" t="s">
        <v>5028</v>
      </c>
    </row>
    <row r="112" spans="1:5" x14ac:dyDescent="0.25">
      <c r="A112" s="638">
        <v>112</v>
      </c>
      <c r="B112" s="638" t="s">
        <v>2172</v>
      </c>
      <c r="C112" s="638" t="s">
        <v>5029</v>
      </c>
      <c r="D112" s="638" t="s">
        <v>5030</v>
      </c>
      <c r="E112" s="638" t="s">
        <v>5031</v>
      </c>
    </row>
    <row r="113" spans="1:5" x14ac:dyDescent="0.25">
      <c r="A113" s="638">
        <v>113</v>
      </c>
      <c r="B113" s="638" t="s">
        <v>2177</v>
      </c>
      <c r="C113" s="638" t="s">
        <v>5032</v>
      </c>
      <c r="D113" s="638" t="s">
        <v>5033</v>
      </c>
      <c r="E113" s="638" t="s">
        <v>5034</v>
      </c>
    </row>
    <row r="114" spans="1:5" x14ac:dyDescent="0.25">
      <c r="A114" s="638">
        <v>114</v>
      </c>
      <c r="B114" s="638" t="s">
        <v>2178</v>
      </c>
      <c r="C114" s="638" t="s">
        <v>5035</v>
      </c>
      <c r="D114" s="638" t="s">
        <v>5036</v>
      </c>
      <c r="E114" s="638" t="s">
        <v>5037</v>
      </c>
    </row>
    <row r="115" spans="1:5" x14ac:dyDescent="0.25">
      <c r="A115" s="638">
        <v>115</v>
      </c>
      <c r="B115" s="638" t="s">
        <v>2183</v>
      </c>
      <c r="C115" s="638" t="s">
        <v>5038</v>
      </c>
      <c r="D115" s="638" t="s">
        <v>5039</v>
      </c>
      <c r="E115" s="638" t="s">
        <v>5040</v>
      </c>
    </row>
    <row r="116" spans="1:5" x14ac:dyDescent="0.25">
      <c r="A116" s="638">
        <v>116</v>
      </c>
      <c r="B116" s="638" t="s">
        <v>2184</v>
      </c>
      <c r="C116" s="638" t="s">
        <v>5041</v>
      </c>
      <c r="D116" s="638" t="s">
        <v>5042</v>
      </c>
      <c r="E116" s="638" t="s">
        <v>5043</v>
      </c>
    </row>
    <row r="117" spans="1:5" x14ac:dyDescent="0.25">
      <c r="A117" s="638">
        <v>117</v>
      </c>
      <c r="B117" s="638" t="s">
        <v>2266</v>
      </c>
      <c r="C117" s="638" t="s">
        <v>5044</v>
      </c>
      <c r="D117" s="638" t="s">
        <v>5045</v>
      </c>
      <c r="E117" s="638" t="s">
        <v>5046</v>
      </c>
    </row>
    <row r="118" spans="1:5" x14ac:dyDescent="0.25">
      <c r="A118" s="638">
        <v>118</v>
      </c>
      <c r="B118" s="638" t="s">
        <v>2196</v>
      </c>
      <c r="C118" s="638" t="s">
        <v>5047</v>
      </c>
      <c r="D118" s="638" t="s">
        <v>5048</v>
      </c>
      <c r="E118" s="638" t="s">
        <v>5049</v>
      </c>
    </row>
    <row r="119" spans="1:5" x14ac:dyDescent="0.25">
      <c r="A119" s="638">
        <v>119</v>
      </c>
      <c r="B119" s="638" t="s">
        <v>2198</v>
      </c>
      <c r="C119" s="638" t="s">
        <v>5050</v>
      </c>
      <c r="D119" s="638" t="s">
        <v>5051</v>
      </c>
      <c r="E119" s="638" t="s">
        <v>5052</v>
      </c>
    </row>
    <row r="120" spans="1:5" x14ac:dyDescent="0.25">
      <c r="A120" s="638">
        <v>120</v>
      </c>
      <c r="B120" s="638" t="s">
        <v>2166</v>
      </c>
      <c r="C120" s="638" t="s">
        <v>5053</v>
      </c>
      <c r="D120" s="638" t="s">
        <v>5054</v>
      </c>
      <c r="E120" s="638" t="s">
        <v>5055</v>
      </c>
    </row>
    <row r="121" spans="1:5" x14ac:dyDescent="0.25">
      <c r="A121" s="638">
        <v>121</v>
      </c>
      <c r="B121" s="638" t="s">
        <v>2203</v>
      </c>
      <c r="C121" s="638" t="s">
        <v>5056</v>
      </c>
      <c r="D121" s="638" t="s">
        <v>5057</v>
      </c>
      <c r="E121" s="638" t="s">
        <v>5058</v>
      </c>
    </row>
    <row r="122" spans="1:5" x14ac:dyDescent="0.25">
      <c r="A122" s="638">
        <v>122</v>
      </c>
      <c r="B122" s="638" t="s">
        <v>2207</v>
      </c>
      <c r="C122" s="638" t="s">
        <v>5059</v>
      </c>
      <c r="D122" s="638" t="s">
        <v>5060</v>
      </c>
      <c r="E122" s="638" t="s">
        <v>5061</v>
      </c>
    </row>
    <row r="123" spans="1:5" x14ac:dyDescent="0.25">
      <c r="A123" s="638">
        <v>123</v>
      </c>
      <c r="B123" s="638" t="s">
        <v>2209</v>
      </c>
      <c r="C123" s="638" t="s">
        <v>5062</v>
      </c>
      <c r="D123" s="638" t="s">
        <v>5063</v>
      </c>
      <c r="E123" s="638" t="s">
        <v>5064</v>
      </c>
    </row>
    <row r="124" spans="1:5" x14ac:dyDescent="0.25">
      <c r="A124" s="638">
        <v>124</v>
      </c>
      <c r="B124" s="638" t="s">
        <v>2199</v>
      </c>
      <c r="C124" s="638" t="s">
        <v>5065</v>
      </c>
      <c r="D124" s="638" t="s">
        <v>5066</v>
      </c>
      <c r="E124" s="638" t="s">
        <v>5067</v>
      </c>
    </row>
    <row r="125" spans="1:5" x14ac:dyDescent="0.25">
      <c r="A125" s="638">
        <v>125</v>
      </c>
      <c r="B125" s="638" t="s">
        <v>2200</v>
      </c>
      <c r="C125" s="638" t="s">
        <v>5068</v>
      </c>
      <c r="D125" s="638" t="s">
        <v>5069</v>
      </c>
      <c r="E125" s="638" t="s">
        <v>5070</v>
      </c>
    </row>
    <row r="126" spans="1:5" x14ac:dyDescent="0.25">
      <c r="A126" s="638">
        <v>126</v>
      </c>
      <c r="B126" s="638" t="s">
        <v>2201</v>
      </c>
      <c r="C126" s="638" t="s">
        <v>5071</v>
      </c>
      <c r="D126" s="638" t="s">
        <v>5072</v>
      </c>
      <c r="E126" s="638" t="s">
        <v>5073</v>
      </c>
    </row>
    <row r="127" spans="1:5" x14ac:dyDescent="0.25">
      <c r="A127" s="638">
        <v>127</v>
      </c>
      <c r="B127" s="638" t="s">
        <v>2166</v>
      </c>
      <c r="C127" s="638" t="s">
        <v>4848</v>
      </c>
      <c r="D127" s="638" t="s">
        <v>4849</v>
      </c>
      <c r="E127" s="638" t="s">
        <v>4850</v>
      </c>
    </row>
    <row r="128" spans="1:5" x14ac:dyDescent="0.25">
      <c r="A128" s="638">
        <v>128</v>
      </c>
      <c r="B128" s="638" t="s">
        <v>2167</v>
      </c>
      <c r="C128" s="638" t="s">
        <v>5074</v>
      </c>
      <c r="D128" s="638" t="s">
        <v>5075</v>
      </c>
      <c r="E128" s="638" t="s">
        <v>5076</v>
      </c>
    </row>
    <row r="129" spans="1:5" x14ac:dyDescent="0.25">
      <c r="A129" s="638">
        <v>129</v>
      </c>
      <c r="B129" s="638" t="s">
        <v>2168</v>
      </c>
      <c r="C129" s="638" t="s">
        <v>5077</v>
      </c>
      <c r="D129" s="638" t="s">
        <v>5078</v>
      </c>
      <c r="E129" s="638" t="s">
        <v>5079</v>
      </c>
    </row>
    <row r="130" spans="1:5" x14ac:dyDescent="0.25">
      <c r="A130" s="638">
        <v>130</v>
      </c>
      <c r="B130" s="638" t="s">
        <v>2169</v>
      </c>
      <c r="C130" s="638" t="s">
        <v>5080</v>
      </c>
      <c r="D130" s="638" t="s">
        <v>5081</v>
      </c>
      <c r="E130" s="638" t="s">
        <v>5082</v>
      </c>
    </row>
    <row r="131" spans="1:5" x14ac:dyDescent="0.25">
      <c r="A131" s="638">
        <v>131</v>
      </c>
      <c r="B131" s="638" t="s">
        <v>2171</v>
      </c>
      <c r="C131" s="638" t="s">
        <v>5083</v>
      </c>
      <c r="D131" s="638" t="s">
        <v>5084</v>
      </c>
      <c r="E131" s="638" t="s">
        <v>5085</v>
      </c>
    </row>
    <row r="132" spans="1:5" x14ac:dyDescent="0.25">
      <c r="A132" s="638">
        <v>132</v>
      </c>
      <c r="B132" s="638" t="s">
        <v>2172</v>
      </c>
      <c r="C132" s="638" t="s">
        <v>5086</v>
      </c>
      <c r="D132" s="638" t="s">
        <v>5087</v>
      </c>
      <c r="E132" s="638" t="s">
        <v>5088</v>
      </c>
    </row>
    <row r="133" spans="1:5" x14ac:dyDescent="0.25">
      <c r="A133" s="638">
        <v>133</v>
      </c>
      <c r="B133" s="638" t="s">
        <v>2177</v>
      </c>
      <c r="C133" s="638" t="s">
        <v>5089</v>
      </c>
      <c r="D133" s="638" t="s">
        <v>5090</v>
      </c>
      <c r="E133" s="638" t="s">
        <v>5091</v>
      </c>
    </row>
    <row r="134" spans="1:5" x14ac:dyDescent="0.25">
      <c r="A134" s="638">
        <v>134</v>
      </c>
      <c r="B134" s="638" t="s">
        <v>2178</v>
      </c>
      <c r="C134" s="638" t="s">
        <v>5092</v>
      </c>
      <c r="D134" s="638" t="s">
        <v>5093</v>
      </c>
      <c r="E134" s="638" t="s">
        <v>5094</v>
      </c>
    </row>
    <row r="135" spans="1:5" x14ac:dyDescent="0.25">
      <c r="A135" s="638">
        <v>135</v>
      </c>
      <c r="B135" s="638" t="s">
        <v>2183</v>
      </c>
      <c r="C135" s="638" t="s">
        <v>5095</v>
      </c>
      <c r="D135" s="638" t="s">
        <v>5096</v>
      </c>
      <c r="E135" s="638" t="s">
        <v>5097</v>
      </c>
    </row>
    <row r="136" spans="1:5" x14ac:dyDescent="0.25">
      <c r="A136" s="638">
        <v>136</v>
      </c>
      <c r="B136" s="638" t="s">
        <v>2213</v>
      </c>
      <c r="C136" s="638" t="s">
        <v>5098</v>
      </c>
      <c r="D136" s="638" t="s">
        <v>5099</v>
      </c>
      <c r="E136" s="638" t="s">
        <v>5100</v>
      </c>
    </row>
    <row r="137" spans="1:5" x14ac:dyDescent="0.25">
      <c r="A137" s="638">
        <v>137</v>
      </c>
      <c r="B137" s="638" t="s">
        <v>2215</v>
      </c>
      <c r="C137" s="638" t="s">
        <v>5101</v>
      </c>
      <c r="D137" s="638" t="s">
        <v>5102</v>
      </c>
      <c r="E137" s="638" t="s">
        <v>5103</v>
      </c>
    </row>
    <row r="138" spans="1:5" x14ac:dyDescent="0.25">
      <c r="A138" s="638">
        <v>138</v>
      </c>
      <c r="B138" s="638" t="s">
        <v>2166</v>
      </c>
      <c r="C138" s="638" t="s">
        <v>5104</v>
      </c>
      <c r="D138" s="638" t="s">
        <v>5105</v>
      </c>
      <c r="E138" s="638" t="s">
        <v>5106</v>
      </c>
    </row>
    <row r="139" spans="1:5" x14ac:dyDescent="0.25">
      <c r="A139" s="638">
        <v>139</v>
      </c>
      <c r="B139" s="638" t="s">
        <v>2278</v>
      </c>
      <c r="C139" s="638" t="s">
        <v>5107</v>
      </c>
      <c r="D139" s="638" t="s">
        <v>5108</v>
      </c>
      <c r="E139" s="638" t="s">
        <v>5109</v>
      </c>
    </row>
    <row r="140" spans="1:5" ht="25.5" x14ac:dyDescent="0.25">
      <c r="A140" s="638">
        <v>140</v>
      </c>
      <c r="B140" s="638" t="s">
        <v>2279</v>
      </c>
      <c r="C140" s="639" t="s">
        <v>5110</v>
      </c>
      <c r="D140" s="639" t="s">
        <v>5111</v>
      </c>
      <c r="E140" s="639" t="s">
        <v>5112</v>
      </c>
    </row>
    <row r="141" spans="1:5" ht="25.5" x14ac:dyDescent="0.25">
      <c r="A141" s="638">
        <v>141</v>
      </c>
      <c r="B141" s="638" t="s">
        <v>2218</v>
      </c>
      <c r="C141" s="638" t="s">
        <v>5113</v>
      </c>
      <c r="D141" s="638" t="s">
        <v>5114</v>
      </c>
      <c r="E141" s="639" t="s">
        <v>5115</v>
      </c>
    </row>
    <row r="142" spans="1:5" x14ac:dyDescent="0.25">
      <c r="A142" s="638">
        <v>142</v>
      </c>
      <c r="B142" s="638" t="s">
        <v>2220</v>
      </c>
      <c r="C142" s="638" t="s">
        <v>5116</v>
      </c>
      <c r="D142" s="638" t="s">
        <v>5117</v>
      </c>
      <c r="E142" s="638" t="s">
        <v>5118</v>
      </c>
    </row>
    <row r="143" spans="1:5" x14ac:dyDescent="0.25">
      <c r="A143" s="638">
        <v>143</v>
      </c>
      <c r="B143" s="638" t="s">
        <v>2166</v>
      </c>
      <c r="C143" s="638" t="s">
        <v>5119</v>
      </c>
      <c r="D143" s="638" t="s">
        <v>5120</v>
      </c>
      <c r="E143" s="638" t="s">
        <v>5121</v>
      </c>
    </row>
    <row r="144" spans="1:5" x14ac:dyDescent="0.25">
      <c r="A144" s="638">
        <v>144</v>
      </c>
      <c r="B144" s="638" t="s">
        <v>2167</v>
      </c>
      <c r="C144" s="638" t="s">
        <v>5122</v>
      </c>
      <c r="D144" s="638" t="s">
        <v>5123</v>
      </c>
      <c r="E144" s="638" t="s">
        <v>5124</v>
      </c>
    </row>
    <row r="145" spans="1:5" x14ac:dyDescent="0.25">
      <c r="A145" s="638">
        <v>145</v>
      </c>
      <c r="B145" s="638" t="s">
        <v>2168</v>
      </c>
      <c r="C145" s="638" t="s">
        <v>5125</v>
      </c>
      <c r="D145" s="638" t="s">
        <v>5126</v>
      </c>
      <c r="E145" s="638" t="s">
        <v>5127</v>
      </c>
    </row>
    <row r="147" spans="1:5" x14ac:dyDescent="0.25">
      <c r="A147" s="638">
        <v>146</v>
      </c>
      <c r="C147" s="638" t="s">
        <v>5128</v>
      </c>
      <c r="D147" s="638" t="s">
        <v>5129</v>
      </c>
      <c r="E147" s="638" t="s">
        <v>5130</v>
      </c>
    </row>
    <row r="148" spans="1:5" x14ac:dyDescent="0.25">
      <c r="A148" s="638">
        <v>147</v>
      </c>
      <c r="C148" s="638" t="s">
        <v>5131</v>
      </c>
      <c r="D148" s="638" t="s">
        <v>5132</v>
      </c>
      <c r="E148" s="638" t="s">
        <v>5133</v>
      </c>
    </row>
    <row r="149" spans="1:5" x14ac:dyDescent="0.25">
      <c r="A149" s="638">
        <v>148</v>
      </c>
      <c r="C149" s="638" t="s">
        <v>5134</v>
      </c>
      <c r="D149" s="638" t="s">
        <v>5135</v>
      </c>
      <c r="E149" s="638" t="s">
        <v>5136</v>
      </c>
    </row>
    <row r="150" spans="1:5" x14ac:dyDescent="0.25">
      <c r="A150" s="638">
        <v>149</v>
      </c>
      <c r="C150" s="638" t="s">
        <v>5137</v>
      </c>
      <c r="D150" s="638" t="s">
        <v>5138</v>
      </c>
      <c r="E150" s="638" t="s">
        <v>5139</v>
      </c>
    </row>
    <row r="151" spans="1:5" x14ac:dyDescent="0.25">
      <c r="A151" s="638">
        <v>150</v>
      </c>
      <c r="C151" s="638" t="s">
        <v>1288</v>
      </c>
      <c r="D151" s="638" t="s">
        <v>5140</v>
      </c>
      <c r="E151" s="638" t="s">
        <v>5141</v>
      </c>
    </row>
    <row r="152" spans="1:5" x14ac:dyDescent="0.25">
      <c r="A152" s="638">
        <v>151</v>
      </c>
      <c r="C152" s="638" t="s">
        <v>1306</v>
      </c>
      <c r="D152" s="638" t="s">
        <v>5142</v>
      </c>
      <c r="E152" s="638" t="s">
        <v>5143</v>
      </c>
    </row>
    <row r="153" spans="1:5" x14ac:dyDescent="0.25">
      <c r="A153" s="638">
        <v>152</v>
      </c>
      <c r="C153" s="638" t="s">
        <v>5144</v>
      </c>
      <c r="D153" s="638" t="s">
        <v>5145</v>
      </c>
      <c r="E153" s="638" t="s">
        <v>5146</v>
      </c>
    </row>
    <row r="154" spans="1:5" x14ac:dyDescent="0.25">
      <c r="A154" s="638">
        <v>153</v>
      </c>
      <c r="C154" s="638" t="s">
        <v>1478</v>
      </c>
      <c r="D154" s="638" t="s">
        <v>5147</v>
      </c>
      <c r="E154" s="638" t="s">
        <v>5148</v>
      </c>
    </row>
    <row r="155" spans="1:5" x14ac:dyDescent="0.25">
      <c r="A155" s="638">
        <v>154</v>
      </c>
      <c r="C155" s="638" t="s">
        <v>1479</v>
      </c>
      <c r="D155" s="638" t="s">
        <v>5149</v>
      </c>
      <c r="E155" s="638" t="s">
        <v>5150</v>
      </c>
    </row>
    <row r="156" spans="1:5" x14ac:dyDescent="0.25">
      <c r="A156" s="638">
        <v>155</v>
      </c>
      <c r="C156" s="638" t="s">
        <v>5151</v>
      </c>
      <c r="D156" s="638" t="s">
        <v>5152</v>
      </c>
      <c r="E156" s="638" t="s">
        <v>5151</v>
      </c>
    </row>
    <row r="157" spans="1:5" x14ac:dyDescent="0.25">
      <c r="A157" s="638">
        <v>156</v>
      </c>
      <c r="C157" s="638" t="s">
        <v>5151</v>
      </c>
      <c r="D157" s="638" t="s">
        <v>5152</v>
      </c>
      <c r="E157" s="638" t="s">
        <v>5151</v>
      </c>
    </row>
    <row r="158" spans="1:5" x14ac:dyDescent="0.25">
      <c r="A158" s="638">
        <v>157</v>
      </c>
      <c r="C158" s="638" t="s">
        <v>5153</v>
      </c>
      <c r="D158" s="638" t="s">
        <v>5153</v>
      </c>
      <c r="E158" s="638" t="s">
        <v>5153</v>
      </c>
    </row>
    <row r="159" spans="1:5" x14ac:dyDescent="0.25">
      <c r="A159" s="638">
        <v>158</v>
      </c>
      <c r="C159" s="638" t="s">
        <v>5154</v>
      </c>
      <c r="D159" s="638" t="s">
        <v>5155</v>
      </c>
      <c r="E159" s="638" t="s">
        <v>5156</v>
      </c>
    </row>
    <row r="160" spans="1:5" x14ac:dyDescent="0.25">
      <c r="A160" s="638">
        <v>159</v>
      </c>
    </row>
  </sheetData>
  <sheetProtection sheet="1" objects="1" scenarios="1" formatCells="0" formatColumns="0" formatRows="0" insertColumns="0" insertRows="0" insertHyperlinks="0"/>
  <pageMargins left="0.7" right="0.7" top="0.78749999999999998" bottom="0.78749999999999998" header="0.51180555555555496" footer="0.51180555555555496"/>
  <pageSetup paperSize="9" firstPageNumber="0"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zoomScaleNormal="100" workbookViewId="0"/>
  </sheetViews>
  <sheetFormatPr defaultRowHeight="15" x14ac:dyDescent="0.25"/>
  <cols>
    <col min="1" max="1025" width="1.7109375" customWidth="1"/>
  </cols>
  <sheetData>
    <row r="1" spans="1:5" x14ac:dyDescent="0.25">
      <c r="A1" s="640">
        <v>1</v>
      </c>
      <c r="B1" s="640" t="s">
        <v>2286</v>
      </c>
      <c r="C1" s="640" t="s">
        <v>1967</v>
      </c>
      <c r="D1" s="640" t="s">
        <v>5157</v>
      </c>
      <c r="E1" s="640" t="s">
        <v>5158</v>
      </c>
    </row>
    <row r="2" spans="1:5" ht="409.5" x14ac:dyDescent="0.25">
      <c r="A2" s="640">
        <v>2</v>
      </c>
      <c r="B2" s="640" t="s">
        <v>2287</v>
      </c>
      <c r="C2" s="641" t="s">
        <v>5159</v>
      </c>
      <c r="D2" s="640" t="s">
        <v>5160</v>
      </c>
      <c r="E2" s="640" t="s">
        <v>5161</v>
      </c>
    </row>
    <row r="3" spans="1:5" x14ac:dyDescent="0.25">
      <c r="A3" s="640">
        <v>3</v>
      </c>
      <c r="B3" s="640" t="s">
        <v>2288</v>
      </c>
      <c r="C3" s="640" t="s">
        <v>5162</v>
      </c>
      <c r="D3" s="640" t="s">
        <v>5163</v>
      </c>
      <c r="E3" s="640" t="s">
        <v>5164</v>
      </c>
    </row>
    <row r="4" spans="1:5" x14ac:dyDescent="0.25">
      <c r="A4" s="640">
        <v>4</v>
      </c>
      <c r="B4" s="640" t="s">
        <v>2289</v>
      </c>
      <c r="C4" s="640" t="s">
        <v>5165</v>
      </c>
      <c r="D4" s="640" t="s">
        <v>5166</v>
      </c>
      <c r="E4" s="640" t="s">
        <v>5167</v>
      </c>
    </row>
    <row r="5" spans="1:5" x14ac:dyDescent="0.25">
      <c r="A5" s="640">
        <v>5</v>
      </c>
      <c r="B5" s="640" t="s">
        <v>2290</v>
      </c>
      <c r="C5" s="640" t="s">
        <v>5168</v>
      </c>
      <c r="D5" s="640" t="s">
        <v>5169</v>
      </c>
      <c r="E5" s="640" t="s">
        <v>5170</v>
      </c>
    </row>
    <row r="6" spans="1:5" ht="409.5" x14ac:dyDescent="0.25">
      <c r="A6" s="640">
        <v>6</v>
      </c>
      <c r="B6" s="640" t="s">
        <v>2291</v>
      </c>
      <c r="C6" s="641" t="s">
        <v>5171</v>
      </c>
      <c r="D6" s="640" t="s">
        <v>5172</v>
      </c>
      <c r="E6" s="640" t="s">
        <v>5173</v>
      </c>
    </row>
    <row r="7" spans="1:5" x14ac:dyDescent="0.25">
      <c r="A7" s="640">
        <v>7</v>
      </c>
      <c r="B7" s="640" t="s">
        <v>2292</v>
      </c>
      <c r="C7" s="640" t="s">
        <v>5174</v>
      </c>
      <c r="D7" s="640" t="s">
        <v>5175</v>
      </c>
      <c r="E7" s="640" t="s">
        <v>5176</v>
      </c>
    </row>
    <row r="8" spans="1:5" x14ac:dyDescent="0.25">
      <c r="A8" s="640">
        <v>8</v>
      </c>
      <c r="B8" s="640" t="s">
        <v>2293</v>
      </c>
      <c r="C8" s="640" t="s">
        <v>5177</v>
      </c>
      <c r="D8" s="640" t="s">
        <v>5178</v>
      </c>
      <c r="E8" s="640" t="s">
        <v>5179</v>
      </c>
    </row>
    <row r="9" spans="1:5" x14ac:dyDescent="0.25">
      <c r="A9" s="640">
        <v>9</v>
      </c>
      <c r="B9" s="640" t="s">
        <v>2294</v>
      </c>
      <c r="C9" s="640" t="s">
        <v>5180</v>
      </c>
      <c r="D9" s="640" t="s">
        <v>5181</v>
      </c>
      <c r="E9" s="640" t="s">
        <v>5182</v>
      </c>
    </row>
    <row r="10" spans="1:5" ht="409.5" x14ac:dyDescent="0.25">
      <c r="A10" s="640">
        <v>10</v>
      </c>
      <c r="B10" s="640" t="s">
        <v>2287</v>
      </c>
      <c r="C10" s="641" t="s">
        <v>5183</v>
      </c>
      <c r="D10" s="641" t="s">
        <v>5184</v>
      </c>
      <c r="E10" s="641" t="s">
        <v>5185</v>
      </c>
    </row>
    <row r="11" spans="1:5" x14ac:dyDescent="0.25">
      <c r="A11" s="640">
        <v>11</v>
      </c>
      <c r="B11" s="640" t="s">
        <v>2162</v>
      </c>
      <c r="C11" s="640" t="s">
        <v>5186</v>
      </c>
      <c r="D11" s="640" t="s">
        <v>5187</v>
      </c>
      <c r="E11" s="640" t="s">
        <v>5188</v>
      </c>
    </row>
    <row r="12" spans="1:5" x14ac:dyDescent="0.25">
      <c r="A12" s="640">
        <v>12</v>
      </c>
      <c r="B12" s="640" t="s">
        <v>2186</v>
      </c>
      <c r="C12" s="640" t="s">
        <v>5189</v>
      </c>
      <c r="D12" s="640" t="s">
        <v>5190</v>
      </c>
      <c r="E12" s="640" t="s">
        <v>5191</v>
      </c>
    </row>
    <row r="13" spans="1:5" x14ac:dyDescent="0.25">
      <c r="A13" s="640">
        <v>13</v>
      </c>
      <c r="B13" s="640" t="s">
        <v>2218</v>
      </c>
      <c r="C13" s="640" t="s">
        <v>5192</v>
      </c>
      <c r="D13" s="640" t="s">
        <v>5193</v>
      </c>
      <c r="E13" s="640" t="s">
        <v>5194</v>
      </c>
    </row>
    <row r="14" spans="1:5" x14ac:dyDescent="0.25">
      <c r="A14" s="640">
        <v>14</v>
      </c>
      <c r="B14" s="640" t="s">
        <v>2295</v>
      </c>
      <c r="C14" s="640" t="s">
        <v>5195</v>
      </c>
      <c r="D14" s="640" t="s">
        <v>5196</v>
      </c>
      <c r="E14" s="640" t="s">
        <v>5197</v>
      </c>
    </row>
    <row r="15" spans="1:5" x14ac:dyDescent="0.25">
      <c r="A15" s="640">
        <v>15</v>
      </c>
      <c r="B15" s="640" t="s">
        <v>2296</v>
      </c>
      <c r="C15" s="640" t="s">
        <v>5198</v>
      </c>
      <c r="D15" s="640" t="s">
        <v>5199</v>
      </c>
      <c r="E15" s="640" t="s">
        <v>5200</v>
      </c>
    </row>
    <row r="16" spans="1:5" x14ac:dyDescent="0.25">
      <c r="A16" s="640">
        <v>16</v>
      </c>
      <c r="B16" s="640" t="s">
        <v>2297</v>
      </c>
      <c r="C16" s="640" t="s">
        <v>5201</v>
      </c>
      <c r="D16" s="640" t="s">
        <v>5202</v>
      </c>
      <c r="E16" s="640" t="s">
        <v>5203</v>
      </c>
    </row>
    <row r="17" spans="1:5" x14ac:dyDescent="0.25">
      <c r="A17" s="640">
        <v>17</v>
      </c>
      <c r="B17" s="640" t="s">
        <v>2166</v>
      </c>
      <c r="C17" s="640" t="s">
        <v>5204</v>
      </c>
      <c r="D17" s="640" t="s">
        <v>5205</v>
      </c>
      <c r="E17" s="640" t="s">
        <v>5206</v>
      </c>
    </row>
    <row r="18" spans="1:5" x14ac:dyDescent="0.25">
      <c r="A18" s="640">
        <v>18</v>
      </c>
      <c r="B18" s="640" t="s">
        <v>2167</v>
      </c>
      <c r="C18" s="640" t="s">
        <v>5207</v>
      </c>
      <c r="D18" s="640" t="s">
        <v>5208</v>
      </c>
      <c r="E18" s="640" t="s">
        <v>5209</v>
      </c>
    </row>
    <row r="19" spans="1:5" x14ac:dyDescent="0.25">
      <c r="A19" s="640">
        <v>19</v>
      </c>
      <c r="B19" s="640" t="s">
        <v>2168</v>
      </c>
      <c r="C19" s="640" t="s">
        <v>5210</v>
      </c>
      <c r="D19" s="640" t="s">
        <v>5211</v>
      </c>
      <c r="E19" s="640" t="s">
        <v>5212</v>
      </c>
    </row>
    <row r="20" spans="1:5" x14ac:dyDescent="0.25">
      <c r="A20" s="640">
        <v>20</v>
      </c>
      <c r="B20" s="640" t="s">
        <v>2298</v>
      </c>
      <c r="C20" s="640" t="s">
        <v>5213</v>
      </c>
      <c r="D20" s="640" t="s">
        <v>5214</v>
      </c>
      <c r="E20" s="640" t="s">
        <v>5215</v>
      </c>
    </row>
    <row r="21" spans="1:5" x14ac:dyDescent="0.25">
      <c r="A21" s="640">
        <v>21</v>
      </c>
      <c r="B21" s="640" t="s">
        <v>2299</v>
      </c>
      <c r="C21" s="640" t="s">
        <v>5216</v>
      </c>
      <c r="D21" s="640" t="s">
        <v>5217</v>
      </c>
      <c r="E21" s="640" t="s">
        <v>5218</v>
      </c>
    </row>
    <row r="22" spans="1:5" x14ac:dyDescent="0.25">
      <c r="A22" s="640">
        <v>22</v>
      </c>
      <c r="B22" s="640" t="s">
        <v>2300</v>
      </c>
      <c r="C22" s="640" t="s">
        <v>5219</v>
      </c>
      <c r="D22" s="640" t="s">
        <v>5220</v>
      </c>
      <c r="E22" s="640" t="s">
        <v>5221</v>
      </c>
    </row>
    <row r="23" spans="1:5" x14ac:dyDescent="0.25">
      <c r="A23" s="640">
        <v>23</v>
      </c>
      <c r="B23" s="640" t="s">
        <v>2166</v>
      </c>
      <c r="C23" s="640" t="s">
        <v>5222</v>
      </c>
      <c r="D23" s="640" t="s">
        <v>5223</v>
      </c>
      <c r="E23" s="640" t="s">
        <v>5224</v>
      </c>
    </row>
    <row r="24" spans="1:5" x14ac:dyDescent="0.25">
      <c r="A24" s="640">
        <v>24</v>
      </c>
      <c r="B24" s="640" t="s">
        <v>2301</v>
      </c>
      <c r="C24" s="640" t="s">
        <v>5225</v>
      </c>
      <c r="D24" s="640" t="s">
        <v>5226</v>
      </c>
      <c r="E24" s="640" t="s">
        <v>5227</v>
      </c>
    </row>
    <row r="25" spans="1:5" x14ac:dyDescent="0.25">
      <c r="A25" s="640">
        <v>25</v>
      </c>
      <c r="B25" s="640" t="s">
        <v>2288</v>
      </c>
      <c r="C25" s="640" t="s">
        <v>5228</v>
      </c>
      <c r="D25" s="640" t="s">
        <v>5229</v>
      </c>
      <c r="E25" s="640" t="s">
        <v>5230</v>
      </c>
    </row>
    <row r="26" spans="1:5" ht="409.5" x14ac:dyDescent="0.25">
      <c r="A26" s="640">
        <v>26</v>
      </c>
      <c r="B26" s="640" t="s">
        <v>2302</v>
      </c>
      <c r="C26" s="641" t="s">
        <v>5231</v>
      </c>
      <c r="D26" s="641" t="s">
        <v>5232</v>
      </c>
      <c r="E26" s="641" t="s">
        <v>5233</v>
      </c>
    </row>
    <row r="27" spans="1:5" ht="409.5" x14ac:dyDescent="0.25">
      <c r="A27" s="640">
        <v>27</v>
      </c>
      <c r="B27" s="640" t="s">
        <v>2303</v>
      </c>
      <c r="C27" s="640" t="s">
        <v>5234</v>
      </c>
      <c r="D27" s="640" t="s">
        <v>5235</v>
      </c>
      <c r="E27" s="641" t="s">
        <v>5236</v>
      </c>
    </row>
    <row r="28" spans="1:5" ht="409.5" x14ac:dyDescent="0.25">
      <c r="A28" s="640">
        <v>28</v>
      </c>
      <c r="B28" s="640" t="s">
        <v>2286</v>
      </c>
      <c r="C28" s="641" t="s">
        <v>5237</v>
      </c>
      <c r="D28" s="640" t="s">
        <v>5238</v>
      </c>
      <c r="E28" s="641" t="s">
        <v>5239</v>
      </c>
    </row>
    <row r="29" spans="1:5" ht="409.5" x14ac:dyDescent="0.25">
      <c r="A29" s="640">
        <v>29</v>
      </c>
      <c r="B29" s="640" t="s">
        <v>2287</v>
      </c>
      <c r="C29" s="641" t="s">
        <v>5240</v>
      </c>
      <c r="D29" s="640" t="s">
        <v>5241</v>
      </c>
      <c r="E29" s="640" t="s">
        <v>5242</v>
      </c>
    </row>
    <row r="30" spans="1:5" x14ac:dyDescent="0.25">
      <c r="A30" s="640">
        <v>30</v>
      </c>
      <c r="B30" s="640" t="s">
        <v>2304</v>
      </c>
      <c r="C30" s="640" t="s">
        <v>5243</v>
      </c>
      <c r="D30" s="640" t="s">
        <v>5244</v>
      </c>
      <c r="E30" s="640" t="s">
        <v>5245</v>
      </c>
    </row>
    <row r="31" spans="1:5" ht="409.5" x14ac:dyDescent="0.25">
      <c r="A31" s="640">
        <v>31</v>
      </c>
      <c r="B31" s="640" t="s">
        <v>2305</v>
      </c>
      <c r="C31" s="641" t="s">
        <v>5246</v>
      </c>
      <c r="D31" s="641" t="s">
        <v>5247</v>
      </c>
      <c r="E31" s="640" t="s">
        <v>5248</v>
      </c>
    </row>
    <row r="32" spans="1:5" ht="409.5" x14ac:dyDescent="0.25">
      <c r="A32" s="640">
        <v>32</v>
      </c>
      <c r="B32" s="640" t="s">
        <v>2306</v>
      </c>
      <c r="C32" s="640" t="s">
        <v>5249</v>
      </c>
      <c r="D32" s="641" t="s">
        <v>5250</v>
      </c>
      <c r="E32" s="640" t="s">
        <v>5251</v>
      </c>
    </row>
    <row r="33" spans="1:5" ht="409.5" x14ac:dyDescent="0.25">
      <c r="A33" s="640">
        <v>33</v>
      </c>
      <c r="B33" s="640" t="s">
        <v>2166</v>
      </c>
      <c r="C33" s="640" t="s">
        <v>5252</v>
      </c>
      <c r="D33" s="641" t="s">
        <v>5253</v>
      </c>
      <c r="E33" s="640" t="s">
        <v>5254</v>
      </c>
    </row>
    <row r="34" spans="1:5" x14ac:dyDescent="0.25">
      <c r="A34" s="640">
        <v>34</v>
      </c>
      <c r="B34" s="640" t="s">
        <v>2167</v>
      </c>
      <c r="C34" s="640" t="s">
        <v>5255</v>
      </c>
      <c r="D34" s="640" t="s">
        <v>5256</v>
      </c>
      <c r="E34" s="640" t="s">
        <v>5257</v>
      </c>
    </row>
    <row r="35" spans="1:5" ht="409.5" x14ac:dyDescent="0.25">
      <c r="A35" s="640">
        <v>35</v>
      </c>
      <c r="B35" s="640" t="s">
        <v>2307</v>
      </c>
      <c r="C35" s="641" t="s">
        <v>5258</v>
      </c>
      <c r="D35" s="641" t="s">
        <v>5259</v>
      </c>
      <c r="E35" s="640" t="s">
        <v>5260</v>
      </c>
    </row>
    <row r="36" spans="1:5" x14ac:dyDescent="0.25">
      <c r="A36" s="640">
        <v>36</v>
      </c>
      <c r="B36" s="640" t="s">
        <v>2308</v>
      </c>
      <c r="C36" s="640" t="s">
        <v>5261</v>
      </c>
      <c r="D36" s="640" t="s">
        <v>5262</v>
      </c>
      <c r="E36" s="640" t="s">
        <v>5263</v>
      </c>
    </row>
    <row r="37" spans="1:5" x14ac:dyDescent="0.25">
      <c r="A37" s="640">
        <v>37</v>
      </c>
      <c r="B37" s="640" t="s">
        <v>2166</v>
      </c>
      <c r="C37" s="640" t="s">
        <v>5264</v>
      </c>
      <c r="D37" s="640" t="s">
        <v>5265</v>
      </c>
      <c r="E37" s="640" t="s">
        <v>5266</v>
      </c>
    </row>
    <row r="38" spans="1:5" x14ac:dyDescent="0.25">
      <c r="A38" s="640">
        <v>38</v>
      </c>
      <c r="B38" s="640" t="s">
        <v>2167</v>
      </c>
      <c r="C38" s="640" t="s">
        <v>5267</v>
      </c>
      <c r="D38" s="640" t="s">
        <v>5268</v>
      </c>
      <c r="E38" s="640" t="s">
        <v>5269</v>
      </c>
    </row>
    <row r="39" spans="1:5" x14ac:dyDescent="0.25">
      <c r="A39" s="640">
        <v>39</v>
      </c>
      <c r="B39" s="640" t="s">
        <v>2309</v>
      </c>
      <c r="C39" s="640" t="s">
        <v>5270</v>
      </c>
      <c r="D39" s="640" t="s">
        <v>5271</v>
      </c>
      <c r="E39" s="640" t="s">
        <v>5272</v>
      </c>
    </row>
    <row r="40" spans="1:5" x14ac:dyDescent="0.25">
      <c r="A40" s="640">
        <v>40</v>
      </c>
      <c r="B40" s="640" t="s">
        <v>2310</v>
      </c>
      <c r="C40" s="640" t="s">
        <v>5273</v>
      </c>
      <c r="D40" s="640" t="s">
        <v>5274</v>
      </c>
      <c r="E40" s="640" t="s">
        <v>5275</v>
      </c>
    </row>
    <row r="41" spans="1:5" x14ac:dyDescent="0.25">
      <c r="A41" s="640">
        <v>41</v>
      </c>
      <c r="B41" s="640" t="s">
        <v>2166</v>
      </c>
      <c r="C41" s="640" t="s">
        <v>5276</v>
      </c>
      <c r="D41" s="640" t="s">
        <v>5277</v>
      </c>
      <c r="E41" s="640" t="s">
        <v>5278</v>
      </c>
    </row>
    <row r="42" spans="1:5" x14ac:dyDescent="0.25">
      <c r="A42" s="640">
        <v>42</v>
      </c>
      <c r="B42" s="640" t="s">
        <v>2311</v>
      </c>
      <c r="C42" s="640" t="s">
        <v>5279</v>
      </c>
      <c r="D42" s="640" t="s">
        <v>5280</v>
      </c>
      <c r="E42" s="640" t="s">
        <v>5281</v>
      </c>
    </row>
    <row r="43" spans="1:5" x14ac:dyDescent="0.25">
      <c r="A43" s="640">
        <v>43</v>
      </c>
      <c r="B43" s="640" t="s">
        <v>2312</v>
      </c>
      <c r="C43" s="640" t="s">
        <v>5282</v>
      </c>
      <c r="D43" s="640" t="s">
        <v>5283</v>
      </c>
      <c r="E43" s="640" t="s">
        <v>5284</v>
      </c>
    </row>
    <row r="44" spans="1:5" x14ac:dyDescent="0.25">
      <c r="A44" s="640">
        <v>44</v>
      </c>
      <c r="B44" s="640" t="s">
        <v>2313</v>
      </c>
      <c r="C44" s="640" t="s">
        <v>5285</v>
      </c>
      <c r="D44" s="640" t="s">
        <v>5286</v>
      </c>
      <c r="E44" s="640" t="s">
        <v>5287</v>
      </c>
    </row>
    <row r="45" spans="1:5" ht="409.5" x14ac:dyDescent="0.25">
      <c r="A45" s="640">
        <v>45</v>
      </c>
      <c r="B45" s="640" t="s">
        <v>2287</v>
      </c>
      <c r="C45" s="641" t="s">
        <v>5288</v>
      </c>
      <c r="D45" s="641" t="s">
        <v>5289</v>
      </c>
      <c r="E45" s="640" t="s">
        <v>5290</v>
      </c>
    </row>
    <row r="46" spans="1:5" x14ac:dyDescent="0.25">
      <c r="A46" s="640">
        <v>46</v>
      </c>
      <c r="B46" s="640" t="s">
        <v>2314</v>
      </c>
      <c r="C46" s="640" t="s">
        <v>5291</v>
      </c>
      <c r="D46" s="640" t="s">
        <v>5292</v>
      </c>
      <c r="E46" s="640" t="s">
        <v>5293</v>
      </c>
    </row>
    <row r="47" spans="1:5" x14ac:dyDescent="0.25">
      <c r="A47" s="640">
        <v>47</v>
      </c>
      <c r="B47" s="640" t="s">
        <v>2315</v>
      </c>
      <c r="C47" s="640" t="s">
        <v>5294</v>
      </c>
      <c r="D47" s="640" t="s">
        <v>5295</v>
      </c>
      <c r="E47" s="640" t="s">
        <v>5296</v>
      </c>
    </row>
    <row r="48" spans="1:5" x14ac:dyDescent="0.25">
      <c r="A48" s="640">
        <v>48</v>
      </c>
      <c r="B48" s="640" t="s">
        <v>2316</v>
      </c>
      <c r="C48" s="640" t="s">
        <v>5297</v>
      </c>
      <c r="D48" s="640" t="s">
        <v>5298</v>
      </c>
      <c r="E48" s="640" t="s">
        <v>5299</v>
      </c>
    </row>
    <row r="49" spans="1:5" x14ac:dyDescent="0.25">
      <c r="A49" s="640">
        <v>49</v>
      </c>
      <c r="B49" s="640" t="s">
        <v>2317</v>
      </c>
      <c r="C49" s="640" t="s">
        <v>5300</v>
      </c>
      <c r="D49" s="640" t="s">
        <v>5301</v>
      </c>
      <c r="E49" s="640" t="s">
        <v>5302</v>
      </c>
    </row>
    <row r="50" spans="1:5" x14ac:dyDescent="0.25">
      <c r="A50" s="640">
        <v>50</v>
      </c>
      <c r="B50" s="640" t="s">
        <v>2318</v>
      </c>
      <c r="C50" s="640" t="s">
        <v>5303</v>
      </c>
      <c r="D50" s="640" t="s">
        <v>5304</v>
      </c>
      <c r="E50" s="640" t="s">
        <v>5305</v>
      </c>
    </row>
    <row r="51" spans="1:5" x14ac:dyDescent="0.25">
      <c r="A51" s="640">
        <v>51</v>
      </c>
      <c r="B51" s="640" t="s">
        <v>2166</v>
      </c>
      <c r="C51" s="640" t="s">
        <v>5306</v>
      </c>
      <c r="D51" s="640" t="s">
        <v>5307</v>
      </c>
      <c r="E51" s="640" t="s">
        <v>5308</v>
      </c>
    </row>
    <row r="52" spans="1:5" x14ac:dyDescent="0.25">
      <c r="A52" s="640">
        <v>52</v>
      </c>
      <c r="B52" s="640" t="s">
        <v>2319</v>
      </c>
      <c r="C52" s="640" t="s">
        <v>5309</v>
      </c>
      <c r="D52" s="640" t="s">
        <v>5310</v>
      </c>
      <c r="E52" s="640" t="s">
        <v>5311</v>
      </c>
    </row>
    <row r="53" spans="1:5" x14ac:dyDescent="0.25">
      <c r="A53" s="640">
        <v>53</v>
      </c>
      <c r="B53" s="640" t="s">
        <v>2320</v>
      </c>
      <c r="C53" s="640" t="s">
        <v>5312</v>
      </c>
      <c r="D53" s="640" t="s">
        <v>5313</v>
      </c>
      <c r="E53" s="640" t="s">
        <v>5314</v>
      </c>
    </row>
    <row r="54" spans="1:5" x14ac:dyDescent="0.25">
      <c r="A54" s="640">
        <v>54</v>
      </c>
      <c r="B54" s="640" t="s">
        <v>2321</v>
      </c>
      <c r="C54" s="640" t="s">
        <v>5315</v>
      </c>
      <c r="D54" s="640" t="s">
        <v>5316</v>
      </c>
      <c r="E54" s="640" t="s">
        <v>5317</v>
      </c>
    </row>
    <row r="55" spans="1:5" ht="409.5" x14ac:dyDescent="0.25">
      <c r="A55" s="640">
        <v>55</v>
      </c>
      <c r="B55" s="640" t="s">
        <v>2303</v>
      </c>
      <c r="C55" s="641" t="s">
        <v>5318</v>
      </c>
      <c r="D55" s="641" t="s">
        <v>5319</v>
      </c>
      <c r="E55" s="640" t="s">
        <v>5320</v>
      </c>
    </row>
    <row r="56" spans="1:5" x14ac:dyDescent="0.25">
      <c r="A56" s="640">
        <v>56</v>
      </c>
      <c r="B56" s="640" t="s">
        <v>2322</v>
      </c>
      <c r="C56" s="640" t="s">
        <v>5321</v>
      </c>
      <c r="D56" s="640" t="s">
        <v>5322</v>
      </c>
      <c r="E56" s="640" t="s">
        <v>5323</v>
      </c>
    </row>
    <row r="57" spans="1:5" x14ac:dyDescent="0.25">
      <c r="A57" s="640">
        <v>57</v>
      </c>
      <c r="B57" s="640" t="s">
        <v>2323</v>
      </c>
      <c r="C57" s="640" t="s">
        <v>5324</v>
      </c>
      <c r="D57" s="640" t="s">
        <v>5325</v>
      </c>
      <c r="E57" s="640" t="s">
        <v>5326</v>
      </c>
    </row>
    <row r="58" spans="1:5" x14ac:dyDescent="0.25">
      <c r="A58" s="640">
        <v>58</v>
      </c>
      <c r="B58" s="640" t="s">
        <v>2324</v>
      </c>
      <c r="C58" s="640" t="s">
        <v>5327</v>
      </c>
      <c r="D58" s="640" t="s">
        <v>5328</v>
      </c>
      <c r="E58" s="640" t="s">
        <v>5329</v>
      </c>
    </row>
    <row r="59" spans="1:5" x14ac:dyDescent="0.25">
      <c r="A59" s="640">
        <v>59</v>
      </c>
      <c r="B59" s="640" t="s">
        <v>2166</v>
      </c>
      <c r="C59" s="640" t="s">
        <v>5330</v>
      </c>
      <c r="D59" s="640" t="s">
        <v>5331</v>
      </c>
      <c r="E59" s="640" t="s">
        <v>5332</v>
      </c>
    </row>
    <row r="60" spans="1:5" ht="409.5" x14ac:dyDescent="0.25">
      <c r="A60" s="640">
        <v>60</v>
      </c>
      <c r="B60" s="640" t="s">
        <v>2325</v>
      </c>
      <c r="C60" s="640" t="s">
        <v>5333</v>
      </c>
      <c r="D60" s="640" t="s">
        <v>5334</v>
      </c>
      <c r="E60" s="641" t="s">
        <v>5335</v>
      </c>
    </row>
    <row r="61" spans="1:5" ht="409.5" x14ac:dyDescent="0.25">
      <c r="A61" s="640">
        <v>61</v>
      </c>
      <c r="B61" s="640" t="s">
        <v>2322</v>
      </c>
      <c r="C61" s="640" t="s">
        <v>5336</v>
      </c>
      <c r="D61" s="640" t="s">
        <v>5337</v>
      </c>
      <c r="E61" s="641" t="s">
        <v>5338</v>
      </c>
    </row>
  </sheetData>
  <sheetProtection sheet="1" objects="1" scenarios="1"/>
  <pageMargins left="0.7" right="0.7" top="0.78749999999999998" bottom="0.78749999999999998" header="0.51180555555555496" footer="0.51180555555555496"/>
  <pageSetup paperSize="9" firstPageNumber="0"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CC"/>
  </sheetPr>
  <dimension ref="A1:GW147"/>
  <sheetViews>
    <sheetView topLeftCell="B1" zoomScaleNormal="100" workbookViewId="0">
      <selection activeCell="B1" sqref="B1"/>
    </sheetView>
  </sheetViews>
  <sheetFormatPr defaultRowHeight="15" x14ac:dyDescent="0.25"/>
  <cols>
    <col min="1" max="1" width="11.5703125" hidden="1"/>
    <col min="2" max="1025" width="0.42578125" customWidth="1"/>
  </cols>
  <sheetData>
    <row r="1" spans="1:205" ht="3.75" customHeight="1" x14ac:dyDescent="0.25">
      <c r="A1" s="642"/>
    </row>
    <row r="2" spans="1:205" ht="25.5" customHeight="1" x14ac:dyDescent="0.25">
      <c r="B2" s="643"/>
      <c r="C2" s="644"/>
      <c r="D2" s="644"/>
      <c r="E2" s="644"/>
      <c r="F2" s="644"/>
      <c r="G2" s="644"/>
      <c r="H2" s="644"/>
      <c r="I2" s="957" t="s">
        <v>5339</v>
      </c>
      <c r="J2" s="957"/>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K2" s="958" t="s">
        <v>2327</v>
      </c>
      <c r="AL2" s="958"/>
      <c r="AM2" s="958"/>
      <c r="AN2" s="958"/>
      <c r="AO2" s="958"/>
      <c r="AP2" s="958"/>
      <c r="AQ2" s="958"/>
      <c r="AR2" s="958"/>
      <c r="AS2" s="645"/>
      <c r="AT2" s="959" t="str">
        <f>VstupHlavička!$B$3</f>
        <v>2020473411</v>
      </c>
      <c r="AU2" s="959"/>
      <c r="AV2" s="959"/>
      <c r="AW2" s="959"/>
      <c r="AX2" s="959"/>
      <c r="AY2" s="959"/>
      <c r="AZ2" s="959"/>
      <c r="BA2" s="959"/>
      <c r="BB2" s="959"/>
      <c r="BC2" s="959"/>
      <c r="BD2" s="959"/>
      <c r="BE2" s="959"/>
      <c r="BF2" s="959"/>
      <c r="BG2" s="959"/>
      <c r="BH2" s="959"/>
      <c r="BI2" s="959"/>
      <c r="BJ2" s="959"/>
      <c r="BK2" s="959"/>
      <c r="BL2" s="959"/>
      <c r="BM2" s="959"/>
      <c r="BN2" s="959"/>
      <c r="BO2" s="959"/>
      <c r="BP2" s="959"/>
      <c r="BQ2" s="959"/>
      <c r="BR2" s="959"/>
      <c r="BS2" s="959"/>
      <c r="BT2" s="959"/>
      <c r="BU2" s="959"/>
      <c r="BV2" s="959"/>
      <c r="BW2" s="959"/>
      <c r="BX2" s="959"/>
      <c r="BY2" s="959"/>
      <c r="BZ2" s="959"/>
      <c r="CA2" s="959"/>
      <c r="CB2" s="959"/>
      <c r="CC2" s="959"/>
      <c r="CD2" s="959"/>
      <c r="CE2" s="959"/>
      <c r="CF2" s="959"/>
      <c r="CG2" s="959"/>
      <c r="CH2" s="959"/>
      <c r="CI2" s="959"/>
      <c r="CJ2" s="959"/>
      <c r="CK2" s="959"/>
      <c r="CL2" s="959"/>
      <c r="CM2" s="959"/>
      <c r="CN2" s="959"/>
      <c r="CO2" s="959"/>
      <c r="CP2" s="959"/>
      <c r="CQ2" s="959"/>
      <c r="CR2" s="959"/>
      <c r="CS2" s="959"/>
      <c r="CT2" s="645"/>
      <c r="CU2" s="646"/>
      <c r="CW2" s="958" t="s">
        <v>5</v>
      </c>
      <c r="CX2" s="958"/>
      <c r="CY2" s="958"/>
      <c r="CZ2" s="958"/>
      <c r="DA2" s="958"/>
      <c r="DB2" s="958"/>
      <c r="DC2" s="958"/>
      <c r="DD2" s="645"/>
      <c r="DE2" s="959" t="str">
        <f>VstupHlavička!$B$4</f>
        <v>00651052</v>
      </c>
      <c r="DF2" s="959"/>
      <c r="DG2" s="959"/>
      <c r="DH2" s="959"/>
      <c r="DI2" s="959"/>
      <c r="DJ2" s="959"/>
      <c r="DK2" s="959"/>
      <c r="DL2" s="959"/>
      <c r="DM2" s="959"/>
      <c r="DN2" s="959"/>
      <c r="DO2" s="959"/>
      <c r="DP2" s="959"/>
      <c r="DQ2" s="959"/>
      <c r="DR2" s="959"/>
      <c r="DS2" s="959"/>
      <c r="DT2" s="959"/>
      <c r="DU2" s="959"/>
      <c r="DV2" s="959"/>
      <c r="DW2" s="959"/>
      <c r="DX2" s="959"/>
      <c r="DY2" s="959"/>
      <c r="DZ2" s="959"/>
      <c r="EA2" s="959"/>
      <c r="EB2" s="959"/>
      <c r="EC2" s="959"/>
      <c r="ED2" s="959"/>
      <c r="EE2" s="959"/>
      <c r="EF2" s="959"/>
      <c r="EG2" s="959"/>
      <c r="EH2" s="959"/>
      <c r="EI2" s="959"/>
      <c r="EJ2" s="959"/>
      <c r="EK2" s="959"/>
      <c r="EL2" s="959"/>
      <c r="EM2" s="959"/>
      <c r="EN2" s="959"/>
      <c r="EO2" s="959"/>
      <c r="EP2" s="959"/>
      <c r="EQ2" s="959"/>
      <c r="ER2" s="959"/>
      <c r="ES2" s="959"/>
      <c r="ET2" s="959"/>
      <c r="EU2" s="959"/>
      <c r="EV2" s="645"/>
      <c r="EW2" s="646"/>
      <c r="GQ2" s="644"/>
      <c r="GR2" s="644"/>
      <c r="GS2" s="644"/>
      <c r="GT2" s="644"/>
      <c r="GU2" s="644"/>
      <c r="GV2" s="644"/>
      <c r="GW2" s="647"/>
    </row>
    <row r="3" spans="1:205" ht="3" customHeight="1" x14ac:dyDescent="0.25"/>
    <row r="4" spans="1:205" ht="11.25" customHeight="1" x14ac:dyDescent="0.3">
      <c r="B4" s="960" t="s">
        <v>5340</v>
      </c>
      <c r="C4" s="960"/>
      <c r="D4" s="960"/>
      <c r="E4" s="960"/>
      <c r="F4" s="960"/>
      <c r="G4" s="960"/>
      <c r="H4" s="960"/>
      <c r="I4" s="960"/>
      <c r="J4" s="960"/>
      <c r="K4" s="960"/>
      <c r="L4" s="961" t="s">
        <v>5341</v>
      </c>
      <c r="M4" s="961"/>
      <c r="N4" s="961"/>
      <c r="O4" s="961"/>
      <c r="P4" s="961"/>
      <c r="Q4" s="961"/>
      <c r="R4" s="961"/>
      <c r="S4" s="961"/>
      <c r="T4" s="961"/>
      <c r="U4" s="961"/>
      <c r="V4" s="961"/>
      <c r="W4" s="961"/>
      <c r="X4" s="961"/>
      <c r="Y4" s="961"/>
      <c r="Z4" s="961"/>
      <c r="AA4" s="961"/>
      <c r="AB4" s="961"/>
      <c r="AC4" s="961"/>
      <c r="AD4" s="961"/>
      <c r="AE4" s="961"/>
      <c r="AF4" s="961"/>
      <c r="AG4" s="961"/>
      <c r="AH4" s="961"/>
      <c r="AI4" s="961"/>
      <c r="AJ4" s="961"/>
      <c r="AK4" s="961"/>
      <c r="AL4" s="961"/>
      <c r="AM4" s="961"/>
      <c r="AN4" s="961"/>
      <c r="AO4" s="961"/>
      <c r="AP4" s="961"/>
      <c r="AQ4" s="962" t="str">
        <f>SUVAHAVUJ!$E$2</f>
        <v>Číslo riadku</v>
      </c>
      <c r="AR4" s="962"/>
      <c r="AS4" s="962"/>
      <c r="AT4" s="962"/>
      <c r="AU4" s="962"/>
      <c r="AV4" s="962"/>
      <c r="AW4" s="962"/>
      <c r="AX4" s="962"/>
      <c r="AY4" s="963" t="str">
        <f>SUVAHAVUJ!$I$1</f>
        <v>Bežné účtovné obdobie</v>
      </c>
      <c r="AZ4" s="963"/>
      <c r="BA4" s="963"/>
      <c r="BB4" s="963"/>
      <c r="BC4" s="963"/>
      <c r="BD4" s="963"/>
      <c r="BE4" s="963"/>
      <c r="BF4" s="963"/>
      <c r="BG4" s="963"/>
      <c r="BH4" s="963"/>
      <c r="BI4" s="963"/>
      <c r="BJ4" s="963"/>
      <c r="BK4" s="963"/>
      <c r="BL4" s="963"/>
      <c r="BM4" s="963"/>
      <c r="BN4" s="963"/>
      <c r="BO4" s="963"/>
      <c r="BP4" s="963"/>
      <c r="BQ4" s="963"/>
      <c r="BR4" s="963"/>
      <c r="BS4" s="963"/>
      <c r="BT4" s="963"/>
      <c r="BU4" s="963"/>
      <c r="BV4" s="963"/>
      <c r="BW4" s="963"/>
      <c r="BX4" s="963"/>
      <c r="BY4" s="963"/>
      <c r="BZ4" s="963"/>
      <c r="CA4" s="963"/>
      <c r="CB4" s="963"/>
      <c r="CC4" s="963"/>
      <c r="CD4" s="963"/>
      <c r="CE4" s="963"/>
      <c r="CF4" s="963"/>
      <c r="CG4" s="963"/>
      <c r="CH4" s="963"/>
      <c r="CI4" s="963"/>
      <c r="CJ4" s="963"/>
      <c r="CK4" s="963"/>
      <c r="CL4" s="963"/>
      <c r="CM4" s="963"/>
      <c r="CN4" s="963"/>
      <c r="CO4" s="963"/>
      <c r="CP4" s="963"/>
      <c r="CQ4" s="963"/>
      <c r="CR4" s="963"/>
      <c r="CS4" s="963"/>
      <c r="CT4" s="963"/>
      <c r="CU4" s="963"/>
      <c r="CV4" s="963"/>
      <c r="CW4" s="963"/>
      <c r="CX4" s="963"/>
      <c r="CY4" s="963"/>
      <c r="CZ4" s="963"/>
      <c r="DA4" s="963"/>
      <c r="DB4" s="963"/>
      <c r="DC4" s="963"/>
      <c r="DD4" s="963"/>
      <c r="DE4" s="963"/>
      <c r="DF4" s="963"/>
      <c r="DG4" s="963"/>
      <c r="DH4" s="963"/>
      <c r="DI4" s="963"/>
      <c r="DJ4" s="963"/>
      <c r="DK4" s="963"/>
      <c r="DL4" s="963"/>
      <c r="DM4" s="963"/>
      <c r="DN4" s="963"/>
      <c r="DO4" s="963"/>
      <c r="DP4" s="963"/>
      <c r="DQ4" s="963"/>
      <c r="DR4" s="963"/>
      <c r="DS4" s="963"/>
      <c r="DT4" s="963"/>
      <c r="DU4" s="963"/>
      <c r="DV4" s="963"/>
      <c r="DW4" s="963"/>
      <c r="DX4" s="963"/>
      <c r="DY4" s="963"/>
      <c r="DZ4" s="963"/>
      <c r="EA4" s="963"/>
      <c r="EB4" s="963"/>
      <c r="EC4" s="963"/>
      <c r="ED4" s="963"/>
      <c r="EE4" s="963"/>
      <c r="EF4" s="963"/>
      <c r="EG4" s="963"/>
      <c r="EH4" s="963"/>
      <c r="EI4" s="963"/>
      <c r="EJ4" s="963"/>
      <c r="EK4" s="963"/>
      <c r="EL4" s="963"/>
      <c r="EM4" s="963"/>
      <c r="EN4" s="963"/>
      <c r="EO4" s="963"/>
      <c r="EP4" s="963"/>
      <c r="EQ4" s="963"/>
      <c r="ER4" s="963"/>
      <c r="ES4" s="963"/>
      <c r="ET4" s="963"/>
      <c r="EU4" s="963"/>
      <c r="EV4" s="963"/>
      <c r="EW4" s="963"/>
      <c r="EX4" s="963"/>
      <c r="EY4" s="963"/>
      <c r="EZ4" s="963"/>
      <c r="FA4" s="963"/>
      <c r="FB4" s="963"/>
      <c r="FC4" s="964">
        <f>SUVAHAVUJ!$T$1</f>
        <v>0</v>
      </c>
      <c r="FD4" s="964"/>
      <c r="FE4" s="964"/>
      <c r="FF4" s="964"/>
      <c r="FG4" s="964"/>
      <c r="FH4" s="964"/>
      <c r="FI4" s="964"/>
      <c r="FJ4" s="964"/>
      <c r="FK4" s="964"/>
      <c r="FL4" s="964"/>
      <c r="FM4" s="964"/>
      <c r="FN4" s="964"/>
      <c r="FO4" s="964"/>
      <c r="FP4" s="964"/>
      <c r="FQ4" s="964"/>
      <c r="FR4" s="964"/>
      <c r="FS4" s="964"/>
      <c r="FT4" s="964"/>
      <c r="FU4" s="964"/>
      <c r="FV4" s="964"/>
      <c r="FW4" s="964"/>
      <c r="FX4" s="964"/>
      <c r="FY4" s="964"/>
      <c r="FZ4" s="964"/>
      <c r="GA4" s="964"/>
      <c r="GB4" s="964"/>
      <c r="GC4" s="964"/>
      <c r="GD4" s="964"/>
      <c r="GE4" s="964"/>
      <c r="GF4" s="964"/>
      <c r="GG4" s="964"/>
      <c r="GH4" s="964"/>
      <c r="GI4" s="964"/>
      <c r="GJ4" s="964"/>
      <c r="GK4" s="964"/>
      <c r="GL4" s="964"/>
      <c r="GM4" s="964"/>
      <c r="GN4" s="964"/>
      <c r="GO4" s="964"/>
      <c r="GP4" s="964"/>
      <c r="GQ4" s="964"/>
      <c r="GR4" s="964"/>
      <c r="GS4" s="964"/>
      <c r="GT4" s="964"/>
      <c r="GU4" s="964"/>
      <c r="GV4" s="964"/>
      <c r="GW4" s="964"/>
    </row>
    <row r="5" spans="1:205" ht="11.25" customHeight="1" x14ac:dyDescent="0.3">
      <c r="B5" s="965" t="s">
        <v>5342</v>
      </c>
      <c r="C5" s="965"/>
      <c r="D5" s="965"/>
      <c r="E5" s="965"/>
      <c r="F5" s="965"/>
      <c r="G5" s="965"/>
      <c r="H5" s="965"/>
      <c r="I5" s="965"/>
      <c r="J5" s="965"/>
      <c r="K5" s="965"/>
      <c r="L5" s="961"/>
      <c r="M5" s="961"/>
      <c r="N5" s="961"/>
      <c r="O5" s="961"/>
      <c r="P5" s="961"/>
      <c r="Q5" s="961"/>
      <c r="R5" s="961"/>
      <c r="S5" s="961"/>
      <c r="T5" s="961"/>
      <c r="U5" s="961"/>
      <c r="V5" s="961"/>
      <c r="W5" s="961"/>
      <c r="X5" s="961"/>
      <c r="Y5" s="961"/>
      <c r="Z5" s="961"/>
      <c r="AA5" s="961"/>
      <c r="AB5" s="961"/>
      <c r="AC5" s="961"/>
      <c r="AD5" s="961"/>
      <c r="AE5" s="961"/>
      <c r="AF5" s="961"/>
      <c r="AG5" s="961"/>
      <c r="AH5" s="961"/>
      <c r="AI5" s="961"/>
      <c r="AJ5" s="961"/>
      <c r="AK5" s="961"/>
      <c r="AL5" s="961"/>
      <c r="AM5" s="961"/>
      <c r="AN5" s="961"/>
      <c r="AO5" s="961"/>
      <c r="AP5" s="961"/>
      <c r="AQ5" s="962"/>
      <c r="AR5" s="962"/>
      <c r="AS5" s="962"/>
      <c r="AT5" s="962"/>
      <c r="AU5" s="962"/>
      <c r="AV5" s="962"/>
      <c r="AW5" s="962"/>
      <c r="AX5" s="962"/>
      <c r="AY5" s="966"/>
      <c r="AZ5" s="966"/>
      <c r="BA5" s="966"/>
      <c r="BB5" s="966"/>
      <c r="BC5" s="966"/>
      <c r="BD5" s="966"/>
      <c r="BE5" s="967" t="str">
        <f>SUVAHAVUJ!$I$2</f>
        <v>Brutto-časť 1</v>
      </c>
      <c r="BF5" s="967"/>
      <c r="BG5" s="967"/>
      <c r="BH5" s="967"/>
      <c r="BI5" s="967"/>
      <c r="BJ5" s="967"/>
      <c r="BK5" s="967"/>
      <c r="BL5" s="967"/>
      <c r="BM5" s="967"/>
      <c r="BN5" s="967"/>
      <c r="BO5" s="967"/>
      <c r="BP5" s="967"/>
      <c r="BQ5" s="967"/>
      <c r="BR5" s="967"/>
      <c r="BS5" s="967"/>
      <c r="BT5" s="967"/>
      <c r="BU5" s="967"/>
      <c r="BV5" s="967"/>
      <c r="BW5" s="967"/>
      <c r="BX5" s="967"/>
      <c r="BY5" s="967"/>
      <c r="BZ5" s="967"/>
      <c r="CA5" s="967"/>
      <c r="CB5" s="967"/>
      <c r="CC5" s="967"/>
      <c r="CD5" s="967"/>
      <c r="CE5" s="967"/>
      <c r="CF5" s="967"/>
      <c r="CG5" s="967"/>
      <c r="CH5" s="967"/>
      <c r="CI5" s="967"/>
      <c r="CJ5" s="967"/>
      <c r="CK5" s="967"/>
      <c r="CL5" s="967"/>
      <c r="CM5" s="967"/>
      <c r="CN5" s="967"/>
      <c r="CO5" s="967"/>
      <c r="CP5" s="967"/>
      <c r="CQ5" s="967"/>
      <c r="CR5" s="967"/>
      <c r="CS5" s="967"/>
      <c r="CT5" s="967"/>
      <c r="CU5" s="967"/>
      <c r="CV5" s="967"/>
      <c r="CW5" s="967"/>
      <c r="CX5" s="967"/>
      <c r="CY5" s="967"/>
      <c r="CZ5" s="967"/>
      <c r="DA5" s="967"/>
      <c r="DB5" s="967"/>
      <c r="DC5" s="967"/>
      <c r="DD5" s="967"/>
      <c r="DE5" s="967"/>
      <c r="DF5" s="967"/>
      <c r="DG5" s="967"/>
      <c r="DH5" s="967"/>
      <c r="DI5" s="967"/>
      <c r="DJ5" s="968" t="str">
        <f>SUVAHAVUJ!$N$2</f>
        <v>Netto</v>
      </c>
      <c r="DK5" s="968"/>
      <c r="DL5" s="968"/>
      <c r="DM5" s="968"/>
      <c r="DN5" s="968"/>
      <c r="DO5" s="968"/>
      <c r="DP5" s="968"/>
      <c r="DQ5" s="968"/>
      <c r="DR5" s="968"/>
      <c r="DS5" s="968"/>
      <c r="DT5" s="968"/>
      <c r="DU5" s="968"/>
      <c r="DV5" s="968"/>
      <c r="DW5" s="968"/>
      <c r="DX5" s="968"/>
      <c r="DY5" s="968"/>
      <c r="DZ5" s="968"/>
      <c r="EA5" s="968"/>
      <c r="EB5" s="968"/>
      <c r="EC5" s="968"/>
      <c r="ED5" s="968"/>
      <c r="EE5" s="968"/>
      <c r="EF5" s="968"/>
      <c r="EG5" s="968"/>
      <c r="EH5" s="968"/>
      <c r="EI5" s="968"/>
      <c r="EJ5" s="968"/>
      <c r="EK5" s="968"/>
      <c r="EL5" s="968"/>
      <c r="EM5" s="968"/>
      <c r="EN5" s="968"/>
      <c r="EO5" s="968"/>
      <c r="EP5" s="968"/>
      <c r="EQ5" s="968"/>
      <c r="ER5" s="968"/>
      <c r="ES5" s="968"/>
      <c r="ET5" s="968"/>
      <c r="EU5" s="968"/>
      <c r="EV5" s="968"/>
      <c r="EW5" s="968"/>
      <c r="EX5" s="968"/>
      <c r="EY5" s="968"/>
      <c r="EZ5" s="968"/>
      <c r="FA5" s="968"/>
      <c r="FB5" s="968"/>
      <c r="FC5" s="964"/>
      <c r="FD5" s="964"/>
      <c r="FE5" s="964"/>
      <c r="FF5" s="964"/>
      <c r="FG5" s="964"/>
      <c r="FH5" s="964"/>
      <c r="FI5" s="964"/>
      <c r="FJ5" s="964"/>
      <c r="FK5" s="964"/>
      <c r="FL5" s="964"/>
      <c r="FM5" s="964"/>
      <c r="FN5" s="964"/>
      <c r="FO5" s="964"/>
      <c r="FP5" s="964"/>
      <c r="FQ5" s="964"/>
      <c r="FR5" s="964"/>
      <c r="FS5" s="964"/>
      <c r="FT5" s="964"/>
      <c r="FU5" s="964"/>
      <c r="FV5" s="964"/>
      <c r="FW5" s="964"/>
      <c r="FX5" s="964"/>
      <c r="FY5" s="964"/>
      <c r="FZ5" s="964"/>
      <c r="GA5" s="964"/>
      <c r="GB5" s="964"/>
      <c r="GC5" s="964"/>
      <c r="GD5" s="964"/>
      <c r="GE5" s="964"/>
      <c r="GF5" s="964"/>
      <c r="GG5" s="964"/>
      <c r="GH5" s="964"/>
      <c r="GI5" s="964"/>
      <c r="GJ5" s="964"/>
      <c r="GK5" s="964"/>
      <c r="GL5" s="964"/>
      <c r="GM5" s="964"/>
      <c r="GN5" s="964"/>
      <c r="GO5" s="964"/>
      <c r="GP5" s="964"/>
      <c r="GQ5" s="964"/>
      <c r="GR5" s="964"/>
      <c r="GS5" s="964"/>
      <c r="GT5" s="964"/>
      <c r="GU5" s="964"/>
      <c r="GV5" s="964"/>
      <c r="GW5" s="964"/>
    </row>
    <row r="6" spans="1:205" ht="10.5" customHeight="1" x14ac:dyDescent="0.3">
      <c r="B6" s="969" t="s">
        <v>1323</v>
      </c>
      <c r="C6" s="969"/>
      <c r="D6" s="969"/>
      <c r="E6" s="969"/>
      <c r="F6" s="969"/>
      <c r="G6" s="969"/>
      <c r="H6" s="969"/>
      <c r="I6" s="969"/>
      <c r="J6" s="969"/>
      <c r="K6" s="969"/>
      <c r="L6" s="961"/>
      <c r="M6" s="961"/>
      <c r="N6" s="961"/>
      <c r="O6" s="961"/>
      <c r="P6" s="961"/>
      <c r="Q6" s="961"/>
      <c r="R6" s="961"/>
      <c r="S6" s="961"/>
      <c r="T6" s="961"/>
      <c r="U6" s="961"/>
      <c r="V6" s="961"/>
      <c r="W6" s="961"/>
      <c r="X6" s="961"/>
      <c r="Y6" s="961"/>
      <c r="Z6" s="961"/>
      <c r="AA6" s="961"/>
      <c r="AB6" s="961"/>
      <c r="AC6" s="961"/>
      <c r="AD6" s="961"/>
      <c r="AE6" s="961"/>
      <c r="AF6" s="961"/>
      <c r="AG6" s="961"/>
      <c r="AH6" s="961"/>
      <c r="AI6" s="961"/>
      <c r="AJ6" s="961"/>
      <c r="AK6" s="961"/>
      <c r="AL6" s="961"/>
      <c r="AM6" s="961"/>
      <c r="AN6" s="961"/>
      <c r="AO6" s="961"/>
      <c r="AP6" s="961"/>
      <c r="AQ6" s="962"/>
      <c r="AR6" s="962"/>
      <c r="AS6" s="962"/>
      <c r="AT6" s="962"/>
      <c r="AU6" s="962"/>
      <c r="AV6" s="962"/>
      <c r="AW6" s="962"/>
      <c r="AX6" s="962"/>
      <c r="AY6" s="966"/>
      <c r="AZ6" s="966"/>
      <c r="BA6" s="966"/>
      <c r="BB6" s="966"/>
      <c r="BC6" s="966"/>
      <c r="BD6" s="966"/>
      <c r="BE6" s="970" t="str">
        <f>SUVAHAVUJ!$K$2</f>
        <v>Oprávky</v>
      </c>
      <c r="BF6" s="970"/>
      <c r="BG6" s="970"/>
      <c r="BH6" s="970"/>
      <c r="BI6" s="970"/>
      <c r="BJ6" s="970"/>
      <c r="BK6" s="970"/>
      <c r="BL6" s="970"/>
      <c r="BM6" s="970"/>
      <c r="BN6" s="970"/>
      <c r="BO6" s="970"/>
      <c r="BP6" s="970"/>
      <c r="BQ6" s="970"/>
      <c r="BR6" s="970"/>
      <c r="BS6" s="970"/>
      <c r="BT6" s="970"/>
      <c r="BU6" s="970"/>
      <c r="BV6" s="970"/>
      <c r="BW6" s="970"/>
      <c r="BX6" s="970"/>
      <c r="BY6" s="970"/>
      <c r="BZ6" s="970"/>
      <c r="CA6" s="970"/>
      <c r="CB6" s="970"/>
      <c r="CC6" s="970"/>
      <c r="CD6" s="970"/>
      <c r="CE6" s="970"/>
      <c r="CF6" s="970"/>
      <c r="CG6" s="970"/>
      <c r="CH6" s="970"/>
      <c r="CI6" s="970"/>
      <c r="CJ6" s="970"/>
      <c r="CK6" s="970"/>
      <c r="CL6" s="970"/>
      <c r="CM6" s="970"/>
      <c r="CN6" s="970"/>
      <c r="CO6" s="970"/>
      <c r="CP6" s="970"/>
      <c r="CQ6" s="970"/>
      <c r="CR6" s="970"/>
      <c r="CS6" s="970"/>
      <c r="CT6" s="970"/>
      <c r="CU6" s="970"/>
      <c r="CV6" s="970"/>
      <c r="CW6" s="970"/>
      <c r="CX6" s="970"/>
      <c r="CY6" s="970"/>
      <c r="CZ6" s="970"/>
      <c r="DA6" s="970"/>
      <c r="DB6" s="970"/>
      <c r="DC6" s="970"/>
      <c r="DD6" s="970"/>
      <c r="DE6" s="970"/>
      <c r="DF6" s="970"/>
      <c r="DG6" s="970"/>
      <c r="DH6" s="970"/>
      <c r="DI6" s="970"/>
      <c r="DJ6" s="963"/>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963"/>
      <c r="EU6" s="963"/>
      <c r="EV6" s="963"/>
      <c r="EW6" s="963"/>
      <c r="EX6" s="963"/>
      <c r="EY6" s="963"/>
      <c r="EZ6" s="963"/>
      <c r="FA6" s="963"/>
      <c r="FB6" s="963"/>
      <c r="FC6" s="971" t="str">
        <f>SUVAHAVUJ!$N$2</f>
        <v>Netto</v>
      </c>
      <c r="FD6" s="971"/>
      <c r="FE6" s="971"/>
      <c r="FF6" s="971"/>
      <c r="FG6" s="971"/>
      <c r="FH6" s="971"/>
      <c r="FI6" s="971"/>
      <c r="FJ6" s="971"/>
      <c r="FK6" s="971"/>
      <c r="FL6" s="971"/>
      <c r="FM6" s="971"/>
      <c r="FN6" s="971"/>
      <c r="FO6" s="971"/>
      <c r="FP6" s="971"/>
      <c r="FQ6" s="971"/>
      <c r="FR6" s="971"/>
      <c r="FS6" s="971"/>
      <c r="FT6" s="971"/>
      <c r="FU6" s="971"/>
      <c r="FV6" s="971"/>
      <c r="FW6" s="971"/>
      <c r="FX6" s="971"/>
      <c r="FY6" s="971"/>
      <c r="FZ6" s="971"/>
      <c r="GA6" s="971"/>
      <c r="GB6" s="971"/>
      <c r="GC6" s="971"/>
      <c r="GD6" s="971"/>
      <c r="GE6" s="971"/>
      <c r="GF6" s="971"/>
      <c r="GG6" s="971"/>
      <c r="GH6" s="971"/>
      <c r="GI6" s="971"/>
      <c r="GJ6" s="971"/>
      <c r="GK6" s="971"/>
      <c r="GL6" s="971"/>
      <c r="GM6" s="971"/>
      <c r="GN6" s="971"/>
      <c r="GO6" s="971"/>
      <c r="GP6" s="971"/>
      <c r="GQ6" s="971"/>
      <c r="GR6" s="971"/>
      <c r="GS6" s="971"/>
      <c r="GT6" s="971"/>
      <c r="GU6" s="971"/>
      <c r="GV6" s="971"/>
      <c r="GW6" s="971"/>
    </row>
    <row r="7" spans="1:205" s="650" customFormat="1" ht="25.5" customHeight="1" x14ac:dyDescent="0.3">
      <c r="A7" s="972">
        <v>1</v>
      </c>
      <c r="B7" s="973"/>
      <c r="C7" s="973"/>
      <c r="D7" s="973"/>
      <c r="E7" s="973"/>
      <c r="F7" s="973"/>
      <c r="G7" s="973"/>
      <c r="H7" s="973"/>
      <c r="I7" s="973"/>
      <c r="J7" s="973"/>
      <c r="K7" s="973"/>
      <c r="L7" s="974" t="str">
        <f>SUVAHAVUJ!$D$3</f>
        <v>Spolu majetok r. 02 + r. 33 + r. 74</v>
      </c>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c r="AL7" s="974"/>
      <c r="AM7" s="974"/>
      <c r="AN7" s="974"/>
      <c r="AO7" s="974"/>
      <c r="AP7" s="974"/>
      <c r="AQ7" s="975" t="s">
        <v>2160</v>
      </c>
      <c r="AR7" s="975"/>
      <c r="AS7" s="975"/>
      <c r="AT7" s="975"/>
      <c r="AU7" s="975"/>
      <c r="AV7" s="975"/>
      <c r="AW7" s="975"/>
      <c r="AX7" s="975"/>
      <c r="AY7" s="648"/>
      <c r="AZ7" s="649"/>
      <c r="BA7" s="976" t="str">
        <f>MID(SUVAHAVUJ!AD3,1,1)</f>
        <v xml:space="preserve"> </v>
      </c>
      <c r="BB7" s="976"/>
      <c r="BC7" s="976"/>
      <c r="BD7" s="976"/>
      <c r="BE7" s="976"/>
      <c r="BF7" s="976"/>
      <c r="BG7" s="976" t="str">
        <f>MID(SUVAHAVUJ!AD3,2,1)</f>
        <v xml:space="preserve"> </v>
      </c>
      <c r="BH7" s="976"/>
      <c r="BI7" s="976"/>
      <c r="BJ7" s="976"/>
      <c r="BK7" s="976"/>
      <c r="BL7" s="976" t="str">
        <f>MID(SUVAHAVUJ!AD3,3,1)</f>
        <v xml:space="preserve"> </v>
      </c>
      <c r="BM7" s="976"/>
      <c r="BN7" s="976"/>
      <c r="BO7" s="976"/>
      <c r="BP7" s="976"/>
      <c r="BQ7" s="976"/>
      <c r="BR7" s="976" t="str">
        <f>MID(SUVAHAVUJ!AD3,4,1)</f>
        <v xml:space="preserve"> </v>
      </c>
      <c r="BS7" s="976"/>
      <c r="BT7" s="976"/>
      <c r="BU7" s="976"/>
      <c r="BV7" s="976"/>
      <c r="BW7" s="976" t="str">
        <f>MID(SUVAHAVUJ!AD3,5,1)</f>
        <v>1</v>
      </c>
      <c r="BX7" s="976"/>
      <c r="BY7" s="976"/>
      <c r="BZ7" s="976"/>
      <c r="CA7" s="976"/>
      <c r="CB7" s="976"/>
      <c r="CC7" s="976" t="str">
        <f>MID(SUVAHAVUJ!AD3,6,1)</f>
        <v>5</v>
      </c>
      <c r="CD7" s="976"/>
      <c r="CE7" s="976"/>
      <c r="CF7" s="976"/>
      <c r="CG7" s="976"/>
      <c r="CH7" s="976" t="str">
        <f>MID(SUVAHAVUJ!AD3,7,1)</f>
        <v>2</v>
      </c>
      <c r="CI7" s="976"/>
      <c r="CJ7" s="976"/>
      <c r="CK7" s="976"/>
      <c r="CL7" s="976"/>
      <c r="CM7" s="976"/>
      <c r="CN7" s="976" t="str">
        <f>MID(SUVAHAVUJ!AD3,8,1)</f>
        <v>9</v>
      </c>
      <c r="CO7" s="976"/>
      <c r="CP7" s="976"/>
      <c r="CQ7" s="976"/>
      <c r="CR7" s="976"/>
      <c r="CS7" s="976" t="str">
        <f>MID(SUVAHAVUJ!AD3,9,1)</f>
        <v>0</v>
      </c>
      <c r="CT7" s="976"/>
      <c r="CU7" s="976"/>
      <c r="CV7" s="976"/>
      <c r="CW7" s="976"/>
      <c r="CX7" s="976"/>
      <c r="CY7" s="976" t="str">
        <f>MID(SUVAHAVUJ!AD3,10,1)</f>
        <v>2</v>
      </c>
      <c r="CZ7" s="976"/>
      <c r="DA7" s="976"/>
      <c r="DB7" s="976"/>
      <c r="DC7" s="976"/>
      <c r="DD7" s="977" t="str">
        <f>MID(SUVAHAVUJ!AD3,11,1)</f>
        <v>3</v>
      </c>
      <c r="DE7" s="977"/>
      <c r="DF7" s="977"/>
      <c r="DG7" s="977"/>
      <c r="DH7" s="977"/>
      <c r="DI7" s="977"/>
      <c r="DJ7" s="648"/>
      <c r="DK7" s="649"/>
      <c r="DL7" s="976" t="str">
        <f>MID(SUVAHAVUJ!AF3,1,1)</f>
        <v xml:space="preserve"> </v>
      </c>
      <c r="DM7" s="976"/>
      <c r="DN7" s="976"/>
      <c r="DO7" s="976"/>
      <c r="DP7" s="976"/>
      <c r="DQ7" s="976"/>
      <c r="DR7" s="976" t="str">
        <f>MID(SUVAHAVUJ!AF3,2,1)</f>
        <v xml:space="preserve"> </v>
      </c>
      <c r="DS7" s="976"/>
      <c r="DT7" s="976"/>
      <c r="DU7" s="976"/>
      <c r="DV7" s="976"/>
      <c r="DW7" s="976" t="str">
        <f>MID(SUVAHAVUJ!AF3,3,1)</f>
        <v xml:space="preserve"> </v>
      </c>
      <c r="DX7" s="976"/>
      <c r="DY7" s="976"/>
      <c r="DZ7" s="976"/>
      <c r="EA7" s="976"/>
      <c r="EB7" s="976"/>
      <c r="EC7" s="976" t="str">
        <f>MID(SUVAHAVUJ!AF3,4,1)</f>
        <v xml:space="preserve"> </v>
      </c>
      <c r="ED7" s="976"/>
      <c r="EE7" s="976"/>
      <c r="EF7" s="976"/>
      <c r="EG7" s="976"/>
      <c r="EH7" s="976" t="str">
        <f>MID(SUVAHAVUJ!AF3,5,1)</f>
        <v xml:space="preserve"> </v>
      </c>
      <c r="EI7" s="976"/>
      <c r="EJ7" s="976"/>
      <c r="EK7" s="976"/>
      <c r="EL7" s="976"/>
      <c r="EM7" s="976"/>
      <c r="EN7" s="976" t="str">
        <f>MID(SUVAHAVUJ!AF3,6,1)</f>
        <v>5</v>
      </c>
      <c r="EO7" s="976"/>
      <c r="EP7" s="976"/>
      <c r="EQ7" s="976"/>
      <c r="ER7" s="976"/>
      <c r="ES7" s="976" t="str">
        <f>MID(SUVAHAVUJ!AF3,7,1)</f>
        <v>0</v>
      </c>
      <c r="ET7" s="976"/>
      <c r="EU7" s="976"/>
      <c r="EV7" s="976"/>
      <c r="EW7" s="976"/>
      <c r="EX7" s="976"/>
      <c r="EY7" s="976" t="str">
        <f>MID(SUVAHAVUJ!AF3,8,1)</f>
        <v>3</v>
      </c>
      <c r="EZ7" s="976"/>
      <c r="FA7" s="976"/>
      <c r="FB7" s="976"/>
      <c r="FC7" s="976"/>
      <c r="FD7" s="976" t="str">
        <f>MID(SUVAHAVUJ!AF3,9,1)</f>
        <v>3</v>
      </c>
      <c r="FE7" s="976"/>
      <c r="FF7" s="976"/>
      <c r="FG7" s="976"/>
      <c r="FH7" s="976"/>
      <c r="FI7" s="976"/>
      <c r="FJ7" s="976" t="str">
        <f>MID(SUVAHAVUJ!AF3,10,1)</f>
        <v>3</v>
      </c>
      <c r="FK7" s="976"/>
      <c r="FL7" s="976"/>
      <c r="FM7" s="976"/>
      <c r="FN7" s="976"/>
      <c r="FO7" s="978" t="str">
        <f>MID(SUVAHAVUJ!AF3,11,1)</f>
        <v>2</v>
      </c>
      <c r="FP7" s="978"/>
      <c r="FQ7" s="978"/>
      <c r="FR7" s="978"/>
      <c r="FS7" s="978"/>
      <c r="FT7" s="979"/>
      <c r="FU7" s="979"/>
      <c r="FV7" s="979"/>
      <c r="FW7" s="979"/>
      <c r="FX7" s="979"/>
      <c r="FY7" s="979"/>
      <c r="FZ7" s="979"/>
      <c r="GA7" s="979"/>
      <c r="GB7" s="979"/>
      <c r="GC7" s="979"/>
      <c r="GD7" s="979"/>
      <c r="GE7" s="979"/>
      <c r="GF7" s="979"/>
      <c r="GG7" s="979"/>
      <c r="GH7" s="979"/>
      <c r="GI7" s="979"/>
      <c r="GJ7" s="979"/>
      <c r="GK7" s="979"/>
      <c r="GL7" s="979"/>
      <c r="GM7" s="979"/>
      <c r="GN7" s="979"/>
      <c r="GO7" s="979"/>
      <c r="GP7" s="979"/>
      <c r="GQ7" s="979"/>
      <c r="GR7" s="979"/>
      <c r="GS7" s="979"/>
      <c r="GT7" s="979"/>
      <c r="GU7" s="979"/>
      <c r="GV7" s="979"/>
      <c r="GW7" s="979"/>
    </row>
    <row r="8" spans="1:205" ht="22.5" customHeight="1" x14ac:dyDescent="0.3">
      <c r="A8" s="972"/>
      <c r="B8" s="973"/>
      <c r="C8" s="973"/>
      <c r="D8" s="973"/>
      <c r="E8" s="973"/>
      <c r="F8" s="973"/>
      <c r="G8" s="973"/>
      <c r="H8" s="973"/>
      <c r="I8" s="973"/>
      <c r="J8" s="973"/>
      <c r="K8" s="973"/>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c r="AL8" s="974"/>
      <c r="AM8" s="974"/>
      <c r="AN8" s="974"/>
      <c r="AO8" s="974"/>
      <c r="AP8" s="974"/>
      <c r="AQ8" s="975"/>
      <c r="AR8" s="975"/>
      <c r="AS8" s="975"/>
      <c r="AT8" s="975"/>
      <c r="AU8" s="975"/>
      <c r="AV8" s="975"/>
      <c r="AW8" s="975"/>
      <c r="AX8" s="975"/>
      <c r="AY8" s="648"/>
      <c r="AZ8" s="649"/>
      <c r="BA8" s="976" t="str">
        <f>MID(SUVAHAVUJ!AE3,1,1)</f>
        <v xml:space="preserve"> </v>
      </c>
      <c r="BB8" s="976"/>
      <c r="BC8" s="976"/>
      <c r="BD8" s="976"/>
      <c r="BE8" s="976"/>
      <c r="BF8" s="976"/>
      <c r="BG8" s="976" t="str">
        <f>MID(SUVAHAVUJ!AE3,2,1)</f>
        <v xml:space="preserve"> </v>
      </c>
      <c r="BH8" s="976"/>
      <c r="BI8" s="976"/>
      <c r="BJ8" s="976"/>
      <c r="BK8" s="976"/>
      <c r="BL8" s="976" t="str">
        <f>MID(SUVAHAVUJ!AE3,3,1)</f>
        <v xml:space="preserve"> </v>
      </c>
      <c r="BM8" s="976"/>
      <c r="BN8" s="976"/>
      <c r="BO8" s="976"/>
      <c r="BP8" s="976"/>
      <c r="BQ8" s="976"/>
      <c r="BR8" s="976" t="str">
        <f>MID(SUVAHAVUJ!AE3,4,1)</f>
        <v xml:space="preserve"> </v>
      </c>
      <c r="BS8" s="976"/>
      <c r="BT8" s="976"/>
      <c r="BU8" s="976"/>
      <c r="BV8" s="976"/>
      <c r="BW8" s="976" t="str">
        <f>MID(SUVAHAVUJ!AE3,5,1)</f>
        <v>1</v>
      </c>
      <c r="BX8" s="976"/>
      <c r="BY8" s="976"/>
      <c r="BZ8" s="976"/>
      <c r="CA8" s="976"/>
      <c r="CB8" s="976"/>
      <c r="CC8" s="976" t="str">
        <f>MID(SUVAHAVUJ!AE3,6,1)</f>
        <v>0</v>
      </c>
      <c r="CD8" s="976"/>
      <c r="CE8" s="976"/>
      <c r="CF8" s="976"/>
      <c r="CG8" s="976"/>
      <c r="CH8" s="976" t="str">
        <f>MID(SUVAHAVUJ!AE3,7,1)</f>
        <v>2</v>
      </c>
      <c r="CI8" s="976"/>
      <c r="CJ8" s="976"/>
      <c r="CK8" s="976"/>
      <c r="CL8" s="976"/>
      <c r="CM8" s="976"/>
      <c r="CN8" s="976" t="str">
        <f>MID(SUVAHAVUJ!AE3,8,1)</f>
        <v>5</v>
      </c>
      <c r="CO8" s="976"/>
      <c r="CP8" s="976"/>
      <c r="CQ8" s="976"/>
      <c r="CR8" s="976"/>
      <c r="CS8" s="976" t="str">
        <f>MID(SUVAHAVUJ!AE3,9,1)</f>
        <v>6</v>
      </c>
      <c r="CT8" s="976"/>
      <c r="CU8" s="976"/>
      <c r="CV8" s="976"/>
      <c r="CW8" s="976"/>
      <c r="CX8" s="976"/>
      <c r="CY8" s="976" t="str">
        <f>MID(SUVAHAVUJ!AE3,10,1)</f>
        <v>9</v>
      </c>
      <c r="CZ8" s="976"/>
      <c r="DA8" s="976"/>
      <c r="DB8" s="976"/>
      <c r="DC8" s="976"/>
      <c r="DD8" s="977" t="str">
        <f>MID(SUVAHAVUJ!AE3,11,1)</f>
        <v>1</v>
      </c>
      <c r="DE8" s="977"/>
      <c r="DF8" s="977"/>
      <c r="DG8" s="977"/>
      <c r="DH8" s="977"/>
      <c r="DI8" s="977"/>
      <c r="DJ8" s="980"/>
      <c r="DK8" s="980"/>
      <c r="DL8" s="980"/>
      <c r="DM8" s="980"/>
      <c r="DN8" s="980"/>
      <c r="DO8" s="980"/>
      <c r="DP8" s="980"/>
      <c r="DQ8" s="980"/>
      <c r="DR8" s="980"/>
      <c r="DS8" s="980"/>
      <c r="DT8" s="980"/>
      <c r="DU8" s="980"/>
      <c r="DV8" s="980"/>
      <c r="DW8" s="980"/>
      <c r="DX8" s="980"/>
      <c r="DY8" s="980"/>
      <c r="DZ8" s="980"/>
      <c r="EA8" s="980"/>
      <c r="EB8" s="980"/>
      <c r="EC8" s="980"/>
      <c r="ED8" s="980"/>
      <c r="EE8" s="980"/>
      <c r="EF8" s="980"/>
      <c r="EG8" s="980"/>
      <c r="EH8" s="980"/>
      <c r="EI8" s="980"/>
      <c r="EJ8" s="980"/>
      <c r="EK8" s="980"/>
      <c r="EL8" s="980"/>
      <c r="EM8" s="980"/>
      <c r="EN8" s="648"/>
      <c r="EO8" s="649"/>
      <c r="EP8" s="976" t="str">
        <f>MID(SUVAHAVUJ!AG3,1,1)</f>
        <v xml:space="preserve"> </v>
      </c>
      <c r="EQ8" s="976"/>
      <c r="ER8" s="976"/>
      <c r="ES8" s="976"/>
      <c r="ET8" s="976"/>
      <c r="EU8" s="976"/>
      <c r="EV8" s="976" t="str">
        <f>MID(SUVAHAVUJ!AG3,2,1)</f>
        <v xml:space="preserve"> </v>
      </c>
      <c r="EW8" s="976"/>
      <c r="EX8" s="976"/>
      <c r="EY8" s="976"/>
      <c r="EZ8" s="976"/>
      <c r="FA8" s="976" t="str">
        <f>MID(SUVAHAVUJ!AG3,3,1)</f>
        <v xml:space="preserve"> </v>
      </c>
      <c r="FB8" s="976"/>
      <c r="FC8" s="976"/>
      <c r="FD8" s="976"/>
      <c r="FE8" s="976"/>
      <c r="FF8" s="976"/>
      <c r="FG8" s="976" t="str">
        <f>MID(SUVAHAVUJ!AG3,4,1)</f>
        <v xml:space="preserve"> </v>
      </c>
      <c r="FH8" s="976"/>
      <c r="FI8" s="976"/>
      <c r="FJ8" s="976"/>
      <c r="FK8" s="976"/>
      <c r="FL8" s="976" t="str">
        <f>MID(SUVAHAVUJ!AG3,5,1)</f>
        <v xml:space="preserve"> </v>
      </c>
      <c r="FM8" s="976"/>
      <c r="FN8" s="976"/>
      <c r="FO8" s="976"/>
      <c r="FP8" s="976"/>
      <c r="FQ8" s="976"/>
      <c r="FR8" s="976" t="str">
        <f>MID(SUVAHAVUJ!AG3,6,1)</f>
        <v>5</v>
      </c>
      <c r="FS8" s="976"/>
      <c r="FT8" s="976"/>
      <c r="FU8" s="976"/>
      <c r="FV8" s="976"/>
      <c r="FW8" s="976" t="str">
        <f>MID(SUVAHAVUJ!AG3,7,1)</f>
        <v>4</v>
      </c>
      <c r="FX8" s="976"/>
      <c r="FY8" s="976"/>
      <c r="FZ8" s="976"/>
      <c r="GA8" s="976"/>
      <c r="GB8" s="976"/>
      <c r="GC8" s="976" t="str">
        <f>MID(SUVAHAVUJ!AG3,8,1)</f>
        <v>8</v>
      </c>
      <c r="GD8" s="976"/>
      <c r="GE8" s="976"/>
      <c r="GF8" s="976"/>
      <c r="GG8" s="976"/>
      <c r="GH8" s="976" t="str">
        <f>MID(SUVAHAVUJ!AG3,9,1)</f>
        <v>1</v>
      </c>
      <c r="GI8" s="976"/>
      <c r="GJ8" s="976"/>
      <c r="GK8" s="976"/>
      <c r="GL8" s="976"/>
      <c r="GM8" s="976"/>
      <c r="GN8" s="976" t="str">
        <f>MID(SUVAHAVUJ!AG3,10,1)</f>
        <v>4</v>
      </c>
      <c r="GO8" s="976"/>
      <c r="GP8" s="976"/>
      <c r="GQ8" s="976"/>
      <c r="GR8" s="976"/>
      <c r="GS8" s="978" t="str">
        <f>MID(SUVAHAVUJ!AG3,11,1)</f>
        <v>4</v>
      </c>
      <c r="GT8" s="978"/>
      <c r="GU8" s="978"/>
      <c r="GV8" s="978"/>
      <c r="GW8" s="978"/>
    </row>
    <row r="9" spans="1:205" s="650" customFormat="1" ht="25.5" customHeight="1" x14ac:dyDescent="0.3">
      <c r="A9" s="972">
        <v>2</v>
      </c>
      <c r="B9" s="981" t="s">
        <v>2162</v>
      </c>
      <c r="C9" s="981"/>
      <c r="D9" s="981"/>
      <c r="E9" s="981"/>
      <c r="F9" s="981"/>
      <c r="G9" s="981"/>
      <c r="H9" s="981"/>
      <c r="I9" s="981"/>
      <c r="J9" s="981"/>
      <c r="K9" s="981"/>
      <c r="L9" s="974" t="str">
        <f>SUVAHAVUJ!$D4</f>
        <v>Neobežný majetok r. 03 + r. 11 + r. 21</v>
      </c>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c r="AL9" s="974"/>
      <c r="AM9" s="974"/>
      <c r="AN9" s="974"/>
      <c r="AO9" s="974"/>
      <c r="AP9" s="974"/>
      <c r="AQ9" s="975" t="s">
        <v>2161</v>
      </c>
      <c r="AR9" s="975"/>
      <c r="AS9" s="975"/>
      <c r="AT9" s="975"/>
      <c r="AU9" s="975"/>
      <c r="AV9" s="975"/>
      <c r="AW9" s="975"/>
      <c r="AX9" s="975"/>
      <c r="AY9" s="648"/>
      <c r="AZ9" s="649"/>
      <c r="BA9" s="982" t="str">
        <f>MID(SUVAHAVUJ!AD4,1,1)</f>
        <v xml:space="preserve"> </v>
      </c>
      <c r="BB9" s="982"/>
      <c r="BC9" s="982"/>
      <c r="BD9" s="982"/>
      <c r="BE9" s="982"/>
      <c r="BF9" s="982"/>
      <c r="BG9" s="982" t="str">
        <f>MID(SUVAHAVUJ!AD4,2,1)</f>
        <v xml:space="preserve"> </v>
      </c>
      <c r="BH9" s="982"/>
      <c r="BI9" s="982"/>
      <c r="BJ9" s="982"/>
      <c r="BK9" s="982"/>
      <c r="BL9" s="982" t="str">
        <f>MID(SUVAHAVUJ!AD4,3,1)</f>
        <v xml:space="preserve"> </v>
      </c>
      <c r="BM9" s="982"/>
      <c r="BN9" s="982"/>
      <c r="BO9" s="982"/>
      <c r="BP9" s="982"/>
      <c r="BQ9" s="982"/>
      <c r="BR9" s="982" t="str">
        <f>MID(SUVAHAVUJ!AD4,4,1)</f>
        <v xml:space="preserve"> </v>
      </c>
      <c r="BS9" s="982"/>
      <c r="BT9" s="982"/>
      <c r="BU9" s="982"/>
      <c r="BV9" s="982"/>
      <c r="BW9" s="982" t="str">
        <f>MID(SUVAHAVUJ!AD4,5,1)</f>
        <v>1</v>
      </c>
      <c r="BX9" s="982"/>
      <c r="BY9" s="982"/>
      <c r="BZ9" s="982"/>
      <c r="CA9" s="982"/>
      <c r="CB9" s="982"/>
      <c r="CC9" s="982" t="str">
        <f>MID(SUVAHAVUJ!AD4,6,1)</f>
        <v>3</v>
      </c>
      <c r="CD9" s="982"/>
      <c r="CE9" s="982"/>
      <c r="CF9" s="982"/>
      <c r="CG9" s="982"/>
      <c r="CH9" s="982" t="str">
        <f>MID(SUVAHAVUJ!AD4,7,1)</f>
        <v>8</v>
      </c>
      <c r="CI9" s="982"/>
      <c r="CJ9" s="982"/>
      <c r="CK9" s="982"/>
      <c r="CL9" s="982"/>
      <c r="CM9" s="982"/>
      <c r="CN9" s="982" t="str">
        <f>MID(SUVAHAVUJ!AD4,8,1)</f>
        <v>7</v>
      </c>
      <c r="CO9" s="982"/>
      <c r="CP9" s="982"/>
      <c r="CQ9" s="982"/>
      <c r="CR9" s="982"/>
      <c r="CS9" s="982" t="str">
        <f>MID(SUVAHAVUJ!AD4,9,1)</f>
        <v>7</v>
      </c>
      <c r="CT9" s="982"/>
      <c r="CU9" s="982"/>
      <c r="CV9" s="982"/>
      <c r="CW9" s="982"/>
      <c r="CX9" s="982"/>
      <c r="CY9" s="982" t="str">
        <f>MID(SUVAHAVUJ!AD4,10,1)</f>
        <v>6</v>
      </c>
      <c r="CZ9" s="982"/>
      <c r="DA9" s="982"/>
      <c r="DB9" s="982"/>
      <c r="DC9" s="982"/>
      <c r="DD9" s="978" t="str">
        <f>MID(SUVAHAVUJ!AD4,11,1)</f>
        <v>1</v>
      </c>
      <c r="DE9" s="978"/>
      <c r="DF9" s="978"/>
      <c r="DG9" s="978"/>
      <c r="DH9" s="978"/>
      <c r="DI9" s="978"/>
      <c r="DJ9" s="648"/>
      <c r="DK9" s="649"/>
      <c r="DL9" s="976" t="str">
        <f>MID(SUVAHAVUJ!AF4,1,1)</f>
        <v xml:space="preserve"> </v>
      </c>
      <c r="DM9" s="976"/>
      <c r="DN9" s="976"/>
      <c r="DO9" s="976"/>
      <c r="DP9" s="976"/>
      <c r="DQ9" s="976"/>
      <c r="DR9" s="976" t="str">
        <f>MID(SUVAHAVUJ!AF4,2,1)</f>
        <v xml:space="preserve"> </v>
      </c>
      <c r="DS9" s="976"/>
      <c r="DT9" s="976"/>
      <c r="DU9" s="976"/>
      <c r="DV9" s="976"/>
      <c r="DW9" s="976" t="str">
        <f>MID(SUVAHAVUJ!AF4,3,1)</f>
        <v xml:space="preserve"> </v>
      </c>
      <c r="DX9" s="976"/>
      <c r="DY9" s="976"/>
      <c r="DZ9" s="976"/>
      <c r="EA9" s="976"/>
      <c r="EB9" s="976"/>
      <c r="EC9" s="976" t="str">
        <f>MID(SUVAHAVUJ!AF4,4,1)</f>
        <v xml:space="preserve"> </v>
      </c>
      <c r="ED9" s="976"/>
      <c r="EE9" s="976"/>
      <c r="EF9" s="976"/>
      <c r="EG9" s="976"/>
      <c r="EH9" s="976" t="str">
        <f>MID(SUVAHAVUJ!AF4,5,1)</f>
        <v xml:space="preserve"> </v>
      </c>
      <c r="EI9" s="976"/>
      <c r="EJ9" s="976"/>
      <c r="EK9" s="976"/>
      <c r="EL9" s="976"/>
      <c r="EM9" s="976"/>
      <c r="EN9" s="976" t="str">
        <f>MID(SUVAHAVUJ!AF4,6,1)</f>
        <v>3</v>
      </c>
      <c r="EO9" s="976"/>
      <c r="EP9" s="976"/>
      <c r="EQ9" s="976"/>
      <c r="ER9" s="976"/>
      <c r="ES9" s="976" t="str">
        <f>MID(SUVAHAVUJ!AF4,7,1)</f>
        <v>6</v>
      </c>
      <c r="ET9" s="976"/>
      <c r="EU9" s="976"/>
      <c r="EV9" s="976"/>
      <c r="EW9" s="976"/>
      <c r="EX9" s="976"/>
      <c r="EY9" s="976" t="str">
        <f>MID(SUVAHAVUJ!AF4,8,1)</f>
        <v>2</v>
      </c>
      <c r="EZ9" s="976"/>
      <c r="FA9" s="976"/>
      <c r="FB9" s="976"/>
      <c r="FC9" s="976"/>
      <c r="FD9" s="976" t="str">
        <f>MID(SUVAHAVUJ!AF4,9,1)</f>
        <v>0</v>
      </c>
      <c r="FE9" s="976"/>
      <c r="FF9" s="976"/>
      <c r="FG9" s="976"/>
      <c r="FH9" s="976"/>
      <c r="FI9" s="976"/>
      <c r="FJ9" s="976" t="str">
        <f>MID(SUVAHAVUJ!AF4,10,1)</f>
        <v>7</v>
      </c>
      <c r="FK9" s="976"/>
      <c r="FL9" s="976"/>
      <c r="FM9" s="976"/>
      <c r="FN9" s="976"/>
      <c r="FO9" s="978" t="str">
        <f>MID(SUVAHAVUJ!AF4,11,1)</f>
        <v>0</v>
      </c>
      <c r="FP9" s="978"/>
      <c r="FQ9" s="978"/>
      <c r="FR9" s="978"/>
      <c r="FS9" s="978"/>
      <c r="FT9" s="979"/>
      <c r="FU9" s="979"/>
      <c r="FV9" s="979"/>
      <c r="FW9" s="979"/>
      <c r="FX9" s="979"/>
      <c r="FY9" s="979"/>
      <c r="FZ9" s="979"/>
      <c r="GA9" s="979"/>
      <c r="GB9" s="979"/>
      <c r="GC9" s="979"/>
      <c r="GD9" s="979"/>
      <c r="GE9" s="979"/>
      <c r="GF9" s="979"/>
      <c r="GG9" s="979"/>
      <c r="GH9" s="979"/>
      <c r="GI9" s="979"/>
      <c r="GJ9" s="979"/>
      <c r="GK9" s="979"/>
      <c r="GL9" s="979"/>
      <c r="GM9" s="979"/>
      <c r="GN9" s="979"/>
      <c r="GO9" s="979"/>
      <c r="GP9" s="979"/>
      <c r="GQ9" s="979"/>
      <c r="GR9" s="979"/>
      <c r="GS9" s="979"/>
      <c r="GT9" s="979"/>
      <c r="GU9" s="979"/>
      <c r="GV9" s="979"/>
      <c r="GW9" s="979"/>
    </row>
    <row r="10" spans="1:205" ht="21" customHeight="1" x14ac:dyDescent="0.3">
      <c r="A10" s="972"/>
      <c r="B10" s="981"/>
      <c r="C10" s="981"/>
      <c r="D10" s="981"/>
      <c r="E10" s="981"/>
      <c r="F10" s="981"/>
      <c r="G10" s="981"/>
      <c r="H10" s="981"/>
      <c r="I10" s="981"/>
      <c r="J10" s="981"/>
      <c r="K10" s="981"/>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c r="AL10" s="974"/>
      <c r="AM10" s="974"/>
      <c r="AN10" s="974"/>
      <c r="AO10" s="974"/>
      <c r="AP10" s="974"/>
      <c r="AQ10" s="975"/>
      <c r="AR10" s="975"/>
      <c r="AS10" s="975"/>
      <c r="AT10" s="975"/>
      <c r="AU10" s="975"/>
      <c r="AV10" s="975"/>
      <c r="AW10" s="975"/>
      <c r="AX10" s="975"/>
      <c r="AY10" s="648"/>
      <c r="AZ10" s="649"/>
      <c r="BA10" s="976" t="str">
        <f>MID(SUVAHAVUJ!AE4,1,1)</f>
        <v xml:space="preserve"> </v>
      </c>
      <c r="BB10" s="976"/>
      <c r="BC10" s="976"/>
      <c r="BD10" s="976"/>
      <c r="BE10" s="976"/>
      <c r="BF10" s="976"/>
      <c r="BG10" s="976" t="str">
        <f>MID(SUVAHAVUJ!AE4,2,1)</f>
        <v xml:space="preserve"> </v>
      </c>
      <c r="BH10" s="976"/>
      <c r="BI10" s="976"/>
      <c r="BJ10" s="976"/>
      <c r="BK10" s="976"/>
      <c r="BL10" s="976" t="str">
        <f>MID(SUVAHAVUJ!AE4,3,1)</f>
        <v xml:space="preserve"> </v>
      </c>
      <c r="BM10" s="976"/>
      <c r="BN10" s="976"/>
      <c r="BO10" s="976"/>
      <c r="BP10" s="976"/>
      <c r="BQ10" s="976"/>
      <c r="BR10" s="976" t="str">
        <f>MID(SUVAHAVUJ!AE4,4,1)</f>
        <v xml:space="preserve"> </v>
      </c>
      <c r="BS10" s="976"/>
      <c r="BT10" s="976"/>
      <c r="BU10" s="976"/>
      <c r="BV10" s="976"/>
      <c r="BW10" s="976" t="str">
        <f>MID(SUVAHAVUJ!AE4,5,1)</f>
        <v>1</v>
      </c>
      <c r="BX10" s="976"/>
      <c r="BY10" s="976"/>
      <c r="BZ10" s="976"/>
      <c r="CA10" s="976"/>
      <c r="CB10" s="976"/>
      <c r="CC10" s="976" t="str">
        <f>MID(SUVAHAVUJ!AE4,6,1)</f>
        <v>0</v>
      </c>
      <c r="CD10" s="976"/>
      <c r="CE10" s="976"/>
      <c r="CF10" s="976"/>
      <c r="CG10" s="976"/>
      <c r="CH10" s="976" t="str">
        <f>MID(SUVAHAVUJ!AE4,7,1)</f>
        <v>2</v>
      </c>
      <c r="CI10" s="976"/>
      <c r="CJ10" s="976"/>
      <c r="CK10" s="976"/>
      <c r="CL10" s="976"/>
      <c r="CM10" s="976"/>
      <c r="CN10" s="976" t="str">
        <f>MID(SUVAHAVUJ!AE4,8,1)</f>
        <v>5</v>
      </c>
      <c r="CO10" s="976"/>
      <c r="CP10" s="976"/>
      <c r="CQ10" s="976"/>
      <c r="CR10" s="976"/>
      <c r="CS10" s="976" t="str">
        <f>MID(SUVAHAVUJ!AE4,9,1)</f>
        <v>6</v>
      </c>
      <c r="CT10" s="976"/>
      <c r="CU10" s="976"/>
      <c r="CV10" s="976"/>
      <c r="CW10" s="976"/>
      <c r="CX10" s="976"/>
      <c r="CY10" s="976" t="str">
        <f>MID(SUVAHAVUJ!AE4,10,1)</f>
        <v>9</v>
      </c>
      <c r="CZ10" s="976"/>
      <c r="DA10" s="976"/>
      <c r="DB10" s="976"/>
      <c r="DC10" s="976"/>
      <c r="DD10" s="977" t="str">
        <f>MID(SUVAHAVUJ!AE4,11,1)</f>
        <v>1</v>
      </c>
      <c r="DE10" s="977"/>
      <c r="DF10" s="977"/>
      <c r="DG10" s="977"/>
      <c r="DH10" s="977"/>
      <c r="DI10" s="977"/>
      <c r="DJ10" s="980"/>
      <c r="DK10" s="980"/>
      <c r="DL10" s="980"/>
      <c r="DM10" s="980"/>
      <c r="DN10" s="980"/>
      <c r="DO10" s="980"/>
      <c r="DP10" s="980"/>
      <c r="DQ10" s="980"/>
      <c r="DR10" s="980"/>
      <c r="DS10" s="980"/>
      <c r="DT10" s="980"/>
      <c r="DU10" s="980"/>
      <c r="DV10" s="980"/>
      <c r="DW10" s="980"/>
      <c r="DX10" s="980"/>
      <c r="DY10" s="980"/>
      <c r="DZ10" s="980"/>
      <c r="EA10" s="980"/>
      <c r="EB10" s="980"/>
      <c r="EC10" s="980"/>
      <c r="ED10" s="980"/>
      <c r="EE10" s="980"/>
      <c r="EF10" s="980"/>
      <c r="EG10" s="980"/>
      <c r="EH10" s="980"/>
      <c r="EI10" s="980"/>
      <c r="EJ10" s="980"/>
      <c r="EK10" s="980"/>
      <c r="EL10" s="980"/>
      <c r="EM10" s="980"/>
      <c r="EN10" s="648"/>
      <c r="EO10" s="649"/>
      <c r="EP10" s="976" t="str">
        <f>MID(SUVAHAVUJ!AG4,1,1)</f>
        <v xml:space="preserve"> </v>
      </c>
      <c r="EQ10" s="976"/>
      <c r="ER10" s="976"/>
      <c r="ES10" s="976"/>
      <c r="ET10" s="976"/>
      <c r="EU10" s="976"/>
      <c r="EV10" s="976" t="str">
        <f>MID(SUVAHAVUJ!AG4,2,1)</f>
        <v xml:space="preserve"> </v>
      </c>
      <c r="EW10" s="976"/>
      <c r="EX10" s="976"/>
      <c r="EY10" s="976"/>
      <c r="EZ10" s="976"/>
      <c r="FA10" s="976" t="str">
        <f>MID(SUVAHAVUJ!AG4,3,1)</f>
        <v xml:space="preserve"> </v>
      </c>
      <c r="FB10" s="976"/>
      <c r="FC10" s="976"/>
      <c r="FD10" s="976"/>
      <c r="FE10" s="976"/>
      <c r="FF10" s="976"/>
      <c r="FG10" s="976" t="str">
        <f>MID(SUVAHAVUJ!AG4,4,1)</f>
        <v xml:space="preserve"> </v>
      </c>
      <c r="FH10" s="976"/>
      <c r="FI10" s="976"/>
      <c r="FJ10" s="976"/>
      <c r="FK10" s="976"/>
      <c r="FL10" s="976" t="str">
        <f>MID(SUVAHAVUJ!AG4,5,1)</f>
        <v xml:space="preserve"> </v>
      </c>
      <c r="FM10" s="976"/>
      <c r="FN10" s="976"/>
      <c r="FO10" s="976"/>
      <c r="FP10" s="976"/>
      <c r="FQ10" s="976"/>
      <c r="FR10" s="976" t="str">
        <f>MID(SUVAHAVUJ!AG4,6,1)</f>
        <v>4</v>
      </c>
      <c r="FS10" s="976"/>
      <c r="FT10" s="976"/>
      <c r="FU10" s="976"/>
      <c r="FV10" s="976"/>
      <c r="FW10" s="976" t="str">
        <f>MID(SUVAHAVUJ!AG4,7,1)</f>
        <v>0</v>
      </c>
      <c r="FX10" s="976"/>
      <c r="FY10" s="976"/>
      <c r="FZ10" s="976"/>
      <c r="GA10" s="976"/>
      <c r="GB10" s="976"/>
      <c r="GC10" s="976" t="str">
        <f>MID(SUVAHAVUJ!AG4,8,1)</f>
        <v>7</v>
      </c>
      <c r="GD10" s="976"/>
      <c r="GE10" s="976"/>
      <c r="GF10" s="976"/>
      <c r="GG10" s="976"/>
      <c r="GH10" s="976" t="str">
        <f>MID(SUVAHAVUJ!AG4,9,1)</f>
        <v>5</v>
      </c>
      <c r="GI10" s="976"/>
      <c r="GJ10" s="976"/>
      <c r="GK10" s="976"/>
      <c r="GL10" s="976"/>
      <c r="GM10" s="976"/>
      <c r="GN10" s="976" t="str">
        <f>MID(SUVAHAVUJ!AG4,10,1)</f>
        <v>0</v>
      </c>
      <c r="GO10" s="976"/>
      <c r="GP10" s="976"/>
      <c r="GQ10" s="976"/>
      <c r="GR10" s="976"/>
      <c r="GS10" s="978" t="str">
        <f>MID(SUVAHAVUJ!AG4,11,1)</f>
        <v>8</v>
      </c>
      <c r="GT10" s="978"/>
      <c r="GU10" s="978"/>
      <c r="GV10" s="978"/>
      <c r="GW10" s="978"/>
    </row>
    <row r="11" spans="1:205" s="650" customFormat="1" ht="23.25" customHeight="1" x14ac:dyDescent="0.3">
      <c r="A11" s="972">
        <v>3</v>
      </c>
      <c r="B11" s="981" t="s">
        <v>2164</v>
      </c>
      <c r="C11" s="981"/>
      <c r="D11" s="981"/>
      <c r="E11" s="981"/>
      <c r="F11" s="981"/>
      <c r="G11" s="981"/>
      <c r="H11" s="981"/>
      <c r="I11" s="981"/>
      <c r="J11" s="981"/>
      <c r="K11" s="981"/>
      <c r="L11" s="974" t="str">
        <f>SUVAHAVUJ!$D5</f>
        <v>Dlhodobý nehmotný majetok súčet  (r. 04 až r. 10)</v>
      </c>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c r="AL11" s="974"/>
      <c r="AM11" s="974"/>
      <c r="AN11" s="974"/>
      <c r="AO11" s="974"/>
      <c r="AP11" s="974"/>
      <c r="AQ11" s="975" t="s">
        <v>2163</v>
      </c>
      <c r="AR11" s="975"/>
      <c r="AS11" s="975"/>
      <c r="AT11" s="975"/>
      <c r="AU11" s="975"/>
      <c r="AV11" s="975"/>
      <c r="AW11" s="975"/>
      <c r="AX11" s="975"/>
      <c r="AY11" s="648"/>
      <c r="AZ11" s="649"/>
      <c r="BA11" s="982" t="str">
        <f>MID(SUVAHAVUJ!AD5,1,1)</f>
        <v xml:space="preserve"> </v>
      </c>
      <c r="BB11" s="982"/>
      <c r="BC11" s="982"/>
      <c r="BD11" s="982"/>
      <c r="BE11" s="982"/>
      <c r="BF11" s="982"/>
      <c r="BG11" s="982" t="str">
        <f>MID(SUVAHAVUJ!AD5,2,1)</f>
        <v xml:space="preserve"> </v>
      </c>
      <c r="BH11" s="982"/>
      <c r="BI11" s="982"/>
      <c r="BJ11" s="982"/>
      <c r="BK11" s="982"/>
      <c r="BL11" s="982" t="str">
        <f>MID(SUVAHAVUJ!AD5,3,1)</f>
        <v xml:space="preserve"> </v>
      </c>
      <c r="BM11" s="982"/>
      <c r="BN11" s="982"/>
      <c r="BO11" s="982"/>
      <c r="BP11" s="982"/>
      <c r="BQ11" s="982"/>
      <c r="BR11" s="982" t="str">
        <f>MID(SUVAHAVUJ!AD5,4,1)</f>
        <v xml:space="preserve"> </v>
      </c>
      <c r="BS11" s="982"/>
      <c r="BT11" s="982"/>
      <c r="BU11" s="982"/>
      <c r="BV11" s="982"/>
      <c r="BW11" s="982" t="str">
        <f>MID(SUVAHAVUJ!AD5,5,1)</f>
        <v xml:space="preserve"> </v>
      </c>
      <c r="BX11" s="982"/>
      <c r="BY11" s="982"/>
      <c r="BZ11" s="982"/>
      <c r="CA11" s="982"/>
      <c r="CB11" s="982"/>
      <c r="CC11" s="982" t="str">
        <f>MID(SUVAHAVUJ!AD5,6,1)</f>
        <v xml:space="preserve"> </v>
      </c>
      <c r="CD11" s="982"/>
      <c r="CE11" s="982"/>
      <c r="CF11" s="982"/>
      <c r="CG11" s="982"/>
      <c r="CH11" s="982" t="str">
        <f>MID(SUVAHAVUJ!AD5,7,1)</f>
        <v xml:space="preserve"> </v>
      </c>
      <c r="CI11" s="982"/>
      <c r="CJ11" s="982"/>
      <c r="CK11" s="982"/>
      <c r="CL11" s="982"/>
      <c r="CM11" s="982"/>
      <c r="CN11" s="982" t="str">
        <f>MID(SUVAHAVUJ!AD5,8,1)</f>
        <v>3</v>
      </c>
      <c r="CO11" s="982"/>
      <c r="CP11" s="982"/>
      <c r="CQ11" s="982"/>
      <c r="CR11" s="982"/>
      <c r="CS11" s="982" t="str">
        <f>MID(SUVAHAVUJ!AD5,9,1)</f>
        <v>6</v>
      </c>
      <c r="CT11" s="982"/>
      <c r="CU11" s="982"/>
      <c r="CV11" s="982"/>
      <c r="CW11" s="982"/>
      <c r="CX11" s="982"/>
      <c r="CY11" s="982" t="str">
        <f>MID(SUVAHAVUJ!AD5,10,1)</f>
        <v>2</v>
      </c>
      <c r="CZ11" s="982"/>
      <c r="DA11" s="982"/>
      <c r="DB11" s="982"/>
      <c r="DC11" s="982"/>
      <c r="DD11" s="978" t="str">
        <f>MID(SUVAHAVUJ!AD5,11,1)</f>
        <v>5</v>
      </c>
      <c r="DE11" s="978"/>
      <c r="DF11" s="978"/>
      <c r="DG11" s="978"/>
      <c r="DH11" s="978"/>
      <c r="DI11" s="978"/>
      <c r="DJ11" s="648"/>
      <c r="DK11" s="649"/>
      <c r="DL11" s="976" t="str">
        <f>MID(SUVAHAVUJ!AF5,1,1)</f>
        <v xml:space="preserve"> </v>
      </c>
      <c r="DM11" s="976"/>
      <c r="DN11" s="976"/>
      <c r="DO11" s="976"/>
      <c r="DP11" s="976"/>
      <c r="DQ11" s="976"/>
      <c r="DR11" s="976" t="str">
        <f>MID(SUVAHAVUJ!AF5,2,1)</f>
        <v xml:space="preserve"> </v>
      </c>
      <c r="DS11" s="976"/>
      <c r="DT11" s="976"/>
      <c r="DU11" s="976"/>
      <c r="DV11" s="976"/>
      <c r="DW11" s="976" t="str">
        <f>MID(SUVAHAVUJ!AF5,3,1)</f>
        <v xml:space="preserve"> </v>
      </c>
      <c r="DX11" s="976"/>
      <c r="DY11" s="976"/>
      <c r="DZ11" s="976"/>
      <c r="EA11" s="976"/>
      <c r="EB11" s="976"/>
      <c r="EC11" s="976" t="str">
        <f>MID(SUVAHAVUJ!AF5,4,1)</f>
        <v xml:space="preserve"> </v>
      </c>
      <c r="ED11" s="976"/>
      <c r="EE11" s="976"/>
      <c r="EF11" s="976"/>
      <c r="EG11" s="976"/>
      <c r="EH11" s="976" t="str">
        <f>MID(SUVAHAVUJ!AF5,5,1)</f>
        <v xml:space="preserve"> </v>
      </c>
      <c r="EI11" s="976"/>
      <c r="EJ11" s="976"/>
      <c r="EK11" s="976"/>
      <c r="EL11" s="976"/>
      <c r="EM11" s="976"/>
      <c r="EN11" s="976" t="str">
        <f>MID(SUVAHAVUJ!AF5,6,1)</f>
        <v xml:space="preserve"> </v>
      </c>
      <c r="EO11" s="976"/>
      <c r="EP11" s="976"/>
      <c r="EQ11" s="976"/>
      <c r="ER11" s="976"/>
      <c r="ES11" s="976" t="str">
        <f>MID(SUVAHAVUJ!AF5,7,1)</f>
        <v xml:space="preserve"> </v>
      </c>
      <c r="ET11" s="976"/>
      <c r="EU11" s="976"/>
      <c r="EV11" s="976"/>
      <c r="EW11" s="976"/>
      <c r="EX11" s="976"/>
      <c r="EY11" s="976" t="str">
        <f>MID(SUVAHAVUJ!AF5,8,1)</f>
        <v xml:space="preserve"> </v>
      </c>
      <c r="EZ11" s="976"/>
      <c r="FA11" s="976"/>
      <c r="FB11" s="976"/>
      <c r="FC11" s="976"/>
      <c r="FD11" s="976" t="str">
        <f>MID(SUVAHAVUJ!AF5,9,1)</f>
        <v xml:space="preserve"> </v>
      </c>
      <c r="FE11" s="976"/>
      <c r="FF11" s="976"/>
      <c r="FG11" s="976"/>
      <c r="FH11" s="976"/>
      <c r="FI11" s="976"/>
      <c r="FJ11" s="976" t="str">
        <f>MID(SUVAHAVUJ!AF5,10,1)</f>
        <v xml:space="preserve"> </v>
      </c>
      <c r="FK11" s="976"/>
      <c r="FL11" s="976"/>
      <c r="FM11" s="976"/>
      <c r="FN11" s="976"/>
      <c r="FO11" s="978" t="str">
        <f>MID(SUVAHAVUJ!AF5,11,1)</f>
        <v>0</v>
      </c>
      <c r="FP11" s="978"/>
      <c r="FQ11" s="978"/>
      <c r="FR11" s="978"/>
      <c r="FS11" s="978"/>
      <c r="FT11" s="979"/>
      <c r="FU11" s="979"/>
      <c r="FV11" s="979"/>
      <c r="FW11" s="979"/>
      <c r="FX11" s="979"/>
      <c r="FY11" s="979"/>
      <c r="FZ11" s="979"/>
      <c r="GA11" s="979"/>
      <c r="GB11" s="979"/>
      <c r="GC11" s="979"/>
      <c r="GD11" s="979"/>
      <c r="GE11" s="979"/>
      <c r="GF11" s="979"/>
      <c r="GG11" s="979"/>
      <c r="GH11" s="979"/>
      <c r="GI11" s="979"/>
      <c r="GJ11" s="979"/>
      <c r="GK11" s="979"/>
      <c r="GL11" s="979"/>
      <c r="GM11" s="979"/>
      <c r="GN11" s="979"/>
      <c r="GO11" s="979"/>
      <c r="GP11" s="979"/>
      <c r="GQ11" s="979"/>
      <c r="GR11" s="979"/>
      <c r="GS11" s="979"/>
      <c r="GT11" s="979"/>
      <c r="GU11" s="979"/>
      <c r="GV11" s="979"/>
      <c r="GW11" s="979"/>
    </row>
    <row r="12" spans="1:205" ht="23.25" customHeight="1" x14ac:dyDescent="0.3">
      <c r="A12" s="972"/>
      <c r="B12" s="981"/>
      <c r="C12" s="981"/>
      <c r="D12" s="981"/>
      <c r="E12" s="981"/>
      <c r="F12" s="981"/>
      <c r="G12" s="981"/>
      <c r="H12" s="981"/>
      <c r="I12" s="981"/>
      <c r="J12" s="981"/>
      <c r="K12" s="981"/>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c r="AL12" s="974"/>
      <c r="AM12" s="974"/>
      <c r="AN12" s="974"/>
      <c r="AO12" s="974"/>
      <c r="AP12" s="974"/>
      <c r="AQ12" s="975"/>
      <c r="AR12" s="975"/>
      <c r="AS12" s="975"/>
      <c r="AT12" s="975"/>
      <c r="AU12" s="975"/>
      <c r="AV12" s="975"/>
      <c r="AW12" s="975"/>
      <c r="AX12" s="975"/>
      <c r="AY12" s="648"/>
      <c r="AZ12" s="649"/>
      <c r="BA12" s="976" t="str">
        <f>MID(SUVAHAVUJ!AE5,1,1)</f>
        <v xml:space="preserve"> </v>
      </c>
      <c r="BB12" s="976"/>
      <c r="BC12" s="976"/>
      <c r="BD12" s="976"/>
      <c r="BE12" s="976"/>
      <c r="BF12" s="976"/>
      <c r="BG12" s="976" t="str">
        <f>MID(SUVAHAVUJ!AE5,2,1)</f>
        <v xml:space="preserve"> </v>
      </c>
      <c r="BH12" s="976"/>
      <c r="BI12" s="976"/>
      <c r="BJ12" s="976"/>
      <c r="BK12" s="976"/>
      <c r="BL12" s="976" t="str">
        <f>MID(SUVAHAVUJ!AE5,3,1)</f>
        <v xml:space="preserve"> </v>
      </c>
      <c r="BM12" s="976"/>
      <c r="BN12" s="976"/>
      <c r="BO12" s="976"/>
      <c r="BP12" s="976"/>
      <c r="BQ12" s="976"/>
      <c r="BR12" s="976" t="str">
        <f>MID(SUVAHAVUJ!AE5,4,1)</f>
        <v xml:space="preserve"> </v>
      </c>
      <c r="BS12" s="976"/>
      <c r="BT12" s="976"/>
      <c r="BU12" s="976"/>
      <c r="BV12" s="976"/>
      <c r="BW12" s="976" t="str">
        <f>MID(SUVAHAVUJ!AE5,5,1)</f>
        <v xml:space="preserve"> </v>
      </c>
      <c r="BX12" s="976"/>
      <c r="BY12" s="976"/>
      <c r="BZ12" s="976"/>
      <c r="CA12" s="976"/>
      <c r="CB12" s="976"/>
      <c r="CC12" s="976" t="str">
        <f>MID(SUVAHAVUJ!AE5,6,1)</f>
        <v xml:space="preserve"> </v>
      </c>
      <c r="CD12" s="976"/>
      <c r="CE12" s="976"/>
      <c r="CF12" s="976"/>
      <c r="CG12" s="976"/>
      <c r="CH12" s="976" t="str">
        <f>MID(SUVAHAVUJ!AE5,7,1)</f>
        <v xml:space="preserve"> </v>
      </c>
      <c r="CI12" s="976"/>
      <c r="CJ12" s="976"/>
      <c r="CK12" s="976"/>
      <c r="CL12" s="976"/>
      <c r="CM12" s="976"/>
      <c r="CN12" s="976" t="str">
        <f>MID(SUVAHAVUJ!AE5,8,1)</f>
        <v>3</v>
      </c>
      <c r="CO12" s="976"/>
      <c r="CP12" s="976"/>
      <c r="CQ12" s="976"/>
      <c r="CR12" s="976"/>
      <c r="CS12" s="976" t="str">
        <f>MID(SUVAHAVUJ!AE5,9,1)</f>
        <v>6</v>
      </c>
      <c r="CT12" s="976"/>
      <c r="CU12" s="976"/>
      <c r="CV12" s="976"/>
      <c r="CW12" s="976"/>
      <c r="CX12" s="976"/>
      <c r="CY12" s="976" t="str">
        <f>MID(SUVAHAVUJ!AE5,10,1)</f>
        <v>2</v>
      </c>
      <c r="CZ12" s="976"/>
      <c r="DA12" s="976"/>
      <c r="DB12" s="976"/>
      <c r="DC12" s="976"/>
      <c r="DD12" s="977" t="str">
        <f>MID(SUVAHAVUJ!AE5,11,1)</f>
        <v>5</v>
      </c>
      <c r="DE12" s="977"/>
      <c r="DF12" s="977"/>
      <c r="DG12" s="977"/>
      <c r="DH12" s="977"/>
      <c r="DI12" s="977"/>
      <c r="DJ12" s="980"/>
      <c r="DK12" s="980"/>
      <c r="DL12" s="980"/>
      <c r="DM12" s="980"/>
      <c r="DN12" s="980"/>
      <c r="DO12" s="980"/>
      <c r="DP12" s="980"/>
      <c r="DQ12" s="980"/>
      <c r="DR12" s="980"/>
      <c r="DS12" s="980"/>
      <c r="DT12" s="980"/>
      <c r="DU12" s="980"/>
      <c r="DV12" s="980"/>
      <c r="DW12" s="980"/>
      <c r="DX12" s="980"/>
      <c r="DY12" s="980"/>
      <c r="DZ12" s="980"/>
      <c r="EA12" s="980"/>
      <c r="EB12" s="980"/>
      <c r="EC12" s="980"/>
      <c r="ED12" s="980"/>
      <c r="EE12" s="980"/>
      <c r="EF12" s="980"/>
      <c r="EG12" s="980"/>
      <c r="EH12" s="980"/>
      <c r="EI12" s="980"/>
      <c r="EJ12" s="980"/>
      <c r="EK12" s="980"/>
      <c r="EL12" s="980"/>
      <c r="EM12" s="980"/>
      <c r="EN12" s="648"/>
      <c r="EO12" s="649"/>
      <c r="EP12" s="976" t="str">
        <f>MID(SUVAHAVUJ!AG5,1,1)</f>
        <v xml:space="preserve"> </v>
      </c>
      <c r="EQ12" s="976"/>
      <c r="ER12" s="976"/>
      <c r="ES12" s="976"/>
      <c r="ET12" s="976"/>
      <c r="EU12" s="976"/>
      <c r="EV12" s="976" t="str">
        <f>MID(SUVAHAVUJ!AG5,2,1)</f>
        <v xml:space="preserve"> </v>
      </c>
      <c r="EW12" s="976"/>
      <c r="EX12" s="976"/>
      <c r="EY12" s="976"/>
      <c r="EZ12" s="976"/>
      <c r="FA12" s="976" t="str">
        <f>MID(SUVAHAVUJ!AG5,3,1)</f>
        <v xml:space="preserve"> </v>
      </c>
      <c r="FB12" s="976"/>
      <c r="FC12" s="976"/>
      <c r="FD12" s="976"/>
      <c r="FE12" s="976"/>
      <c r="FF12" s="976"/>
      <c r="FG12" s="976" t="str">
        <f>MID(SUVAHAVUJ!AG5,4,1)</f>
        <v xml:space="preserve"> </v>
      </c>
      <c r="FH12" s="976"/>
      <c r="FI12" s="976"/>
      <c r="FJ12" s="976"/>
      <c r="FK12" s="976"/>
      <c r="FL12" s="976" t="str">
        <f>MID(SUVAHAVUJ!AG5,5,1)</f>
        <v xml:space="preserve"> </v>
      </c>
      <c r="FM12" s="976"/>
      <c r="FN12" s="976"/>
      <c r="FO12" s="976"/>
      <c r="FP12" s="976"/>
      <c r="FQ12" s="976"/>
      <c r="FR12" s="976" t="str">
        <f>MID(SUVAHAVUJ!AG5,6,1)</f>
        <v xml:space="preserve"> </v>
      </c>
      <c r="FS12" s="976"/>
      <c r="FT12" s="976"/>
      <c r="FU12" s="976"/>
      <c r="FV12" s="976"/>
      <c r="FW12" s="976" t="str">
        <f>MID(SUVAHAVUJ!AG5,7,1)</f>
        <v xml:space="preserve"> </v>
      </c>
      <c r="FX12" s="976"/>
      <c r="FY12" s="976"/>
      <c r="FZ12" s="976"/>
      <c r="GA12" s="976"/>
      <c r="GB12" s="976"/>
      <c r="GC12" s="976" t="str">
        <f>MID(SUVAHAVUJ!AG5,8,1)</f>
        <v xml:space="preserve"> </v>
      </c>
      <c r="GD12" s="976"/>
      <c r="GE12" s="976"/>
      <c r="GF12" s="976"/>
      <c r="GG12" s="976"/>
      <c r="GH12" s="976" t="str">
        <f>MID(SUVAHAVUJ!AG5,9,1)</f>
        <v xml:space="preserve"> </v>
      </c>
      <c r="GI12" s="976"/>
      <c r="GJ12" s="976"/>
      <c r="GK12" s="976"/>
      <c r="GL12" s="976"/>
      <c r="GM12" s="976"/>
      <c r="GN12" s="976" t="str">
        <f>MID(SUVAHAVUJ!AG5,10,1)</f>
        <v xml:space="preserve"> </v>
      </c>
      <c r="GO12" s="976"/>
      <c r="GP12" s="976"/>
      <c r="GQ12" s="976"/>
      <c r="GR12" s="976"/>
      <c r="GS12" s="978" t="str">
        <f>MID(SUVAHAVUJ!AG5,11,1)</f>
        <v>0</v>
      </c>
      <c r="GT12" s="978"/>
      <c r="GU12" s="978"/>
      <c r="GV12" s="978"/>
      <c r="GW12" s="978"/>
    </row>
    <row r="13" spans="1:205" s="650" customFormat="1" ht="23.25" customHeight="1" x14ac:dyDescent="0.3">
      <c r="A13" s="972">
        <v>4</v>
      </c>
      <c r="B13" s="983" t="s">
        <v>2165</v>
      </c>
      <c r="C13" s="983"/>
      <c r="D13" s="983"/>
      <c r="E13" s="983"/>
      <c r="F13" s="983"/>
      <c r="G13" s="983"/>
      <c r="H13" s="983"/>
      <c r="I13" s="983"/>
      <c r="J13" s="983"/>
      <c r="K13" s="983"/>
      <c r="L13" s="984" t="str">
        <f>SUVAHAVUJ!$D6</f>
        <v>Aktivované náklady na vývoj (012) - /072, 091A/</v>
      </c>
      <c r="M13" s="984"/>
      <c r="N13" s="984"/>
      <c r="O13" s="984"/>
      <c r="P13" s="984"/>
      <c r="Q13" s="984"/>
      <c r="R13" s="984"/>
      <c r="S13" s="984"/>
      <c r="T13" s="984"/>
      <c r="U13" s="984"/>
      <c r="V13" s="984"/>
      <c r="W13" s="984"/>
      <c r="X13" s="984"/>
      <c r="Y13" s="984"/>
      <c r="Z13" s="984"/>
      <c r="AA13" s="984"/>
      <c r="AB13" s="984"/>
      <c r="AC13" s="984"/>
      <c r="AD13" s="984"/>
      <c r="AE13" s="984"/>
      <c r="AF13" s="984"/>
      <c r="AG13" s="984"/>
      <c r="AH13" s="984"/>
      <c r="AI13" s="984"/>
      <c r="AJ13" s="984"/>
      <c r="AK13" s="984"/>
      <c r="AL13" s="984"/>
      <c r="AM13" s="984"/>
      <c r="AN13" s="984"/>
      <c r="AO13" s="984"/>
      <c r="AP13" s="984"/>
      <c r="AQ13" s="975" t="s">
        <v>1232</v>
      </c>
      <c r="AR13" s="975"/>
      <c r="AS13" s="975"/>
      <c r="AT13" s="975"/>
      <c r="AU13" s="975"/>
      <c r="AV13" s="975"/>
      <c r="AW13" s="975"/>
      <c r="AX13" s="975"/>
      <c r="AY13" s="648"/>
      <c r="AZ13" s="649"/>
      <c r="BA13" s="982" t="str">
        <f>MID(SUVAHAVUJ!AD6,1,1)</f>
        <v xml:space="preserve"> </v>
      </c>
      <c r="BB13" s="982"/>
      <c r="BC13" s="982"/>
      <c r="BD13" s="982"/>
      <c r="BE13" s="982"/>
      <c r="BF13" s="982"/>
      <c r="BG13" s="982" t="str">
        <f>MID(SUVAHAVUJ!AD6,2,1)</f>
        <v xml:space="preserve"> </v>
      </c>
      <c r="BH13" s="982"/>
      <c r="BI13" s="982"/>
      <c r="BJ13" s="982"/>
      <c r="BK13" s="982"/>
      <c r="BL13" s="982" t="str">
        <f>MID(SUVAHAVUJ!AD6,3,1)</f>
        <v xml:space="preserve"> </v>
      </c>
      <c r="BM13" s="982"/>
      <c r="BN13" s="982"/>
      <c r="BO13" s="982"/>
      <c r="BP13" s="982"/>
      <c r="BQ13" s="982"/>
      <c r="BR13" s="982" t="str">
        <f>MID(SUVAHAVUJ!AD6,4,1)</f>
        <v xml:space="preserve"> </v>
      </c>
      <c r="BS13" s="982"/>
      <c r="BT13" s="982"/>
      <c r="BU13" s="982"/>
      <c r="BV13" s="982"/>
      <c r="BW13" s="982" t="str">
        <f>MID(SUVAHAVUJ!AD6,5,1)</f>
        <v xml:space="preserve"> </v>
      </c>
      <c r="BX13" s="982"/>
      <c r="BY13" s="982"/>
      <c r="BZ13" s="982"/>
      <c r="CA13" s="982"/>
      <c r="CB13" s="982"/>
      <c r="CC13" s="982" t="str">
        <f>MID(SUVAHAVUJ!AD6,6,1)</f>
        <v xml:space="preserve"> </v>
      </c>
      <c r="CD13" s="982"/>
      <c r="CE13" s="982"/>
      <c r="CF13" s="982"/>
      <c r="CG13" s="982"/>
      <c r="CH13" s="982" t="str">
        <f>MID(SUVAHAVUJ!AD6,7,1)</f>
        <v xml:space="preserve"> </v>
      </c>
      <c r="CI13" s="982"/>
      <c r="CJ13" s="982"/>
      <c r="CK13" s="982"/>
      <c r="CL13" s="982"/>
      <c r="CM13" s="982"/>
      <c r="CN13" s="982" t="str">
        <f>MID(SUVAHAVUJ!AD6,8,1)</f>
        <v xml:space="preserve"> </v>
      </c>
      <c r="CO13" s="982"/>
      <c r="CP13" s="982"/>
      <c r="CQ13" s="982"/>
      <c r="CR13" s="982"/>
      <c r="CS13" s="982" t="str">
        <f>MID(SUVAHAVUJ!AD6,9,1)</f>
        <v xml:space="preserve"> </v>
      </c>
      <c r="CT13" s="982"/>
      <c r="CU13" s="982"/>
      <c r="CV13" s="982"/>
      <c r="CW13" s="982"/>
      <c r="CX13" s="982"/>
      <c r="CY13" s="982" t="str">
        <f>MID(SUVAHAVUJ!AD6,10,1)</f>
        <v xml:space="preserve"> </v>
      </c>
      <c r="CZ13" s="982"/>
      <c r="DA13" s="982"/>
      <c r="DB13" s="982"/>
      <c r="DC13" s="982"/>
      <c r="DD13" s="978" t="str">
        <f>MID(SUVAHAVUJ!AD6,11,1)</f>
        <v>0</v>
      </c>
      <c r="DE13" s="978"/>
      <c r="DF13" s="978"/>
      <c r="DG13" s="978"/>
      <c r="DH13" s="978"/>
      <c r="DI13" s="978"/>
      <c r="DJ13" s="648"/>
      <c r="DK13" s="649"/>
      <c r="DL13" s="976" t="str">
        <f>MID(SUVAHAVUJ!AF6,1,1)</f>
        <v xml:space="preserve"> </v>
      </c>
      <c r="DM13" s="976"/>
      <c r="DN13" s="976"/>
      <c r="DO13" s="976"/>
      <c r="DP13" s="976"/>
      <c r="DQ13" s="976"/>
      <c r="DR13" s="976" t="str">
        <f>MID(SUVAHAVUJ!AF6,2,1)</f>
        <v xml:space="preserve"> </v>
      </c>
      <c r="DS13" s="976"/>
      <c r="DT13" s="976"/>
      <c r="DU13" s="976"/>
      <c r="DV13" s="976"/>
      <c r="DW13" s="976" t="str">
        <f>MID(SUVAHAVUJ!AF6,3,1)</f>
        <v xml:space="preserve"> </v>
      </c>
      <c r="DX13" s="976"/>
      <c r="DY13" s="976"/>
      <c r="DZ13" s="976"/>
      <c r="EA13" s="976"/>
      <c r="EB13" s="976"/>
      <c r="EC13" s="976" t="str">
        <f>MID(SUVAHAVUJ!AF6,4,1)</f>
        <v xml:space="preserve"> </v>
      </c>
      <c r="ED13" s="976"/>
      <c r="EE13" s="976"/>
      <c r="EF13" s="976"/>
      <c r="EG13" s="976"/>
      <c r="EH13" s="976" t="str">
        <f>MID(SUVAHAVUJ!AF6,5,1)</f>
        <v xml:space="preserve"> </v>
      </c>
      <c r="EI13" s="976"/>
      <c r="EJ13" s="976"/>
      <c r="EK13" s="976"/>
      <c r="EL13" s="976"/>
      <c r="EM13" s="976"/>
      <c r="EN13" s="976" t="str">
        <f>MID(SUVAHAVUJ!AF6,6,1)</f>
        <v xml:space="preserve"> </v>
      </c>
      <c r="EO13" s="976"/>
      <c r="EP13" s="976"/>
      <c r="EQ13" s="976"/>
      <c r="ER13" s="976"/>
      <c r="ES13" s="976" t="str">
        <f>MID(SUVAHAVUJ!AF6,7,1)</f>
        <v xml:space="preserve"> </v>
      </c>
      <c r="ET13" s="976"/>
      <c r="EU13" s="976"/>
      <c r="EV13" s="976"/>
      <c r="EW13" s="976"/>
      <c r="EX13" s="976"/>
      <c r="EY13" s="976" t="str">
        <f>MID(SUVAHAVUJ!AF6,8,1)</f>
        <v xml:space="preserve"> </v>
      </c>
      <c r="EZ13" s="976"/>
      <c r="FA13" s="976"/>
      <c r="FB13" s="976"/>
      <c r="FC13" s="976"/>
      <c r="FD13" s="976" t="str">
        <f>MID(SUVAHAVUJ!AF6,9,1)</f>
        <v xml:space="preserve"> </v>
      </c>
      <c r="FE13" s="976"/>
      <c r="FF13" s="976"/>
      <c r="FG13" s="976"/>
      <c r="FH13" s="976"/>
      <c r="FI13" s="976"/>
      <c r="FJ13" s="976" t="str">
        <f>MID(SUVAHAVUJ!AF6,10,1)</f>
        <v xml:space="preserve"> </v>
      </c>
      <c r="FK13" s="976"/>
      <c r="FL13" s="976"/>
      <c r="FM13" s="976"/>
      <c r="FN13" s="976"/>
      <c r="FO13" s="978" t="str">
        <f>MID(SUVAHAVUJ!AF6,11,1)</f>
        <v>0</v>
      </c>
      <c r="FP13" s="978"/>
      <c r="FQ13" s="978"/>
      <c r="FR13" s="978"/>
      <c r="FS13" s="978"/>
      <c r="FT13" s="979"/>
      <c r="FU13" s="979"/>
      <c r="FV13" s="979"/>
      <c r="FW13" s="979"/>
      <c r="FX13" s="979"/>
      <c r="FY13" s="979"/>
      <c r="FZ13" s="979"/>
      <c r="GA13" s="979"/>
      <c r="GB13" s="979"/>
      <c r="GC13" s="979"/>
      <c r="GD13" s="979"/>
      <c r="GE13" s="979"/>
      <c r="GF13" s="979"/>
      <c r="GG13" s="979"/>
      <c r="GH13" s="979"/>
      <c r="GI13" s="979"/>
      <c r="GJ13" s="979"/>
      <c r="GK13" s="979"/>
      <c r="GL13" s="979"/>
      <c r="GM13" s="979"/>
      <c r="GN13" s="979"/>
      <c r="GO13" s="979"/>
      <c r="GP13" s="979"/>
      <c r="GQ13" s="979"/>
      <c r="GR13" s="979"/>
      <c r="GS13" s="979"/>
      <c r="GT13" s="979"/>
      <c r="GU13" s="979"/>
      <c r="GV13" s="979"/>
      <c r="GW13" s="979"/>
    </row>
    <row r="14" spans="1:205" ht="23.25" customHeight="1" x14ac:dyDescent="0.3">
      <c r="A14" s="972"/>
      <c r="B14" s="983"/>
      <c r="C14" s="983"/>
      <c r="D14" s="983"/>
      <c r="E14" s="983"/>
      <c r="F14" s="983"/>
      <c r="G14" s="983"/>
      <c r="H14" s="983"/>
      <c r="I14" s="983"/>
      <c r="J14" s="983"/>
      <c r="K14" s="983"/>
      <c r="L14" s="984"/>
      <c r="M14" s="984"/>
      <c r="N14" s="984"/>
      <c r="O14" s="984"/>
      <c r="P14" s="984"/>
      <c r="Q14" s="984"/>
      <c r="R14" s="984"/>
      <c r="S14" s="984"/>
      <c r="T14" s="984"/>
      <c r="U14" s="984"/>
      <c r="V14" s="984"/>
      <c r="W14" s="984"/>
      <c r="X14" s="984"/>
      <c r="Y14" s="984"/>
      <c r="Z14" s="984"/>
      <c r="AA14" s="984"/>
      <c r="AB14" s="984"/>
      <c r="AC14" s="984"/>
      <c r="AD14" s="984"/>
      <c r="AE14" s="984"/>
      <c r="AF14" s="984"/>
      <c r="AG14" s="984"/>
      <c r="AH14" s="984"/>
      <c r="AI14" s="984"/>
      <c r="AJ14" s="984"/>
      <c r="AK14" s="984"/>
      <c r="AL14" s="984"/>
      <c r="AM14" s="984"/>
      <c r="AN14" s="984"/>
      <c r="AO14" s="984"/>
      <c r="AP14" s="984"/>
      <c r="AQ14" s="975"/>
      <c r="AR14" s="975"/>
      <c r="AS14" s="975"/>
      <c r="AT14" s="975"/>
      <c r="AU14" s="975"/>
      <c r="AV14" s="975"/>
      <c r="AW14" s="975"/>
      <c r="AX14" s="975"/>
      <c r="AY14" s="648"/>
      <c r="AZ14" s="649"/>
      <c r="BA14" s="976" t="str">
        <f>MID(SUVAHAVUJ!AE6,1,1)</f>
        <v xml:space="preserve"> </v>
      </c>
      <c r="BB14" s="976"/>
      <c r="BC14" s="976"/>
      <c r="BD14" s="976"/>
      <c r="BE14" s="976"/>
      <c r="BF14" s="976"/>
      <c r="BG14" s="976" t="str">
        <f>MID(SUVAHAVUJ!AE6,2,1)</f>
        <v xml:space="preserve"> </v>
      </c>
      <c r="BH14" s="976"/>
      <c r="BI14" s="976"/>
      <c r="BJ14" s="976"/>
      <c r="BK14" s="976"/>
      <c r="BL14" s="976" t="str">
        <f>MID(SUVAHAVUJ!AE6,3,1)</f>
        <v xml:space="preserve"> </v>
      </c>
      <c r="BM14" s="976"/>
      <c r="BN14" s="976"/>
      <c r="BO14" s="976"/>
      <c r="BP14" s="976"/>
      <c r="BQ14" s="976"/>
      <c r="BR14" s="976" t="str">
        <f>MID(SUVAHAVUJ!AE6,4,1)</f>
        <v xml:space="preserve"> </v>
      </c>
      <c r="BS14" s="976"/>
      <c r="BT14" s="976"/>
      <c r="BU14" s="976"/>
      <c r="BV14" s="976"/>
      <c r="BW14" s="976" t="str">
        <f>MID(SUVAHAVUJ!AE6,5,1)</f>
        <v xml:space="preserve"> </v>
      </c>
      <c r="BX14" s="976"/>
      <c r="BY14" s="976"/>
      <c r="BZ14" s="976"/>
      <c r="CA14" s="976"/>
      <c r="CB14" s="976"/>
      <c r="CC14" s="976" t="str">
        <f>MID(SUVAHAVUJ!AE6,6,1)</f>
        <v xml:space="preserve"> </v>
      </c>
      <c r="CD14" s="976"/>
      <c r="CE14" s="976"/>
      <c r="CF14" s="976"/>
      <c r="CG14" s="976"/>
      <c r="CH14" s="976" t="str">
        <f>MID(SUVAHAVUJ!AE6,7,1)</f>
        <v xml:space="preserve"> </v>
      </c>
      <c r="CI14" s="976"/>
      <c r="CJ14" s="976"/>
      <c r="CK14" s="976"/>
      <c r="CL14" s="976"/>
      <c r="CM14" s="976"/>
      <c r="CN14" s="976" t="str">
        <f>MID(SUVAHAVUJ!AE6,8,1)</f>
        <v xml:space="preserve"> </v>
      </c>
      <c r="CO14" s="976"/>
      <c r="CP14" s="976"/>
      <c r="CQ14" s="976"/>
      <c r="CR14" s="976"/>
      <c r="CS14" s="976" t="str">
        <f>MID(SUVAHAVUJ!AE6,9,1)</f>
        <v xml:space="preserve"> </v>
      </c>
      <c r="CT14" s="976"/>
      <c r="CU14" s="976"/>
      <c r="CV14" s="976"/>
      <c r="CW14" s="976"/>
      <c r="CX14" s="976"/>
      <c r="CY14" s="976" t="str">
        <f>MID(SUVAHAVUJ!AE6,10,1)</f>
        <v xml:space="preserve"> </v>
      </c>
      <c r="CZ14" s="976"/>
      <c r="DA14" s="976"/>
      <c r="DB14" s="976"/>
      <c r="DC14" s="976"/>
      <c r="DD14" s="977" t="str">
        <f>MID(SUVAHAVUJ!AE6,11,1)</f>
        <v>0</v>
      </c>
      <c r="DE14" s="977"/>
      <c r="DF14" s="977"/>
      <c r="DG14" s="977"/>
      <c r="DH14" s="977"/>
      <c r="DI14" s="977"/>
      <c r="DJ14" s="980"/>
      <c r="DK14" s="980"/>
      <c r="DL14" s="980"/>
      <c r="DM14" s="980"/>
      <c r="DN14" s="980"/>
      <c r="DO14" s="980"/>
      <c r="DP14" s="980"/>
      <c r="DQ14" s="980"/>
      <c r="DR14" s="980"/>
      <c r="DS14" s="980"/>
      <c r="DT14" s="980"/>
      <c r="DU14" s="980"/>
      <c r="DV14" s="980"/>
      <c r="DW14" s="980"/>
      <c r="DX14" s="980"/>
      <c r="DY14" s="980"/>
      <c r="DZ14" s="980"/>
      <c r="EA14" s="980"/>
      <c r="EB14" s="980"/>
      <c r="EC14" s="980"/>
      <c r="ED14" s="980"/>
      <c r="EE14" s="980"/>
      <c r="EF14" s="980"/>
      <c r="EG14" s="980"/>
      <c r="EH14" s="980"/>
      <c r="EI14" s="980"/>
      <c r="EJ14" s="980"/>
      <c r="EK14" s="980"/>
      <c r="EL14" s="980"/>
      <c r="EM14" s="980"/>
      <c r="EN14" s="648"/>
      <c r="EO14" s="649"/>
      <c r="EP14" s="976" t="str">
        <f>MID(SUVAHAVUJ!AG6,1,1)</f>
        <v xml:space="preserve"> </v>
      </c>
      <c r="EQ14" s="976"/>
      <c r="ER14" s="976"/>
      <c r="ES14" s="976"/>
      <c r="ET14" s="976"/>
      <c r="EU14" s="976"/>
      <c r="EV14" s="976" t="str">
        <f>MID(SUVAHAVUJ!AG6,2,1)</f>
        <v xml:space="preserve"> </v>
      </c>
      <c r="EW14" s="976"/>
      <c r="EX14" s="976"/>
      <c r="EY14" s="976"/>
      <c r="EZ14" s="976"/>
      <c r="FA14" s="976" t="str">
        <f>MID(SUVAHAVUJ!AG6,3,1)</f>
        <v xml:space="preserve"> </v>
      </c>
      <c r="FB14" s="976"/>
      <c r="FC14" s="976"/>
      <c r="FD14" s="976"/>
      <c r="FE14" s="976"/>
      <c r="FF14" s="976"/>
      <c r="FG14" s="976" t="str">
        <f>MID(SUVAHAVUJ!AG6,4,1)</f>
        <v xml:space="preserve"> </v>
      </c>
      <c r="FH14" s="976"/>
      <c r="FI14" s="976"/>
      <c r="FJ14" s="976"/>
      <c r="FK14" s="976"/>
      <c r="FL14" s="976" t="str">
        <f>MID(SUVAHAVUJ!AG6,5,1)</f>
        <v xml:space="preserve"> </v>
      </c>
      <c r="FM14" s="976"/>
      <c r="FN14" s="976"/>
      <c r="FO14" s="976"/>
      <c r="FP14" s="976"/>
      <c r="FQ14" s="976"/>
      <c r="FR14" s="976" t="str">
        <f>MID(SUVAHAVUJ!AG6,6,1)</f>
        <v xml:space="preserve"> </v>
      </c>
      <c r="FS14" s="976"/>
      <c r="FT14" s="976"/>
      <c r="FU14" s="976"/>
      <c r="FV14" s="976"/>
      <c r="FW14" s="976" t="str">
        <f>MID(SUVAHAVUJ!AG6,7,1)</f>
        <v xml:space="preserve"> </v>
      </c>
      <c r="FX14" s="976"/>
      <c r="FY14" s="976"/>
      <c r="FZ14" s="976"/>
      <c r="GA14" s="976"/>
      <c r="GB14" s="976"/>
      <c r="GC14" s="976" t="str">
        <f>MID(SUVAHAVUJ!AG6,8,1)</f>
        <v xml:space="preserve"> </v>
      </c>
      <c r="GD14" s="976"/>
      <c r="GE14" s="976"/>
      <c r="GF14" s="976"/>
      <c r="GG14" s="976"/>
      <c r="GH14" s="976" t="str">
        <f>MID(SUVAHAVUJ!AG6,9,1)</f>
        <v xml:space="preserve"> </v>
      </c>
      <c r="GI14" s="976"/>
      <c r="GJ14" s="976"/>
      <c r="GK14" s="976"/>
      <c r="GL14" s="976"/>
      <c r="GM14" s="976"/>
      <c r="GN14" s="976" t="str">
        <f>MID(SUVAHAVUJ!AG6,10,1)</f>
        <v xml:space="preserve"> </v>
      </c>
      <c r="GO14" s="976"/>
      <c r="GP14" s="976"/>
      <c r="GQ14" s="976"/>
      <c r="GR14" s="976"/>
      <c r="GS14" s="978" t="str">
        <f>MID(SUVAHAVUJ!AG6,11,1)</f>
        <v>0</v>
      </c>
      <c r="GT14" s="978"/>
      <c r="GU14" s="978"/>
      <c r="GV14" s="978"/>
      <c r="GW14" s="978"/>
    </row>
    <row r="15" spans="1:205" s="650" customFormat="1" ht="24" customHeight="1" x14ac:dyDescent="0.3">
      <c r="A15" s="972">
        <v>5</v>
      </c>
      <c r="B15" s="985" t="s">
        <v>2166</v>
      </c>
      <c r="C15" s="985"/>
      <c r="D15" s="985"/>
      <c r="E15" s="985"/>
      <c r="F15" s="985"/>
      <c r="G15" s="985"/>
      <c r="H15" s="985"/>
      <c r="I15" s="985"/>
      <c r="J15" s="985"/>
      <c r="K15" s="985"/>
      <c r="L15" s="984" t="str">
        <f>SUVAHAVUJ!$D7</f>
        <v>Softvér (013)-/073, 091A/</v>
      </c>
      <c r="M15" s="984"/>
      <c r="N15" s="984"/>
      <c r="O15" s="984"/>
      <c r="P15" s="984"/>
      <c r="Q15" s="984"/>
      <c r="R15" s="984"/>
      <c r="S15" s="984"/>
      <c r="T15" s="984"/>
      <c r="U15" s="984"/>
      <c r="V15" s="984"/>
      <c r="W15" s="984"/>
      <c r="X15" s="984"/>
      <c r="Y15" s="984"/>
      <c r="Z15" s="984"/>
      <c r="AA15" s="984"/>
      <c r="AB15" s="984"/>
      <c r="AC15" s="984"/>
      <c r="AD15" s="984"/>
      <c r="AE15" s="984"/>
      <c r="AF15" s="984"/>
      <c r="AG15" s="984"/>
      <c r="AH15" s="984"/>
      <c r="AI15" s="984"/>
      <c r="AJ15" s="984"/>
      <c r="AK15" s="984"/>
      <c r="AL15" s="984"/>
      <c r="AM15" s="984"/>
      <c r="AN15" s="984"/>
      <c r="AO15" s="984"/>
      <c r="AP15" s="984"/>
      <c r="AQ15" s="975" t="s">
        <v>1233</v>
      </c>
      <c r="AR15" s="975"/>
      <c r="AS15" s="975"/>
      <c r="AT15" s="975"/>
      <c r="AU15" s="975"/>
      <c r="AV15" s="975"/>
      <c r="AW15" s="975"/>
      <c r="AX15" s="975"/>
      <c r="AY15" s="648"/>
      <c r="AZ15" s="649"/>
      <c r="BA15" s="982" t="str">
        <f>MID(SUVAHAVUJ!AD7,1,1)</f>
        <v xml:space="preserve"> </v>
      </c>
      <c r="BB15" s="982"/>
      <c r="BC15" s="982"/>
      <c r="BD15" s="982"/>
      <c r="BE15" s="982"/>
      <c r="BF15" s="982"/>
      <c r="BG15" s="982" t="str">
        <f>MID(SUVAHAVUJ!AD7,2,1)</f>
        <v xml:space="preserve"> </v>
      </c>
      <c r="BH15" s="982"/>
      <c r="BI15" s="982"/>
      <c r="BJ15" s="982"/>
      <c r="BK15" s="982"/>
      <c r="BL15" s="982" t="str">
        <f>MID(SUVAHAVUJ!AD7,3,1)</f>
        <v xml:space="preserve"> </v>
      </c>
      <c r="BM15" s="982"/>
      <c r="BN15" s="982"/>
      <c r="BO15" s="982"/>
      <c r="BP15" s="982"/>
      <c r="BQ15" s="982"/>
      <c r="BR15" s="982" t="str">
        <f>MID(SUVAHAVUJ!AD7,4,1)</f>
        <v xml:space="preserve"> </v>
      </c>
      <c r="BS15" s="982"/>
      <c r="BT15" s="982"/>
      <c r="BU15" s="982"/>
      <c r="BV15" s="982"/>
      <c r="BW15" s="982" t="str">
        <f>MID(SUVAHAVUJ!AD7,5,1)</f>
        <v xml:space="preserve"> </v>
      </c>
      <c r="BX15" s="982"/>
      <c r="BY15" s="982"/>
      <c r="BZ15" s="982"/>
      <c r="CA15" s="982"/>
      <c r="CB15" s="982"/>
      <c r="CC15" s="982" t="str">
        <f>MID(SUVAHAVUJ!AD7,6,1)</f>
        <v xml:space="preserve"> </v>
      </c>
      <c r="CD15" s="982"/>
      <c r="CE15" s="982"/>
      <c r="CF15" s="982"/>
      <c r="CG15" s="982"/>
      <c r="CH15" s="982" t="str">
        <f>MID(SUVAHAVUJ!AD7,7,1)</f>
        <v xml:space="preserve"> </v>
      </c>
      <c r="CI15" s="982"/>
      <c r="CJ15" s="982"/>
      <c r="CK15" s="982"/>
      <c r="CL15" s="982"/>
      <c r="CM15" s="982"/>
      <c r="CN15" s="982" t="str">
        <f>MID(SUVAHAVUJ!AD7,8,1)</f>
        <v xml:space="preserve"> </v>
      </c>
      <c r="CO15" s="982"/>
      <c r="CP15" s="982"/>
      <c r="CQ15" s="982"/>
      <c r="CR15" s="982"/>
      <c r="CS15" s="982" t="str">
        <f>MID(SUVAHAVUJ!AD7,9,1)</f>
        <v>1</v>
      </c>
      <c r="CT15" s="982"/>
      <c r="CU15" s="982"/>
      <c r="CV15" s="982"/>
      <c r="CW15" s="982"/>
      <c r="CX15" s="982"/>
      <c r="CY15" s="982" t="str">
        <f>MID(SUVAHAVUJ!AD7,10,1)</f>
        <v>0</v>
      </c>
      <c r="CZ15" s="982"/>
      <c r="DA15" s="982"/>
      <c r="DB15" s="982"/>
      <c r="DC15" s="982"/>
      <c r="DD15" s="978" t="str">
        <f>MID(SUVAHAVUJ!AD7,11,1)</f>
        <v>0</v>
      </c>
      <c r="DE15" s="978"/>
      <c r="DF15" s="978"/>
      <c r="DG15" s="978"/>
      <c r="DH15" s="978"/>
      <c r="DI15" s="978"/>
      <c r="DJ15" s="648"/>
      <c r="DK15" s="649"/>
      <c r="DL15" s="976" t="str">
        <f>MID(SUVAHAVUJ!AF7,1,1)</f>
        <v xml:space="preserve"> </v>
      </c>
      <c r="DM15" s="976"/>
      <c r="DN15" s="976"/>
      <c r="DO15" s="976"/>
      <c r="DP15" s="976"/>
      <c r="DQ15" s="976"/>
      <c r="DR15" s="976" t="str">
        <f>MID(SUVAHAVUJ!AF7,2,1)</f>
        <v xml:space="preserve"> </v>
      </c>
      <c r="DS15" s="976"/>
      <c r="DT15" s="976"/>
      <c r="DU15" s="976"/>
      <c r="DV15" s="976"/>
      <c r="DW15" s="976" t="str">
        <f>MID(SUVAHAVUJ!AF7,3,1)</f>
        <v xml:space="preserve"> </v>
      </c>
      <c r="DX15" s="976"/>
      <c r="DY15" s="976"/>
      <c r="DZ15" s="976"/>
      <c r="EA15" s="976"/>
      <c r="EB15" s="976"/>
      <c r="EC15" s="976" t="str">
        <f>MID(SUVAHAVUJ!AF7,4,1)</f>
        <v xml:space="preserve"> </v>
      </c>
      <c r="ED15" s="976"/>
      <c r="EE15" s="976"/>
      <c r="EF15" s="976"/>
      <c r="EG15" s="976"/>
      <c r="EH15" s="976" t="str">
        <f>MID(SUVAHAVUJ!AF7,5,1)</f>
        <v xml:space="preserve"> </v>
      </c>
      <c r="EI15" s="976"/>
      <c r="EJ15" s="976"/>
      <c r="EK15" s="976"/>
      <c r="EL15" s="976"/>
      <c r="EM15" s="976"/>
      <c r="EN15" s="976" t="str">
        <f>MID(SUVAHAVUJ!AF7,6,1)</f>
        <v xml:space="preserve"> </v>
      </c>
      <c r="EO15" s="976"/>
      <c r="EP15" s="976"/>
      <c r="EQ15" s="976"/>
      <c r="ER15" s="976"/>
      <c r="ES15" s="976" t="str">
        <f>MID(SUVAHAVUJ!AF7,7,1)</f>
        <v xml:space="preserve"> </v>
      </c>
      <c r="ET15" s="976"/>
      <c r="EU15" s="976"/>
      <c r="EV15" s="976"/>
      <c r="EW15" s="976"/>
      <c r="EX15" s="976"/>
      <c r="EY15" s="976" t="str">
        <f>MID(SUVAHAVUJ!AF7,8,1)</f>
        <v xml:space="preserve"> </v>
      </c>
      <c r="EZ15" s="976"/>
      <c r="FA15" s="976"/>
      <c r="FB15" s="976"/>
      <c r="FC15" s="976"/>
      <c r="FD15" s="976" t="str">
        <f>MID(SUVAHAVUJ!AF7,9,1)</f>
        <v xml:space="preserve"> </v>
      </c>
      <c r="FE15" s="976"/>
      <c r="FF15" s="976"/>
      <c r="FG15" s="976"/>
      <c r="FH15" s="976"/>
      <c r="FI15" s="976"/>
      <c r="FJ15" s="976" t="str">
        <f>MID(SUVAHAVUJ!AF7,10,1)</f>
        <v xml:space="preserve"> </v>
      </c>
      <c r="FK15" s="976"/>
      <c r="FL15" s="976"/>
      <c r="FM15" s="976"/>
      <c r="FN15" s="976"/>
      <c r="FO15" s="978" t="str">
        <f>MID(SUVAHAVUJ!AF7,11,1)</f>
        <v>0</v>
      </c>
      <c r="FP15" s="978"/>
      <c r="FQ15" s="978"/>
      <c r="FR15" s="978"/>
      <c r="FS15" s="978"/>
      <c r="FT15" s="979"/>
      <c r="FU15" s="979"/>
      <c r="FV15" s="979"/>
      <c r="FW15" s="979"/>
      <c r="FX15" s="979"/>
      <c r="FY15" s="979"/>
      <c r="FZ15" s="979"/>
      <c r="GA15" s="979"/>
      <c r="GB15" s="979"/>
      <c r="GC15" s="979"/>
      <c r="GD15" s="979"/>
      <c r="GE15" s="979"/>
      <c r="GF15" s="979"/>
      <c r="GG15" s="979"/>
      <c r="GH15" s="979"/>
      <c r="GI15" s="979"/>
      <c r="GJ15" s="979"/>
      <c r="GK15" s="979"/>
      <c r="GL15" s="979"/>
      <c r="GM15" s="979"/>
      <c r="GN15" s="979"/>
      <c r="GO15" s="979"/>
      <c r="GP15" s="979"/>
      <c r="GQ15" s="979"/>
      <c r="GR15" s="979"/>
      <c r="GS15" s="979"/>
      <c r="GT15" s="979"/>
      <c r="GU15" s="979"/>
      <c r="GV15" s="979"/>
      <c r="GW15" s="979"/>
    </row>
    <row r="16" spans="1:205" ht="24.75" customHeight="1" x14ac:dyDescent="0.3">
      <c r="A16" s="972"/>
      <c r="B16" s="985"/>
      <c r="C16" s="985"/>
      <c r="D16" s="985"/>
      <c r="E16" s="985"/>
      <c r="F16" s="985"/>
      <c r="G16" s="985"/>
      <c r="H16" s="985"/>
      <c r="I16" s="985"/>
      <c r="J16" s="985"/>
      <c r="K16" s="985"/>
      <c r="L16" s="984"/>
      <c r="M16" s="984"/>
      <c r="N16" s="984"/>
      <c r="O16" s="984"/>
      <c r="P16" s="984"/>
      <c r="Q16" s="984"/>
      <c r="R16" s="984"/>
      <c r="S16" s="984"/>
      <c r="T16" s="984"/>
      <c r="U16" s="984"/>
      <c r="V16" s="984"/>
      <c r="W16" s="984"/>
      <c r="X16" s="984"/>
      <c r="Y16" s="984"/>
      <c r="Z16" s="984"/>
      <c r="AA16" s="984"/>
      <c r="AB16" s="984"/>
      <c r="AC16" s="984"/>
      <c r="AD16" s="984"/>
      <c r="AE16" s="984"/>
      <c r="AF16" s="984"/>
      <c r="AG16" s="984"/>
      <c r="AH16" s="984"/>
      <c r="AI16" s="984"/>
      <c r="AJ16" s="984"/>
      <c r="AK16" s="984"/>
      <c r="AL16" s="984"/>
      <c r="AM16" s="984"/>
      <c r="AN16" s="984"/>
      <c r="AO16" s="984"/>
      <c r="AP16" s="984"/>
      <c r="AQ16" s="975"/>
      <c r="AR16" s="975"/>
      <c r="AS16" s="975"/>
      <c r="AT16" s="975"/>
      <c r="AU16" s="975"/>
      <c r="AV16" s="975"/>
      <c r="AW16" s="975"/>
      <c r="AX16" s="975"/>
      <c r="AY16" s="648"/>
      <c r="AZ16" s="649"/>
      <c r="BA16" s="976" t="str">
        <f>MID(SUVAHAVUJ!AE7,1,1)</f>
        <v xml:space="preserve"> </v>
      </c>
      <c r="BB16" s="976"/>
      <c r="BC16" s="976"/>
      <c r="BD16" s="976"/>
      <c r="BE16" s="976"/>
      <c r="BF16" s="976"/>
      <c r="BG16" s="976" t="str">
        <f>MID(SUVAHAVUJ!AE7,2,1)</f>
        <v xml:space="preserve"> </v>
      </c>
      <c r="BH16" s="976"/>
      <c r="BI16" s="976"/>
      <c r="BJ16" s="976"/>
      <c r="BK16" s="976"/>
      <c r="BL16" s="976" t="str">
        <f>MID(SUVAHAVUJ!AE7,3,1)</f>
        <v xml:space="preserve"> </v>
      </c>
      <c r="BM16" s="976"/>
      <c r="BN16" s="976"/>
      <c r="BO16" s="976"/>
      <c r="BP16" s="976"/>
      <c r="BQ16" s="976"/>
      <c r="BR16" s="976" t="str">
        <f>MID(SUVAHAVUJ!AE7,4,1)</f>
        <v xml:space="preserve"> </v>
      </c>
      <c r="BS16" s="976"/>
      <c r="BT16" s="976"/>
      <c r="BU16" s="976"/>
      <c r="BV16" s="976"/>
      <c r="BW16" s="976" t="str">
        <f>MID(SUVAHAVUJ!AE7,5,1)</f>
        <v xml:space="preserve"> </v>
      </c>
      <c r="BX16" s="976"/>
      <c r="BY16" s="976"/>
      <c r="BZ16" s="976"/>
      <c r="CA16" s="976"/>
      <c r="CB16" s="976"/>
      <c r="CC16" s="976" t="str">
        <f>MID(SUVAHAVUJ!AE7,6,1)</f>
        <v xml:space="preserve"> </v>
      </c>
      <c r="CD16" s="976"/>
      <c r="CE16" s="976"/>
      <c r="CF16" s="976"/>
      <c r="CG16" s="976"/>
      <c r="CH16" s="976" t="str">
        <f>MID(SUVAHAVUJ!AE7,7,1)</f>
        <v xml:space="preserve"> </v>
      </c>
      <c r="CI16" s="976"/>
      <c r="CJ16" s="976"/>
      <c r="CK16" s="976"/>
      <c r="CL16" s="976"/>
      <c r="CM16" s="976"/>
      <c r="CN16" s="976" t="str">
        <f>MID(SUVAHAVUJ!AE7,8,1)</f>
        <v xml:space="preserve"> </v>
      </c>
      <c r="CO16" s="976"/>
      <c r="CP16" s="976"/>
      <c r="CQ16" s="976"/>
      <c r="CR16" s="976"/>
      <c r="CS16" s="976" t="str">
        <f>MID(SUVAHAVUJ!AE7,9,1)</f>
        <v>1</v>
      </c>
      <c r="CT16" s="976"/>
      <c r="CU16" s="976"/>
      <c r="CV16" s="976"/>
      <c r="CW16" s="976"/>
      <c r="CX16" s="976"/>
      <c r="CY16" s="976" t="str">
        <f>MID(SUVAHAVUJ!AE7,10,1)</f>
        <v>0</v>
      </c>
      <c r="CZ16" s="976"/>
      <c r="DA16" s="976"/>
      <c r="DB16" s="976"/>
      <c r="DC16" s="976"/>
      <c r="DD16" s="977" t="str">
        <f>MID(SUVAHAVUJ!AE7,11,1)</f>
        <v>0</v>
      </c>
      <c r="DE16" s="977"/>
      <c r="DF16" s="977"/>
      <c r="DG16" s="977"/>
      <c r="DH16" s="977"/>
      <c r="DI16" s="977"/>
      <c r="DJ16" s="980"/>
      <c r="DK16" s="980"/>
      <c r="DL16" s="980"/>
      <c r="DM16" s="980"/>
      <c r="DN16" s="980"/>
      <c r="DO16" s="980"/>
      <c r="DP16" s="980"/>
      <c r="DQ16" s="980"/>
      <c r="DR16" s="980"/>
      <c r="DS16" s="980"/>
      <c r="DT16" s="980"/>
      <c r="DU16" s="980"/>
      <c r="DV16" s="980"/>
      <c r="DW16" s="980"/>
      <c r="DX16" s="980"/>
      <c r="DY16" s="980"/>
      <c r="DZ16" s="980"/>
      <c r="EA16" s="980"/>
      <c r="EB16" s="980"/>
      <c r="EC16" s="980"/>
      <c r="ED16" s="980"/>
      <c r="EE16" s="980"/>
      <c r="EF16" s="980"/>
      <c r="EG16" s="980"/>
      <c r="EH16" s="980"/>
      <c r="EI16" s="980"/>
      <c r="EJ16" s="980"/>
      <c r="EK16" s="980"/>
      <c r="EL16" s="980"/>
      <c r="EM16" s="980"/>
      <c r="EN16" s="648"/>
      <c r="EO16" s="649"/>
      <c r="EP16" s="976" t="str">
        <f>MID(SUVAHAVUJ!AG7,1,1)</f>
        <v xml:space="preserve"> </v>
      </c>
      <c r="EQ16" s="976"/>
      <c r="ER16" s="976"/>
      <c r="ES16" s="976"/>
      <c r="ET16" s="976"/>
      <c r="EU16" s="976"/>
      <c r="EV16" s="976" t="str">
        <f>MID(SUVAHAVUJ!AG7,2,1)</f>
        <v xml:space="preserve"> </v>
      </c>
      <c r="EW16" s="976"/>
      <c r="EX16" s="976"/>
      <c r="EY16" s="976"/>
      <c r="EZ16" s="976"/>
      <c r="FA16" s="976" t="str">
        <f>MID(SUVAHAVUJ!AG7,3,1)</f>
        <v xml:space="preserve"> </v>
      </c>
      <c r="FB16" s="976"/>
      <c r="FC16" s="976"/>
      <c r="FD16" s="976"/>
      <c r="FE16" s="976"/>
      <c r="FF16" s="976"/>
      <c r="FG16" s="976" t="str">
        <f>MID(SUVAHAVUJ!AG7,4,1)</f>
        <v xml:space="preserve"> </v>
      </c>
      <c r="FH16" s="976"/>
      <c r="FI16" s="976"/>
      <c r="FJ16" s="976"/>
      <c r="FK16" s="976"/>
      <c r="FL16" s="976" t="str">
        <f>MID(SUVAHAVUJ!AG7,5,1)</f>
        <v xml:space="preserve"> </v>
      </c>
      <c r="FM16" s="976"/>
      <c r="FN16" s="976"/>
      <c r="FO16" s="976"/>
      <c r="FP16" s="976"/>
      <c r="FQ16" s="976"/>
      <c r="FR16" s="976" t="str">
        <f>MID(SUVAHAVUJ!AG7,6,1)</f>
        <v xml:space="preserve"> </v>
      </c>
      <c r="FS16" s="976"/>
      <c r="FT16" s="976"/>
      <c r="FU16" s="976"/>
      <c r="FV16" s="976"/>
      <c r="FW16" s="976" t="str">
        <f>MID(SUVAHAVUJ!AG7,7,1)</f>
        <v xml:space="preserve"> </v>
      </c>
      <c r="FX16" s="976"/>
      <c r="FY16" s="976"/>
      <c r="FZ16" s="976"/>
      <c r="GA16" s="976"/>
      <c r="GB16" s="976"/>
      <c r="GC16" s="976" t="str">
        <f>MID(SUVAHAVUJ!AG7,8,1)</f>
        <v xml:space="preserve"> </v>
      </c>
      <c r="GD16" s="976"/>
      <c r="GE16" s="976"/>
      <c r="GF16" s="976"/>
      <c r="GG16" s="976"/>
      <c r="GH16" s="976" t="str">
        <f>MID(SUVAHAVUJ!AG7,9,1)</f>
        <v xml:space="preserve"> </v>
      </c>
      <c r="GI16" s="976"/>
      <c r="GJ16" s="976"/>
      <c r="GK16" s="976"/>
      <c r="GL16" s="976"/>
      <c r="GM16" s="976"/>
      <c r="GN16" s="976" t="str">
        <f>MID(SUVAHAVUJ!AG7,10,1)</f>
        <v xml:space="preserve"> </v>
      </c>
      <c r="GO16" s="976"/>
      <c r="GP16" s="976"/>
      <c r="GQ16" s="976"/>
      <c r="GR16" s="976"/>
      <c r="GS16" s="978" t="str">
        <f>MID(SUVAHAVUJ!AG7,11,1)</f>
        <v>0</v>
      </c>
      <c r="GT16" s="978"/>
      <c r="GU16" s="978"/>
      <c r="GV16" s="978"/>
      <c r="GW16" s="978"/>
    </row>
    <row r="17" spans="1:205" s="650" customFormat="1" ht="23.25" customHeight="1" x14ac:dyDescent="0.3">
      <c r="A17" s="972">
        <v>6</v>
      </c>
      <c r="B17" s="985" t="s">
        <v>2167</v>
      </c>
      <c r="C17" s="985"/>
      <c r="D17" s="985"/>
      <c r="E17" s="985"/>
      <c r="F17" s="985"/>
      <c r="G17" s="985"/>
      <c r="H17" s="985"/>
      <c r="I17" s="985"/>
      <c r="J17" s="985"/>
      <c r="K17" s="985"/>
      <c r="L17" s="984" t="str">
        <f>SUVAHAVUJ!$D8</f>
        <v>Oceniteľné práva (014)-/074, 091A/</v>
      </c>
      <c r="M17" s="984"/>
      <c r="N17" s="984"/>
      <c r="O17" s="984"/>
      <c r="P17" s="984"/>
      <c r="Q17" s="984"/>
      <c r="R17" s="984"/>
      <c r="S17" s="984"/>
      <c r="T17" s="984"/>
      <c r="U17" s="984"/>
      <c r="V17" s="984"/>
      <c r="W17" s="984"/>
      <c r="X17" s="984"/>
      <c r="Y17" s="984"/>
      <c r="Z17" s="984"/>
      <c r="AA17" s="984"/>
      <c r="AB17" s="984"/>
      <c r="AC17" s="984"/>
      <c r="AD17" s="984"/>
      <c r="AE17" s="984"/>
      <c r="AF17" s="984"/>
      <c r="AG17" s="984"/>
      <c r="AH17" s="984"/>
      <c r="AI17" s="984"/>
      <c r="AJ17" s="984"/>
      <c r="AK17" s="984"/>
      <c r="AL17" s="984"/>
      <c r="AM17" s="984"/>
      <c r="AN17" s="984"/>
      <c r="AO17" s="984"/>
      <c r="AP17" s="984"/>
      <c r="AQ17" s="975" t="s">
        <v>1234</v>
      </c>
      <c r="AR17" s="975"/>
      <c r="AS17" s="975"/>
      <c r="AT17" s="975"/>
      <c r="AU17" s="975"/>
      <c r="AV17" s="975"/>
      <c r="AW17" s="975"/>
      <c r="AX17" s="975"/>
      <c r="AY17" s="648"/>
      <c r="AZ17" s="649"/>
      <c r="BA17" s="982" t="str">
        <f>MID(SUVAHAVUJ!AD8,1,1)</f>
        <v xml:space="preserve"> </v>
      </c>
      <c r="BB17" s="982"/>
      <c r="BC17" s="982"/>
      <c r="BD17" s="982"/>
      <c r="BE17" s="982"/>
      <c r="BF17" s="982"/>
      <c r="BG17" s="982" t="str">
        <f>MID(SUVAHAVUJ!AD8,2,1)</f>
        <v xml:space="preserve"> </v>
      </c>
      <c r="BH17" s="982"/>
      <c r="BI17" s="982"/>
      <c r="BJ17" s="982"/>
      <c r="BK17" s="982"/>
      <c r="BL17" s="982" t="str">
        <f>MID(SUVAHAVUJ!AD8,3,1)</f>
        <v xml:space="preserve"> </v>
      </c>
      <c r="BM17" s="982"/>
      <c r="BN17" s="982"/>
      <c r="BO17" s="982"/>
      <c r="BP17" s="982"/>
      <c r="BQ17" s="982"/>
      <c r="BR17" s="982" t="str">
        <f>MID(SUVAHAVUJ!AD8,4,1)</f>
        <v xml:space="preserve"> </v>
      </c>
      <c r="BS17" s="982"/>
      <c r="BT17" s="982"/>
      <c r="BU17" s="982"/>
      <c r="BV17" s="982"/>
      <c r="BW17" s="982" t="str">
        <f>MID(SUVAHAVUJ!AD8,5,1)</f>
        <v xml:space="preserve"> </v>
      </c>
      <c r="BX17" s="982"/>
      <c r="BY17" s="982"/>
      <c r="BZ17" s="982"/>
      <c r="CA17" s="982"/>
      <c r="CB17" s="982"/>
      <c r="CC17" s="982" t="str">
        <f>MID(SUVAHAVUJ!AD8,6,1)</f>
        <v xml:space="preserve"> </v>
      </c>
      <c r="CD17" s="982"/>
      <c r="CE17" s="982"/>
      <c r="CF17" s="982"/>
      <c r="CG17" s="982"/>
      <c r="CH17" s="982" t="str">
        <f>MID(SUVAHAVUJ!AD8,7,1)</f>
        <v xml:space="preserve"> </v>
      </c>
      <c r="CI17" s="982"/>
      <c r="CJ17" s="982"/>
      <c r="CK17" s="982"/>
      <c r="CL17" s="982"/>
      <c r="CM17" s="982"/>
      <c r="CN17" s="982" t="str">
        <f>MID(SUVAHAVUJ!AD8,8,1)</f>
        <v xml:space="preserve"> </v>
      </c>
      <c r="CO17" s="982"/>
      <c r="CP17" s="982"/>
      <c r="CQ17" s="982"/>
      <c r="CR17" s="982"/>
      <c r="CS17" s="982" t="str">
        <f>MID(SUVAHAVUJ!AD8,9,1)</f>
        <v xml:space="preserve"> </v>
      </c>
      <c r="CT17" s="982"/>
      <c r="CU17" s="982"/>
      <c r="CV17" s="982"/>
      <c r="CW17" s="982"/>
      <c r="CX17" s="982"/>
      <c r="CY17" s="982" t="str">
        <f>MID(SUVAHAVUJ!AD8,10,1)</f>
        <v xml:space="preserve"> </v>
      </c>
      <c r="CZ17" s="982"/>
      <c r="DA17" s="982"/>
      <c r="DB17" s="982"/>
      <c r="DC17" s="982"/>
      <c r="DD17" s="978" t="str">
        <f>MID(SUVAHAVUJ!AD8,11,1)</f>
        <v>0</v>
      </c>
      <c r="DE17" s="978"/>
      <c r="DF17" s="978"/>
      <c r="DG17" s="978"/>
      <c r="DH17" s="978"/>
      <c r="DI17" s="978"/>
      <c r="DJ17" s="648"/>
      <c r="DK17" s="649"/>
      <c r="DL17" s="976" t="str">
        <f>MID(SUVAHAVUJ!AF8,1,1)</f>
        <v xml:space="preserve"> </v>
      </c>
      <c r="DM17" s="976"/>
      <c r="DN17" s="976"/>
      <c r="DO17" s="976"/>
      <c r="DP17" s="976"/>
      <c r="DQ17" s="976"/>
      <c r="DR17" s="976" t="str">
        <f>MID(SUVAHAVUJ!AF8,2,1)</f>
        <v xml:space="preserve"> </v>
      </c>
      <c r="DS17" s="976"/>
      <c r="DT17" s="976"/>
      <c r="DU17" s="976"/>
      <c r="DV17" s="976"/>
      <c r="DW17" s="976" t="str">
        <f>MID(SUVAHAVUJ!AF8,3,1)</f>
        <v xml:space="preserve"> </v>
      </c>
      <c r="DX17" s="976"/>
      <c r="DY17" s="976"/>
      <c r="DZ17" s="976"/>
      <c r="EA17" s="976"/>
      <c r="EB17" s="976"/>
      <c r="EC17" s="976" t="str">
        <f>MID(SUVAHAVUJ!AF8,4,1)</f>
        <v xml:space="preserve"> </v>
      </c>
      <c r="ED17" s="976"/>
      <c r="EE17" s="976"/>
      <c r="EF17" s="976"/>
      <c r="EG17" s="976"/>
      <c r="EH17" s="976" t="str">
        <f>MID(SUVAHAVUJ!AF8,5,1)</f>
        <v xml:space="preserve"> </v>
      </c>
      <c r="EI17" s="976"/>
      <c r="EJ17" s="976"/>
      <c r="EK17" s="976"/>
      <c r="EL17" s="976"/>
      <c r="EM17" s="976"/>
      <c r="EN17" s="976" t="str">
        <f>MID(SUVAHAVUJ!AF8,6,1)</f>
        <v xml:space="preserve"> </v>
      </c>
      <c r="EO17" s="976"/>
      <c r="EP17" s="976"/>
      <c r="EQ17" s="976"/>
      <c r="ER17" s="976"/>
      <c r="ES17" s="976" t="str">
        <f>MID(SUVAHAVUJ!AF8,7,1)</f>
        <v xml:space="preserve"> </v>
      </c>
      <c r="ET17" s="976"/>
      <c r="EU17" s="976"/>
      <c r="EV17" s="976"/>
      <c r="EW17" s="976"/>
      <c r="EX17" s="976"/>
      <c r="EY17" s="976" t="str">
        <f>MID(SUVAHAVUJ!AF8,8,1)</f>
        <v xml:space="preserve"> </v>
      </c>
      <c r="EZ17" s="976"/>
      <c r="FA17" s="976"/>
      <c r="FB17" s="976"/>
      <c r="FC17" s="976"/>
      <c r="FD17" s="976" t="str">
        <f>MID(SUVAHAVUJ!AF8,9,1)</f>
        <v xml:space="preserve"> </v>
      </c>
      <c r="FE17" s="976"/>
      <c r="FF17" s="976"/>
      <c r="FG17" s="976"/>
      <c r="FH17" s="976"/>
      <c r="FI17" s="976"/>
      <c r="FJ17" s="976" t="str">
        <f>MID(SUVAHAVUJ!AF8,10,1)</f>
        <v xml:space="preserve"> </v>
      </c>
      <c r="FK17" s="976"/>
      <c r="FL17" s="976"/>
      <c r="FM17" s="976"/>
      <c r="FN17" s="976"/>
      <c r="FO17" s="978" t="str">
        <f>MID(SUVAHAVUJ!AF8,11,1)</f>
        <v>0</v>
      </c>
      <c r="FP17" s="978"/>
      <c r="FQ17" s="978"/>
      <c r="FR17" s="978"/>
      <c r="FS17" s="978"/>
      <c r="FT17" s="979"/>
      <c r="FU17" s="979"/>
      <c r="FV17" s="979"/>
      <c r="FW17" s="979"/>
      <c r="FX17" s="979"/>
      <c r="FY17" s="979"/>
      <c r="FZ17" s="979"/>
      <c r="GA17" s="979"/>
      <c r="GB17" s="979"/>
      <c r="GC17" s="979"/>
      <c r="GD17" s="979"/>
      <c r="GE17" s="979"/>
      <c r="GF17" s="979"/>
      <c r="GG17" s="979"/>
      <c r="GH17" s="979"/>
      <c r="GI17" s="979"/>
      <c r="GJ17" s="979"/>
      <c r="GK17" s="979"/>
      <c r="GL17" s="979"/>
      <c r="GM17" s="979"/>
      <c r="GN17" s="979"/>
      <c r="GO17" s="979"/>
      <c r="GP17" s="979"/>
      <c r="GQ17" s="979"/>
      <c r="GR17" s="979"/>
      <c r="GS17" s="979"/>
      <c r="GT17" s="979"/>
      <c r="GU17" s="979"/>
      <c r="GV17" s="979"/>
      <c r="GW17" s="979"/>
    </row>
    <row r="18" spans="1:205" ht="23.25" customHeight="1" x14ac:dyDescent="0.3">
      <c r="A18" s="972"/>
      <c r="B18" s="985"/>
      <c r="C18" s="985"/>
      <c r="D18" s="985"/>
      <c r="E18" s="985"/>
      <c r="F18" s="985"/>
      <c r="G18" s="985"/>
      <c r="H18" s="985"/>
      <c r="I18" s="985"/>
      <c r="J18" s="985"/>
      <c r="K18" s="985"/>
      <c r="L18" s="984"/>
      <c r="M18" s="984"/>
      <c r="N18" s="984"/>
      <c r="O18" s="984"/>
      <c r="P18" s="984"/>
      <c r="Q18" s="984"/>
      <c r="R18" s="984"/>
      <c r="S18" s="984"/>
      <c r="T18" s="984"/>
      <c r="U18" s="984"/>
      <c r="V18" s="984"/>
      <c r="W18" s="984"/>
      <c r="X18" s="984"/>
      <c r="Y18" s="984"/>
      <c r="Z18" s="984"/>
      <c r="AA18" s="984"/>
      <c r="AB18" s="984"/>
      <c r="AC18" s="984"/>
      <c r="AD18" s="984"/>
      <c r="AE18" s="984"/>
      <c r="AF18" s="984"/>
      <c r="AG18" s="984"/>
      <c r="AH18" s="984"/>
      <c r="AI18" s="984"/>
      <c r="AJ18" s="984"/>
      <c r="AK18" s="984"/>
      <c r="AL18" s="984"/>
      <c r="AM18" s="984"/>
      <c r="AN18" s="984"/>
      <c r="AO18" s="984"/>
      <c r="AP18" s="984"/>
      <c r="AQ18" s="975"/>
      <c r="AR18" s="975"/>
      <c r="AS18" s="975"/>
      <c r="AT18" s="975"/>
      <c r="AU18" s="975"/>
      <c r="AV18" s="975"/>
      <c r="AW18" s="975"/>
      <c r="AX18" s="975"/>
      <c r="AY18" s="648"/>
      <c r="AZ18" s="649"/>
      <c r="BA18" s="976" t="str">
        <f>MID(SUVAHAVUJ!AE8,1,1)</f>
        <v xml:space="preserve"> </v>
      </c>
      <c r="BB18" s="976"/>
      <c r="BC18" s="976"/>
      <c r="BD18" s="976"/>
      <c r="BE18" s="976"/>
      <c r="BF18" s="976"/>
      <c r="BG18" s="976" t="str">
        <f>MID(SUVAHAVUJ!AE8,2,1)</f>
        <v xml:space="preserve"> </v>
      </c>
      <c r="BH18" s="976"/>
      <c r="BI18" s="976"/>
      <c r="BJ18" s="976"/>
      <c r="BK18" s="976"/>
      <c r="BL18" s="976" t="str">
        <f>MID(SUVAHAVUJ!AE8,3,1)</f>
        <v xml:space="preserve"> </v>
      </c>
      <c r="BM18" s="976"/>
      <c r="BN18" s="976"/>
      <c r="BO18" s="976"/>
      <c r="BP18" s="976"/>
      <c r="BQ18" s="976"/>
      <c r="BR18" s="976" t="str">
        <f>MID(SUVAHAVUJ!AE8,4,1)</f>
        <v xml:space="preserve"> </v>
      </c>
      <c r="BS18" s="976"/>
      <c r="BT18" s="976"/>
      <c r="BU18" s="976"/>
      <c r="BV18" s="976"/>
      <c r="BW18" s="976" t="str">
        <f>MID(SUVAHAVUJ!AE8,5,1)</f>
        <v xml:space="preserve"> </v>
      </c>
      <c r="BX18" s="976"/>
      <c r="BY18" s="976"/>
      <c r="BZ18" s="976"/>
      <c r="CA18" s="976"/>
      <c r="CB18" s="976"/>
      <c r="CC18" s="976" t="str">
        <f>MID(SUVAHAVUJ!AE8,6,1)</f>
        <v xml:space="preserve"> </v>
      </c>
      <c r="CD18" s="976"/>
      <c r="CE18" s="976"/>
      <c r="CF18" s="976"/>
      <c r="CG18" s="976"/>
      <c r="CH18" s="976" t="str">
        <f>MID(SUVAHAVUJ!AE8,7,1)</f>
        <v xml:space="preserve"> </v>
      </c>
      <c r="CI18" s="976"/>
      <c r="CJ18" s="976"/>
      <c r="CK18" s="976"/>
      <c r="CL18" s="976"/>
      <c r="CM18" s="976"/>
      <c r="CN18" s="976" t="str">
        <f>MID(SUVAHAVUJ!AE8,8,1)</f>
        <v xml:space="preserve"> </v>
      </c>
      <c r="CO18" s="976"/>
      <c r="CP18" s="976"/>
      <c r="CQ18" s="976"/>
      <c r="CR18" s="976"/>
      <c r="CS18" s="976" t="str">
        <f>MID(SUVAHAVUJ!AE8,9,1)</f>
        <v xml:space="preserve"> </v>
      </c>
      <c r="CT18" s="976"/>
      <c r="CU18" s="976"/>
      <c r="CV18" s="976"/>
      <c r="CW18" s="976"/>
      <c r="CX18" s="976"/>
      <c r="CY18" s="976" t="str">
        <f>MID(SUVAHAVUJ!AE8,10,1)</f>
        <v xml:space="preserve"> </v>
      </c>
      <c r="CZ18" s="976"/>
      <c r="DA18" s="976"/>
      <c r="DB18" s="976"/>
      <c r="DC18" s="976"/>
      <c r="DD18" s="977" t="str">
        <f>MID(SUVAHAVUJ!AE8,11,1)</f>
        <v>0</v>
      </c>
      <c r="DE18" s="977"/>
      <c r="DF18" s="977"/>
      <c r="DG18" s="977"/>
      <c r="DH18" s="977"/>
      <c r="DI18" s="977"/>
      <c r="DJ18" s="980"/>
      <c r="DK18" s="980"/>
      <c r="DL18" s="980"/>
      <c r="DM18" s="980"/>
      <c r="DN18" s="980"/>
      <c r="DO18" s="980"/>
      <c r="DP18" s="980"/>
      <c r="DQ18" s="980"/>
      <c r="DR18" s="980"/>
      <c r="DS18" s="980"/>
      <c r="DT18" s="980"/>
      <c r="DU18" s="980"/>
      <c r="DV18" s="980"/>
      <c r="DW18" s="980"/>
      <c r="DX18" s="980"/>
      <c r="DY18" s="980"/>
      <c r="DZ18" s="980"/>
      <c r="EA18" s="980"/>
      <c r="EB18" s="980"/>
      <c r="EC18" s="980"/>
      <c r="ED18" s="980"/>
      <c r="EE18" s="980"/>
      <c r="EF18" s="980"/>
      <c r="EG18" s="980"/>
      <c r="EH18" s="980"/>
      <c r="EI18" s="980"/>
      <c r="EJ18" s="980"/>
      <c r="EK18" s="980"/>
      <c r="EL18" s="980"/>
      <c r="EM18" s="980"/>
      <c r="EN18" s="648"/>
      <c r="EO18" s="649"/>
      <c r="EP18" s="976" t="str">
        <f>MID(SUVAHAVUJ!AG8,1,1)</f>
        <v xml:space="preserve"> </v>
      </c>
      <c r="EQ18" s="976"/>
      <c r="ER18" s="976"/>
      <c r="ES18" s="976"/>
      <c r="ET18" s="976"/>
      <c r="EU18" s="976"/>
      <c r="EV18" s="976" t="str">
        <f>MID(SUVAHAVUJ!AG8,2,1)</f>
        <v xml:space="preserve"> </v>
      </c>
      <c r="EW18" s="976"/>
      <c r="EX18" s="976"/>
      <c r="EY18" s="976"/>
      <c r="EZ18" s="976"/>
      <c r="FA18" s="976" t="str">
        <f>MID(SUVAHAVUJ!AG8,3,1)</f>
        <v xml:space="preserve"> </v>
      </c>
      <c r="FB18" s="976"/>
      <c r="FC18" s="976"/>
      <c r="FD18" s="976"/>
      <c r="FE18" s="976"/>
      <c r="FF18" s="976"/>
      <c r="FG18" s="976" t="str">
        <f>MID(SUVAHAVUJ!AG8,4,1)</f>
        <v xml:space="preserve"> </v>
      </c>
      <c r="FH18" s="976"/>
      <c r="FI18" s="976"/>
      <c r="FJ18" s="976"/>
      <c r="FK18" s="976"/>
      <c r="FL18" s="976" t="str">
        <f>MID(SUVAHAVUJ!AG8,5,1)</f>
        <v xml:space="preserve"> </v>
      </c>
      <c r="FM18" s="976"/>
      <c r="FN18" s="976"/>
      <c r="FO18" s="976"/>
      <c r="FP18" s="976"/>
      <c r="FQ18" s="976"/>
      <c r="FR18" s="976" t="str">
        <f>MID(SUVAHAVUJ!AG8,6,1)</f>
        <v xml:space="preserve"> </v>
      </c>
      <c r="FS18" s="976"/>
      <c r="FT18" s="976"/>
      <c r="FU18" s="976"/>
      <c r="FV18" s="976"/>
      <c r="FW18" s="976" t="str">
        <f>MID(SUVAHAVUJ!AG8,7,1)</f>
        <v xml:space="preserve"> </v>
      </c>
      <c r="FX18" s="976"/>
      <c r="FY18" s="976"/>
      <c r="FZ18" s="976"/>
      <c r="GA18" s="976"/>
      <c r="GB18" s="976"/>
      <c r="GC18" s="976" t="str">
        <f>MID(SUVAHAVUJ!AG8,8,1)</f>
        <v xml:space="preserve"> </v>
      </c>
      <c r="GD18" s="976"/>
      <c r="GE18" s="976"/>
      <c r="GF18" s="976"/>
      <c r="GG18" s="976"/>
      <c r="GH18" s="976" t="str">
        <f>MID(SUVAHAVUJ!AG8,9,1)</f>
        <v xml:space="preserve"> </v>
      </c>
      <c r="GI18" s="976"/>
      <c r="GJ18" s="976"/>
      <c r="GK18" s="976"/>
      <c r="GL18" s="976"/>
      <c r="GM18" s="976"/>
      <c r="GN18" s="976" t="str">
        <f>MID(SUVAHAVUJ!AG8,10,1)</f>
        <v xml:space="preserve"> </v>
      </c>
      <c r="GO18" s="976"/>
      <c r="GP18" s="976"/>
      <c r="GQ18" s="976"/>
      <c r="GR18" s="976"/>
      <c r="GS18" s="978" t="str">
        <f>MID(SUVAHAVUJ!AG8,11,1)</f>
        <v>0</v>
      </c>
      <c r="GT18" s="978"/>
      <c r="GU18" s="978"/>
      <c r="GV18" s="978"/>
      <c r="GW18" s="978"/>
    </row>
    <row r="19" spans="1:205" s="650" customFormat="1" ht="23.25" customHeight="1" x14ac:dyDescent="0.3">
      <c r="A19" s="972">
        <v>7</v>
      </c>
      <c r="B19" s="985" t="s">
        <v>2168</v>
      </c>
      <c r="C19" s="985"/>
      <c r="D19" s="985"/>
      <c r="E19" s="985"/>
      <c r="F19" s="985"/>
      <c r="G19" s="985"/>
      <c r="H19" s="985"/>
      <c r="I19" s="985"/>
      <c r="J19" s="985"/>
      <c r="K19" s="985"/>
      <c r="L19" s="984" t="str">
        <f>SUVAHAVUJ!$D9</f>
        <v>Goodwill (015) - /075, 091A/</v>
      </c>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c r="AM19" s="984"/>
      <c r="AN19" s="984"/>
      <c r="AO19" s="984"/>
      <c r="AP19" s="984"/>
      <c r="AQ19" s="975" t="s">
        <v>1235</v>
      </c>
      <c r="AR19" s="975"/>
      <c r="AS19" s="975"/>
      <c r="AT19" s="975"/>
      <c r="AU19" s="975"/>
      <c r="AV19" s="975"/>
      <c r="AW19" s="975"/>
      <c r="AX19" s="975"/>
      <c r="AY19" s="648"/>
      <c r="AZ19" s="649"/>
      <c r="BA19" s="982" t="str">
        <f>MID(SUVAHAVUJ!AD9,1,1)</f>
        <v xml:space="preserve"> </v>
      </c>
      <c r="BB19" s="982"/>
      <c r="BC19" s="982"/>
      <c r="BD19" s="982"/>
      <c r="BE19" s="982"/>
      <c r="BF19" s="982"/>
      <c r="BG19" s="982" t="str">
        <f>MID(SUVAHAVUJ!AD9,2,1)</f>
        <v xml:space="preserve"> </v>
      </c>
      <c r="BH19" s="982"/>
      <c r="BI19" s="982"/>
      <c r="BJ19" s="982"/>
      <c r="BK19" s="982"/>
      <c r="BL19" s="982" t="str">
        <f>MID(SUVAHAVUJ!AD9,3,1)</f>
        <v xml:space="preserve"> </v>
      </c>
      <c r="BM19" s="982"/>
      <c r="BN19" s="982"/>
      <c r="BO19" s="982"/>
      <c r="BP19" s="982"/>
      <c r="BQ19" s="982"/>
      <c r="BR19" s="982" t="str">
        <f>MID(SUVAHAVUJ!AD9,4,1)</f>
        <v xml:space="preserve"> </v>
      </c>
      <c r="BS19" s="982"/>
      <c r="BT19" s="982"/>
      <c r="BU19" s="982"/>
      <c r="BV19" s="982"/>
      <c r="BW19" s="982" t="str">
        <f>MID(SUVAHAVUJ!AD9,5,1)</f>
        <v xml:space="preserve"> </v>
      </c>
      <c r="BX19" s="982"/>
      <c r="BY19" s="982"/>
      <c r="BZ19" s="982"/>
      <c r="CA19" s="982"/>
      <c r="CB19" s="982"/>
      <c r="CC19" s="982" t="str">
        <f>MID(SUVAHAVUJ!AD9,6,1)</f>
        <v xml:space="preserve"> </v>
      </c>
      <c r="CD19" s="982"/>
      <c r="CE19" s="982"/>
      <c r="CF19" s="982"/>
      <c r="CG19" s="982"/>
      <c r="CH19" s="982" t="str">
        <f>MID(SUVAHAVUJ!AD9,7,1)</f>
        <v xml:space="preserve"> </v>
      </c>
      <c r="CI19" s="982"/>
      <c r="CJ19" s="982"/>
      <c r="CK19" s="982"/>
      <c r="CL19" s="982"/>
      <c r="CM19" s="982"/>
      <c r="CN19" s="982" t="str">
        <f>MID(SUVAHAVUJ!AD9,8,1)</f>
        <v xml:space="preserve"> </v>
      </c>
      <c r="CO19" s="982"/>
      <c r="CP19" s="982"/>
      <c r="CQ19" s="982"/>
      <c r="CR19" s="982"/>
      <c r="CS19" s="982" t="str">
        <f>MID(SUVAHAVUJ!AD9,9,1)</f>
        <v xml:space="preserve"> </v>
      </c>
      <c r="CT19" s="982"/>
      <c r="CU19" s="982"/>
      <c r="CV19" s="982"/>
      <c r="CW19" s="982"/>
      <c r="CX19" s="982"/>
      <c r="CY19" s="982" t="str">
        <f>MID(SUVAHAVUJ!AD9,10,1)</f>
        <v xml:space="preserve"> </v>
      </c>
      <c r="CZ19" s="982"/>
      <c r="DA19" s="982"/>
      <c r="DB19" s="982"/>
      <c r="DC19" s="982"/>
      <c r="DD19" s="978" t="str">
        <f>MID(SUVAHAVUJ!AD9,11,1)</f>
        <v>0</v>
      </c>
      <c r="DE19" s="978"/>
      <c r="DF19" s="978"/>
      <c r="DG19" s="978"/>
      <c r="DH19" s="978"/>
      <c r="DI19" s="978"/>
      <c r="DJ19" s="648"/>
      <c r="DK19" s="649"/>
      <c r="DL19" s="976" t="str">
        <f>MID(SUVAHAVUJ!AF9,1,1)</f>
        <v xml:space="preserve"> </v>
      </c>
      <c r="DM19" s="976"/>
      <c r="DN19" s="976"/>
      <c r="DO19" s="976"/>
      <c r="DP19" s="976"/>
      <c r="DQ19" s="976"/>
      <c r="DR19" s="976" t="str">
        <f>MID(SUVAHAVUJ!AF9,2,1)</f>
        <v xml:space="preserve"> </v>
      </c>
      <c r="DS19" s="976"/>
      <c r="DT19" s="976"/>
      <c r="DU19" s="976"/>
      <c r="DV19" s="976"/>
      <c r="DW19" s="976" t="str">
        <f>MID(SUVAHAVUJ!AF9,3,1)</f>
        <v xml:space="preserve"> </v>
      </c>
      <c r="DX19" s="976"/>
      <c r="DY19" s="976"/>
      <c r="DZ19" s="976"/>
      <c r="EA19" s="976"/>
      <c r="EB19" s="976"/>
      <c r="EC19" s="976" t="str">
        <f>MID(SUVAHAVUJ!AF9,4,1)</f>
        <v xml:space="preserve"> </v>
      </c>
      <c r="ED19" s="976"/>
      <c r="EE19" s="976"/>
      <c r="EF19" s="976"/>
      <c r="EG19" s="976"/>
      <c r="EH19" s="976" t="str">
        <f>MID(SUVAHAVUJ!AF9,5,1)</f>
        <v xml:space="preserve"> </v>
      </c>
      <c r="EI19" s="976"/>
      <c r="EJ19" s="976"/>
      <c r="EK19" s="976"/>
      <c r="EL19" s="976"/>
      <c r="EM19" s="976"/>
      <c r="EN19" s="976" t="str">
        <f>MID(SUVAHAVUJ!AF9,6,1)</f>
        <v xml:space="preserve"> </v>
      </c>
      <c r="EO19" s="976"/>
      <c r="EP19" s="976"/>
      <c r="EQ19" s="976"/>
      <c r="ER19" s="976"/>
      <c r="ES19" s="976" t="str">
        <f>MID(SUVAHAVUJ!AF9,7,1)</f>
        <v xml:space="preserve"> </v>
      </c>
      <c r="ET19" s="976"/>
      <c r="EU19" s="976"/>
      <c r="EV19" s="976"/>
      <c r="EW19" s="976"/>
      <c r="EX19" s="976"/>
      <c r="EY19" s="976" t="str">
        <f>MID(SUVAHAVUJ!AF9,8,1)</f>
        <v xml:space="preserve"> </v>
      </c>
      <c r="EZ19" s="976"/>
      <c r="FA19" s="976"/>
      <c r="FB19" s="976"/>
      <c r="FC19" s="976"/>
      <c r="FD19" s="976" t="str">
        <f>MID(SUVAHAVUJ!AF9,9,1)</f>
        <v xml:space="preserve"> </v>
      </c>
      <c r="FE19" s="976"/>
      <c r="FF19" s="976"/>
      <c r="FG19" s="976"/>
      <c r="FH19" s="976"/>
      <c r="FI19" s="976"/>
      <c r="FJ19" s="976" t="str">
        <f>MID(SUVAHAVUJ!AF9,10,1)</f>
        <v xml:space="preserve"> </v>
      </c>
      <c r="FK19" s="976"/>
      <c r="FL19" s="976"/>
      <c r="FM19" s="976"/>
      <c r="FN19" s="976"/>
      <c r="FO19" s="978" t="str">
        <f>MID(SUVAHAVUJ!AF9,11,1)</f>
        <v>0</v>
      </c>
      <c r="FP19" s="978"/>
      <c r="FQ19" s="978"/>
      <c r="FR19" s="978"/>
      <c r="FS19" s="978"/>
      <c r="FT19" s="979"/>
      <c r="FU19" s="979"/>
      <c r="FV19" s="979"/>
      <c r="FW19" s="979"/>
      <c r="FX19" s="979"/>
      <c r="FY19" s="979"/>
      <c r="FZ19" s="979"/>
      <c r="GA19" s="979"/>
      <c r="GB19" s="979"/>
      <c r="GC19" s="979"/>
      <c r="GD19" s="979"/>
      <c r="GE19" s="979"/>
      <c r="GF19" s="979"/>
      <c r="GG19" s="979"/>
      <c r="GH19" s="979"/>
      <c r="GI19" s="979"/>
      <c r="GJ19" s="979"/>
      <c r="GK19" s="979"/>
      <c r="GL19" s="979"/>
      <c r="GM19" s="979"/>
      <c r="GN19" s="979"/>
      <c r="GO19" s="979"/>
      <c r="GP19" s="979"/>
      <c r="GQ19" s="979"/>
      <c r="GR19" s="979"/>
      <c r="GS19" s="979"/>
      <c r="GT19" s="979"/>
      <c r="GU19" s="979"/>
      <c r="GV19" s="979"/>
      <c r="GW19" s="979"/>
    </row>
    <row r="20" spans="1:205" ht="24" customHeight="1" x14ac:dyDescent="0.3">
      <c r="A20" s="972"/>
      <c r="B20" s="985"/>
      <c r="C20" s="985"/>
      <c r="D20" s="985"/>
      <c r="E20" s="985"/>
      <c r="F20" s="985"/>
      <c r="G20" s="985"/>
      <c r="H20" s="985"/>
      <c r="I20" s="985"/>
      <c r="J20" s="985"/>
      <c r="K20" s="985"/>
      <c r="L20" s="984"/>
      <c r="M20" s="984"/>
      <c r="N20" s="984"/>
      <c r="O20" s="984"/>
      <c r="P20" s="984"/>
      <c r="Q20" s="984"/>
      <c r="R20" s="984"/>
      <c r="S20" s="984"/>
      <c r="T20" s="984"/>
      <c r="U20" s="984"/>
      <c r="V20" s="984"/>
      <c r="W20" s="984"/>
      <c r="X20" s="984"/>
      <c r="Y20" s="984"/>
      <c r="Z20" s="984"/>
      <c r="AA20" s="984"/>
      <c r="AB20" s="984"/>
      <c r="AC20" s="984"/>
      <c r="AD20" s="984"/>
      <c r="AE20" s="984"/>
      <c r="AF20" s="984"/>
      <c r="AG20" s="984"/>
      <c r="AH20" s="984"/>
      <c r="AI20" s="984"/>
      <c r="AJ20" s="984"/>
      <c r="AK20" s="984"/>
      <c r="AL20" s="984"/>
      <c r="AM20" s="984"/>
      <c r="AN20" s="984"/>
      <c r="AO20" s="984"/>
      <c r="AP20" s="984"/>
      <c r="AQ20" s="975"/>
      <c r="AR20" s="975"/>
      <c r="AS20" s="975"/>
      <c r="AT20" s="975"/>
      <c r="AU20" s="975"/>
      <c r="AV20" s="975"/>
      <c r="AW20" s="975"/>
      <c r="AX20" s="975"/>
      <c r="AY20" s="648"/>
      <c r="AZ20" s="649"/>
      <c r="BA20" s="976" t="str">
        <f>MID(SUVAHAVUJ!AE9,1,1)</f>
        <v xml:space="preserve"> </v>
      </c>
      <c r="BB20" s="976"/>
      <c r="BC20" s="976"/>
      <c r="BD20" s="976"/>
      <c r="BE20" s="976"/>
      <c r="BF20" s="976"/>
      <c r="BG20" s="976" t="str">
        <f>MID(SUVAHAVUJ!AE9,2,1)</f>
        <v xml:space="preserve"> </v>
      </c>
      <c r="BH20" s="976"/>
      <c r="BI20" s="976"/>
      <c r="BJ20" s="976"/>
      <c r="BK20" s="976"/>
      <c r="BL20" s="976" t="str">
        <f>MID(SUVAHAVUJ!AE9,3,1)</f>
        <v xml:space="preserve"> </v>
      </c>
      <c r="BM20" s="976"/>
      <c r="BN20" s="976"/>
      <c r="BO20" s="976"/>
      <c r="BP20" s="976"/>
      <c r="BQ20" s="976"/>
      <c r="BR20" s="976" t="str">
        <f>MID(SUVAHAVUJ!AE9,4,1)</f>
        <v xml:space="preserve"> </v>
      </c>
      <c r="BS20" s="976"/>
      <c r="BT20" s="976"/>
      <c r="BU20" s="976"/>
      <c r="BV20" s="976"/>
      <c r="BW20" s="976" t="str">
        <f>MID(SUVAHAVUJ!AE9,5,1)</f>
        <v xml:space="preserve"> </v>
      </c>
      <c r="BX20" s="976"/>
      <c r="BY20" s="976"/>
      <c r="BZ20" s="976"/>
      <c r="CA20" s="976"/>
      <c r="CB20" s="976"/>
      <c r="CC20" s="976" t="str">
        <f>MID(SUVAHAVUJ!AE9,6,1)</f>
        <v xml:space="preserve"> </v>
      </c>
      <c r="CD20" s="976"/>
      <c r="CE20" s="976"/>
      <c r="CF20" s="976"/>
      <c r="CG20" s="976"/>
      <c r="CH20" s="976" t="str">
        <f>MID(SUVAHAVUJ!AE9,7,1)</f>
        <v xml:space="preserve"> </v>
      </c>
      <c r="CI20" s="976"/>
      <c r="CJ20" s="976"/>
      <c r="CK20" s="976"/>
      <c r="CL20" s="976"/>
      <c r="CM20" s="976"/>
      <c r="CN20" s="976" t="str">
        <f>MID(SUVAHAVUJ!AE9,8,1)</f>
        <v xml:space="preserve"> </v>
      </c>
      <c r="CO20" s="976"/>
      <c r="CP20" s="976"/>
      <c r="CQ20" s="976"/>
      <c r="CR20" s="976"/>
      <c r="CS20" s="976" t="str">
        <f>MID(SUVAHAVUJ!AE9,9,1)</f>
        <v xml:space="preserve"> </v>
      </c>
      <c r="CT20" s="976"/>
      <c r="CU20" s="976"/>
      <c r="CV20" s="976"/>
      <c r="CW20" s="976"/>
      <c r="CX20" s="976"/>
      <c r="CY20" s="976" t="str">
        <f>MID(SUVAHAVUJ!AE9,10,1)</f>
        <v xml:space="preserve"> </v>
      </c>
      <c r="CZ20" s="976"/>
      <c r="DA20" s="976"/>
      <c r="DB20" s="976"/>
      <c r="DC20" s="976"/>
      <c r="DD20" s="977" t="str">
        <f>MID(SUVAHAVUJ!AE9,11,1)</f>
        <v>0</v>
      </c>
      <c r="DE20" s="977"/>
      <c r="DF20" s="977"/>
      <c r="DG20" s="977"/>
      <c r="DH20" s="977"/>
      <c r="DI20" s="977"/>
      <c r="DJ20" s="980"/>
      <c r="DK20" s="980"/>
      <c r="DL20" s="980"/>
      <c r="DM20" s="980"/>
      <c r="DN20" s="980"/>
      <c r="DO20" s="980"/>
      <c r="DP20" s="980"/>
      <c r="DQ20" s="980"/>
      <c r="DR20" s="980"/>
      <c r="DS20" s="980"/>
      <c r="DT20" s="980"/>
      <c r="DU20" s="980"/>
      <c r="DV20" s="980"/>
      <c r="DW20" s="980"/>
      <c r="DX20" s="980"/>
      <c r="DY20" s="980"/>
      <c r="DZ20" s="980"/>
      <c r="EA20" s="980"/>
      <c r="EB20" s="980"/>
      <c r="EC20" s="980"/>
      <c r="ED20" s="980"/>
      <c r="EE20" s="980"/>
      <c r="EF20" s="980"/>
      <c r="EG20" s="980"/>
      <c r="EH20" s="980"/>
      <c r="EI20" s="980"/>
      <c r="EJ20" s="980"/>
      <c r="EK20" s="980"/>
      <c r="EL20" s="980"/>
      <c r="EM20" s="980"/>
      <c r="EN20" s="648"/>
      <c r="EO20" s="649"/>
      <c r="EP20" s="976" t="str">
        <f>MID(SUVAHAVUJ!AG9,1,1)</f>
        <v xml:space="preserve"> </v>
      </c>
      <c r="EQ20" s="976"/>
      <c r="ER20" s="976"/>
      <c r="ES20" s="976"/>
      <c r="ET20" s="976"/>
      <c r="EU20" s="976"/>
      <c r="EV20" s="976" t="str">
        <f>MID(SUVAHAVUJ!AG9,2,1)</f>
        <v xml:space="preserve"> </v>
      </c>
      <c r="EW20" s="976"/>
      <c r="EX20" s="976"/>
      <c r="EY20" s="976"/>
      <c r="EZ20" s="976"/>
      <c r="FA20" s="976" t="str">
        <f>MID(SUVAHAVUJ!AG9,3,1)</f>
        <v xml:space="preserve"> </v>
      </c>
      <c r="FB20" s="976"/>
      <c r="FC20" s="976"/>
      <c r="FD20" s="976"/>
      <c r="FE20" s="976"/>
      <c r="FF20" s="976"/>
      <c r="FG20" s="976" t="str">
        <f>MID(SUVAHAVUJ!AG9,4,1)</f>
        <v xml:space="preserve"> </v>
      </c>
      <c r="FH20" s="976"/>
      <c r="FI20" s="976"/>
      <c r="FJ20" s="976"/>
      <c r="FK20" s="976"/>
      <c r="FL20" s="976" t="str">
        <f>MID(SUVAHAVUJ!AG9,5,1)</f>
        <v xml:space="preserve"> </v>
      </c>
      <c r="FM20" s="976"/>
      <c r="FN20" s="976"/>
      <c r="FO20" s="976"/>
      <c r="FP20" s="976"/>
      <c r="FQ20" s="976"/>
      <c r="FR20" s="976" t="str">
        <f>MID(SUVAHAVUJ!AG9,6,1)</f>
        <v xml:space="preserve"> </v>
      </c>
      <c r="FS20" s="976"/>
      <c r="FT20" s="976"/>
      <c r="FU20" s="976"/>
      <c r="FV20" s="976"/>
      <c r="FW20" s="976" t="str">
        <f>MID(SUVAHAVUJ!AG9,7,1)</f>
        <v xml:space="preserve"> </v>
      </c>
      <c r="FX20" s="976"/>
      <c r="FY20" s="976"/>
      <c r="FZ20" s="976"/>
      <c r="GA20" s="976"/>
      <c r="GB20" s="976"/>
      <c r="GC20" s="976" t="str">
        <f>MID(SUVAHAVUJ!AG9,8,1)</f>
        <v xml:space="preserve"> </v>
      </c>
      <c r="GD20" s="976"/>
      <c r="GE20" s="976"/>
      <c r="GF20" s="976"/>
      <c r="GG20" s="976"/>
      <c r="GH20" s="976" t="str">
        <f>MID(SUVAHAVUJ!AG9,9,1)</f>
        <v xml:space="preserve"> </v>
      </c>
      <c r="GI20" s="976"/>
      <c r="GJ20" s="976"/>
      <c r="GK20" s="976"/>
      <c r="GL20" s="976"/>
      <c r="GM20" s="976"/>
      <c r="GN20" s="976" t="str">
        <f>MID(SUVAHAVUJ!AG9,10,1)</f>
        <v xml:space="preserve"> </v>
      </c>
      <c r="GO20" s="976"/>
      <c r="GP20" s="976"/>
      <c r="GQ20" s="976"/>
      <c r="GR20" s="976"/>
      <c r="GS20" s="978" t="str">
        <f>MID(SUVAHAVUJ!AG9,11,1)</f>
        <v>0</v>
      </c>
      <c r="GT20" s="978"/>
      <c r="GU20" s="978"/>
      <c r="GV20" s="978"/>
      <c r="GW20" s="978"/>
    </row>
    <row r="21" spans="1:205" s="650" customFormat="1" ht="23.25" customHeight="1" x14ac:dyDescent="0.3">
      <c r="A21" s="972">
        <v>8</v>
      </c>
      <c r="B21" s="985" t="s">
        <v>2169</v>
      </c>
      <c r="C21" s="985"/>
      <c r="D21" s="985"/>
      <c r="E21" s="985"/>
      <c r="F21" s="985"/>
      <c r="G21" s="985"/>
      <c r="H21" s="985"/>
      <c r="I21" s="985"/>
      <c r="J21" s="985"/>
      <c r="K21" s="985"/>
      <c r="L21" s="984" t="str">
        <f>SUVAHAVUJ!$D10</f>
        <v>Ostatný dlhodobý nehmotný majetok (019, 01X)
- /079, 07X, 091A/</v>
      </c>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c r="AL21" s="984"/>
      <c r="AM21" s="984"/>
      <c r="AN21" s="984"/>
      <c r="AO21" s="984"/>
      <c r="AP21" s="984"/>
      <c r="AQ21" s="975" t="s">
        <v>1236</v>
      </c>
      <c r="AR21" s="975"/>
      <c r="AS21" s="975"/>
      <c r="AT21" s="975"/>
      <c r="AU21" s="975"/>
      <c r="AV21" s="975"/>
      <c r="AW21" s="975"/>
      <c r="AX21" s="975"/>
      <c r="AY21" s="648"/>
      <c r="AZ21" s="649"/>
      <c r="BA21" s="982" t="str">
        <f>MID(SUVAHAVUJ!AD10,1,1)</f>
        <v xml:space="preserve"> </v>
      </c>
      <c r="BB21" s="982"/>
      <c r="BC21" s="982"/>
      <c r="BD21" s="982"/>
      <c r="BE21" s="982"/>
      <c r="BF21" s="982"/>
      <c r="BG21" s="982" t="str">
        <f>MID(SUVAHAVUJ!AD10,2,1)</f>
        <v xml:space="preserve"> </v>
      </c>
      <c r="BH21" s="982"/>
      <c r="BI21" s="982"/>
      <c r="BJ21" s="982"/>
      <c r="BK21" s="982"/>
      <c r="BL21" s="982" t="str">
        <f>MID(SUVAHAVUJ!AD10,3,1)</f>
        <v xml:space="preserve"> </v>
      </c>
      <c r="BM21" s="982"/>
      <c r="BN21" s="982"/>
      <c r="BO21" s="982"/>
      <c r="BP21" s="982"/>
      <c r="BQ21" s="982"/>
      <c r="BR21" s="982" t="str">
        <f>MID(SUVAHAVUJ!AD10,4,1)</f>
        <v xml:space="preserve"> </v>
      </c>
      <c r="BS21" s="982"/>
      <c r="BT21" s="982"/>
      <c r="BU21" s="982"/>
      <c r="BV21" s="982"/>
      <c r="BW21" s="982" t="str">
        <f>MID(SUVAHAVUJ!AD10,5,1)</f>
        <v xml:space="preserve"> </v>
      </c>
      <c r="BX21" s="982"/>
      <c r="BY21" s="982"/>
      <c r="BZ21" s="982"/>
      <c r="CA21" s="982"/>
      <c r="CB21" s="982"/>
      <c r="CC21" s="982" t="str">
        <f>MID(SUVAHAVUJ!AD10,6,1)</f>
        <v xml:space="preserve"> </v>
      </c>
      <c r="CD21" s="982"/>
      <c r="CE21" s="982"/>
      <c r="CF21" s="982"/>
      <c r="CG21" s="982"/>
      <c r="CH21" s="982" t="str">
        <f>MID(SUVAHAVUJ!AD10,7,1)</f>
        <v xml:space="preserve"> </v>
      </c>
      <c r="CI21" s="982"/>
      <c r="CJ21" s="982"/>
      <c r="CK21" s="982"/>
      <c r="CL21" s="982"/>
      <c r="CM21" s="982"/>
      <c r="CN21" s="982" t="str">
        <f>MID(SUVAHAVUJ!AD10,8,1)</f>
        <v>3</v>
      </c>
      <c r="CO21" s="982"/>
      <c r="CP21" s="982"/>
      <c r="CQ21" s="982"/>
      <c r="CR21" s="982"/>
      <c r="CS21" s="982" t="str">
        <f>MID(SUVAHAVUJ!AD10,9,1)</f>
        <v>5</v>
      </c>
      <c r="CT21" s="982"/>
      <c r="CU21" s="982"/>
      <c r="CV21" s="982"/>
      <c r="CW21" s="982"/>
      <c r="CX21" s="982"/>
      <c r="CY21" s="982" t="str">
        <f>MID(SUVAHAVUJ!AD10,10,1)</f>
        <v>2</v>
      </c>
      <c r="CZ21" s="982"/>
      <c r="DA21" s="982"/>
      <c r="DB21" s="982"/>
      <c r="DC21" s="982"/>
      <c r="DD21" s="978" t="str">
        <f>MID(SUVAHAVUJ!AD10,11,1)</f>
        <v>5</v>
      </c>
      <c r="DE21" s="978"/>
      <c r="DF21" s="978"/>
      <c r="DG21" s="978"/>
      <c r="DH21" s="978"/>
      <c r="DI21" s="978"/>
      <c r="DJ21" s="648"/>
      <c r="DK21" s="649"/>
      <c r="DL21" s="976" t="str">
        <f>MID(SUVAHAVUJ!AF10,1,1)</f>
        <v xml:space="preserve"> </v>
      </c>
      <c r="DM21" s="976"/>
      <c r="DN21" s="976"/>
      <c r="DO21" s="976"/>
      <c r="DP21" s="976"/>
      <c r="DQ21" s="976"/>
      <c r="DR21" s="976" t="str">
        <f>MID(SUVAHAVUJ!AF10,2,1)</f>
        <v xml:space="preserve"> </v>
      </c>
      <c r="DS21" s="976"/>
      <c r="DT21" s="976"/>
      <c r="DU21" s="976"/>
      <c r="DV21" s="976"/>
      <c r="DW21" s="976" t="str">
        <f>MID(SUVAHAVUJ!AF10,3,1)</f>
        <v xml:space="preserve"> </v>
      </c>
      <c r="DX21" s="976"/>
      <c r="DY21" s="976"/>
      <c r="DZ21" s="976"/>
      <c r="EA21" s="976"/>
      <c r="EB21" s="976"/>
      <c r="EC21" s="976" t="str">
        <f>MID(SUVAHAVUJ!AF10,4,1)</f>
        <v xml:space="preserve"> </v>
      </c>
      <c r="ED21" s="976"/>
      <c r="EE21" s="976"/>
      <c r="EF21" s="976"/>
      <c r="EG21" s="976"/>
      <c r="EH21" s="976" t="str">
        <f>MID(SUVAHAVUJ!AF10,5,1)</f>
        <v xml:space="preserve"> </v>
      </c>
      <c r="EI21" s="976"/>
      <c r="EJ21" s="976"/>
      <c r="EK21" s="976"/>
      <c r="EL21" s="976"/>
      <c r="EM21" s="976"/>
      <c r="EN21" s="976" t="str">
        <f>MID(SUVAHAVUJ!AF10,6,1)</f>
        <v xml:space="preserve"> </v>
      </c>
      <c r="EO21" s="976"/>
      <c r="EP21" s="976"/>
      <c r="EQ21" s="976"/>
      <c r="ER21" s="976"/>
      <c r="ES21" s="976" t="str">
        <f>MID(SUVAHAVUJ!AF10,7,1)</f>
        <v xml:space="preserve"> </v>
      </c>
      <c r="ET21" s="976"/>
      <c r="EU21" s="976"/>
      <c r="EV21" s="976"/>
      <c r="EW21" s="976"/>
      <c r="EX21" s="976"/>
      <c r="EY21" s="976" t="str">
        <f>MID(SUVAHAVUJ!AF10,8,1)</f>
        <v xml:space="preserve"> </v>
      </c>
      <c r="EZ21" s="976"/>
      <c r="FA21" s="976"/>
      <c r="FB21" s="976"/>
      <c r="FC21" s="976"/>
      <c r="FD21" s="976" t="str">
        <f>MID(SUVAHAVUJ!AF10,9,1)</f>
        <v xml:space="preserve"> </v>
      </c>
      <c r="FE21" s="976"/>
      <c r="FF21" s="976"/>
      <c r="FG21" s="976"/>
      <c r="FH21" s="976"/>
      <c r="FI21" s="976"/>
      <c r="FJ21" s="976" t="str">
        <f>MID(SUVAHAVUJ!AF10,10,1)</f>
        <v xml:space="preserve"> </v>
      </c>
      <c r="FK21" s="976"/>
      <c r="FL21" s="976"/>
      <c r="FM21" s="976"/>
      <c r="FN21" s="976"/>
      <c r="FO21" s="978" t="str">
        <f>MID(SUVAHAVUJ!AF10,11,1)</f>
        <v>0</v>
      </c>
      <c r="FP21" s="978"/>
      <c r="FQ21" s="978"/>
      <c r="FR21" s="978"/>
      <c r="FS21" s="978"/>
      <c r="FT21" s="979"/>
      <c r="FU21" s="979"/>
      <c r="FV21" s="979"/>
      <c r="FW21" s="979"/>
      <c r="FX21" s="979"/>
      <c r="FY21" s="979"/>
      <c r="FZ21" s="979"/>
      <c r="GA21" s="979"/>
      <c r="GB21" s="979"/>
      <c r="GC21" s="979"/>
      <c r="GD21" s="979"/>
      <c r="GE21" s="979"/>
      <c r="GF21" s="979"/>
      <c r="GG21" s="979"/>
      <c r="GH21" s="979"/>
      <c r="GI21" s="979"/>
      <c r="GJ21" s="979"/>
      <c r="GK21" s="979"/>
      <c r="GL21" s="979"/>
      <c r="GM21" s="979"/>
      <c r="GN21" s="979"/>
      <c r="GO21" s="979"/>
      <c r="GP21" s="979"/>
      <c r="GQ21" s="979"/>
      <c r="GR21" s="979"/>
      <c r="GS21" s="979"/>
      <c r="GT21" s="979"/>
      <c r="GU21" s="979"/>
      <c r="GV21" s="979"/>
      <c r="GW21" s="979"/>
    </row>
    <row r="22" spans="1:205" ht="23.25" customHeight="1" x14ac:dyDescent="0.3">
      <c r="A22" s="972"/>
      <c r="B22" s="985"/>
      <c r="C22" s="985"/>
      <c r="D22" s="985"/>
      <c r="E22" s="985"/>
      <c r="F22" s="985"/>
      <c r="G22" s="985"/>
      <c r="H22" s="985"/>
      <c r="I22" s="985"/>
      <c r="J22" s="985"/>
      <c r="K22" s="985"/>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75"/>
      <c r="AR22" s="975"/>
      <c r="AS22" s="975"/>
      <c r="AT22" s="975"/>
      <c r="AU22" s="975"/>
      <c r="AV22" s="975"/>
      <c r="AW22" s="975"/>
      <c r="AX22" s="975"/>
      <c r="AY22" s="648"/>
      <c r="AZ22" s="649"/>
      <c r="BA22" s="976" t="str">
        <f>MID(SUVAHAVUJ!AE10,1,1)</f>
        <v xml:space="preserve"> </v>
      </c>
      <c r="BB22" s="976"/>
      <c r="BC22" s="976"/>
      <c r="BD22" s="976"/>
      <c r="BE22" s="976"/>
      <c r="BF22" s="976"/>
      <c r="BG22" s="976" t="str">
        <f>MID(SUVAHAVUJ!AE10,2,1)</f>
        <v xml:space="preserve"> </v>
      </c>
      <c r="BH22" s="976"/>
      <c r="BI22" s="976"/>
      <c r="BJ22" s="976"/>
      <c r="BK22" s="976"/>
      <c r="BL22" s="976" t="str">
        <f>MID(SUVAHAVUJ!AE10,3,1)</f>
        <v xml:space="preserve"> </v>
      </c>
      <c r="BM22" s="976"/>
      <c r="BN22" s="976"/>
      <c r="BO22" s="976"/>
      <c r="BP22" s="976"/>
      <c r="BQ22" s="976"/>
      <c r="BR22" s="976" t="str">
        <f>MID(SUVAHAVUJ!AE10,4,1)</f>
        <v xml:space="preserve"> </v>
      </c>
      <c r="BS22" s="976"/>
      <c r="BT22" s="976"/>
      <c r="BU22" s="976"/>
      <c r="BV22" s="976"/>
      <c r="BW22" s="976" t="str">
        <f>MID(SUVAHAVUJ!AE10,5,1)</f>
        <v xml:space="preserve"> </v>
      </c>
      <c r="BX22" s="976"/>
      <c r="BY22" s="976"/>
      <c r="BZ22" s="976"/>
      <c r="CA22" s="976"/>
      <c r="CB22" s="976"/>
      <c r="CC22" s="976" t="str">
        <f>MID(SUVAHAVUJ!AE10,6,1)</f>
        <v xml:space="preserve"> </v>
      </c>
      <c r="CD22" s="976"/>
      <c r="CE22" s="976"/>
      <c r="CF22" s="976"/>
      <c r="CG22" s="976"/>
      <c r="CH22" s="976" t="str">
        <f>MID(SUVAHAVUJ!AE10,7,1)</f>
        <v xml:space="preserve"> </v>
      </c>
      <c r="CI22" s="976"/>
      <c r="CJ22" s="976"/>
      <c r="CK22" s="976"/>
      <c r="CL22" s="976"/>
      <c r="CM22" s="976"/>
      <c r="CN22" s="976" t="str">
        <f>MID(SUVAHAVUJ!AE10,8,1)</f>
        <v>3</v>
      </c>
      <c r="CO22" s="976"/>
      <c r="CP22" s="976"/>
      <c r="CQ22" s="976"/>
      <c r="CR22" s="976"/>
      <c r="CS22" s="976" t="str">
        <f>MID(SUVAHAVUJ!AE10,9,1)</f>
        <v>5</v>
      </c>
      <c r="CT22" s="976"/>
      <c r="CU22" s="976"/>
      <c r="CV22" s="976"/>
      <c r="CW22" s="976"/>
      <c r="CX22" s="976"/>
      <c r="CY22" s="976" t="str">
        <f>MID(SUVAHAVUJ!AE10,10,1)</f>
        <v>2</v>
      </c>
      <c r="CZ22" s="976"/>
      <c r="DA22" s="976"/>
      <c r="DB22" s="976"/>
      <c r="DC22" s="976"/>
      <c r="DD22" s="977" t="str">
        <f>MID(SUVAHAVUJ!AE10,11,1)</f>
        <v>5</v>
      </c>
      <c r="DE22" s="977"/>
      <c r="DF22" s="977"/>
      <c r="DG22" s="977"/>
      <c r="DH22" s="977"/>
      <c r="DI22" s="977"/>
      <c r="DJ22" s="980"/>
      <c r="DK22" s="980"/>
      <c r="DL22" s="980"/>
      <c r="DM22" s="980"/>
      <c r="DN22" s="980"/>
      <c r="DO22" s="980"/>
      <c r="DP22" s="980"/>
      <c r="DQ22" s="980"/>
      <c r="DR22" s="980"/>
      <c r="DS22" s="980"/>
      <c r="DT22" s="980"/>
      <c r="DU22" s="980"/>
      <c r="DV22" s="980"/>
      <c r="DW22" s="980"/>
      <c r="DX22" s="980"/>
      <c r="DY22" s="980"/>
      <c r="DZ22" s="980"/>
      <c r="EA22" s="980"/>
      <c r="EB22" s="980"/>
      <c r="EC22" s="980"/>
      <c r="ED22" s="980"/>
      <c r="EE22" s="980"/>
      <c r="EF22" s="980"/>
      <c r="EG22" s="980"/>
      <c r="EH22" s="980"/>
      <c r="EI22" s="980"/>
      <c r="EJ22" s="980"/>
      <c r="EK22" s="980"/>
      <c r="EL22" s="980"/>
      <c r="EM22" s="980"/>
      <c r="EN22" s="648"/>
      <c r="EO22" s="649"/>
      <c r="EP22" s="976" t="str">
        <f>MID(SUVAHAVUJ!AG10,1,1)</f>
        <v xml:space="preserve"> </v>
      </c>
      <c r="EQ22" s="976"/>
      <c r="ER22" s="976"/>
      <c r="ES22" s="976"/>
      <c r="ET22" s="976"/>
      <c r="EU22" s="976"/>
      <c r="EV22" s="976" t="str">
        <f>MID(SUVAHAVUJ!AG10,2,1)</f>
        <v xml:space="preserve"> </v>
      </c>
      <c r="EW22" s="976"/>
      <c r="EX22" s="976"/>
      <c r="EY22" s="976"/>
      <c r="EZ22" s="976"/>
      <c r="FA22" s="976" t="str">
        <f>MID(SUVAHAVUJ!AG10,3,1)</f>
        <v xml:space="preserve"> </v>
      </c>
      <c r="FB22" s="976"/>
      <c r="FC22" s="976"/>
      <c r="FD22" s="976"/>
      <c r="FE22" s="976"/>
      <c r="FF22" s="976"/>
      <c r="FG22" s="976" t="str">
        <f>MID(SUVAHAVUJ!AG10,4,1)</f>
        <v xml:space="preserve"> </v>
      </c>
      <c r="FH22" s="976"/>
      <c r="FI22" s="976"/>
      <c r="FJ22" s="976"/>
      <c r="FK22" s="976"/>
      <c r="FL22" s="976" t="str">
        <f>MID(SUVAHAVUJ!AG10,5,1)</f>
        <v xml:space="preserve"> </v>
      </c>
      <c r="FM22" s="976"/>
      <c r="FN22" s="976"/>
      <c r="FO22" s="976"/>
      <c r="FP22" s="976"/>
      <c r="FQ22" s="976"/>
      <c r="FR22" s="976" t="str">
        <f>MID(SUVAHAVUJ!AG10,6,1)</f>
        <v xml:space="preserve"> </v>
      </c>
      <c r="FS22" s="976"/>
      <c r="FT22" s="976"/>
      <c r="FU22" s="976"/>
      <c r="FV22" s="976"/>
      <c r="FW22" s="976" t="str">
        <f>MID(SUVAHAVUJ!AG10,7,1)</f>
        <v xml:space="preserve"> </v>
      </c>
      <c r="FX22" s="976"/>
      <c r="FY22" s="976"/>
      <c r="FZ22" s="976"/>
      <c r="GA22" s="976"/>
      <c r="GB22" s="976"/>
      <c r="GC22" s="976" t="str">
        <f>MID(SUVAHAVUJ!AG10,8,1)</f>
        <v xml:space="preserve"> </v>
      </c>
      <c r="GD22" s="976"/>
      <c r="GE22" s="976"/>
      <c r="GF22" s="976"/>
      <c r="GG22" s="976"/>
      <c r="GH22" s="976" t="str">
        <f>MID(SUVAHAVUJ!AG10,9,1)</f>
        <v xml:space="preserve"> </v>
      </c>
      <c r="GI22" s="976"/>
      <c r="GJ22" s="976"/>
      <c r="GK22" s="976"/>
      <c r="GL22" s="976"/>
      <c r="GM22" s="976"/>
      <c r="GN22" s="976" t="str">
        <f>MID(SUVAHAVUJ!AG10,10,1)</f>
        <v xml:space="preserve"> </v>
      </c>
      <c r="GO22" s="976"/>
      <c r="GP22" s="976"/>
      <c r="GQ22" s="976"/>
      <c r="GR22" s="976"/>
      <c r="GS22" s="978" t="str">
        <f>MID(SUVAHAVUJ!AG10,11,1)</f>
        <v>0</v>
      </c>
      <c r="GT22" s="978"/>
      <c r="GU22" s="978"/>
      <c r="GV22" s="978"/>
      <c r="GW22" s="978"/>
    </row>
    <row r="23" spans="1:205" s="650" customFormat="1" ht="23.25" customHeight="1" x14ac:dyDescent="0.3">
      <c r="A23" s="972">
        <v>9</v>
      </c>
      <c r="B23" s="985" t="s">
        <v>2171</v>
      </c>
      <c r="C23" s="985"/>
      <c r="D23" s="985"/>
      <c r="E23" s="985"/>
      <c r="F23" s="985"/>
      <c r="G23" s="985"/>
      <c r="H23" s="985"/>
      <c r="I23" s="985"/>
      <c r="J23" s="985"/>
      <c r="K23" s="985"/>
      <c r="L23" s="984" t="str">
        <f>SUVAHAVUJ!$D11</f>
        <v>Obstarávaný dlhodobý nehmotný majetok (041)
- /093/</v>
      </c>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c r="AL23" s="984"/>
      <c r="AM23" s="984"/>
      <c r="AN23" s="984"/>
      <c r="AO23" s="984"/>
      <c r="AP23" s="984"/>
      <c r="AQ23" s="975" t="s">
        <v>2170</v>
      </c>
      <c r="AR23" s="975"/>
      <c r="AS23" s="975"/>
      <c r="AT23" s="975"/>
      <c r="AU23" s="975"/>
      <c r="AV23" s="975"/>
      <c r="AW23" s="975"/>
      <c r="AX23" s="975"/>
      <c r="AY23" s="648"/>
      <c r="AZ23" s="649"/>
      <c r="BA23" s="982" t="str">
        <f>MID(SUVAHAVUJ!AD11,1,1)</f>
        <v xml:space="preserve"> </v>
      </c>
      <c r="BB23" s="982"/>
      <c r="BC23" s="982"/>
      <c r="BD23" s="982"/>
      <c r="BE23" s="982"/>
      <c r="BF23" s="982"/>
      <c r="BG23" s="982" t="str">
        <f>MID(SUVAHAVUJ!AD11,2,1)</f>
        <v xml:space="preserve"> </v>
      </c>
      <c r="BH23" s="982"/>
      <c r="BI23" s="982"/>
      <c r="BJ23" s="982"/>
      <c r="BK23" s="982"/>
      <c r="BL23" s="982" t="str">
        <f>MID(SUVAHAVUJ!AD11,3,1)</f>
        <v xml:space="preserve"> </v>
      </c>
      <c r="BM23" s="982"/>
      <c r="BN23" s="982"/>
      <c r="BO23" s="982"/>
      <c r="BP23" s="982"/>
      <c r="BQ23" s="982"/>
      <c r="BR23" s="982" t="str">
        <f>MID(SUVAHAVUJ!AD11,4,1)</f>
        <v xml:space="preserve"> </v>
      </c>
      <c r="BS23" s="982"/>
      <c r="BT23" s="982"/>
      <c r="BU23" s="982"/>
      <c r="BV23" s="982"/>
      <c r="BW23" s="982" t="str">
        <f>MID(SUVAHAVUJ!AD11,5,1)</f>
        <v xml:space="preserve"> </v>
      </c>
      <c r="BX23" s="982"/>
      <c r="BY23" s="982"/>
      <c r="BZ23" s="982"/>
      <c r="CA23" s="982"/>
      <c r="CB23" s="982"/>
      <c r="CC23" s="982" t="str">
        <f>MID(SUVAHAVUJ!AD11,6,1)</f>
        <v xml:space="preserve"> </v>
      </c>
      <c r="CD23" s="982"/>
      <c r="CE23" s="982"/>
      <c r="CF23" s="982"/>
      <c r="CG23" s="982"/>
      <c r="CH23" s="982" t="str">
        <f>MID(SUVAHAVUJ!AD11,7,1)</f>
        <v xml:space="preserve"> </v>
      </c>
      <c r="CI23" s="982"/>
      <c r="CJ23" s="982"/>
      <c r="CK23" s="982"/>
      <c r="CL23" s="982"/>
      <c r="CM23" s="982"/>
      <c r="CN23" s="982" t="str">
        <f>MID(SUVAHAVUJ!AD11,8,1)</f>
        <v xml:space="preserve"> </v>
      </c>
      <c r="CO23" s="982"/>
      <c r="CP23" s="982"/>
      <c r="CQ23" s="982"/>
      <c r="CR23" s="982"/>
      <c r="CS23" s="982" t="str">
        <f>MID(SUVAHAVUJ!AD11,9,1)</f>
        <v xml:space="preserve"> </v>
      </c>
      <c r="CT23" s="982"/>
      <c r="CU23" s="982"/>
      <c r="CV23" s="982"/>
      <c r="CW23" s="982"/>
      <c r="CX23" s="982"/>
      <c r="CY23" s="982" t="str">
        <f>MID(SUVAHAVUJ!AD11,10,1)</f>
        <v xml:space="preserve"> </v>
      </c>
      <c r="CZ23" s="982"/>
      <c r="DA23" s="982"/>
      <c r="DB23" s="982"/>
      <c r="DC23" s="982"/>
      <c r="DD23" s="978" t="str">
        <f>MID(SUVAHAVUJ!AD11,11,1)</f>
        <v>0</v>
      </c>
      <c r="DE23" s="978"/>
      <c r="DF23" s="978"/>
      <c r="DG23" s="978"/>
      <c r="DH23" s="978"/>
      <c r="DI23" s="978"/>
      <c r="DJ23" s="648"/>
      <c r="DK23" s="649"/>
      <c r="DL23" s="976" t="str">
        <f>MID(SUVAHAVUJ!AF11,1,1)</f>
        <v xml:space="preserve"> </v>
      </c>
      <c r="DM23" s="976"/>
      <c r="DN23" s="976"/>
      <c r="DO23" s="976"/>
      <c r="DP23" s="976"/>
      <c r="DQ23" s="976"/>
      <c r="DR23" s="976" t="str">
        <f>MID(SUVAHAVUJ!AF11,2,1)</f>
        <v xml:space="preserve"> </v>
      </c>
      <c r="DS23" s="976"/>
      <c r="DT23" s="976"/>
      <c r="DU23" s="976"/>
      <c r="DV23" s="976"/>
      <c r="DW23" s="976" t="str">
        <f>MID(SUVAHAVUJ!AF11,3,1)</f>
        <v xml:space="preserve"> </v>
      </c>
      <c r="DX23" s="976"/>
      <c r="DY23" s="976"/>
      <c r="DZ23" s="976"/>
      <c r="EA23" s="976"/>
      <c r="EB23" s="976"/>
      <c r="EC23" s="976" t="str">
        <f>MID(SUVAHAVUJ!AF11,4,1)</f>
        <v xml:space="preserve"> </v>
      </c>
      <c r="ED23" s="976"/>
      <c r="EE23" s="976"/>
      <c r="EF23" s="976"/>
      <c r="EG23" s="976"/>
      <c r="EH23" s="976" t="str">
        <f>MID(SUVAHAVUJ!AF11,5,1)</f>
        <v xml:space="preserve"> </v>
      </c>
      <c r="EI23" s="976"/>
      <c r="EJ23" s="976"/>
      <c r="EK23" s="976"/>
      <c r="EL23" s="976"/>
      <c r="EM23" s="976"/>
      <c r="EN23" s="976" t="str">
        <f>MID(SUVAHAVUJ!AF11,6,1)</f>
        <v xml:space="preserve"> </v>
      </c>
      <c r="EO23" s="976"/>
      <c r="EP23" s="976"/>
      <c r="EQ23" s="976"/>
      <c r="ER23" s="976"/>
      <c r="ES23" s="976" t="str">
        <f>MID(SUVAHAVUJ!AF11,7,1)</f>
        <v xml:space="preserve"> </v>
      </c>
      <c r="ET23" s="976"/>
      <c r="EU23" s="976"/>
      <c r="EV23" s="976"/>
      <c r="EW23" s="976"/>
      <c r="EX23" s="976"/>
      <c r="EY23" s="976" t="str">
        <f>MID(SUVAHAVUJ!AF11,8,1)</f>
        <v xml:space="preserve"> </v>
      </c>
      <c r="EZ23" s="976"/>
      <c r="FA23" s="976"/>
      <c r="FB23" s="976"/>
      <c r="FC23" s="976"/>
      <c r="FD23" s="976" t="str">
        <f>MID(SUVAHAVUJ!AF11,9,1)</f>
        <v xml:space="preserve"> </v>
      </c>
      <c r="FE23" s="976"/>
      <c r="FF23" s="976"/>
      <c r="FG23" s="976"/>
      <c r="FH23" s="976"/>
      <c r="FI23" s="976"/>
      <c r="FJ23" s="976" t="str">
        <f>MID(SUVAHAVUJ!AF11,10,1)</f>
        <v xml:space="preserve"> </v>
      </c>
      <c r="FK23" s="976"/>
      <c r="FL23" s="976"/>
      <c r="FM23" s="976"/>
      <c r="FN23" s="976"/>
      <c r="FO23" s="978" t="str">
        <f>MID(SUVAHAVUJ!AF11,11,1)</f>
        <v>0</v>
      </c>
      <c r="FP23" s="978"/>
      <c r="FQ23" s="978"/>
      <c r="FR23" s="978"/>
      <c r="FS23" s="978"/>
      <c r="FT23" s="979"/>
      <c r="FU23" s="979"/>
      <c r="FV23" s="979"/>
      <c r="FW23" s="979"/>
      <c r="FX23" s="979"/>
      <c r="FY23" s="979"/>
      <c r="FZ23" s="979"/>
      <c r="GA23" s="979"/>
      <c r="GB23" s="979"/>
      <c r="GC23" s="979"/>
      <c r="GD23" s="979"/>
      <c r="GE23" s="979"/>
      <c r="GF23" s="979"/>
      <c r="GG23" s="979"/>
      <c r="GH23" s="979"/>
      <c r="GI23" s="979"/>
      <c r="GJ23" s="979"/>
      <c r="GK23" s="979"/>
      <c r="GL23" s="979"/>
      <c r="GM23" s="979"/>
      <c r="GN23" s="979"/>
      <c r="GO23" s="979"/>
      <c r="GP23" s="979"/>
      <c r="GQ23" s="979"/>
      <c r="GR23" s="979"/>
      <c r="GS23" s="979"/>
      <c r="GT23" s="979"/>
      <c r="GU23" s="979"/>
      <c r="GV23" s="979"/>
      <c r="GW23" s="979"/>
    </row>
    <row r="24" spans="1:205" ht="23.25" customHeight="1" x14ac:dyDescent="0.3">
      <c r="A24" s="972"/>
      <c r="B24" s="985"/>
      <c r="C24" s="985"/>
      <c r="D24" s="985"/>
      <c r="E24" s="985"/>
      <c r="F24" s="985"/>
      <c r="G24" s="985"/>
      <c r="H24" s="985"/>
      <c r="I24" s="985"/>
      <c r="J24" s="985"/>
      <c r="K24" s="985"/>
      <c r="L24" s="984"/>
      <c r="M24" s="984"/>
      <c r="N24" s="984"/>
      <c r="O24" s="984"/>
      <c r="P24" s="984"/>
      <c r="Q24" s="984"/>
      <c r="R24" s="984"/>
      <c r="S24" s="984"/>
      <c r="T24" s="984"/>
      <c r="U24" s="984"/>
      <c r="V24" s="984"/>
      <c r="W24" s="984"/>
      <c r="X24" s="984"/>
      <c r="Y24" s="984"/>
      <c r="Z24" s="984"/>
      <c r="AA24" s="984"/>
      <c r="AB24" s="984"/>
      <c r="AC24" s="984"/>
      <c r="AD24" s="984"/>
      <c r="AE24" s="984"/>
      <c r="AF24" s="984"/>
      <c r="AG24" s="984"/>
      <c r="AH24" s="984"/>
      <c r="AI24" s="984"/>
      <c r="AJ24" s="984"/>
      <c r="AK24" s="984"/>
      <c r="AL24" s="984"/>
      <c r="AM24" s="984"/>
      <c r="AN24" s="984"/>
      <c r="AO24" s="984"/>
      <c r="AP24" s="984"/>
      <c r="AQ24" s="975"/>
      <c r="AR24" s="975"/>
      <c r="AS24" s="975"/>
      <c r="AT24" s="975"/>
      <c r="AU24" s="975"/>
      <c r="AV24" s="975"/>
      <c r="AW24" s="975"/>
      <c r="AX24" s="975"/>
      <c r="AY24" s="648"/>
      <c r="AZ24" s="649"/>
      <c r="BA24" s="976" t="str">
        <f>MID(SUVAHAVUJ!AE11,1,1)</f>
        <v xml:space="preserve"> </v>
      </c>
      <c r="BB24" s="976"/>
      <c r="BC24" s="976"/>
      <c r="BD24" s="976"/>
      <c r="BE24" s="976"/>
      <c r="BF24" s="976"/>
      <c r="BG24" s="976" t="str">
        <f>MID(SUVAHAVUJ!AE11,2,1)</f>
        <v xml:space="preserve"> </v>
      </c>
      <c r="BH24" s="976"/>
      <c r="BI24" s="976"/>
      <c r="BJ24" s="976"/>
      <c r="BK24" s="976"/>
      <c r="BL24" s="976" t="str">
        <f>MID(SUVAHAVUJ!AE11,3,1)</f>
        <v xml:space="preserve"> </v>
      </c>
      <c r="BM24" s="976"/>
      <c r="BN24" s="976"/>
      <c r="BO24" s="976"/>
      <c r="BP24" s="976"/>
      <c r="BQ24" s="976"/>
      <c r="BR24" s="976" t="str">
        <f>MID(SUVAHAVUJ!AE11,4,1)</f>
        <v xml:space="preserve"> </v>
      </c>
      <c r="BS24" s="976"/>
      <c r="BT24" s="976"/>
      <c r="BU24" s="976"/>
      <c r="BV24" s="976"/>
      <c r="BW24" s="976" t="str">
        <f>MID(SUVAHAVUJ!AE11,5,1)</f>
        <v xml:space="preserve"> </v>
      </c>
      <c r="BX24" s="976"/>
      <c r="BY24" s="976"/>
      <c r="BZ24" s="976"/>
      <c r="CA24" s="976"/>
      <c r="CB24" s="976"/>
      <c r="CC24" s="976" t="str">
        <f>MID(SUVAHAVUJ!AE11,6,1)</f>
        <v xml:space="preserve"> </v>
      </c>
      <c r="CD24" s="976"/>
      <c r="CE24" s="976"/>
      <c r="CF24" s="976"/>
      <c r="CG24" s="976"/>
      <c r="CH24" s="976" t="str">
        <f>MID(SUVAHAVUJ!AE11,7,1)</f>
        <v xml:space="preserve"> </v>
      </c>
      <c r="CI24" s="976"/>
      <c r="CJ24" s="976"/>
      <c r="CK24" s="976"/>
      <c r="CL24" s="976"/>
      <c r="CM24" s="976"/>
      <c r="CN24" s="976" t="str">
        <f>MID(SUVAHAVUJ!AE11,8,1)</f>
        <v xml:space="preserve"> </v>
      </c>
      <c r="CO24" s="976"/>
      <c r="CP24" s="976"/>
      <c r="CQ24" s="976"/>
      <c r="CR24" s="976"/>
      <c r="CS24" s="976" t="str">
        <f>MID(SUVAHAVUJ!AE11,9,1)</f>
        <v xml:space="preserve"> </v>
      </c>
      <c r="CT24" s="976"/>
      <c r="CU24" s="976"/>
      <c r="CV24" s="976"/>
      <c r="CW24" s="976"/>
      <c r="CX24" s="976"/>
      <c r="CY24" s="976" t="str">
        <f>MID(SUVAHAVUJ!AE11,10,1)</f>
        <v xml:space="preserve"> </v>
      </c>
      <c r="CZ24" s="976"/>
      <c r="DA24" s="976"/>
      <c r="DB24" s="976"/>
      <c r="DC24" s="976"/>
      <c r="DD24" s="977" t="str">
        <f>MID(SUVAHAVUJ!AE11,11,1)</f>
        <v>0</v>
      </c>
      <c r="DE24" s="977"/>
      <c r="DF24" s="977"/>
      <c r="DG24" s="977"/>
      <c r="DH24" s="977"/>
      <c r="DI24" s="977"/>
      <c r="DJ24" s="980"/>
      <c r="DK24" s="980"/>
      <c r="DL24" s="980"/>
      <c r="DM24" s="980"/>
      <c r="DN24" s="980"/>
      <c r="DO24" s="980"/>
      <c r="DP24" s="980"/>
      <c r="DQ24" s="980"/>
      <c r="DR24" s="980"/>
      <c r="DS24" s="980"/>
      <c r="DT24" s="980"/>
      <c r="DU24" s="980"/>
      <c r="DV24" s="980"/>
      <c r="DW24" s="980"/>
      <c r="DX24" s="980"/>
      <c r="DY24" s="980"/>
      <c r="DZ24" s="980"/>
      <c r="EA24" s="980"/>
      <c r="EB24" s="980"/>
      <c r="EC24" s="980"/>
      <c r="ED24" s="980"/>
      <c r="EE24" s="980"/>
      <c r="EF24" s="980"/>
      <c r="EG24" s="980"/>
      <c r="EH24" s="980"/>
      <c r="EI24" s="980"/>
      <c r="EJ24" s="980"/>
      <c r="EK24" s="980"/>
      <c r="EL24" s="980"/>
      <c r="EM24" s="980"/>
      <c r="EN24" s="648"/>
      <c r="EO24" s="649"/>
      <c r="EP24" s="976" t="str">
        <f>MID(SUVAHAVUJ!AG11,1,1)</f>
        <v xml:space="preserve"> </v>
      </c>
      <c r="EQ24" s="976"/>
      <c r="ER24" s="976"/>
      <c r="ES24" s="976"/>
      <c r="ET24" s="976"/>
      <c r="EU24" s="976"/>
      <c r="EV24" s="976" t="str">
        <f>MID(SUVAHAVUJ!AG11,2,1)</f>
        <v xml:space="preserve"> </v>
      </c>
      <c r="EW24" s="976"/>
      <c r="EX24" s="976"/>
      <c r="EY24" s="976"/>
      <c r="EZ24" s="976"/>
      <c r="FA24" s="976" t="str">
        <f>MID(SUVAHAVUJ!AG11,3,1)</f>
        <v xml:space="preserve"> </v>
      </c>
      <c r="FB24" s="976"/>
      <c r="FC24" s="976"/>
      <c r="FD24" s="976"/>
      <c r="FE24" s="976"/>
      <c r="FF24" s="976"/>
      <c r="FG24" s="976" t="str">
        <f>MID(SUVAHAVUJ!AG11,4,1)</f>
        <v xml:space="preserve"> </v>
      </c>
      <c r="FH24" s="976"/>
      <c r="FI24" s="976"/>
      <c r="FJ24" s="976"/>
      <c r="FK24" s="976"/>
      <c r="FL24" s="976" t="str">
        <f>MID(SUVAHAVUJ!AG11,5,1)</f>
        <v xml:space="preserve"> </v>
      </c>
      <c r="FM24" s="976"/>
      <c r="FN24" s="976"/>
      <c r="FO24" s="976"/>
      <c r="FP24" s="976"/>
      <c r="FQ24" s="976"/>
      <c r="FR24" s="976" t="str">
        <f>MID(SUVAHAVUJ!AG11,6,1)</f>
        <v xml:space="preserve"> </v>
      </c>
      <c r="FS24" s="976"/>
      <c r="FT24" s="976"/>
      <c r="FU24" s="976"/>
      <c r="FV24" s="976"/>
      <c r="FW24" s="976" t="str">
        <f>MID(SUVAHAVUJ!AG11,7,1)</f>
        <v xml:space="preserve"> </v>
      </c>
      <c r="FX24" s="976"/>
      <c r="FY24" s="976"/>
      <c r="FZ24" s="976"/>
      <c r="GA24" s="976"/>
      <c r="GB24" s="976"/>
      <c r="GC24" s="976" t="str">
        <f>MID(SUVAHAVUJ!AG11,8,1)</f>
        <v xml:space="preserve"> </v>
      </c>
      <c r="GD24" s="976"/>
      <c r="GE24" s="976"/>
      <c r="GF24" s="976"/>
      <c r="GG24" s="976"/>
      <c r="GH24" s="976" t="str">
        <f>MID(SUVAHAVUJ!AG11,9,1)</f>
        <v xml:space="preserve"> </v>
      </c>
      <c r="GI24" s="976"/>
      <c r="GJ24" s="976"/>
      <c r="GK24" s="976"/>
      <c r="GL24" s="976"/>
      <c r="GM24" s="976"/>
      <c r="GN24" s="976" t="str">
        <f>MID(SUVAHAVUJ!AG11,10,1)</f>
        <v xml:space="preserve"> </v>
      </c>
      <c r="GO24" s="976"/>
      <c r="GP24" s="976"/>
      <c r="GQ24" s="976"/>
      <c r="GR24" s="976"/>
      <c r="GS24" s="978" t="str">
        <f>MID(SUVAHAVUJ!AG11,11,1)</f>
        <v>0</v>
      </c>
      <c r="GT24" s="978"/>
      <c r="GU24" s="978"/>
      <c r="GV24" s="978"/>
      <c r="GW24" s="978"/>
    </row>
    <row r="25" spans="1:205" s="650" customFormat="1" ht="23.25" customHeight="1" x14ac:dyDescent="0.3">
      <c r="A25" s="972">
        <v>10</v>
      </c>
      <c r="B25" s="985" t="s">
        <v>2172</v>
      </c>
      <c r="C25" s="985"/>
      <c r="D25" s="985"/>
      <c r="E25" s="985"/>
      <c r="F25" s="985"/>
      <c r="G25" s="985"/>
      <c r="H25" s="985"/>
      <c r="I25" s="985"/>
      <c r="J25" s="985"/>
      <c r="K25" s="985"/>
      <c r="L25" s="984" t="str">
        <f>SUVAHAVUJ!$D12</f>
        <v>Poskytnuté preddavky na dlhodobý nehmotný majetok (051) - /095A/</v>
      </c>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c r="AL25" s="984"/>
      <c r="AM25" s="984"/>
      <c r="AN25" s="984"/>
      <c r="AO25" s="984"/>
      <c r="AP25" s="984"/>
      <c r="AQ25" s="975" t="s">
        <v>1245</v>
      </c>
      <c r="AR25" s="975"/>
      <c r="AS25" s="975"/>
      <c r="AT25" s="975"/>
      <c r="AU25" s="975"/>
      <c r="AV25" s="975"/>
      <c r="AW25" s="975"/>
      <c r="AX25" s="975"/>
      <c r="AY25" s="648"/>
      <c r="AZ25" s="649"/>
      <c r="BA25" s="982" t="str">
        <f>MID(SUVAHAVUJ!AD12,1,1)</f>
        <v xml:space="preserve"> </v>
      </c>
      <c r="BB25" s="982"/>
      <c r="BC25" s="982"/>
      <c r="BD25" s="982"/>
      <c r="BE25" s="982"/>
      <c r="BF25" s="982"/>
      <c r="BG25" s="982" t="str">
        <f>MID(SUVAHAVUJ!AD12,2,1)</f>
        <v xml:space="preserve"> </v>
      </c>
      <c r="BH25" s="982"/>
      <c r="BI25" s="982"/>
      <c r="BJ25" s="982"/>
      <c r="BK25" s="982"/>
      <c r="BL25" s="982" t="str">
        <f>MID(SUVAHAVUJ!AD12,3,1)</f>
        <v xml:space="preserve"> </v>
      </c>
      <c r="BM25" s="982"/>
      <c r="BN25" s="982"/>
      <c r="BO25" s="982"/>
      <c r="BP25" s="982"/>
      <c r="BQ25" s="982"/>
      <c r="BR25" s="982" t="str">
        <f>MID(SUVAHAVUJ!AD12,4,1)</f>
        <v xml:space="preserve"> </v>
      </c>
      <c r="BS25" s="982"/>
      <c r="BT25" s="982"/>
      <c r="BU25" s="982"/>
      <c r="BV25" s="982"/>
      <c r="BW25" s="982" t="str">
        <f>MID(SUVAHAVUJ!AD12,5,1)</f>
        <v xml:space="preserve"> </v>
      </c>
      <c r="BX25" s="982"/>
      <c r="BY25" s="982"/>
      <c r="BZ25" s="982"/>
      <c r="CA25" s="982"/>
      <c r="CB25" s="982"/>
      <c r="CC25" s="982" t="str">
        <f>MID(SUVAHAVUJ!AD12,6,1)</f>
        <v xml:space="preserve"> </v>
      </c>
      <c r="CD25" s="982"/>
      <c r="CE25" s="982"/>
      <c r="CF25" s="982"/>
      <c r="CG25" s="982"/>
      <c r="CH25" s="982" t="str">
        <f>MID(SUVAHAVUJ!AD12,7,1)</f>
        <v xml:space="preserve"> </v>
      </c>
      <c r="CI25" s="982"/>
      <c r="CJ25" s="982"/>
      <c r="CK25" s="982"/>
      <c r="CL25" s="982"/>
      <c r="CM25" s="982"/>
      <c r="CN25" s="982" t="str">
        <f>MID(SUVAHAVUJ!AD12,8,1)</f>
        <v xml:space="preserve"> </v>
      </c>
      <c r="CO25" s="982"/>
      <c r="CP25" s="982"/>
      <c r="CQ25" s="982"/>
      <c r="CR25" s="982"/>
      <c r="CS25" s="982" t="str">
        <f>MID(SUVAHAVUJ!AD12,9,1)</f>
        <v xml:space="preserve"> </v>
      </c>
      <c r="CT25" s="982"/>
      <c r="CU25" s="982"/>
      <c r="CV25" s="982"/>
      <c r="CW25" s="982"/>
      <c r="CX25" s="982"/>
      <c r="CY25" s="982" t="str">
        <f>MID(SUVAHAVUJ!AD12,10,1)</f>
        <v xml:space="preserve"> </v>
      </c>
      <c r="CZ25" s="982"/>
      <c r="DA25" s="982"/>
      <c r="DB25" s="982"/>
      <c r="DC25" s="982"/>
      <c r="DD25" s="978" t="str">
        <f>MID(SUVAHAVUJ!AD12,11,1)</f>
        <v>0</v>
      </c>
      <c r="DE25" s="978"/>
      <c r="DF25" s="978"/>
      <c r="DG25" s="978"/>
      <c r="DH25" s="978"/>
      <c r="DI25" s="978"/>
      <c r="DJ25" s="648"/>
      <c r="DK25" s="649"/>
      <c r="DL25" s="976" t="str">
        <f>MID(SUVAHAVUJ!AF12,1,1)</f>
        <v xml:space="preserve"> </v>
      </c>
      <c r="DM25" s="976"/>
      <c r="DN25" s="976"/>
      <c r="DO25" s="976"/>
      <c r="DP25" s="976"/>
      <c r="DQ25" s="976"/>
      <c r="DR25" s="976" t="str">
        <f>MID(SUVAHAVUJ!AF12,2,1)</f>
        <v xml:space="preserve"> </v>
      </c>
      <c r="DS25" s="976"/>
      <c r="DT25" s="976"/>
      <c r="DU25" s="976"/>
      <c r="DV25" s="976"/>
      <c r="DW25" s="976" t="str">
        <f>MID(SUVAHAVUJ!AF12,3,1)</f>
        <v xml:space="preserve"> </v>
      </c>
      <c r="DX25" s="976"/>
      <c r="DY25" s="976"/>
      <c r="DZ25" s="976"/>
      <c r="EA25" s="976"/>
      <c r="EB25" s="976"/>
      <c r="EC25" s="976" t="str">
        <f>MID(SUVAHAVUJ!AF12,4,1)</f>
        <v xml:space="preserve"> </v>
      </c>
      <c r="ED25" s="976"/>
      <c r="EE25" s="976"/>
      <c r="EF25" s="976"/>
      <c r="EG25" s="976"/>
      <c r="EH25" s="976" t="str">
        <f>MID(SUVAHAVUJ!AF12,5,1)</f>
        <v xml:space="preserve"> </v>
      </c>
      <c r="EI25" s="976"/>
      <c r="EJ25" s="976"/>
      <c r="EK25" s="976"/>
      <c r="EL25" s="976"/>
      <c r="EM25" s="976"/>
      <c r="EN25" s="976" t="str">
        <f>MID(SUVAHAVUJ!AF12,6,1)</f>
        <v xml:space="preserve"> </v>
      </c>
      <c r="EO25" s="976"/>
      <c r="EP25" s="976"/>
      <c r="EQ25" s="976"/>
      <c r="ER25" s="976"/>
      <c r="ES25" s="976" t="str">
        <f>MID(SUVAHAVUJ!AF12,7,1)</f>
        <v xml:space="preserve"> </v>
      </c>
      <c r="ET25" s="976"/>
      <c r="EU25" s="976"/>
      <c r="EV25" s="976"/>
      <c r="EW25" s="976"/>
      <c r="EX25" s="976"/>
      <c r="EY25" s="976" t="str">
        <f>MID(SUVAHAVUJ!AF12,8,1)</f>
        <v xml:space="preserve"> </v>
      </c>
      <c r="EZ25" s="976"/>
      <c r="FA25" s="976"/>
      <c r="FB25" s="976"/>
      <c r="FC25" s="976"/>
      <c r="FD25" s="976" t="str">
        <f>MID(SUVAHAVUJ!AF12,9,1)</f>
        <v xml:space="preserve"> </v>
      </c>
      <c r="FE25" s="976"/>
      <c r="FF25" s="976"/>
      <c r="FG25" s="976"/>
      <c r="FH25" s="976"/>
      <c r="FI25" s="976"/>
      <c r="FJ25" s="976" t="str">
        <f>MID(SUVAHAVUJ!AF12,10,1)</f>
        <v xml:space="preserve"> </v>
      </c>
      <c r="FK25" s="976"/>
      <c r="FL25" s="976"/>
      <c r="FM25" s="976"/>
      <c r="FN25" s="976"/>
      <c r="FO25" s="978" t="str">
        <f>MID(SUVAHAVUJ!AF12,11,1)</f>
        <v>0</v>
      </c>
      <c r="FP25" s="978"/>
      <c r="FQ25" s="978"/>
      <c r="FR25" s="978"/>
      <c r="FS25" s="978"/>
      <c r="FT25" s="979"/>
      <c r="FU25" s="979"/>
      <c r="FV25" s="979"/>
      <c r="FW25" s="979"/>
      <c r="FX25" s="979"/>
      <c r="FY25" s="979"/>
      <c r="FZ25" s="979"/>
      <c r="GA25" s="979"/>
      <c r="GB25" s="979"/>
      <c r="GC25" s="979"/>
      <c r="GD25" s="979"/>
      <c r="GE25" s="979"/>
      <c r="GF25" s="979"/>
      <c r="GG25" s="979"/>
      <c r="GH25" s="979"/>
      <c r="GI25" s="979"/>
      <c r="GJ25" s="979"/>
      <c r="GK25" s="979"/>
      <c r="GL25" s="979"/>
      <c r="GM25" s="979"/>
      <c r="GN25" s="979"/>
      <c r="GO25" s="979"/>
      <c r="GP25" s="979"/>
      <c r="GQ25" s="979"/>
      <c r="GR25" s="979"/>
      <c r="GS25" s="979"/>
      <c r="GT25" s="979"/>
      <c r="GU25" s="979"/>
      <c r="GV25" s="979"/>
      <c r="GW25" s="979"/>
    </row>
    <row r="26" spans="1:205" ht="25.5" customHeight="1" x14ac:dyDescent="0.3">
      <c r="A26" s="972"/>
      <c r="B26" s="985"/>
      <c r="C26" s="985"/>
      <c r="D26" s="985"/>
      <c r="E26" s="985"/>
      <c r="F26" s="985"/>
      <c r="G26" s="985"/>
      <c r="H26" s="985"/>
      <c r="I26" s="985"/>
      <c r="J26" s="985"/>
      <c r="K26" s="985"/>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c r="AL26" s="984"/>
      <c r="AM26" s="984"/>
      <c r="AN26" s="984"/>
      <c r="AO26" s="984"/>
      <c r="AP26" s="984"/>
      <c r="AQ26" s="975"/>
      <c r="AR26" s="975"/>
      <c r="AS26" s="975"/>
      <c r="AT26" s="975"/>
      <c r="AU26" s="975"/>
      <c r="AV26" s="975"/>
      <c r="AW26" s="975"/>
      <c r="AX26" s="975"/>
      <c r="AY26" s="648"/>
      <c r="AZ26" s="649"/>
      <c r="BA26" s="976" t="str">
        <f>MID(SUVAHAVUJ!AE12,1,1)</f>
        <v xml:space="preserve"> </v>
      </c>
      <c r="BB26" s="976"/>
      <c r="BC26" s="976"/>
      <c r="BD26" s="976"/>
      <c r="BE26" s="976"/>
      <c r="BF26" s="976"/>
      <c r="BG26" s="976" t="str">
        <f>MID(SUVAHAVUJ!AE12,2,1)</f>
        <v xml:space="preserve"> </v>
      </c>
      <c r="BH26" s="976"/>
      <c r="BI26" s="976"/>
      <c r="BJ26" s="976"/>
      <c r="BK26" s="976"/>
      <c r="BL26" s="976" t="str">
        <f>MID(SUVAHAVUJ!AE12,3,1)</f>
        <v xml:space="preserve"> </v>
      </c>
      <c r="BM26" s="976"/>
      <c r="BN26" s="976"/>
      <c r="BO26" s="976"/>
      <c r="BP26" s="976"/>
      <c r="BQ26" s="976"/>
      <c r="BR26" s="976" t="str">
        <f>MID(SUVAHAVUJ!AE12,4,1)</f>
        <v xml:space="preserve"> </v>
      </c>
      <c r="BS26" s="976"/>
      <c r="BT26" s="976"/>
      <c r="BU26" s="976"/>
      <c r="BV26" s="976"/>
      <c r="BW26" s="976" t="str">
        <f>MID(SUVAHAVUJ!AE12,5,1)</f>
        <v xml:space="preserve"> </v>
      </c>
      <c r="BX26" s="976"/>
      <c r="BY26" s="976"/>
      <c r="BZ26" s="976"/>
      <c r="CA26" s="976"/>
      <c r="CB26" s="976"/>
      <c r="CC26" s="976" t="str">
        <f>MID(SUVAHAVUJ!AE12,6,1)</f>
        <v xml:space="preserve"> </v>
      </c>
      <c r="CD26" s="976"/>
      <c r="CE26" s="976"/>
      <c r="CF26" s="976"/>
      <c r="CG26" s="976"/>
      <c r="CH26" s="976" t="str">
        <f>MID(SUVAHAVUJ!AE12,7,1)</f>
        <v xml:space="preserve"> </v>
      </c>
      <c r="CI26" s="976"/>
      <c r="CJ26" s="976"/>
      <c r="CK26" s="976"/>
      <c r="CL26" s="976"/>
      <c r="CM26" s="976"/>
      <c r="CN26" s="976" t="str">
        <f>MID(SUVAHAVUJ!AE12,8,1)</f>
        <v xml:space="preserve"> </v>
      </c>
      <c r="CO26" s="976"/>
      <c r="CP26" s="976"/>
      <c r="CQ26" s="976"/>
      <c r="CR26" s="976"/>
      <c r="CS26" s="976" t="str">
        <f>MID(SUVAHAVUJ!AE12,9,1)</f>
        <v xml:space="preserve"> </v>
      </c>
      <c r="CT26" s="976"/>
      <c r="CU26" s="976"/>
      <c r="CV26" s="976"/>
      <c r="CW26" s="976"/>
      <c r="CX26" s="976"/>
      <c r="CY26" s="976" t="str">
        <f>MID(SUVAHAVUJ!AE12,10,1)</f>
        <v xml:space="preserve"> </v>
      </c>
      <c r="CZ26" s="976"/>
      <c r="DA26" s="976"/>
      <c r="DB26" s="976"/>
      <c r="DC26" s="976"/>
      <c r="DD26" s="977" t="str">
        <f>MID(SUVAHAVUJ!AE12,11,1)</f>
        <v>0</v>
      </c>
      <c r="DE26" s="977"/>
      <c r="DF26" s="977"/>
      <c r="DG26" s="977"/>
      <c r="DH26" s="977"/>
      <c r="DI26" s="977"/>
      <c r="DJ26" s="980"/>
      <c r="DK26" s="980"/>
      <c r="DL26" s="980"/>
      <c r="DM26" s="980"/>
      <c r="DN26" s="980"/>
      <c r="DO26" s="980"/>
      <c r="DP26" s="980"/>
      <c r="DQ26" s="980"/>
      <c r="DR26" s="980"/>
      <c r="DS26" s="980"/>
      <c r="DT26" s="980"/>
      <c r="DU26" s="980"/>
      <c r="DV26" s="980"/>
      <c r="DW26" s="980"/>
      <c r="DX26" s="980"/>
      <c r="DY26" s="980"/>
      <c r="DZ26" s="980"/>
      <c r="EA26" s="980"/>
      <c r="EB26" s="980"/>
      <c r="EC26" s="980"/>
      <c r="ED26" s="980"/>
      <c r="EE26" s="980"/>
      <c r="EF26" s="980"/>
      <c r="EG26" s="980"/>
      <c r="EH26" s="980"/>
      <c r="EI26" s="980"/>
      <c r="EJ26" s="980"/>
      <c r="EK26" s="980"/>
      <c r="EL26" s="980"/>
      <c r="EM26" s="980"/>
      <c r="EN26" s="648"/>
      <c r="EO26" s="649"/>
      <c r="EP26" s="976" t="str">
        <f>MID(SUVAHAVUJ!AG12,1,1)</f>
        <v xml:space="preserve"> </v>
      </c>
      <c r="EQ26" s="976"/>
      <c r="ER26" s="976"/>
      <c r="ES26" s="976"/>
      <c r="ET26" s="976"/>
      <c r="EU26" s="976"/>
      <c r="EV26" s="976" t="str">
        <f>MID(SUVAHAVUJ!AG12,2,1)</f>
        <v xml:space="preserve"> </v>
      </c>
      <c r="EW26" s="976"/>
      <c r="EX26" s="976"/>
      <c r="EY26" s="976"/>
      <c r="EZ26" s="976"/>
      <c r="FA26" s="976" t="str">
        <f>MID(SUVAHAVUJ!AG12,3,1)</f>
        <v xml:space="preserve"> </v>
      </c>
      <c r="FB26" s="976"/>
      <c r="FC26" s="976"/>
      <c r="FD26" s="976"/>
      <c r="FE26" s="976"/>
      <c r="FF26" s="976"/>
      <c r="FG26" s="976" t="str">
        <f>MID(SUVAHAVUJ!AG12,4,1)</f>
        <v xml:space="preserve"> </v>
      </c>
      <c r="FH26" s="976"/>
      <c r="FI26" s="976"/>
      <c r="FJ26" s="976"/>
      <c r="FK26" s="976"/>
      <c r="FL26" s="976" t="str">
        <f>MID(SUVAHAVUJ!AG12,5,1)</f>
        <v xml:space="preserve"> </v>
      </c>
      <c r="FM26" s="976"/>
      <c r="FN26" s="976"/>
      <c r="FO26" s="976"/>
      <c r="FP26" s="976"/>
      <c r="FQ26" s="976"/>
      <c r="FR26" s="976" t="str">
        <f>MID(SUVAHAVUJ!AG12,6,1)</f>
        <v xml:space="preserve"> </v>
      </c>
      <c r="FS26" s="976"/>
      <c r="FT26" s="976"/>
      <c r="FU26" s="976"/>
      <c r="FV26" s="976"/>
      <c r="FW26" s="976" t="str">
        <f>MID(SUVAHAVUJ!AG12,7,1)</f>
        <v xml:space="preserve"> </v>
      </c>
      <c r="FX26" s="976"/>
      <c r="FY26" s="976"/>
      <c r="FZ26" s="976"/>
      <c r="GA26" s="976"/>
      <c r="GB26" s="976"/>
      <c r="GC26" s="976" t="str">
        <f>MID(SUVAHAVUJ!AG12,8,1)</f>
        <v xml:space="preserve"> </v>
      </c>
      <c r="GD26" s="976"/>
      <c r="GE26" s="976"/>
      <c r="GF26" s="976"/>
      <c r="GG26" s="976"/>
      <c r="GH26" s="976" t="str">
        <f>MID(SUVAHAVUJ!AG12,9,1)</f>
        <v xml:space="preserve"> </v>
      </c>
      <c r="GI26" s="976"/>
      <c r="GJ26" s="976"/>
      <c r="GK26" s="976"/>
      <c r="GL26" s="976"/>
      <c r="GM26" s="976"/>
      <c r="GN26" s="976" t="str">
        <f>MID(SUVAHAVUJ!AG12,10,1)</f>
        <v xml:space="preserve"> </v>
      </c>
      <c r="GO26" s="976"/>
      <c r="GP26" s="976"/>
      <c r="GQ26" s="976"/>
      <c r="GR26" s="976"/>
      <c r="GS26" s="978" t="str">
        <f>MID(SUVAHAVUJ!AG12,11,1)</f>
        <v>0</v>
      </c>
      <c r="GT26" s="978"/>
      <c r="GU26" s="978"/>
      <c r="GV26" s="978"/>
      <c r="GW26" s="978"/>
    </row>
    <row r="27" spans="1:205" s="650" customFormat="1" ht="23.25" customHeight="1" x14ac:dyDescent="0.3">
      <c r="A27" s="972">
        <v>11</v>
      </c>
      <c r="B27" s="981" t="s">
        <v>2173</v>
      </c>
      <c r="C27" s="981"/>
      <c r="D27" s="981"/>
      <c r="E27" s="981"/>
      <c r="F27" s="981"/>
      <c r="G27" s="981"/>
      <c r="H27" s="981"/>
      <c r="I27" s="981"/>
      <c r="J27" s="981"/>
      <c r="K27" s="981"/>
      <c r="L27" s="974" t="str">
        <f>SUVAHAVUJ!$D13</f>
        <v>Dlhodobý hmotný majetok súčet (r. 12 až r. 20)</v>
      </c>
      <c r="M27" s="974"/>
      <c r="N27" s="974"/>
      <c r="O27" s="974"/>
      <c r="P27" s="974"/>
      <c r="Q27" s="974"/>
      <c r="R27" s="974"/>
      <c r="S27" s="974"/>
      <c r="T27" s="974"/>
      <c r="U27" s="974"/>
      <c r="V27" s="974"/>
      <c r="W27" s="974"/>
      <c r="X27" s="974"/>
      <c r="Y27" s="974"/>
      <c r="Z27" s="974"/>
      <c r="AA27" s="974"/>
      <c r="AB27" s="974"/>
      <c r="AC27" s="974"/>
      <c r="AD27" s="974"/>
      <c r="AE27" s="974"/>
      <c r="AF27" s="974"/>
      <c r="AG27" s="974"/>
      <c r="AH27" s="974"/>
      <c r="AI27" s="974"/>
      <c r="AJ27" s="974"/>
      <c r="AK27" s="974"/>
      <c r="AL27" s="974"/>
      <c r="AM27" s="974"/>
      <c r="AN27" s="974"/>
      <c r="AO27" s="974"/>
      <c r="AP27" s="974"/>
      <c r="AQ27" s="975" t="s">
        <v>2174</v>
      </c>
      <c r="AR27" s="975"/>
      <c r="AS27" s="975"/>
      <c r="AT27" s="975"/>
      <c r="AU27" s="975"/>
      <c r="AV27" s="975"/>
      <c r="AW27" s="975"/>
      <c r="AX27" s="975"/>
      <c r="AY27" s="648"/>
      <c r="AZ27" s="649"/>
      <c r="BA27" s="982" t="str">
        <f>MID(SUVAHAVUJ!AD13,1,1)</f>
        <v xml:space="preserve"> </v>
      </c>
      <c r="BB27" s="982"/>
      <c r="BC27" s="982"/>
      <c r="BD27" s="982"/>
      <c r="BE27" s="982"/>
      <c r="BF27" s="982"/>
      <c r="BG27" s="982" t="str">
        <f>MID(SUVAHAVUJ!AD13,2,1)</f>
        <v xml:space="preserve"> </v>
      </c>
      <c r="BH27" s="982"/>
      <c r="BI27" s="982"/>
      <c r="BJ27" s="982"/>
      <c r="BK27" s="982"/>
      <c r="BL27" s="982" t="str">
        <f>MID(SUVAHAVUJ!AD13,3,1)</f>
        <v xml:space="preserve"> </v>
      </c>
      <c r="BM27" s="982"/>
      <c r="BN27" s="982"/>
      <c r="BO27" s="982"/>
      <c r="BP27" s="982"/>
      <c r="BQ27" s="982"/>
      <c r="BR27" s="982" t="str">
        <f>MID(SUVAHAVUJ!AD13,4,1)</f>
        <v xml:space="preserve"> </v>
      </c>
      <c r="BS27" s="982"/>
      <c r="BT27" s="982"/>
      <c r="BU27" s="982"/>
      <c r="BV27" s="982"/>
      <c r="BW27" s="982" t="str">
        <f>MID(SUVAHAVUJ!AD13,5,1)</f>
        <v>1</v>
      </c>
      <c r="BX27" s="982"/>
      <c r="BY27" s="982"/>
      <c r="BZ27" s="982"/>
      <c r="CA27" s="982"/>
      <c r="CB27" s="982"/>
      <c r="CC27" s="982" t="str">
        <f>MID(SUVAHAVUJ!AD13,6,1)</f>
        <v>3</v>
      </c>
      <c r="CD27" s="982"/>
      <c r="CE27" s="982"/>
      <c r="CF27" s="982"/>
      <c r="CG27" s="982"/>
      <c r="CH27" s="982" t="str">
        <f>MID(SUVAHAVUJ!AD13,7,1)</f>
        <v>8</v>
      </c>
      <c r="CI27" s="982"/>
      <c r="CJ27" s="982"/>
      <c r="CK27" s="982"/>
      <c r="CL27" s="982"/>
      <c r="CM27" s="982"/>
      <c r="CN27" s="982" t="str">
        <f>MID(SUVAHAVUJ!AD13,8,1)</f>
        <v>4</v>
      </c>
      <c r="CO27" s="982"/>
      <c r="CP27" s="982"/>
      <c r="CQ27" s="982"/>
      <c r="CR27" s="982"/>
      <c r="CS27" s="982" t="str">
        <f>MID(SUVAHAVUJ!AD13,9,1)</f>
        <v>1</v>
      </c>
      <c r="CT27" s="982"/>
      <c r="CU27" s="982"/>
      <c r="CV27" s="982"/>
      <c r="CW27" s="982"/>
      <c r="CX27" s="982"/>
      <c r="CY27" s="982" t="str">
        <f>MID(SUVAHAVUJ!AD13,10,1)</f>
        <v>3</v>
      </c>
      <c r="CZ27" s="982"/>
      <c r="DA27" s="982"/>
      <c r="DB27" s="982"/>
      <c r="DC27" s="982"/>
      <c r="DD27" s="978" t="str">
        <f>MID(SUVAHAVUJ!AD13,11,1)</f>
        <v>6</v>
      </c>
      <c r="DE27" s="978"/>
      <c r="DF27" s="978"/>
      <c r="DG27" s="978"/>
      <c r="DH27" s="978"/>
      <c r="DI27" s="978"/>
      <c r="DJ27" s="648"/>
      <c r="DK27" s="649"/>
      <c r="DL27" s="976" t="str">
        <f>MID(SUVAHAVUJ!AF13,1,1)</f>
        <v xml:space="preserve"> </v>
      </c>
      <c r="DM27" s="976"/>
      <c r="DN27" s="976"/>
      <c r="DO27" s="976"/>
      <c r="DP27" s="976"/>
      <c r="DQ27" s="976"/>
      <c r="DR27" s="976" t="str">
        <f>MID(SUVAHAVUJ!AF13,2,1)</f>
        <v xml:space="preserve"> </v>
      </c>
      <c r="DS27" s="976"/>
      <c r="DT27" s="976"/>
      <c r="DU27" s="976"/>
      <c r="DV27" s="976"/>
      <c r="DW27" s="976" t="str">
        <f>MID(SUVAHAVUJ!AF13,3,1)</f>
        <v xml:space="preserve"> </v>
      </c>
      <c r="DX27" s="976"/>
      <c r="DY27" s="976"/>
      <c r="DZ27" s="976"/>
      <c r="EA27" s="976"/>
      <c r="EB27" s="976"/>
      <c r="EC27" s="976" t="str">
        <f>MID(SUVAHAVUJ!AF13,4,1)</f>
        <v xml:space="preserve"> </v>
      </c>
      <c r="ED27" s="976"/>
      <c r="EE27" s="976"/>
      <c r="EF27" s="976"/>
      <c r="EG27" s="976"/>
      <c r="EH27" s="976" t="str">
        <f>MID(SUVAHAVUJ!AF13,5,1)</f>
        <v xml:space="preserve"> </v>
      </c>
      <c r="EI27" s="976"/>
      <c r="EJ27" s="976"/>
      <c r="EK27" s="976"/>
      <c r="EL27" s="976"/>
      <c r="EM27" s="976"/>
      <c r="EN27" s="976" t="str">
        <f>MID(SUVAHAVUJ!AF13,6,1)</f>
        <v>3</v>
      </c>
      <c r="EO27" s="976"/>
      <c r="EP27" s="976"/>
      <c r="EQ27" s="976"/>
      <c r="ER27" s="976"/>
      <c r="ES27" s="976" t="str">
        <f>MID(SUVAHAVUJ!AF13,7,1)</f>
        <v>6</v>
      </c>
      <c r="ET27" s="976"/>
      <c r="EU27" s="976"/>
      <c r="EV27" s="976"/>
      <c r="EW27" s="976"/>
      <c r="EX27" s="976"/>
      <c r="EY27" s="976" t="str">
        <f>MID(SUVAHAVUJ!AF13,8,1)</f>
        <v>2</v>
      </c>
      <c r="EZ27" s="976"/>
      <c r="FA27" s="976"/>
      <c r="FB27" s="976"/>
      <c r="FC27" s="976"/>
      <c r="FD27" s="976" t="str">
        <f>MID(SUVAHAVUJ!AF13,9,1)</f>
        <v>0</v>
      </c>
      <c r="FE27" s="976"/>
      <c r="FF27" s="976"/>
      <c r="FG27" s="976"/>
      <c r="FH27" s="976"/>
      <c r="FI27" s="976"/>
      <c r="FJ27" s="976" t="str">
        <f>MID(SUVAHAVUJ!AF13,10,1)</f>
        <v>7</v>
      </c>
      <c r="FK27" s="976"/>
      <c r="FL27" s="976"/>
      <c r="FM27" s="976"/>
      <c r="FN27" s="976"/>
      <c r="FO27" s="978" t="str">
        <f>MID(SUVAHAVUJ!AF13,11,1)</f>
        <v>0</v>
      </c>
      <c r="FP27" s="978"/>
      <c r="FQ27" s="978"/>
      <c r="FR27" s="978"/>
      <c r="FS27" s="978"/>
      <c r="FT27" s="979"/>
      <c r="FU27" s="979"/>
      <c r="FV27" s="979"/>
      <c r="FW27" s="979"/>
      <c r="FX27" s="979"/>
      <c r="FY27" s="979"/>
      <c r="FZ27" s="979"/>
      <c r="GA27" s="979"/>
      <c r="GB27" s="979"/>
      <c r="GC27" s="979"/>
      <c r="GD27" s="979"/>
      <c r="GE27" s="979"/>
      <c r="GF27" s="979"/>
      <c r="GG27" s="979"/>
      <c r="GH27" s="979"/>
      <c r="GI27" s="979"/>
      <c r="GJ27" s="979"/>
      <c r="GK27" s="979"/>
      <c r="GL27" s="979"/>
      <c r="GM27" s="979"/>
      <c r="GN27" s="979"/>
      <c r="GO27" s="979"/>
      <c r="GP27" s="979"/>
      <c r="GQ27" s="979"/>
      <c r="GR27" s="979"/>
      <c r="GS27" s="979"/>
      <c r="GT27" s="979"/>
      <c r="GU27" s="979"/>
      <c r="GV27" s="979"/>
      <c r="GW27" s="979"/>
    </row>
    <row r="28" spans="1:205" ht="23.25" customHeight="1" x14ac:dyDescent="0.3">
      <c r="A28" s="972"/>
      <c r="B28" s="981"/>
      <c r="C28" s="981"/>
      <c r="D28" s="981"/>
      <c r="E28" s="981"/>
      <c r="F28" s="981"/>
      <c r="G28" s="981"/>
      <c r="H28" s="981"/>
      <c r="I28" s="981"/>
      <c r="J28" s="981"/>
      <c r="K28" s="981"/>
      <c r="L28" s="974"/>
      <c r="M28" s="974"/>
      <c r="N28" s="974"/>
      <c r="O28" s="974"/>
      <c r="P28" s="974"/>
      <c r="Q28" s="974"/>
      <c r="R28" s="974"/>
      <c r="S28" s="974"/>
      <c r="T28" s="974"/>
      <c r="U28" s="974"/>
      <c r="V28" s="974"/>
      <c r="W28" s="974"/>
      <c r="X28" s="974"/>
      <c r="Y28" s="974"/>
      <c r="Z28" s="974"/>
      <c r="AA28" s="974"/>
      <c r="AB28" s="974"/>
      <c r="AC28" s="974"/>
      <c r="AD28" s="974"/>
      <c r="AE28" s="974"/>
      <c r="AF28" s="974"/>
      <c r="AG28" s="974"/>
      <c r="AH28" s="974"/>
      <c r="AI28" s="974"/>
      <c r="AJ28" s="974"/>
      <c r="AK28" s="974"/>
      <c r="AL28" s="974"/>
      <c r="AM28" s="974"/>
      <c r="AN28" s="974"/>
      <c r="AO28" s="974"/>
      <c r="AP28" s="974"/>
      <c r="AQ28" s="975"/>
      <c r="AR28" s="975"/>
      <c r="AS28" s="975"/>
      <c r="AT28" s="975"/>
      <c r="AU28" s="975"/>
      <c r="AV28" s="975"/>
      <c r="AW28" s="975"/>
      <c r="AX28" s="975"/>
      <c r="AY28" s="648"/>
      <c r="AZ28" s="649"/>
      <c r="BA28" s="976" t="str">
        <f>MID(SUVAHAVUJ!AE13,1,1)</f>
        <v xml:space="preserve"> </v>
      </c>
      <c r="BB28" s="976"/>
      <c r="BC28" s="976"/>
      <c r="BD28" s="976"/>
      <c r="BE28" s="976"/>
      <c r="BF28" s="976"/>
      <c r="BG28" s="976" t="str">
        <f>MID(SUVAHAVUJ!AE13,2,1)</f>
        <v xml:space="preserve"> </v>
      </c>
      <c r="BH28" s="976"/>
      <c r="BI28" s="976"/>
      <c r="BJ28" s="976"/>
      <c r="BK28" s="976"/>
      <c r="BL28" s="976" t="str">
        <f>MID(SUVAHAVUJ!AE13,3,1)</f>
        <v xml:space="preserve"> </v>
      </c>
      <c r="BM28" s="976"/>
      <c r="BN28" s="976"/>
      <c r="BO28" s="976"/>
      <c r="BP28" s="976"/>
      <c r="BQ28" s="976"/>
      <c r="BR28" s="976" t="str">
        <f>MID(SUVAHAVUJ!AE13,4,1)</f>
        <v xml:space="preserve"> </v>
      </c>
      <c r="BS28" s="976"/>
      <c r="BT28" s="976"/>
      <c r="BU28" s="976"/>
      <c r="BV28" s="976"/>
      <c r="BW28" s="976" t="str">
        <f>MID(SUVAHAVUJ!AE13,5,1)</f>
        <v>1</v>
      </c>
      <c r="BX28" s="976"/>
      <c r="BY28" s="976"/>
      <c r="BZ28" s="976"/>
      <c r="CA28" s="976"/>
      <c r="CB28" s="976"/>
      <c r="CC28" s="976" t="str">
        <f>MID(SUVAHAVUJ!AE13,6,1)</f>
        <v>0</v>
      </c>
      <c r="CD28" s="976"/>
      <c r="CE28" s="976"/>
      <c r="CF28" s="976"/>
      <c r="CG28" s="976"/>
      <c r="CH28" s="976" t="str">
        <f>MID(SUVAHAVUJ!AE13,7,1)</f>
        <v>2</v>
      </c>
      <c r="CI28" s="976"/>
      <c r="CJ28" s="976"/>
      <c r="CK28" s="976"/>
      <c r="CL28" s="976"/>
      <c r="CM28" s="976"/>
      <c r="CN28" s="976" t="str">
        <f>MID(SUVAHAVUJ!AE13,8,1)</f>
        <v>2</v>
      </c>
      <c r="CO28" s="976"/>
      <c r="CP28" s="976"/>
      <c r="CQ28" s="976"/>
      <c r="CR28" s="976"/>
      <c r="CS28" s="976" t="str">
        <f>MID(SUVAHAVUJ!AE13,9,1)</f>
        <v>0</v>
      </c>
      <c r="CT28" s="976"/>
      <c r="CU28" s="976"/>
      <c r="CV28" s="976"/>
      <c r="CW28" s="976"/>
      <c r="CX28" s="976"/>
      <c r="CY28" s="976" t="str">
        <f>MID(SUVAHAVUJ!AE13,10,1)</f>
        <v>6</v>
      </c>
      <c r="CZ28" s="976"/>
      <c r="DA28" s="976"/>
      <c r="DB28" s="976"/>
      <c r="DC28" s="976"/>
      <c r="DD28" s="977" t="str">
        <f>MID(SUVAHAVUJ!AE13,11,1)</f>
        <v>6</v>
      </c>
      <c r="DE28" s="977"/>
      <c r="DF28" s="977"/>
      <c r="DG28" s="977"/>
      <c r="DH28" s="977"/>
      <c r="DI28" s="977"/>
      <c r="DJ28" s="980"/>
      <c r="DK28" s="980"/>
      <c r="DL28" s="980"/>
      <c r="DM28" s="980"/>
      <c r="DN28" s="980"/>
      <c r="DO28" s="980"/>
      <c r="DP28" s="980"/>
      <c r="DQ28" s="980"/>
      <c r="DR28" s="980"/>
      <c r="DS28" s="980"/>
      <c r="DT28" s="980"/>
      <c r="DU28" s="980"/>
      <c r="DV28" s="980"/>
      <c r="DW28" s="980"/>
      <c r="DX28" s="980"/>
      <c r="DY28" s="980"/>
      <c r="DZ28" s="980"/>
      <c r="EA28" s="980"/>
      <c r="EB28" s="980"/>
      <c r="EC28" s="980"/>
      <c r="ED28" s="980"/>
      <c r="EE28" s="980"/>
      <c r="EF28" s="980"/>
      <c r="EG28" s="980"/>
      <c r="EH28" s="980"/>
      <c r="EI28" s="980"/>
      <c r="EJ28" s="980"/>
      <c r="EK28" s="980"/>
      <c r="EL28" s="980"/>
      <c r="EM28" s="980"/>
      <c r="EN28" s="648"/>
      <c r="EO28" s="649"/>
      <c r="EP28" s="976" t="str">
        <f>MID(SUVAHAVUJ!AG13,1,1)</f>
        <v xml:space="preserve"> </v>
      </c>
      <c r="EQ28" s="976"/>
      <c r="ER28" s="976"/>
      <c r="ES28" s="976"/>
      <c r="ET28" s="976"/>
      <c r="EU28" s="976"/>
      <c r="EV28" s="976" t="str">
        <f>MID(SUVAHAVUJ!AG13,2,1)</f>
        <v xml:space="preserve"> </v>
      </c>
      <c r="EW28" s="976"/>
      <c r="EX28" s="976"/>
      <c r="EY28" s="976"/>
      <c r="EZ28" s="976"/>
      <c r="FA28" s="976" t="str">
        <f>MID(SUVAHAVUJ!AG13,3,1)</f>
        <v xml:space="preserve"> </v>
      </c>
      <c r="FB28" s="976"/>
      <c r="FC28" s="976"/>
      <c r="FD28" s="976"/>
      <c r="FE28" s="976"/>
      <c r="FF28" s="976"/>
      <c r="FG28" s="976" t="str">
        <f>MID(SUVAHAVUJ!AG13,4,1)</f>
        <v xml:space="preserve"> </v>
      </c>
      <c r="FH28" s="976"/>
      <c r="FI28" s="976"/>
      <c r="FJ28" s="976"/>
      <c r="FK28" s="976"/>
      <c r="FL28" s="976" t="str">
        <f>MID(SUVAHAVUJ!AG13,5,1)</f>
        <v xml:space="preserve"> </v>
      </c>
      <c r="FM28" s="976"/>
      <c r="FN28" s="976"/>
      <c r="FO28" s="976"/>
      <c r="FP28" s="976"/>
      <c r="FQ28" s="976"/>
      <c r="FR28" s="976" t="str">
        <f>MID(SUVAHAVUJ!AG13,6,1)</f>
        <v>4</v>
      </c>
      <c r="FS28" s="976"/>
      <c r="FT28" s="976"/>
      <c r="FU28" s="976"/>
      <c r="FV28" s="976"/>
      <c r="FW28" s="976" t="str">
        <f>MID(SUVAHAVUJ!AG13,7,1)</f>
        <v>0</v>
      </c>
      <c r="FX28" s="976"/>
      <c r="FY28" s="976"/>
      <c r="FZ28" s="976"/>
      <c r="GA28" s="976"/>
      <c r="GB28" s="976"/>
      <c r="GC28" s="976" t="str">
        <f>MID(SUVAHAVUJ!AG13,8,1)</f>
        <v>7</v>
      </c>
      <c r="GD28" s="976"/>
      <c r="GE28" s="976"/>
      <c r="GF28" s="976"/>
      <c r="GG28" s="976"/>
      <c r="GH28" s="976" t="str">
        <f>MID(SUVAHAVUJ!AG13,9,1)</f>
        <v>5</v>
      </c>
      <c r="GI28" s="976"/>
      <c r="GJ28" s="976"/>
      <c r="GK28" s="976"/>
      <c r="GL28" s="976"/>
      <c r="GM28" s="976"/>
      <c r="GN28" s="976" t="str">
        <f>MID(SUVAHAVUJ!AG13,10,1)</f>
        <v>0</v>
      </c>
      <c r="GO28" s="976"/>
      <c r="GP28" s="976"/>
      <c r="GQ28" s="976"/>
      <c r="GR28" s="976"/>
      <c r="GS28" s="978" t="str">
        <f>MID(SUVAHAVUJ!AG13,11,1)</f>
        <v>8</v>
      </c>
      <c r="GT28" s="978"/>
      <c r="GU28" s="978"/>
      <c r="GV28" s="978"/>
      <c r="GW28" s="978"/>
    </row>
    <row r="29" spans="1:205" s="650" customFormat="1" ht="24" customHeight="1" x14ac:dyDescent="0.3">
      <c r="A29" s="972">
        <v>12</v>
      </c>
      <c r="B29" s="983" t="s">
        <v>5343</v>
      </c>
      <c r="C29" s="983"/>
      <c r="D29" s="983"/>
      <c r="E29" s="983"/>
      <c r="F29" s="983"/>
      <c r="G29" s="983"/>
      <c r="H29" s="983"/>
      <c r="I29" s="983"/>
      <c r="J29" s="983"/>
      <c r="K29" s="983"/>
      <c r="L29" s="984" t="str">
        <f>SUVAHAVUJ!$D14</f>
        <v>Pozemky (031) - /092A/</v>
      </c>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984"/>
      <c r="AO29" s="984"/>
      <c r="AP29" s="984"/>
      <c r="AQ29" s="975" t="s">
        <v>1237</v>
      </c>
      <c r="AR29" s="975"/>
      <c r="AS29" s="975"/>
      <c r="AT29" s="975"/>
      <c r="AU29" s="975"/>
      <c r="AV29" s="975"/>
      <c r="AW29" s="975"/>
      <c r="AX29" s="975"/>
      <c r="AY29" s="648"/>
      <c r="AZ29" s="649"/>
      <c r="BA29" s="982" t="str">
        <f>MID(SUVAHAVUJ!AD14,1,1)</f>
        <v xml:space="preserve"> </v>
      </c>
      <c r="BB29" s="982"/>
      <c r="BC29" s="982"/>
      <c r="BD29" s="982"/>
      <c r="BE29" s="982"/>
      <c r="BF29" s="982"/>
      <c r="BG29" s="982" t="str">
        <f>MID(SUVAHAVUJ!AD14,2,1)</f>
        <v xml:space="preserve"> </v>
      </c>
      <c r="BH29" s="982"/>
      <c r="BI29" s="982"/>
      <c r="BJ29" s="982"/>
      <c r="BK29" s="982"/>
      <c r="BL29" s="982" t="str">
        <f>MID(SUVAHAVUJ!AD14,3,1)</f>
        <v xml:space="preserve"> </v>
      </c>
      <c r="BM29" s="982"/>
      <c r="BN29" s="982"/>
      <c r="BO29" s="982"/>
      <c r="BP29" s="982"/>
      <c r="BQ29" s="982"/>
      <c r="BR29" s="982" t="str">
        <f>MID(SUVAHAVUJ!AD14,4,1)</f>
        <v xml:space="preserve"> </v>
      </c>
      <c r="BS29" s="982"/>
      <c r="BT29" s="982"/>
      <c r="BU29" s="982"/>
      <c r="BV29" s="982"/>
      <c r="BW29" s="982" t="str">
        <f>MID(SUVAHAVUJ!AD14,5,1)</f>
        <v xml:space="preserve"> </v>
      </c>
      <c r="BX29" s="982"/>
      <c r="BY29" s="982"/>
      <c r="BZ29" s="982"/>
      <c r="CA29" s="982"/>
      <c r="CB29" s="982"/>
      <c r="CC29" s="982" t="str">
        <f>MID(SUVAHAVUJ!AD14,6,1)</f>
        <v xml:space="preserve"> </v>
      </c>
      <c r="CD29" s="982"/>
      <c r="CE29" s="982"/>
      <c r="CF29" s="982"/>
      <c r="CG29" s="982"/>
      <c r="CH29" s="982" t="str">
        <f>MID(SUVAHAVUJ!AD14,7,1)</f>
        <v xml:space="preserve"> </v>
      </c>
      <c r="CI29" s="982"/>
      <c r="CJ29" s="982"/>
      <c r="CK29" s="982"/>
      <c r="CL29" s="982"/>
      <c r="CM29" s="982"/>
      <c r="CN29" s="982" t="str">
        <f>MID(SUVAHAVUJ!AD14,8,1)</f>
        <v xml:space="preserve"> </v>
      </c>
      <c r="CO29" s="982"/>
      <c r="CP29" s="982"/>
      <c r="CQ29" s="982"/>
      <c r="CR29" s="982"/>
      <c r="CS29" s="982" t="str">
        <f>MID(SUVAHAVUJ!AD14,9,1)</f>
        <v xml:space="preserve"> </v>
      </c>
      <c r="CT29" s="982"/>
      <c r="CU29" s="982"/>
      <c r="CV29" s="982"/>
      <c r="CW29" s="982"/>
      <c r="CX29" s="982"/>
      <c r="CY29" s="982" t="str">
        <f>MID(SUVAHAVUJ!AD14,10,1)</f>
        <v xml:space="preserve"> </v>
      </c>
      <c r="CZ29" s="982"/>
      <c r="DA29" s="982"/>
      <c r="DB29" s="982"/>
      <c r="DC29" s="982"/>
      <c r="DD29" s="978" t="str">
        <f>MID(SUVAHAVUJ!AD14,11,1)</f>
        <v>0</v>
      </c>
      <c r="DE29" s="978"/>
      <c r="DF29" s="978"/>
      <c r="DG29" s="978"/>
      <c r="DH29" s="978"/>
      <c r="DI29" s="978"/>
      <c r="DJ29" s="648"/>
      <c r="DK29" s="649"/>
      <c r="DL29" s="976" t="str">
        <f>MID(SUVAHAVUJ!AF14,1,1)</f>
        <v xml:space="preserve"> </v>
      </c>
      <c r="DM29" s="976"/>
      <c r="DN29" s="976"/>
      <c r="DO29" s="976"/>
      <c r="DP29" s="976"/>
      <c r="DQ29" s="976"/>
      <c r="DR29" s="976" t="str">
        <f>MID(SUVAHAVUJ!AF14,2,1)</f>
        <v xml:space="preserve"> </v>
      </c>
      <c r="DS29" s="976"/>
      <c r="DT29" s="976"/>
      <c r="DU29" s="976"/>
      <c r="DV29" s="976"/>
      <c r="DW29" s="976" t="str">
        <f>MID(SUVAHAVUJ!AF14,3,1)</f>
        <v xml:space="preserve"> </v>
      </c>
      <c r="DX29" s="976"/>
      <c r="DY29" s="976"/>
      <c r="DZ29" s="976"/>
      <c r="EA29" s="976"/>
      <c r="EB29" s="976"/>
      <c r="EC29" s="976" t="str">
        <f>MID(SUVAHAVUJ!AF14,4,1)</f>
        <v xml:space="preserve"> </v>
      </c>
      <c r="ED29" s="976"/>
      <c r="EE29" s="976"/>
      <c r="EF29" s="976"/>
      <c r="EG29" s="976"/>
      <c r="EH29" s="976" t="str">
        <f>MID(SUVAHAVUJ!AF14,5,1)</f>
        <v xml:space="preserve"> </v>
      </c>
      <c r="EI29" s="976"/>
      <c r="EJ29" s="976"/>
      <c r="EK29" s="976"/>
      <c r="EL29" s="976"/>
      <c r="EM29" s="976"/>
      <c r="EN29" s="976" t="str">
        <f>MID(SUVAHAVUJ!AF14,6,1)</f>
        <v xml:space="preserve"> </v>
      </c>
      <c r="EO29" s="976"/>
      <c r="EP29" s="976"/>
      <c r="EQ29" s="976"/>
      <c r="ER29" s="976"/>
      <c r="ES29" s="976" t="str">
        <f>MID(SUVAHAVUJ!AF14,7,1)</f>
        <v xml:space="preserve"> </v>
      </c>
      <c r="ET29" s="976"/>
      <c r="EU29" s="976"/>
      <c r="EV29" s="976"/>
      <c r="EW29" s="976"/>
      <c r="EX29" s="976"/>
      <c r="EY29" s="976" t="str">
        <f>MID(SUVAHAVUJ!AF14,8,1)</f>
        <v xml:space="preserve"> </v>
      </c>
      <c r="EZ29" s="976"/>
      <c r="FA29" s="976"/>
      <c r="FB29" s="976"/>
      <c r="FC29" s="976"/>
      <c r="FD29" s="976" t="str">
        <f>MID(SUVAHAVUJ!AF14,9,1)</f>
        <v xml:space="preserve"> </v>
      </c>
      <c r="FE29" s="976"/>
      <c r="FF29" s="976"/>
      <c r="FG29" s="976"/>
      <c r="FH29" s="976"/>
      <c r="FI29" s="976"/>
      <c r="FJ29" s="976" t="str">
        <f>MID(SUVAHAVUJ!AF14,10,1)</f>
        <v xml:space="preserve"> </v>
      </c>
      <c r="FK29" s="976"/>
      <c r="FL29" s="976"/>
      <c r="FM29" s="976"/>
      <c r="FN29" s="976"/>
      <c r="FO29" s="978" t="str">
        <f>MID(SUVAHAVUJ!AF14,11,1)</f>
        <v>0</v>
      </c>
      <c r="FP29" s="978"/>
      <c r="FQ29" s="978"/>
      <c r="FR29" s="978"/>
      <c r="FS29" s="978"/>
      <c r="FT29" s="979"/>
      <c r="FU29" s="979"/>
      <c r="FV29" s="979"/>
      <c r="FW29" s="979"/>
      <c r="FX29" s="979"/>
      <c r="FY29" s="979"/>
      <c r="FZ29" s="979"/>
      <c r="GA29" s="979"/>
      <c r="GB29" s="979"/>
      <c r="GC29" s="979"/>
      <c r="GD29" s="979"/>
      <c r="GE29" s="979"/>
      <c r="GF29" s="979"/>
      <c r="GG29" s="979"/>
      <c r="GH29" s="979"/>
      <c r="GI29" s="979"/>
      <c r="GJ29" s="979"/>
      <c r="GK29" s="979"/>
      <c r="GL29" s="979"/>
      <c r="GM29" s="979"/>
      <c r="GN29" s="979"/>
      <c r="GO29" s="979"/>
      <c r="GP29" s="979"/>
      <c r="GQ29" s="979"/>
      <c r="GR29" s="979"/>
      <c r="GS29" s="979"/>
      <c r="GT29" s="979"/>
      <c r="GU29" s="979"/>
      <c r="GV29" s="979"/>
      <c r="GW29" s="979"/>
    </row>
    <row r="30" spans="1:205" ht="23.25" customHeight="1" x14ac:dyDescent="0.3">
      <c r="A30" s="972"/>
      <c r="B30" s="983"/>
      <c r="C30" s="983"/>
      <c r="D30" s="983"/>
      <c r="E30" s="983"/>
      <c r="F30" s="983"/>
      <c r="G30" s="983"/>
      <c r="H30" s="983"/>
      <c r="I30" s="983"/>
      <c r="J30" s="983"/>
      <c r="K30" s="983"/>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984"/>
      <c r="AO30" s="984"/>
      <c r="AP30" s="984"/>
      <c r="AQ30" s="975"/>
      <c r="AR30" s="975"/>
      <c r="AS30" s="975"/>
      <c r="AT30" s="975"/>
      <c r="AU30" s="975"/>
      <c r="AV30" s="975"/>
      <c r="AW30" s="975"/>
      <c r="AX30" s="975"/>
      <c r="AY30" s="648"/>
      <c r="AZ30" s="649"/>
      <c r="BA30" s="976" t="str">
        <f>MID(SUVAHAVUJ!AE14,1,1)</f>
        <v xml:space="preserve"> </v>
      </c>
      <c r="BB30" s="976"/>
      <c r="BC30" s="976"/>
      <c r="BD30" s="976"/>
      <c r="BE30" s="976"/>
      <c r="BF30" s="976"/>
      <c r="BG30" s="976" t="str">
        <f>MID(SUVAHAVUJ!AE14,2,1)</f>
        <v xml:space="preserve"> </v>
      </c>
      <c r="BH30" s="976"/>
      <c r="BI30" s="976"/>
      <c r="BJ30" s="976"/>
      <c r="BK30" s="976"/>
      <c r="BL30" s="976" t="str">
        <f>MID(SUVAHAVUJ!AE14,3,1)</f>
        <v xml:space="preserve"> </v>
      </c>
      <c r="BM30" s="976"/>
      <c r="BN30" s="976"/>
      <c r="BO30" s="976"/>
      <c r="BP30" s="976"/>
      <c r="BQ30" s="976"/>
      <c r="BR30" s="976" t="str">
        <f>MID(SUVAHAVUJ!AE14,4,1)</f>
        <v xml:space="preserve"> </v>
      </c>
      <c r="BS30" s="976"/>
      <c r="BT30" s="976"/>
      <c r="BU30" s="976"/>
      <c r="BV30" s="976"/>
      <c r="BW30" s="976" t="str">
        <f>MID(SUVAHAVUJ!AE14,5,1)</f>
        <v xml:space="preserve"> </v>
      </c>
      <c r="BX30" s="976"/>
      <c r="BY30" s="976"/>
      <c r="BZ30" s="976"/>
      <c r="CA30" s="976"/>
      <c r="CB30" s="976"/>
      <c r="CC30" s="976" t="str">
        <f>MID(SUVAHAVUJ!AE14,6,1)</f>
        <v xml:space="preserve"> </v>
      </c>
      <c r="CD30" s="976"/>
      <c r="CE30" s="976"/>
      <c r="CF30" s="976"/>
      <c r="CG30" s="976"/>
      <c r="CH30" s="976" t="str">
        <f>MID(SUVAHAVUJ!AE14,7,1)</f>
        <v xml:space="preserve"> </v>
      </c>
      <c r="CI30" s="976"/>
      <c r="CJ30" s="976"/>
      <c r="CK30" s="976"/>
      <c r="CL30" s="976"/>
      <c r="CM30" s="976"/>
      <c r="CN30" s="976" t="str">
        <f>MID(SUVAHAVUJ!AE14,8,1)</f>
        <v xml:space="preserve"> </v>
      </c>
      <c r="CO30" s="976"/>
      <c r="CP30" s="976"/>
      <c r="CQ30" s="976"/>
      <c r="CR30" s="976"/>
      <c r="CS30" s="976" t="str">
        <f>MID(SUVAHAVUJ!AE14,9,1)</f>
        <v xml:space="preserve"> </v>
      </c>
      <c r="CT30" s="976"/>
      <c r="CU30" s="976"/>
      <c r="CV30" s="976"/>
      <c r="CW30" s="976"/>
      <c r="CX30" s="976"/>
      <c r="CY30" s="976" t="str">
        <f>MID(SUVAHAVUJ!AE14,10,1)</f>
        <v xml:space="preserve"> </v>
      </c>
      <c r="CZ30" s="976"/>
      <c r="DA30" s="976"/>
      <c r="DB30" s="976"/>
      <c r="DC30" s="976"/>
      <c r="DD30" s="977" t="str">
        <f>MID(SUVAHAVUJ!AE14,11,1)</f>
        <v>0</v>
      </c>
      <c r="DE30" s="977"/>
      <c r="DF30" s="977"/>
      <c r="DG30" s="977"/>
      <c r="DH30" s="977"/>
      <c r="DI30" s="977"/>
      <c r="DJ30" s="980"/>
      <c r="DK30" s="980"/>
      <c r="DL30" s="980"/>
      <c r="DM30" s="980"/>
      <c r="DN30" s="980"/>
      <c r="DO30" s="980"/>
      <c r="DP30" s="980"/>
      <c r="DQ30" s="980"/>
      <c r="DR30" s="980"/>
      <c r="DS30" s="980"/>
      <c r="DT30" s="980"/>
      <c r="DU30" s="980"/>
      <c r="DV30" s="980"/>
      <c r="DW30" s="980"/>
      <c r="DX30" s="980"/>
      <c r="DY30" s="980"/>
      <c r="DZ30" s="980"/>
      <c r="EA30" s="980"/>
      <c r="EB30" s="980"/>
      <c r="EC30" s="980"/>
      <c r="ED30" s="980"/>
      <c r="EE30" s="980"/>
      <c r="EF30" s="980"/>
      <c r="EG30" s="980"/>
      <c r="EH30" s="980"/>
      <c r="EI30" s="980"/>
      <c r="EJ30" s="980"/>
      <c r="EK30" s="980"/>
      <c r="EL30" s="980"/>
      <c r="EM30" s="980"/>
      <c r="EN30" s="648"/>
      <c r="EO30" s="649"/>
      <c r="EP30" s="976" t="str">
        <f>MID(SUVAHAVUJ!AG14,1,1)</f>
        <v xml:space="preserve"> </v>
      </c>
      <c r="EQ30" s="976"/>
      <c r="ER30" s="976"/>
      <c r="ES30" s="976"/>
      <c r="ET30" s="976"/>
      <c r="EU30" s="976"/>
      <c r="EV30" s="976" t="str">
        <f>MID(SUVAHAVUJ!AG14,2,1)</f>
        <v xml:space="preserve"> </v>
      </c>
      <c r="EW30" s="976"/>
      <c r="EX30" s="976"/>
      <c r="EY30" s="976"/>
      <c r="EZ30" s="976"/>
      <c r="FA30" s="976" t="str">
        <f>MID(SUVAHAVUJ!AG14,3,1)</f>
        <v xml:space="preserve"> </v>
      </c>
      <c r="FB30" s="976"/>
      <c r="FC30" s="976"/>
      <c r="FD30" s="976"/>
      <c r="FE30" s="976"/>
      <c r="FF30" s="976"/>
      <c r="FG30" s="976" t="str">
        <f>MID(SUVAHAVUJ!AG14,4,1)</f>
        <v xml:space="preserve"> </v>
      </c>
      <c r="FH30" s="976"/>
      <c r="FI30" s="976"/>
      <c r="FJ30" s="976"/>
      <c r="FK30" s="976"/>
      <c r="FL30" s="976" t="str">
        <f>MID(SUVAHAVUJ!AG14,5,1)</f>
        <v xml:space="preserve"> </v>
      </c>
      <c r="FM30" s="976"/>
      <c r="FN30" s="976"/>
      <c r="FO30" s="976"/>
      <c r="FP30" s="976"/>
      <c r="FQ30" s="976"/>
      <c r="FR30" s="976" t="str">
        <f>MID(SUVAHAVUJ!AG14,6,1)</f>
        <v xml:space="preserve"> </v>
      </c>
      <c r="FS30" s="976"/>
      <c r="FT30" s="976"/>
      <c r="FU30" s="976"/>
      <c r="FV30" s="976"/>
      <c r="FW30" s="976" t="str">
        <f>MID(SUVAHAVUJ!AG14,7,1)</f>
        <v xml:space="preserve"> </v>
      </c>
      <c r="FX30" s="976"/>
      <c r="FY30" s="976"/>
      <c r="FZ30" s="976"/>
      <c r="GA30" s="976"/>
      <c r="GB30" s="976"/>
      <c r="GC30" s="976" t="str">
        <f>MID(SUVAHAVUJ!AG14,8,1)</f>
        <v xml:space="preserve"> </v>
      </c>
      <c r="GD30" s="976"/>
      <c r="GE30" s="976"/>
      <c r="GF30" s="976"/>
      <c r="GG30" s="976"/>
      <c r="GH30" s="976" t="str">
        <f>MID(SUVAHAVUJ!AG14,9,1)</f>
        <v xml:space="preserve"> </v>
      </c>
      <c r="GI30" s="976"/>
      <c r="GJ30" s="976"/>
      <c r="GK30" s="976"/>
      <c r="GL30" s="976"/>
      <c r="GM30" s="976"/>
      <c r="GN30" s="976" t="str">
        <f>MID(SUVAHAVUJ!AG14,10,1)</f>
        <v xml:space="preserve"> </v>
      </c>
      <c r="GO30" s="976"/>
      <c r="GP30" s="976"/>
      <c r="GQ30" s="976"/>
      <c r="GR30" s="976"/>
      <c r="GS30" s="978" t="str">
        <f>MID(SUVAHAVUJ!AG14,11,1)</f>
        <v>0</v>
      </c>
      <c r="GT30" s="978"/>
      <c r="GU30" s="978"/>
      <c r="GV30" s="978"/>
      <c r="GW30" s="978"/>
    </row>
    <row r="31" spans="1:205" s="650" customFormat="1" ht="23.25" customHeight="1" x14ac:dyDescent="0.3">
      <c r="A31" s="972">
        <v>13</v>
      </c>
      <c r="B31" s="985" t="s">
        <v>2166</v>
      </c>
      <c r="C31" s="985"/>
      <c r="D31" s="985"/>
      <c r="E31" s="985"/>
      <c r="F31" s="985"/>
      <c r="G31" s="985"/>
      <c r="H31" s="985"/>
      <c r="I31" s="985"/>
      <c r="J31" s="985"/>
      <c r="K31" s="985"/>
      <c r="L31" s="984" t="str">
        <f>SUVAHAVUJ!$D15</f>
        <v>Stavby (021) - /081, 092A/</v>
      </c>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c r="AL31" s="984"/>
      <c r="AM31" s="984"/>
      <c r="AN31" s="984"/>
      <c r="AO31" s="984"/>
      <c r="AP31" s="984"/>
      <c r="AQ31" s="975" t="s">
        <v>1238</v>
      </c>
      <c r="AR31" s="975"/>
      <c r="AS31" s="975"/>
      <c r="AT31" s="975"/>
      <c r="AU31" s="975"/>
      <c r="AV31" s="975"/>
      <c r="AW31" s="975"/>
      <c r="AX31" s="975"/>
      <c r="AY31" s="648"/>
      <c r="AZ31" s="649"/>
      <c r="BA31" s="982" t="str">
        <f>MID(SUVAHAVUJ!AD15,1,1)</f>
        <v xml:space="preserve"> </v>
      </c>
      <c r="BB31" s="982"/>
      <c r="BC31" s="982"/>
      <c r="BD31" s="982"/>
      <c r="BE31" s="982"/>
      <c r="BF31" s="982"/>
      <c r="BG31" s="982" t="str">
        <f>MID(SUVAHAVUJ!AD15,2,1)</f>
        <v xml:space="preserve"> </v>
      </c>
      <c r="BH31" s="982"/>
      <c r="BI31" s="982"/>
      <c r="BJ31" s="982"/>
      <c r="BK31" s="982"/>
      <c r="BL31" s="982" t="str">
        <f>MID(SUVAHAVUJ!AD15,3,1)</f>
        <v xml:space="preserve"> </v>
      </c>
      <c r="BM31" s="982"/>
      <c r="BN31" s="982"/>
      <c r="BO31" s="982"/>
      <c r="BP31" s="982"/>
      <c r="BQ31" s="982"/>
      <c r="BR31" s="982" t="str">
        <f>MID(SUVAHAVUJ!AD15,4,1)</f>
        <v xml:space="preserve"> </v>
      </c>
      <c r="BS31" s="982"/>
      <c r="BT31" s="982"/>
      <c r="BU31" s="982"/>
      <c r="BV31" s="982"/>
      <c r="BW31" s="982" t="str">
        <f>MID(SUVAHAVUJ!AD15,5,1)</f>
        <v xml:space="preserve"> </v>
      </c>
      <c r="BX31" s="982"/>
      <c r="BY31" s="982"/>
      <c r="BZ31" s="982"/>
      <c r="CA31" s="982"/>
      <c r="CB31" s="982"/>
      <c r="CC31" s="982" t="str">
        <f>MID(SUVAHAVUJ!AD15,6,1)</f>
        <v>7</v>
      </c>
      <c r="CD31" s="982"/>
      <c r="CE31" s="982"/>
      <c r="CF31" s="982"/>
      <c r="CG31" s="982"/>
      <c r="CH31" s="982" t="str">
        <f>MID(SUVAHAVUJ!AD15,7,1)</f>
        <v>2</v>
      </c>
      <c r="CI31" s="982"/>
      <c r="CJ31" s="982"/>
      <c r="CK31" s="982"/>
      <c r="CL31" s="982"/>
      <c r="CM31" s="982"/>
      <c r="CN31" s="982" t="str">
        <f>MID(SUVAHAVUJ!AD15,8,1)</f>
        <v>6</v>
      </c>
      <c r="CO31" s="982"/>
      <c r="CP31" s="982"/>
      <c r="CQ31" s="982"/>
      <c r="CR31" s="982"/>
      <c r="CS31" s="982" t="str">
        <f>MID(SUVAHAVUJ!AD15,9,1)</f>
        <v>9</v>
      </c>
      <c r="CT31" s="982"/>
      <c r="CU31" s="982"/>
      <c r="CV31" s="982"/>
      <c r="CW31" s="982"/>
      <c r="CX31" s="982"/>
      <c r="CY31" s="982" t="str">
        <f>MID(SUVAHAVUJ!AD15,10,1)</f>
        <v>0</v>
      </c>
      <c r="CZ31" s="982"/>
      <c r="DA31" s="982"/>
      <c r="DB31" s="982"/>
      <c r="DC31" s="982"/>
      <c r="DD31" s="978" t="str">
        <f>MID(SUVAHAVUJ!AD15,11,1)</f>
        <v>0</v>
      </c>
      <c r="DE31" s="978"/>
      <c r="DF31" s="978"/>
      <c r="DG31" s="978"/>
      <c r="DH31" s="978"/>
      <c r="DI31" s="978"/>
      <c r="DJ31" s="648"/>
      <c r="DK31" s="649"/>
      <c r="DL31" s="976" t="str">
        <f>MID(SUVAHAVUJ!AF15,1,1)</f>
        <v xml:space="preserve"> </v>
      </c>
      <c r="DM31" s="976"/>
      <c r="DN31" s="976"/>
      <c r="DO31" s="976"/>
      <c r="DP31" s="976"/>
      <c r="DQ31" s="976"/>
      <c r="DR31" s="976" t="str">
        <f>MID(SUVAHAVUJ!AF15,2,1)</f>
        <v xml:space="preserve"> </v>
      </c>
      <c r="DS31" s="976"/>
      <c r="DT31" s="976"/>
      <c r="DU31" s="976"/>
      <c r="DV31" s="976"/>
      <c r="DW31" s="976" t="str">
        <f>MID(SUVAHAVUJ!AF15,3,1)</f>
        <v xml:space="preserve"> </v>
      </c>
      <c r="DX31" s="976"/>
      <c r="DY31" s="976"/>
      <c r="DZ31" s="976"/>
      <c r="EA31" s="976"/>
      <c r="EB31" s="976"/>
      <c r="EC31" s="976" t="str">
        <f>MID(SUVAHAVUJ!AF15,4,1)</f>
        <v xml:space="preserve"> </v>
      </c>
      <c r="ED31" s="976"/>
      <c r="EE31" s="976"/>
      <c r="EF31" s="976"/>
      <c r="EG31" s="976"/>
      <c r="EH31" s="976" t="str">
        <f>MID(SUVAHAVUJ!AF15,5,1)</f>
        <v xml:space="preserve"> </v>
      </c>
      <c r="EI31" s="976"/>
      <c r="EJ31" s="976"/>
      <c r="EK31" s="976"/>
      <c r="EL31" s="976"/>
      <c r="EM31" s="976"/>
      <c r="EN31" s="976" t="str">
        <f>MID(SUVAHAVUJ!AF15,6,1)</f>
        <v>3</v>
      </c>
      <c r="EO31" s="976"/>
      <c r="EP31" s="976"/>
      <c r="EQ31" s="976"/>
      <c r="ER31" s="976"/>
      <c r="ES31" s="976" t="str">
        <f>MID(SUVAHAVUJ!AF15,7,1)</f>
        <v>3</v>
      </c>
      <c r="ET31" s="976"/>
      <c r="EU31" s="976"/>
      <c r="EV31" s="976"/>
      <c r="EW31" s="976"/>
      <c r="EX31" s="976"/>
      <c r="EY31" s="976" t="str">
        <f>MID(SUVAHAVUJ!AF15,8,1)</f>
        <v>5</v>
      </c>
      <c r="EZ31" s="976"/>
      <c r="FA31" s="976"/>
      <c r="FB31" s="976"/>
      <c r="FC31" s="976"/>
      <c r="FD31" s="976" t="str">
        <f>MID(SUVAHAVUJ!AF15,9,1)</f>
        <v>0</v>
      </c>
      <c r="FE31" s="976"/>
      <c r="FF31" s="976"/>
      <c r="FG31" s="976"/>
      <c r="FH31" s="976"/>
      <c r="FI31" s="976"/>
      <c r="FJ31" s="976" t="str">
        <f>MID(SUVAHAVUJ!AF15,10,1)</f>
        <v>1</v>
      </c>
      <c r="FK31" s="976"/>
      <c r="FL31" s="976"/>
      <c r="FM31" s="976"/>
      <c r="FN31" s="976"/>
      <c r="FO31" s="978" t="str">
        <f>MID(SUVAHAVUJ!AF15,11,1)</f>
        <v>0</v>
      </c>
      <c r="FP31" s="978"/>
      <c r="FQ31" s="978"/>
      <c r="FR31" s="978"/>
      <c r="FS31" s="978"/>
      <c r="FT31" s="979"/>
      <c r="FU31" s="979"/>
      <c r="FV31" s="979"/>
      <c r="FW31" s="979"/>
      <c r="FX31" s="979"/>
      <c r="FY31" s="979"/>
      <c r="FZ31" s="979"/>
      <c r="GA31" s="979"/>
      <c r="GB31" s="979"/>
      <c r="GC31" s="979"/>
      <c r="GD31" s="979"/>
      <c r="GE31" s="979"/>
      <c r="GF31" s="979"/>
      <c r="GG31" s="979"/>
      <c r="GH31" s="979"/>
      <c r="GI31" s="979"/>
      <c r="GJ31" s="979"/>
      <c r="GK31" s="979"/>
      <c r="GL31" s="979"/>
      <c r="GM31" s="979"/>
      <c r="GN31" s="979"/>
      <c r="GO31" s="979"/>
      <c r="GP31" s="979"/>
      <c r="GQ31" s="979"/>
      <c r="GR31" s="979"/>
      <c r="GS31" s="979"/>
      <c r="GT31" s="979"/>
      <c r="GU31" s="979"/>
      <c r="GV31" s="979"/>
      <c r="GW31" s="979"/>
    </row>
    <row r="32" spans="1:205" ht="23.25" customHeight="1" x14ac:dyDescent="0.3">
      <c r="A32" s="972"/>
      <c r="B32" s="985"/>
      <c r="C32" s="985"/>
      <c r="D32" s="985"/>
      <c r="E32" s="985"/>
      <c r="F32" s="985"/>
      <c r="G32" s="985"/>
      <c r="H32" s="985"/>
      <c r="I32" s="985"/>
      <c r="J32" s="985"/>
      <c r="K32" s="985"/>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c r="AL32" s="984"/>
      <c r="AM32" s="984"/>
      <c r="AN32" s="984"/>
      <c r="AO32" s="984"/>
      <c r="AP32" s="984"/>
      <c r="AQ32" s="975"/>
      <c r="AR32" s="975"/>
      <c r="AS32" s="975"/>
      <c r="AT32" s="975"/>
      <c r="AU32" s="975"/>
      <c r="AV32" s="975"/>
      <c r="AW32" s="975"/>
      <c r="AX32" s="975"/>
      <c r="AY32" s="648"/>
      <c r="AZ32" s="649"/>
      <c r="BA32" s="976" t="str">
        <f>MID(SUVAHAVUJ!AE15,1,1)</f>
        <v xml:space="preserve"> </v>
      </c>
      <c r="BB32" s="976"/>
      <c r="BC32" s="976"/>
      <c r="BD32" s="976"/>
      <c r="BE32" s="976"/>
      <c r="BF32" s="976"/>
      <c r="BG32" s="976" t="str">
        <f>MID(SUVAHAVUJ!AE15,2,1)</f>
        <v xml:space="preserve"> </v>
      </c>
      <c r="BH32" s="976"/>
      <c r="BI32" s="976"/>
      <c r="BJ32" s="976"/>
      <c r="BK32" s="976"/>
      <c r="BL32" s="976" t="str">
        <f>MID(SUVAHAVUJ!AE15,3,1)</f>
        <v xml:space="preserve"> </v>
      </c>
      <c r="BM32" s="976"/>
      <c r="BN32" s="976"/>
      <c r="BO32" s="976"/>
      <c r="BP32" s="976"/>
      <c r="BQ32" s="976"/>
      <c r="BR32" s="976" t="str">
        <f>MID(SUVAHAVUJ!AE15,4,1)</f>
        <v xml:space="preserve"> </v>
      </c>
      <c r="BS32" s="976"/>
      <c r="BT32" s="976"/>
      <c r="BU32" s="976"/>
      <c r="BV32" s="976"/>
      <c r="BW32" s="976" t="str">
        <f>MID(SUVAHAVUJ!AE15,5,1)</f>
        <v xml:space="preserve"> </v>
      </c>
      <c r="BX32" s="976"/>
      <c r="BY32" s="976"/>
      <c r="BZ32" s="976"/>
      <c r="CA32" s="976"/>
      <c r="CB32" s="976"/>
      <c r="CC32" s="976" t="str">
        <f>MID(SUVAHAVUJ!AE15,6,1)</f>
        <v>3</v>
      </c>
      <c r="CD32" s="976"/>
      <c r="CE32" s="976"/>
      <c r="CF32" s="976"/>
      <c r="CG32" s="976"/>
      <c r="CH32" s="976" t="str">
        <f>MID(SUVAHAVUJ!AE15,7,1)</f>
        <v>9</v>
      </c>
      <c r="CI32" s="976"/>
      <c r="CJ32" s="976"/>
      <c r="CK32" s="976"/>
      <c r="CL32" s="976"/>
      <c r="CM32" s="976"/>
      <c r="CN32" s="976" t="str">
        <f>MID(SUVAHAVUJ!AE15,8,1)</f>
        <v>1</v>
      </c>
      <c r="CO32" s="976"/>
      <c r="CP32" s="976"/>
      <c r="CQ32" s="976"/>
      <c r="CR32" s="976"/>
      <c r="CS32" s="976" t="str">
        <f>MID(SUVAHAVUJ!AE15,9,1)</f>
        <v>8</v>
      </c>
      <c r="CT32" s="976"/>
      <c r="CU32" s="976"/>
      <c r="CV32" s="976"/>
      <c r="CW32" s="976"/>
      <c r="CX32" s="976"/>
      <c r="CY32" s="976" t="str">
        <f>MID(SUVAHAVUJ!AE15,10,1)</f>
        <v>9</v>
      </c>
      <c r="CZ32" s="976"/>
      <c r="DA32" s="976"/>
      <c r="DB32" s="976"/>
      <c r="DC32" s="976"/>
      <c r="DD32" s="977" t="str">
        <f>MID(SUVAHAVUJ!AE15,11,1)</f>
        <v>0</v>
      </c>
      <c r="DE32" s="977"/>
      <c r="DF32" s="977"/>
      <c r="DG32" s="977"/>
      <c r="DH32" s="977"/>
      <c r="DI32" s="977"/>
      <c r="DJ32" s="980"/>
      <c r="DK32" s="980"/>
      <c r="DL32" s="980"/>
      <c r="DM32" s="980"/>
      <c r="DN32" s="980"/>
      <c r="DO32" s="980"/>
      <c r="DP32" s="980"/>
      <c r="DQ32" s="980"/>
      <c r="DR32" s="980"/>
      <c r="DS32" s="980"/>
      <c r="DT32" s="980"/>
      <c r="DU32" s="980"/>
      <c r="DV32" s="980"/>
      <c r="DW32" s="980"/>
      <c r="DX32" s="980"/>
      <c r="DY32" s="980"/>
      <c r="DZ32" s="980"/>
      <c r="EA32" s="980"/>
      <c r="EB32" s="980"/>
      <c r="EC32" s="980"/>
      <c r="ED32" s="980"/>
      <c r="EE32" s="980"/>
      <c r="EF32" s="980"/>
      <c r="EG32" s="980"/>
      <c r="EH32" s="980"/>
      <c r="EI32" s="980"/>
      <c r="EJ32" s="980"/>
      <c r="EK32" s="980"/>
      <c r="EL32" s="980"/>
      <c r="EM32" s="980"/>
      <c r="EN32" s="648"/>
      <c r="EO32" s="649"/>
      <c r="EP32" s="976" t="str">
        <f>MID(SUVAHAVUJ!AG15,1,1)</f>
        <v xml:space="preserve"> </v>
      </c>
      <c r="EQ32" s="976"/>
      <c r="ER32" s="976"/>
      <c r="ES32" s="976"/>
      <c r="ET32" s="976"/>
      <c r="EU32" s="976"/>
      <c r="EV32" s="976" t="str">
        <f>MID(SUVAHAVUJ!AG15,2,1)</f>
        <v xml:space="preserve"> </v>
      </c>
      <c r="EW32" s="976"/>
      <c r="EX32" s="976"/>
      <c r="EY32" s="976"/>
      <c r="EZ32" s="976"/>
      <c r="FA32" s="976" t="str">
        <f>MID(SUVAHAVUJ!AG15,3,1)</f>
        <v xml:space="preserve"> </v>
      </c>
      <c r="FB32" s="976"/>
      <c r="FC32" s="976"/>
      <c r="FD32" s="976"/>
      <c r="FE32" s="976"/>
      <c r="FF32" s="976"/>
      <c r="FG32" s="976" t="str">
        <f>MID(SUVAHAVUJ!AG15,4,1)</f>
        <v xml:space="preserve"> </v>
      </c>
      <c r="FH32" s="976"/>
      <c r="FI32" s="976"/>
      <c r="FJ32" s="976"/>
      <c r="FK32" s="976"/>
      <c r="FL32" s="976" t="str">
        <f>MID(SUVAHAVUJ!AG15,5,1)</f>
        <v xml:space="preserve"> </v>
      </c>
      <c r="FM32" s="976"/>
      <c r="FN32" s="976"/>
      <c r="FO32" s="976"/>
      <c r="FP32" s="976"/>
      <c r="FQ32" s="976"/>
      <c r="FR32" s="976" t="str">
        <f>MID(SUVAHAVUJ!AG15,6,1)</f>
        <v>3</v>
      </c>
      <c r="FS32" s="976"/>
      <c r="FT32" s="976"/>
      <c r="FU32" s="976"/>
      <c r="FV32" s="976"/>
      <c r="FW32" s="976" t="str">
        <f>MID(SUVAHAVUJ!AG15,7,1)</f>
        <v>6</v>
      </c>
      <c r="FX32" s="976"/>
      <c r="FY32" s="976"/>
      <c r="FZ32" s="976"/>
      <c r="GA32" s="976"/>
      <c r="GB32" s="976"/>
      <c r="GC32" s="976" t="str">
        <f>MID(SUVAHAVUJ!AG15,8,1)</f>
        <v>7</v>
      </c>
      <c r="GD32" s="976"/>
      <c r="GE32" s="976"/>
      <c r="GF32" s="976"/>
      <c r="GG32" s="976"/>
      <c r="GH32" s="976" t="str">
        <f>MID(SUVAHAVUJ!AG15,9,1)</f>
        <v>8</v>
      </c>
      <c r="GI32" s="976"/>
      <c r="GJ32" s="976"/>
      <c r="GK32" s="976"/>
      <c r="GL32" s="976"/>
      <c r="GM32" s="976"/>
      <c r="GN32" s="976" t="str">
        <f>MID(SUVAHAVUJ!AG15,10,1)</f>
        <v>1</v>
      </c>
      <c r="GO32" s="976"/>
      <c r="GP32" s="976"/>
      <c r="GQ32" s="976"/>
      <c r="GR32" s="976"/>
      <c r="GS32" s="978" t="str">
        <f>MID(SUVAHAVUJ!AG15,11,1)</f>
        <v>2</v>
      </c>
      <c r="GT32" s="978"/>
      <c r="GU32" s="978"/>
      <c r="GV32" s="978"/>
      <c r="GW32" s="978"/>
    </row>
    <row r="33" spans="1:205" s="650" customFormat="1" ht="23.25" customHeight="1" x14ac:dyDescent="0.3">
      <c r="A33" s="972">
        <v>14</v>
      </c>
      <c r="B33" s="985" t="s">
        <v>2167</v>
      </c>
      <c r="C33" s="985"/>
      <c r="D33" s="985"/>
      <c r="E33" s="985"/>
      <c r="F33" s="985"/>
      <c r="G33" s="985"/>
      <c r="H33" s="985"/>
      <c r="I33" s="985"/>
      <c r="J33" s="985"/>
      <c r="K33" s="985"/>
      <c r="L33" s="984" t="str">
        <f>SUVAHAVUJ!$D16</f>
        <v>Samostatné hnuteľné veci a súbory hnuteľných vecí (022) - /082, 092A/</v>
      </c>
      <c r="M33" s="984"/>
      <c r="N33" s="984"/>
      <c r="O33" s="984"/>
      <c r="P33" s="984"/>
      <c r="Q33" s="984"/>
      <c r="R33" s="984"/>
      <c r="S33" s="984"/>
      <c r="T33" s="984"/>
      <c r="U33" s="984"/>
      <c r="V33" s="984"/>
      <c r="W33" s="984"/>
      <c r="X33" s="984"/>
      <c r="Y33" s="984"/>
      <c r="Z33" s="984"/>
      <c r="AA33" s="984"/>
      <c r="AB33" s="984"/>
      <c r="AC33" s="984"/>
      <c r="AD33" s="984"/>
      <c r="AE33" s="984"/>
      <c r="AF33" s="984"/>
      <c r="AG33" s="984"/>
      <c r="AH33" s="984"/>
      <c r="AI33" s="984"/>
      <c r="AJ33" s="984"/>
      <c r="AK33" s="984"/>
      <c r="AL33" s="984"/>
      <c r="AM33" s="984"/>
      <c r="AN33" s="984"/>
      <c r="AO33" s="984"/>
      <c r="AP33" s="984"/>
      <c r="AQ33" s="975" t="s">
        <v>1239</v>
      </c>
      <c r="AR33" s="975"/>
      <c r="AS33" s="975"/>
      <c r="AT33" s="975"/>
      <c r="AU33" s="975"/>
      <c r="AV33" s="975"/>
      <c r="AW33" s="975"/>
      <c r="AX33" s="975"/>
      <c r="AY33" s="648"/>
      <c r="AZ33" s="649"/>
      <c r="BA33" s="982" t="str">
        <f>MID(SUVAHAVUJ!AD16,1,1)</f>
        <v xml:space="preserve"> </v>
      </c>
      <c r="BB33" s="982"/>
      <c r="BC33" s="982"/>
      <c r="BD33" s="982"/>
      <c r="BE33" s="982"/>
      <c r="BF33" s="982"/>
      <c r="BG33" s="982" t="str">
        <f>MID(SUVAHAVUJ!AD16,2,1)</f>
        <v xml:space="preserve"> </v>
      </c>
      <c r="BH33" s="982"/>
      <c r="BI33" s="982"/>
      <c r="BJ33" s="982"/>
      <c r="BK33" s="982"/>
      <c r="BL33" s="982" t="str">
        <f>MID(SUVAHAVUJ!AD16,3,1)</f>
        <v xml:space="preserve"> </v>
      </c>
      <c r="BM33" s="982"/>
      <c r="BN33" s="982"/>
      <c r="BO33" s="982"/>
      <c r="BP33" s="982"/>
      <c r="BQ33" s="982"/>
      <c r="BR33" s="982" t="str">
        <f>MID(SUVAHAVUJ!AD16,4,1)</f>
        <v xml:space="preserve"> </v>
      </c>
      <c r="BS33" s="982"/>
      <c r="BT33" s="982"/>
      <c r="BU33" s="982"/>
      <c r="BV33" s="982"/>
      <c r="BW33" s="982" t="str">
        <f>MID(SUVAHAVUJ!AD16,5,1)</f>
        <v xml:space="preserve"> </v>
      </c>
      <c r="BX33" s="982"/>
      <c r="BY33" s="982"/>
      <c r="BZ33" s="982"/>
      <c r="CA33" s="982"/>
      <c r="CB33" s="982"/>
      <c r="CC33" s="982" t="str">
        <f>MID(SUVAHAVUJ!AD16,6,1)</f>
        <v>5</v>
      </c>
      <c r="CD33" s="982"/>
      <c r="CE33" s="982"/>
      <c r="CF33" s="982"/>
      <c r="CG33" s="982"/>
      <c r="CH33" s="982" t="str">
        <f>MID(SUVAHAVUJ!AD16,7,1)</f>
        <v>3</v>
      </c>
      <c r="CI33" s="982"/>
      <c r="CJ33" s="982"/>
      <c r="CK33" s="982"/>
      <c r="CL33" s="982"/>
      <c r="CM33" s="982"/>
      <c r="CN33" s="982" t="str">
        <f>MID(SUVAHAVUJ!AD16,8,1)</f>
        <v>8</v>
      </c>
      <c r="CO33" s="982"/>
      <c r="CP33" s="982"/>
      <c r="CQ33" s="982"/>
      <c r="CR33" s="982"/>
      <c r="CS33" s="982" t="str">
        <f>MID(SUVAHAVUJ!AD16,9,1)</f>
        <v>0</v>
      </c>
      <c r="CT33" s="982"/>
      <c r="CU33" s="982"/>
      <c r="CV33" s="982"/>
      <c r="CW33" s="982"/>
      <c r="CX33" s="982"/>
      <c r="CY33" s="982" t="str">
        <f>MID(SUVAHAVUJ!AD16,10,1)</f>
        <v>0</v>
      </c>
      <c r="CZ33" s="982"/>
      <c r="DA33" s="982"/>
      <c r="DB33" s="982"/>
      <c r="DC33" s="982"/>
      <c r="DD33" s="978" t="str">
        <f>MID(SUVAHAVUJ!AD16,11,1)</f>
        <v>8</v>
      </c>
      <c r="DE33" s="978"/>
      <c r="DF33" s="978"/>
      <c r="DG33" s="978"/>
      <c r="DH33" s="978"/>
      <c r="DI33" s="978"/>
      <c r="DJ33" s="648"/>
      <c r="DK33" s="649"/>
      <c r="DL33" s="976" t="str">
        <f>MID(SUVAHAVUJ!AF16,1,1)</f>
        <v xml:space="preserve"> </v>
      </c>
      <c r="DM33" s="976"/>
      <c r="DN33" s="976"/>
      <c r="DO33" s="976"/>
      <c r="DP33" s="976"/>
      <c r="DQ33" s="976"/>
      <c r="DR33" s="976" t="str">
        <f>MID(SUVAHAVUJ!AF16,2,1)</f>
        <v xml:space="preserve"> </v>
      </c>
      <c r="DS33" s="976"/>
      <c r="DT33" s="976"/>
      <c r="DU33" s="976"/>
      <c r="DV33" s="976"/>
      <c r="DW33" s="976" t="str">
        <f>MID(SUVAHAVUJ!AF16,3,1)</f>
        <v xml:space="preserve"> </v>
      </c>
      <c r="DX33" s="976"/>
      <c r="DY33" s="976"/>
      <c r="DZ33" s="976"/>
      <c r="EA33" s="976"/>
      <c r="EB33" s="976"/>
      <c r="EC33" s="976" t="str">
        <f>MID(SUVAHAVUJ!AF16,4,1)</f>
        <v xml:space="preserve"> </v>
      </c>
      <c r="ED33" s="976"/>
      <c r="EE33" s="976"/>
      <c r="EF33" s="976"/>
      <c r="EG33" s="976"/>
      <c r="EH33" s="976" t="str">
        <f>MID(SUVAHAVUJ!AF16,5,1)</f>
        <v xml:space="preserve"> </v>
      </c>
      <c r="EI33" s="976"/>
      <c r="EJ33" s="976"/>
      <c r="EK33" s="976"/>
      <c r="EL33" s="976"/>
      <c r="EM33" s="976"/>
      <c r="EN33" s="976" t="str">
        <f>MID(SUVAHAVUJ!AF16,6,1)</f>
        <v xml:space="preserve"> </v>
      </c>
      <c r="EO33" s="976"/>
      <c r="EP33" s="976"/>
      <c r="EQ33" s="976"/>
      <c r="ER33" s="976"/>
      <c r="ES33" s="976" t="str">
        <f>MID(SUVAHAVUJ!AF16,7,1)</f>
        <v xml:space="preserve"> </v>
      </c>
      <c r="ET33" s="976"/>
      <c r="EU33" s="976"/>
      <c r="EV33" s="976"/>
      <c r="EW33" s="976"/>
      <c r="EX33" s="976"/>
      <c r="EY33" s="976" t="str">
        <f>MID(SUVAHAVUJ!AF16,8,1)</f>
        <v xml:space="preserve"> </v>
      </c>
      <c r="EZ33" s="976"/>
      <c r="FA33" s="976"/>
      <c r="FB33" s="976"/>
      <c r="FC33" s="976"/>
      <c r="FD33" s="976" t="str">
        <f>MID(SUVAHAVUJ!AF16,9,1)</f>
        <v xml:space="preserve"> </v>
      </c>
      <c r="FE33" s="976"/>
      <c r="FF33" s="976"/>
      <c r="FG33" s="976"/>
      <c r="FH33" s="976"/>
      <c r="FI33" s="976"/>
      <c r="FJ33" s="976" t="str">
        <f>MID(SUVAHAVUJ!AF16,10,1)</f>
        <v xml:space="preserve"> </v>
      </c>
      <c r="FK33" s="976"/>
      <c r="FL33" s="976"/>
      <c r="FM33" s="976"/>
      <c r="FN33" s="976"/>
      <c r="FO33" s="978" t="str">
        <f>MID(SUVAHAVUJ!AF16,11,1)</f>
        <v>0</v>
      </c>
      <c r="FP33" s="978"/>
      <c r="FQ33" s="978"/>
      <c r="FR33" s="978"/>
      <c r="FS33" s="978"/>
      <c r="FT33" s="979"/>
      <c r="FU33" s="979"/>
      <c r="FV33" s="979"/>
      <c r="FW33" s="979"/>
      <c r="FX33" s="979"/>
      <c r="FY33" s="979"/>
      <c r="FZ33" s="979"/>
      <c r="GA33" s="979"/>
      <c r="GB33" s="979"/>
      <c r="GC33" s="979"/>
      <c r="GD33" s="979"/>
      <c r="GE33" s="979"/>
      <c r="GF33" s="979"/>
      <c r="GG33" s="979"/>
      <c r="GH33" s="979"/>
      <c r="GI33" s="979"/>
      <c r="GJ33" s="979"/>
      <c r="GK33" s="979"/>
      <c r="GL33" s="979"/>
      <c r="GM33" s="979"/>
      <c r="GN33" s="979"/>
      <c r="GO33" s="979"/>
      <c r="GP33" s="979"/>
      <c r="GQ33" s="979"/>
      <c r="GR33" s="979"/>
      <c r="GS33" s="979"/>
      <c r="GT33" s="979"/>
      <c r="GU33" s="979"/>
      <c r="GV33" s="979"/>
      <c r="GW33" s="979"/>
    </row>
    <row r="34" spans="1:205" ht="23.25" customHeight="1" x14ac:dyDescent="0.3">
      <c r="A34" s="972"/>
      <c r="B34" s="985"/>
      <c r="C34" s="985"/>
      <c r="D34" s="985"/>
      <c r="E34" s="985"/>
      <c r="F34" s="985"/>
      <c r="G34" s="985"/>
      <c r="H34" s="985"/>
      <c r="I34" s="985"/>
      <c r="J34" s="985"/>
      <c r="K34" s="985"/>
      <c r="L34" s="984"/>
      <c r="M34" s="984"/>
      <c r="N34" s="984"/>
      <c r="O34" s="984"/>
      <c r="P34" s="984"/>
      <c r="Q34" s="984"/>
      <c r="R34" s="984"/>
      <c r="S34" s="984"/>
      <c r="T34" s="984"/>
      <c r="U34" s="984"/>
      <c r="V34" s="984"/>
      <c r="W34" s="984"/>
      <c r="X34" s="984"/>
      <c r="Y34" s="984"/>
      <c r="Z34" s="984"/>
      <c r="AA34" s="984"/>
      <c r="AB34" s="984"/>
      <c r="AC34" s="984"/>
      <c r="AD34" s="984"/>
      <c r="AE34" s="984"/>
      <c r="AF34" s="984"/>
      <c r="AG34" s="984"/>
      <c r="AH34" s="984"/>
      <c r="AI34" s="984"/>
      <c r="AJ34" s="984"/>
      <c r="AK34" s="984"/>
      <c r="AL34" s="984"/>
      <c r="AM34" s="984"/>
      <c r="AN34" s="984"/>
      <c r="AO34" s="984"/>
      <c r="AP34" s="984"/>
      <c r="AQ34" s="975"/>
      <c r="AR34" s="975"/>
      <c r="AS34" s="975"/>
      <c r="AT34" s="975"/>
      <c r="AU34" s="975"/>
      <c r="AV34" s="975"/>
      <c r="AW34" s="975"/>
      <c r="AX34" s="975"/>
      <c r="AY34" s="648"/>
      <c r="AZ34" s="649"/>
      <c r="BA34" s="976" t="str">
        <f>MID(SUVAHAVUJ!AE16,1,1)</f>
        <v xml:space="preserve"> </v>
      </c>
      <c r="BB34" s="976"/>
      <c r="BC34" s="976"/>
      <c r="BD34" s="976"/>
      <c r="BE34" s="976"/>
      <c r="BF34" s="976"/>
      <c r="BG34" s="976" t="str">
        <f>MID(SUVAHAVUJ!AE16,2,1)</f>
        <v xml:space="preserve"> </v>
      </c>
      <c r="BH34" s="976"/>
      <c r="BI34" s="976"/>
      <c r="BJ34" s="976"/>
      <c r="BK34" s="976"/>
      <c r="BL34" s="976" t="str">
        <f>MID(SUVAHAVUJ!AE16,3,1)</f>
        <v xml:space="preserve"> </v>
      </c>
      <c r="BM34" s="976"/>
      <c r="BN34" s="976"/>
      <c r="BO34" s="976"/>
      <c r="BP34" s="976"/>
      <c r="BQ34" s="976"/>
      <c r="BR34" s="976" t="str">
        <f>MID(SUVAHAVUJ!AE16,4,1)</f>
        <v xml:space="preserve"> </v>
      </c>
      <c r="BS34" s="976"/>
      <c r="BT34" s="976"/>
      <c r="BU34" s="976"/>
      <c r="BV34" s="976"/>
      <c r="BW34" s="976" t="str">
        <f>MID(SUVAHAVUJ!AE16,5,1)</f>
        <v xml:space="preserve"> </v>
      </c>
      <c r="BX34" s="976"/>
      <c r="BY34" s="976"/>
      <c r="BZ34" s="976"/>
      <c r="CA34" s="976"/>
      <c r="CB34" s="976"/>
      <c r="CC34" s="976" t="str">
        <f>MID(SUVAHAVUJ!AE16,6,1)</f>
        <v>5</v>
      </c>
      <c r="CD34" s="976"/>
      <c r="CE34" s="976"/>
      <c r="CF34" s="976"/>
      <c r="CG34" s="976"/>
      <c r="CH34" s="976" t="str">
        <f>MID(SUVAHAVUJ!AE16,7,1)</f>
        <v>3</v>
      </c>
      <c r="CI34" s="976"/>
      <c r="CJ34" s="976"/>
      <c r="CK34" s="976"/>
      <c r="CL34" s="976"/>
      <c r="CM34" s="976"/>
      <c r="CN34" s="976" t="str">
        <f>MID(SUVAHAVUJ!AE16,8,1)</f>
        <v>8</v>
      </c>
      <c r="CO34" s="976"/>
      <c r="CP34" s="976"/>
      <c r="CQ34" s="976"/>
      <c r="CR34" s="976"/>
      <c r="CS34" s="976" t="str">
        <f>MID(SUVAHAVUJ!AE16,9,1)</f>
        <v>0</v>
      </c>
      <c r="CT34" s="976"/>
      <c r="CU34" s="976"/>
      <c r="CV34" s="976"/>
      <c r="CW34" s="976"/>
      <c r="CX34" s="976"/>
      <c r="CY34" s="976" t="str">
        <f>MID(SUVAHAVUJ!AE16,10,1)</f>
        <v>0</v>
      </c>
      <c r="CZ34" s="976"/>
      <c r="DA34" s="976"/>
      <c r="DB34" s="976"/>
      <c r="DC34" s="976"/>
      <c r="DD34" s="977" t="str">
        <f>MID(SUVAHAVUJ!AE16,11,1)</f>
        <v>8</v>
      </c>
      <c r="DE34" s="977"/>
      <c r="DF34" s="977"/>
      <c r="DG34" s="977"/>
      <c r="DH34" s="977"/>
      <c r="DI34" s="977"/>
      <c r="DJ34" s="980"/>
      <c r="DK34" s="980"/>
      <c r="DL34" s="980"/>
      <c r="DM34" s="980"/>
      <c r="DN34" s="980"/>
      <c r="DO34" s="980"/>
      <c r="DP34" s="980"/>
      <c r="DQ34" s="980"/>
      <c r="DR34" s="980"/>
      <c r="DS34" s="980"/>
      <c r="DT34" s="980"/>
      <c r="DU34" s="980"/>
      <c r="DV34" s="980"/>
      <c r="DW34" s="980"/>
      <c r="DX34" s="980"/>
      <c r="DY34" s="980"/>
      <c r="DZ34" s="980"/>
      <c r="EA34" s="980"/>
      <c r="EB34" s="980"/>
      <c r="EC34" s="980"/>
      <c r="ED34" s="980"/>
      <c r="EE34" s="980"/>
      <c r="EF34" s="980"/>
      <c r="EG34" s="980"/>
      <c r="EH34" s="980"/>
      <c r="EI34" s="980"/>
      <c r="EJ34" s="980"/>
      <c r="EK34" s="980"/>
      <c r="EL34" s="980"/>
      <c r="EM34" s="980"/>
      <c r="EN34" s="648"/>
      <c r="EO34" s="649"/>
      <c r="EP34" s="976" t="str">
        <f>MID(SUVAHAVUJ!AG16,1,1)</f>
        <v xml:space="preserve"> </v>
      </c>
      <c r="EQ34" s="976"/>
      <c r="ER34" s="976"/>
      <c r="ES34" s="976"/>
      <c r="ET34" s="976"/>
      <c r="EU34" s="976"/>
      <c r="EV34" s="976" t="str">
        <f>MID(SUVAHAVUJ!AG16,2,1)</f>
        <v xml:space="preserve"> </v>
      </c>
      <c r="EW34" s="976"/>
      <c r="EX34" s="976"/>
      <c r="EY34" s="976"/>
      <c r="EZ34" s="976"/>
      <c r="FA34" s="976" t="str">
        <f>MID(SUVAHAVUJ!AG16,3,1)</f>
        <v xml:space="preserve"> </v>
      </c>
      <c r="FB34" s="976"/>
      <c r="FC34" s="976"/>
      <c r="FD34" s="976"/>
      <c r="FE34" s="976"/>
      <c r="FF34" s="976"/>
      <c r="FG34" s="976" t="str">
        <f>MID(SUVAHAVUJ!AG16,4,1)</f>
        <v xml:space="preserve"> </v>
      </c>
      <c r="FH34" s="976"/>
      <c r="FI34" s="976"/>
      <c r="FJ34" s="976"/>
      <c r="FK34" s="976"/>
      <c r="FL34" s="976" t="str">
        <f>MID(SUVAHAVUJ!AG16,5,1)</f>
        <v xml:space="preserve"> </v>
      </c>
      <c r="FM34" s="976"/>
      <c r="FN34" s="976"/>
      <c r="FO34" s="976"/>
      <c r="FP34" s="976"/>
      <c r="FQ34" s="976"/>
      <c r="FR34" s="976" t="str">
        <f>MID(SUVAHAVUJ!AG16,6,1)</f>
        <v xml:space="preserve"> </v>
      </c>
      <c r="FS34" s="976"/>
      <c r="FT34" s="976"/>
      <c r="FU34" s="976"/>
      <c r="FV34" s="976"/>
      <c r="FW34" s="976" t="str">
        <f>MID(SUVAHAVUJ!AG16,7,1)</f>
        <v xml:space="preserve"> </v>
      </c>
      <c r="FX34" s="976"/>
      <c r="FY34" s="976"/>
      <c r="FZ34" s="976"/>
      <c r="GA34" s="976"/>
      <c r="GB34" s="976"/>
      <c r="GC34" s="976" t="str">
        <f>MID(SUVAHAVUJ!AG16,8,1)</f>
        <v>3</v>
      </c>
      <c r="GD34" s="976"/>
      <c r="GE34" s="976"/>
      <c r="GF34" s="976"/>
      <c r="GG34" s="976"/>
      <c r="GH34" s="976" t="str">
        <f>MID(SUVAHAVUJ!AG16,9,1)</f>
        <v>1</v>
      </c>
      <c r="GI34" s="976"/>
      <c r="GJ34" s="976"/>
      <c r="GK34" s="976"/>
      <c r="GL34" s="976"/>
      <c r="GM34" s="976"/>
      <c r="GN34" s="976" t="str">
        <f>MID(SUVAHAVUJ!AG16,10,1)</f>
        <v>4</v>
      </c>
      <c r="GO34" s="976"/>
      <c r="GP34" s="976"/>
      <c r="GQ34" s="976"/>
      <c r="GR34" s="976"/>
      <c r="GS34" s="978" t="str">
        <f>MID(SUVAHAVUJ!AG16,11,1)</f>
        <v>1</v>
      </c>
      <c r="GT34" s="978"/>
      <c r="GU34" s="978"/>
      <c r="GV34" s="978"/>
      <c r="GW34" s="978"/>
    </row>
    <row r="35" spans="1:205" ht="12" customHeight="1" x14ac:dyDescent="0.25">
      <c r="A35" s="651"/>
      <c r="B35" s="652"/>
      <c r="C35" s="653"/>
      <c r="D35" s="653"/>
      <c r="E35" s="653"/>
      <c r="F35" s="653"/>
      <c r="G35" s="653"/>
      <c r="H35" s="653"/>
      <c r="I35" s="653"/>
      <c r="J35" s="653"/>
      <c r="K35" s="653"/>
      <c r="L35" s="653"/>
      <c r="M35" s="650"/>
      <c r="N35" s="650"/>
      <c r="O35" s="650"/>
      <c r="P35" s="650"/>
      <c r="Q35" s="650"/>
      <c r="R35" s="650"/>
      <c r="S35" s="650"/>
      <c r="T35" s="650"/>
      <c r="U35" s="650"/>
      <c r="V35" s="650"/>
      <c r="W35" s="650"/>
      <c r="X35" s="650"/>
      <c r="Y35" s="650"/>
      <c r="Z35" s="650"/>
      <c r="AA35" s="650"/>
      <c r="AB35" s="650"/>
      <c r="AC35" s="650"/>
      <c r="AD35" s="650"/>
      <c r="AE35" s="650"/>
      <c r="AF35" s="650"/>
      <c r="AG35" s="650"/>
      <c r="AH35" s="650"/>
      <c r="AI35" s="650"/>
      <c r="AJ35" s="650"/>
      <c r="AK35" s="650"/>
      <c r="AL35" s="650"/>
      <c r="AM35" s="650"/>
      <c r="AN35" s="650"/>
      <c r="AO35" s="650"/>
      <c r="AP35" s="650"/>
      <c r="AQ35" s="650"/>
      <c r="AR35" s="650"/>
      <c r="AS35" s="650"/>
      <c r="AT35" s="650"/>
      <c r="AU35" s="650"/>
      <c r="AV35" s="650"/>
      <c r="AW35" s="650"/>
      <c r="AX35" s="650"/>
      <c r="AY35" s="650"/>
      <c r="AZ35" s="650"/>
      <c r="BA35" s="650"/>
      <c r="BB35" s="650"/>
      <c r="BC35" s="650"/>
      <c r="BD35" s="650"/>
      <c r="BE35" s="650"/>
      <c r="BF35" s="650"/>
      <c r="BG35" s="650"/>
      <c r="BH35" s="650"/>
      <c r="BI35" s="650"/>
      <c r="BJ35" s="650"/>
      <c r="BK35" s="650"/>
      <c r="BL35" s="650"/>
      <c r="BM35" s="650"/>
      <c r="BN35" s="650"/>
      <c r="BO35" s="650"/>
      <c r="BP35" s="650"/>
      <c r="BQ35" s="650"/>
      <c r="BR35" s="650"/>
      <c r="BS35" s="650"/>
      <c r="BT35" s="650"/>
      <c r="BU35" s="650"/>
      <c r="BV35" s="650"/>
      <c r="BW35" s="650"/>
      <c r="BX35" s="650"/>
      <c r="BY35" s="650"/>
      <c r="BZ35" s="650"/>
      <c r="CA35" s="650"/>
      <c r="CB35" s="650"/>
      <c r="CC35" s="650"/>
      <c r="CD35" s="650"/>
      <c r="CE35" s="650"/>
      <c r="CF35" s="650"/>
      <c r="CG35" s="650"/>
      <c r="CH35" s="650"/>
      <c r="CI35" s="650"/>
      <c r="CJ35" s="650"/>
      <c r="CK35" s="650"/>
      <c r="CL35" s="650"/>
      <c r="CM35" s="650"/>
      <c r="CN35" s="650"/>
      <c r="CO35" s="650"/>
      <c r="CP35" s="650"/>
      <c r="CQ35" s="650"/>
      <c r="CR35" s="650"/>
      <c r="CS35" s="650"/>
      <c r="CT35" s="650"/>
      <c r="CU35" s="650"/>
      <c r="CV35" s="650"/>
      <c r="CW35" s="650"/>
      <c r="CX35" s="650"/>
      <c r="CY35" s="650"/>
      <c r="CZ35" s="650"/>
      <c r="DA35" s="650"/>
      <c r="DB35" s="650"/>
      <c r="DC35" s="650"/>
      <c r="DD35" s="650"/>
      <c r="DE35" s="650"/>
      <c r="DF35" s="650"/>
      <c r="DG35" s="650"/>
      <c r="DH35" s="650"/>
      <c r="DI35" s="650"/>
      <c r="DJ35" s="650"/>
      <c r="DK35" s="650"/>
      <c r="DL35" s="650"/>
      <c r="DM35" s="650"/>
      <c r="DN35" s="650"/>
      <c r="DO35" s="650"/>
      <c r="DP35" s="650"/>
      <c r="DQ35" s="650"/>
      <c r="DR35" s="650"/>
      <c r="DS35" s="650"/>
      <c r="DT35" s="650"/>
      <c r="DU35" s="650"/>
      <c r="DV35" s="650"/>
      <c r="DW35" s="650"/>
      <c r="DX35" s="650"/>
      <c r="DY35" s="650"/>
      <c r="DZ35" s="650"/>
      <c r="EA35" s="650"/>
      <c r="EB35" s="650"/>
      <c r="EC35" s="650"/>
      <c r="ED35" s="650"/>
      <c r="EE35" s="650"/>
      <c r="EF35" s="650"/>
      <c r="EG35" s="650"/>
      <c r="EH35" s="650"/>
      <c r="EI35" s="650"/>
      <c r="EJ35" s="650"/>
      <c r="EK35" s="650"/>
      <c r="EL35" s="650"/>
      <c r="EM35" s="650"/>
      <c r="EN35" s="650"/>
      <c r="EO35" s="650"/>
      <c r="EP35" s="650"/>
      <c r="EQ35" s="650"/>
      <c r="ER35" s="650"/>
      <c r="ES35" s="650"/>
      <c r="ET35" s="650"/>
      <c r="EU35" s="650"/>
      <c r="EV35" s="650"/>
      <c r="EW35" s="650"/>
      <c r="EX35" s="650"/>
      <c r="EY35" s="650"/>
      <c r="EZ35" s="650"/>
      <c r="FA35" s="650"/>
      <c r="FB35" s="650"/>
      <c r="FC35" s="650"/>
      <c r="FD35" s="650"/>
      <c r="FE35" s="650"/>
      <c r="FF35" s="650"/>
      <c r="FG35" s="650"/>
      <c r="FH35" s="650"/>
      <c r="FI35" s="650"/>
      <c r="FJ35" s="650"/>
      <c r="FK35" s="650"/>
      <c r="FL35" s="650"/>
      <c r="FM35" s="650"/>
      <c r="FN35" s="650"/>
      <c r="FO35" s="650"/>
      <c r="FP35" s="650"/>
      <c r="FQ35" s="650"/>
      <c r="FR35" s="650"/>
      <c r="FS35" s="650"/>
      <c r="FT35" s="650"/>
      <c r="FU35" s="650"/>
      <c r="FV35" s="650"/>
      <c r="FW35" s="650"/>
      <c r="FX35" s="650"/>
      <c r="FY35" s="650"/>
      <c r="FZ35" s="650"/>
      <c r="GA35" s="650"/>
      <c r="GB35" s="650"/>
      <c r="GC35" s="650"/>
      <c r="GD35" s="650"/>
      <c r="GE35" s="650"/>
      <c r="GF35" s="650"/>
      <c r="GG35" s="650"/>
      <c r="GH35" s="650"/>
      <c r="GI35" s="650"/>
      <c r="GJ35" s="650"/>
      <c r="GK35" s="650"/>
      <c r="GL35" s="650"/>
      <c r="GM35" s="650"/>
      <c r="GN35" s="650"/>
      <c r="GO35" s="650"/>
      <c r="GP35" s="650"/>
      <c r="GQ35" s="653"/>
      <c r="GR35" s="653"/>
      <c r="GS35" s="653"/>
      <c r="GT35" s="653"/>
      <c r="GU35" s="653"/>
      <c r="GV35" s="653"/>
      <c r="GW35" s="654"/>
    </row>
    <row r="36" spans="1:205" ht="12.75" customHeight="1" x14ac:dyDescent="0.25">
      <c r="A36" s="655"/>
      <c r="B36" s="656"/>
      <c r="C36" s="657"/>
      <c r="D36" s="657"/>
      <c r="E36" s="657"/>
      <c r="F36" s="657"/>
      <c r="G36" s="657"/>
      <c r="H36" s="657"/>
      <c r="I36" s="657"/>
      <c r="J36" s="657"/>
      <c r="K36" s="657"/>
      <c r="L36" s="657"/>
      <c r="M36" s="650"/>
      <c r="N36" s="650"/>
      <c r="O36" s="650"/>
      <c r="P36" s="650"/>
      <c r="Q36" s="650"/>
      <c r="R36" s="650"/>
      <c r="S36" s="650"/>
      <c r="T36" s="650"/>
      <c r="U36" s="650"/>
      <c r="V36" s="650"/>
      <c r="W36" s="650"/>
      <c r="X36" s="650"/>
      <c r="Y36" s="650"/>
      <c r="Z36" s="650"/>
      <c r="AA36" s="650"/>
      <c r="AB36" s="650"/>
      <c r="AC36" s="650"/>
      <c r="AD36" s="650"/>
      <c r="AE36" s="650"/>
      <c r="AF36" s="650"/>
      <c r="AG36" s="650"/>
      <c r="AH36" s="650"/>
      <c r="AI36" s="650"/>
      <c r="AJ36" s="650"/>
      <c r="AK36" s="650"/>
      <c r="AL36" s="650"/>
      <c r="AM36" s="650"/>
      <c r="AN36" s="650"/>
      <c r="AO36" s="650"/>
      <c r="AP36" s="650"/>
      <c r="AQ36" s="650"/>
      <c r="AR36" s="650"/>
      <c r="AS36" s="650"/>
      <c r="AT36" s="650"/>
      <c r="AU36" s="650"/>
      <c r="AV36" s="650"/>
      <c r="AW36" s="650"/>
      <c r="AX36" s="650"/>
      <c r="AY36" s="650"/>
      <c r="AZ36" s="650"/>
      <c r="BA36" s="650"/>
      <c r="BB36" s="650"/>
      <c r="BC36" s="650"/>
      <c r="BD36" s="650"/>
      <c r="BE36" s="650"/>
      <c r="BF36" s="650"/>
      <c r="BG36" s="650"/>
      <c r="BH36" s="650"/>
      <c r="BI36" s="650"/>
      <c r="BJ36" s="650"/>
      <c r="BK36" s="650"/>
      <c r="BL36" s="650"/>
      <c r="BM36" s="650"/>
      <c r="BN36" s="650"/>
      <c r="BO36" s="650"/>
      <c r="BP36" s="650"/>
      <c r="BQ36" s="650"/>
      <c r="BR36" s="650"/>
      <c r="BS36" s="650"/>
      <c r="BT36" s="650"/>
      <c r="BU36" s="650"/>
      <c r="BV36" s="650"/>
      <c r="BW36" s="650"/>
      <c r="BX36" s="650"/>
      <c r="BY36" s="650"/>
      <c r="BZ36" s="650"/>
      <c r="CA36" s="650"/>
      <c r="CB36" s="650"/>
      <c r="CC36" s="650"/>
      <c r="CD36" s="650"/>
      <c r="CE36" s="650"/>
      <c r="CF36" s="650"/>
      <c r="CG36" s="650"/>
      <c r="CH36" s="650"/>
      <c r="CI36" s="650"/>
      <c r="CJ36" s="650"/>
      <c r="CK36" s="650"/>
      <c r="CL36" s="650"/>
      <c r="CM36" s="650"/>
      <c r="CN36" s="650"/>
      <c r="CO36" s="650"/>
      <c r="CP36" s="650"/>
      <c r="CQ36" s="650"/>
      <c r="CR36" s="650"/>
      <c r="CS36" s="650"/>
      <c r="CT36" s="650"/>
      <c r="CU36" s="650"/>
      <c r="CV36" s="650"/>
      <c r="CW36" s="650"/>
      <c r="CX36" s="650"/>
      <c r="CY36" s="650"/>
      <c r="CZ36" s="650"/>
      <c r="DA36" s="650"/>
      <c r="DB36" s="650"/>
      <c r="DC36" s="650"/>
      <c r="DD36" s="650"/>
      <c r="DE36" s="650"/>
      <c r="DF36" s="650"/>
      <c r="DG36" s="650"/>
      <c r="DH36" s="650"/>
      <c r="DI36" s="650"/>
      <c r="DJ36" s="650"/>
      <c r="DK36" s="650"/>
      <c r="DL36" s="650"/>
      <c r="DM36" s="650"/>
      <c r="DN36" s="650"/>
      <c r="DO36" s="650"/>
      <c r="DP36" s="650"/>
      <c r="DQ36" s="650"/>
      <c r="DR36" s="650"/>
      <c r="DS36" s="650"/>
      <c r="DT36" s="650"/>
      <c r="DU36" s="650"/>
      <c r="DV36" s="650"/>
      <c r="DW36" s="650"/>
      <c r="DX36" s="650"/>
      <c r="DY36" s="650"/>
      <c r="DZ36" s="650"/>
      <c r="EA36" s="650"/>
      <c r="EB36" s="650"/>
      <c r="EC36" s="650"/>
      <c r="ED36" s="650"/>
      <c r="EE36" s="650"/>
      <c r="EF36" s="650"/>
      <c r="EG36" s="650"/>
      <c r="EH36" s="650"/>
      <c r="EI36" s="650"/>
      <c r="EJ36" s="650"/>
      <c r="EK36" s="650"/>
      <c r="EL36" s="650"/>
      <c r="EM36" s="650"/>
      <c r="EN36" s="650"/>
      <c r="EO36" s="650"/>
      <c r="EP36" s="650"/>
      <c r="EQ36" s="650"/>
      <c r="ER36" s="650"/>
      <c r="ES36" s="650"/>
      <c r="ET36" s="650"/>
      <c r="EU36" s="650"/>
      <c r="EV36" s="650"/>
      <c r="EW36" s="650"/>
      <c r="EX36" s="650"/>
      <c r="EY36" s="650"/>
      <c r="EZ36" s="650"/>
      <c r="FA36" s="650"/>
      <c r="FB36" s="650"/>
      <c r="FC36" s="650"/>
      <c r="FD36" s="650"/>
      <c r="FE36" s="650"/>
      <c r="FF36" s="650"/>
      <c r="FG36" s="650"/>
      <c r="FH36" s="650"/>
      <c r="FI36" s="650"/>
      <c r="FJ36" s="650"/>
      <c r="FK36" s="650"/>
      <c r="FL36" s="650"/>
      <c r="FM36" s="650"/>
      <c r="FN36" s="650"/>
      <c r="FO36" s="650"/>
      <c r="FP36" s="650"/>
      <c r="FQ36" s="650"/>
      <c r="FR36" s="650"/>
      <c r="FS36" s="650"/>
      <c r="FT36" s="650"/>
      <c r="FU36" s="650"/>
      <c r="FV36" s="650"/>
      <c r="FW36" s="650"/>
      <c r="FX36" s="650"/>
      <c r="FY36" s="650"/>
      <c r="FZ36" s="650"/>
      <c r="GA36" s="650"/>
      <c r="GB36" s="650"/>
      <c r="GC36" s="650"/>
      <c r="GD36" s="650"/>
      <c r="GE36" s="650"/>
      <c r="GF36" s="650"/>
      <c r="GG36" s="650"/>
      <c r="GH36" s="650"/>
      <c r="GI36" s="650"/>
      <c r="GJ36" s="650"/>
      <c r="GK36" s="650"/>
      <c r="GL36" s="650"/>
      <c r="GM36" s="650"/>
      <c r="GN36" s="650"/>
      <c r="GO36" s="650"/>
      <c r="GP36" s="650"/>
      <c r="GQ36" s="657"/>
      <c r="GR36" s="657"/>
      <c r="GS36" s="657"/>
      <c r="GT36" s="657"/>
      <c r="GU36" s="657"/>
      <c r="GV36" s="657"/>
      <c r="GW36" s="658"/>
    </row>
    <row r="37" spans="1:205" ht="9" customHeight="1" x14ac:dyDescent="0.25">
      <c r="B37" s="650"/>
      <c r="C37" s="650"/>
      <c r="D37" s="650"/>
      <c r="E37" s="650"/>
      <c r="F37" s="650"/>
      <c r="G37" s="650"/>
      <c r="H37" s="650"/>
      <c r="I37" s="650"/>
      <c r="J37" s="650"/>
      <c r="K37" s="650"/>
      <c r="L37" s="650"/>
      <c r="M37" s="650"/>
      <c r="N37" s="650"/>
      <c r="O37" s="650"/>
      <c r="P37" s="650"/>
      <c r="Q37" s="650"/>
      <c r="R37" s="650"/>
      <c r="S37" s="650"/>
      <c r="T37" s="650"/>
      <c r="U37" s="650"/>
      <c r="V37" s="650"/>
      <c r="W37" s="650"/>
      <c r="X37" s="650"/>
      <c r="Y37" s="650"/>
      <c r="Z37" s="650"/>
      <c r="AA37" s="650"/>
      <c r="AB37" s="650"/>
      <c r="AC37" s="650"/>
      <c r="AD37" s="650"/>
      <c r="AE37" s="650"/>
      <c r="AF37" s="650"/>
      <c r="AG37" s="650"/>
      <c r="AH37" s="650"/>
      <c r="AI37" s="650"/>
      <c r="AJ37" s="650"/>
      <c r="AK37" s="650"/>
      <c r="AL37" s="650"/>
      <c r="AM37" s="650"/>
      <c r="AN37" s="650"/>
      <c r="AO37" s="650"/>
      <c r="AP37" s="650"/>
      <c r="AQ37" s="650"/>
      <c r="AR37" s="650"/>
      <c r="AS37" s="650"/>
      <c r="AT37" s="650"/>
      <c r="AU37" s="650"/>
      <c r="AV37" s="650"/>
      <c r="AW37" s="650"/>
      <c r="AX37" s="650"/>
      <c r="AY37" s="650"/>
      <c r="AZ37" s="650"/>
      <c r="BA37" s="650"/>
      <c r="BB37" s="650"/>
      <c r="BC37" s="650"/>
      <c r="BD37" s="650"/>
      <c r="BE37" s="650"/>
      <c r="BF37" s="650"/>
      <c r="BG37" s="650"/>
      <c r="BH37" s="650"/>
      <c r="BI37" s="650"/>
      <c r="BJ37" s="650"/>
      <c r="BK37" s="650"/>
      <c r="BL37" s="650"/>
      <c r="BM37" s="650"/>
      <c r="BN37" s="650"/>
      <c r="BO37" s="650"/>
      <c r="BP37" s="650"/>
      <c r="BQ37" s="650"/>
      <c r="BR37" s="650"/>
      <c r="BS37" s="650"/>
      <c r="BT37" s="650"/>
      <c r="BU37" s="650"/>
      <c r="BV37" s="650"/>
      <c r="BW37" s="650"/>
      <c r="BX37" s="650"/>
      <c r="BY37" s="650"/>
      <c r="BZ37" s="650"/>
      <c r="CA37" s="650"/>
      <c r="CB37" s="650"/>
      <c r="CC37" s="650"/>
      <c r="CD37" s="650"/>
      <c r="CE37" s="650"/>
      <c r="CF37" s="650"/>
      <c r="CG37" s="650"/>
      <c r="CH37" s="650"/>
      <c r="CI37" s="650"/>
      <c r="CJ37" s="650"/>
      <c r="CK37" s="650"/>
      <c r="CL37" s="650"/>
      <c r="CM37" s="650"/>
      <c r="CN37" s="650"/>
      <c r="CO37" s="650"/>
      <c r="CP37" s="650"/>
      <c r="CQ37" s="650"/>
      <c r="CR37" s="650"/>
      <c r="CS37" s="650"/>
      <c r="CT37" s="650"/>
      <c r="CU37" s="650"/>
      <c r="CV37" s="650"/>
      <c r="CW37" s="650"/>
      <c r="CX37" s="650"/>
      <c r="CY37" s="650"/>
      <c r="CZ37" s="650"/>
      <c r="DA37" s="650"/>
      <c r="DB37" s="650"/>
      <c r="DC37" s="650"/>
      <c r="DD37" s="650"/>
      <c r="DE37" s="650"/>
      <c r="DF37" s="650"/>
      <c r="DG37" s="650"/>
      <c r="DH37" s="650"/>
      <c r="DI37" s="650"/>
      <c r="DJ37" s="650"/>
      <c r="DK37" s="650"/>
      <c r="DL37" s="650"/>
      <c r="DM37" s="650"/>
      <c r="DN37" s="650"/>
      <c r="DO37" s="650"/>
      <c r="DP37" s="650"/>
      <c r="DQ37" s="650"/>
      <c r="DR37" s="650"/>
      <c r="DS37" s="650"/>
      <c r="DT37" s="650"/>
      <c r="DU37" s="650"/>
      <c r="DV37" s="650"/>
      <c r="DW37" s="650"/>
      <c r="DX37" s="650"/>
      <c r="DY37" s="650"/>
      <c r="DZ37" s="650"/>
      <c r="EA37" s="650"/>
      <c r="EB37" s="650"/>
      <c r="EC37" s="650"/>
      <c r="ED37" s="650"/>
      <c r="EE37" s="650"/>
      <c r="EF37" s="650"/>
      <c r="EG37" s="650"/>
      <c r="EH37" s="650"/>
      <c r="EI37" s="650"/>
      <c r="EJ37" s="650"/>
      <c r="EK37" s="650"/>
      <c r="EL37" s="650"/>
      <c r="EM37" s="650"/>
      <c r="EN37" s="650"/>
      <c r="EO37" s="650"/>
      <c r="EP37" s="650"/>
      <c r="EQ37" s="650"/>
      <c r="ER37" s="650"/>
      <c r="ES37" s="650"/>
      <c r="ET37" s="650"/>
      <c r="EU37" s="650"/>
      <c r="EV37" s="650"/>
      <c r="EW37" s="650"/>
      <c r="EX37" s="650"/>
      <c r="EY37" s="650"/>
      <c r="EZ37" s="650"/>
      <c r="FA37" s="650"/>
      <c r="FB37" s="650"/>
      <c r="FC37" s="650"/>
      <c r="FD37" s="650"/>
      <c r="FE37" s="650"/>
      <c r="FF37" s="650"/>
      <c r="FG37" s="650"/>
      <c r="FH37" s="650"/>
      <c r="FI37" s="650"/>
      <c r="FJ37" s="650"/>
      <c r="FK37" s="650"/>
      <c r="FL37" s="650"/>
      <c r="FM37" s="650"/>
      <c r="FN37" s="650"/>
      <c r="FO37" s="650"/>
      <c r="FP37" s="650"/>
      <c r="FQ37" s="650"/>
      <c r="FR37" s="650"/>
      <c r="FS37" s="650"/>
      <c r="FT37" s="650"/>
      <c r="FU37" s="650"/>
      <c r="FV37" s="650"/>
      <c r="FW37" s="650"/>
      <c r="FX37" s="650"/>
      <c r="FY37" s="650"/>
      <c r="FZ37" s="650"/>
      <c r="GA37" s="650"/>
      <c r="GB37" s="650"/>
      <c r="GC37" s="650"/>
      <c r="GD37" s="650"/>
      <c r="GE37" s="650"/>
      <c r="GF37" s="650"/>
      <c r="GG37" s="650"/>
      <c r="GH37" s="650"/>
      <c r="GI37" s="650"/>
      <c r="GJ37" s="650"/>
      <c r="GK37" s="650"/>
      <c r="GL37" s="650"/>
      <c r="GM37" s="650"/>
      <c r="GN37" s="650"/>
      <c r="GO37" s="650"/>
      <c r="GP37" s="650"/>
      <c r="GQ37" s="650"/>
      <c r="GR37" s="650"/>
      <c r="GS37" s="650"/>
      <c r="GT37" s="650"/>
      <c r="GU37" s="650"/>
    </row>
    <row r="38" spans="1:205" ht="3.75" customHeight="1" x14ac:dyDescent="0.25">
      <c r="B38" s="650"/>
      <c r="C38" s="650"/>
      <c r="D38" s="650"/>
      <c r="E38" s="650"/>
      <c r="F38" s="650"/>
      <c r="G38" s="650"/>
      <c r="H38" s="650"/>
      <c r="I38" s="650"/>
      <c r="J38" s="650"/>
      <c r="K38" s="650"/>
      <c r="L38" s="650"/>
      <c r="M38" s="650"/>
      <c r="N38" s="650"/>
      <c r="O38" s="650"/>
      <c r="P38" s="650"/>
      <c r="Q38" s="650"/>
      <c r="R38" s="650"/>
      <c r="S38" s="650"/>
      <c r="T38" s="650"/>
      <c r="U38" s="650"/>
      <c r="V38" s="650"/>
      <c r="W38" s="650"/>
      <c r="X38" s="650"/>
      <c r="Y38" s="650"/>
      <c r="Z38" s="650"/>
      <c r="AA38" s="650"/>
      <c r="AB38" s="650"/>
      <c r="AC38" s="650"/>
      <c r="AD38" s="650"/>
      <c r="AE38" s="650"/>
      <c r="AF38" s="650"/>
      <c r="AG38" s="650"/>
      <c r="AH38" s="650"/>
      <c r="AI38" s="650"/>
      <c r="AJ38" s="650"/>
      <c r="AK38" s="650"/>
      <c r="AL38" s="650"/>
      <c r="AM38" s="650"/>
      <c r="AN38" s="650"/>
      <c r="AO38" s="650"/>
      <c r="AP38" s="650"/>
      <c r="AQ38" s="650"/>
      <c r="AR38" s="650"/>
      <c r="AS38" s="650"/>
      <c r="AT38" s="650"/>
      <c r="AU38" s="650"/>
      <c r="AV38" s="650"/>
      <c r="AW38" s="650"/>
      <c r="AX38" s="650"/>
      <c r="AY38" s="650"/>
      <c r="AZ38" s="650"/>
      <c r="BA38" s="650"/>
      <c r="BB38" s="650"/>
      <c r="BC38" s="650"/>
      <c r="BD38" s="650"/>
      <c r="BE38" s="650"/>
      <c r="BF38" s="650"/>
      <c r="BG38" s="650"/>
      <c r="BH38" s="650"/>
      <c r="BI38" s="650"/>
      <c r="BJ38" s="650"/>
      <c r="BK38" s="650"/>
      <c r="BL38" s="650"/>
      <c r="BM38" s="650"/>
      <c r="BN38" s="650"/>
      <c r="BO38" s="650"/>
      <c r="BP38" s="650"/>
      <c r="BQ38" s="650"/>
      <c r="BR38" s="650"/>
      <c r="BS38" s="650"/>
      <c r="BT38" s="650"/>
      <c r="BU38" s="650"/>
      <c r="BV38" s="650"/>
      <c r="BW38" s="650"/>
      <c r="BX38" s="650"/>
      <c r="BY38" s="650"/>
      <c r="BZ38" s="650"/>
      <c r="CA38" s="650"/>
      <c r="CB38" s="650"/>
      <c r="CC38" s="650"/>
      <c r="CD38" s="650"/>
      <c r="CE38" s="650"/>
      <c r="CF38" s="650"/>
      <c r="CG38" s="650"/>
      <c r="CH38" s="650"/>
      <c r="CI38" s="650"/>
      <c r="CJ38" s="650"/>
      <c r="CK38" s="650"/>
      <c r="CL38" s="650"/>
      <c r="CM38" s="650"/>
      <c r="CN38" s="650"/>
      <c r="CO38" s="650"/>
      <c r="CP38" s="650"/>
      <c r="CQ38" s="650"/>
      <c r="CR38" s="650"/>
      <c r="CS38" s="650"/>
      <c r="CT38" s="650"/>
      <c r="CU38" s="650"/>
      <c r="CV38" s="650"/>
      <c r="CW38" s="650"/>
      <c r="CX38" s="650"/>
      <c r="CY38" s="650"/>
      <c r="CZ38" s="650"/>
      <c r="DA38" s="650"/>
      <c r="DB38" s="650"/>
      <c r="DC38" s="650"/>
      <c r="DD38" s="650"/>
      <c r="DE38" s="650"/>
      <c r="DF38" s="650"/>
      <c r="DG38" s="650"/>
      <c r="DH38" s="650"/>
      <c r="DI38" s="650"/>
      <c r="DJ38" s="650"/>
      <c r="DK38" s="650"/>
      <c r="DL38" s="650"/>
      <c r="DM38" s="650"/>
      <c r="DN38" s="650"/>
      <c r="DO38" s="650"/>
      <c r="DP38" s="650"/>
      <c r="DQ38" s="650"/>
      <c r="DR38" s="650"/>
      <c r="DS38" s="650"/>
      <c r="DT38" s="650"/>
      <c r="DU38" s="650"/>
      <c r="DV38" s="650"/>
      <c r="DW38" s="650"/>
      <c r="DX38" s="650"/>
      <c r="DY38" s="650"/>
      <c r="DZ38" s="650"/>
      <c r="EA38" s="650"/>
      <c r="EB38" s="650"/>
      <c r="EC38" s="650"/>
      <c r="ED38" s="650"/>
      <c r="EE38" s="650"/>
      <c r="EF38" s="650"/>
      <c r="EG38" s="650"/>
      <c r="EH38" s="650"/>
      <c r="EI38" s="650"/>
      <c r="EJ38" s="650"/>
      <c r="EK38" s="650"/>
      <c r="EL38" s="650"/>
      <c r="EM38" s="650"/>
      <c r="EN38" s="650"/>
      <c r="EO38" s="650"/>
      <c r="EP38" s="650"/>
      <c r="EQ38" s="650"/>
      <c r="ER38" s="650"/>
      <c r="ES38" s="650"/>
      <c r="ET38" s="650"/>
      <c r="EU38" s="650"/>
      <c r="EV38" s="650"/>
      <c r="EW38" s="650"/>
      <c r="EX38" s="650"/>
      <c r="EY38" s="650"/>
      <c r="EZ38" s="650"/>
      <c r="FA38" s="650"/>
      <c r="FB38" s="650"/>
      <c r="FC38" s="650"/>
      <c r="FD38" s="650"/>
      <c r="FE38" s="650"/>
      <c r="FF38" s="650"/>
      <c r="FG38" s="650"/>
      <c r="FH38" s="650"/>
      <c r="FI38" s="650"/>
      <c r="FJ38" s="650"/>
      <c r="FK38" s="650"/>
      <c r="FL38" s="650"/>
      <c r="FM38" s="650"/>
      <c r="FN38" s="650"/>
      <c r="FO38" s="650"/>
      <c r="FP38" s="650"/>
      <c r="FQ38" s="650"/>
      <c r="FR38" s="650"/>
      <c r="FS38" s="650"/>
      <c r="FT38" s="650"/>
      <c r="FU38" s="650"/>
      <c r="FV38" s="650"/>
      <c r="FW38" s="650"/>
      <c r="FX38" s="650"/>
      <c r="FY38" s="650"/>
      <c r="FZ38" s="650"/>
      <c r="GA38" s="650"/>
      <c r="GB38" s="650"/>
      <c r="GC38" s="650"/>
      <c r="GD38" s="650"/>
      <c r="GE38" s="650"/>
      <c r="GF38" s="650"/>
      <c r="GG38" s="650"/>
      <c r="GH38" s="650"/>
      <c r="GI38" s="650"/>
      <c r="GJ38" s="650"/>
      <c r="GK38" s="650"/>
      <c r="GL38" s="650"/>
      <c r="GM38" s="650"/>
      <c r="GN38" s="650"/>
      <c r="GO38" s="650"/>
      <c r="GP38" s="650"/>
      <c r="GQ38" s="650"/>
      <c r="GR38" s="650"/>
      <c r="GS38" s="650"/>
      <c r="GT38" s="650"/>
      <c r="GU38" s="650"/>
    </row>
    <row r="39" spans="1:205" ht="3.75" customHeight="1" x14ac:dyDescent="0.25"/>
    <row r="40" spans="1:205" ht="3.75" customHeight="1" x14ac:dyDescent="0.25"/>
    <row r="41" spans="1:205" ht="3.75" customHeight="1" x14ac:dyDescent="0.25"/>
    <row r="42" spans="1:205" ht="3.75" customHeight="1" x14ac:dyDescent="0.25"/>
    <row r="43" spans="1:205" ht="3.75" customHeight="1" x14ac:dyDescent="0.25"/>
    <row r="44" spans="1:205" ht="3.75" customHeight="1" x14ac:dyDescent="0.25"/>
    <row r="45" spans="1:205" ht="3.75" customHeight="1" x14ac:dyDescent="0.25"/>
    <row r="46" spans="1:205" ht="3.75" customHeight="1" x14ac:dyDescent="0.25"/>
    <row r="47" spans="1:205" ht="3.75" customHeight="1" x14ac:dyDescent="0.25"/>
    <row r="48" spans="1:205" ht="3.75" customHeight="1" x14ac:dyDescent="0.25"/>
    <row r="49" spans="43:43" ht="3.75" customHeight="1" x14ac:dyDescent="0.25"/>
    <row r="50" spans="43:43" ht="3.75" customHeight="1" x14ac:dyDescent="0.25"/>
    <row r="51" spans="43:43" ht="3.75" customHeight="1" x14ac:dyDescent="0.25"/>
    <row r="52" spans="43:43" ht="3.75" customHeight="1" x14ac:dyDescent="0.25">
      <c r="AQ52" s="659">
        <v>57</v>
      </c>
    </row>
    <row r="53" spans="43:43" ht="3.75" customHeight="1" x14ac:dyDescent="0.25"/>
    <row r="54" spans="43:43" ht="3.75" customHeight="1" x14ac:dyDescent="0.25"/>
    <row r="55" spans="43:43" ht="3.75" customHeight="1" x14ac:dyDescent="0.25"/>
    <row r="56" spans="43:43" ht="3.75" customHeight="1" x14ac:dyDescent="0.25"/>
    <row r="57" spans="43:43" ht="3.75" customHeight="1" x14ac:dyDescent="0.25"/>
    <row r="58" spans="43:43" ht="3.75" customHeight="1" x14ac:dyDescent="0.25"/>
    <row r="59" spans="43:43" ht="3.75" customHeight="1" x14ac:dyDescent="0.25"/>
    <row r="60" spans="43:43" ht="3.75" customHeight="1" x14ac:dyDescent="0.25"/>
    <row r="61" spans="43:43" ht="3.75" customHeight="1" x14ac:dyDescent="0.25"/>
    <row r="62" spans="43:43" ht="3.75" customHeight="1" x14ac:dyDescent="0.25"/>
    <row r="63" spans="43:43" ht="3.75" customHeight="1" x14ac:dyDescent="0.25"/>
    <row r="64" spans="43:43" ht="3.75" customHeight="1" x14ac:dyDescent="0.25"/>
    <row r="65" ht="3.75" customHeight="1" x14ac:dyDescent="0.25"/>
    <row r="66" ht="3.75" customHeight="1" x14ac:dyDescent="0.25"/>
    <row r="67" ht="3.75" customHeight="1" x14ac:dyDescent="0.25"/>
    <row r="68" ht="3.75" customHeight="1" x14ac:dyDescent="0.25"/>
    <row r="69" ht="3.75" customHeight="1" x14ac:dyDescent="0.25"/>
    <row r="70" ht="3.75" customHeight="1" x14ac:dyDescent="0.25"/>
    <row r="71" ht="3.75" customHeight="1" x14ac:dyDescent="0.25"/>
    <row r="72" ht="3.75" customHeight="1" x14ac:dyDescent="0.25"/>
    <row r="73" ht="3.75" customHeight="1" x14ac:dyDescent="0.25"/>
    <row r="74" ht="3.75" customHeight="1" x14ac:dyDescent="0.25"/>
    <row r="75" ht="3.75" customHeight="1" x14ac:dyDescent="0.25"/>
    <row r="76" ht="3.75" customHeight="1" x14ac:dyDescent="0.25"/>
    <row r="77" ht="3.75" customHeight="1" x14ac:dyDescent="0.25"/>
    <row r="78" ht="3.75" customHeight="1" x14ac:dyDescent="0.25"/>
    <row r="79" ht="3.75" customHeight="1" x14ac:dyDescent="0.25"/>
    <row r="80" ht="3.75" customHeight="1" x14ac:dyDescent="0.25"/>
    <row r="81" ht="3.75" customHeight="1" x14ac:dyDescent="0.25"/>
    <row r="82" ht="3.75" customHeight="1" x14ac:dyDescent="0.25"/>
    <row r="83" ht="3.75" customHeight="1" x14ac:dyDescent="0.25"/>
    <row r="84" ht="3.75" customHeight="1" x14ac:dyDescent="0.25"/>
    <row r="85" ht="3.75" customHeight="1" x14ac:dyDescent="0.25"/>
    <row r="86" ht="3.75" customHeight="1" x14ac:dyDescent="0.25"/>
    <row r="87" ht="3.75" customHeight="1" x14ac:dyDescent="0.25"/>
    <row r="88" ht="3.75" customHeight="1" x14ac:dyDescent="0.25"/>
    <row r="89" ht="3.75" customHeight="1" x14ac:dyDescent="0.25"/>
    <row r="90" ht="3.75" customHeight="1" x14ac:dyDescent="0.25"/>
    <row r="91" ht="3.75" customHeight="1" x14ac:dyDescent="0.25"/>
    <row r="92" ht="3.75" customHeight="1" x14ac:dyDescent="0.25"/>
    <row r="93" ht="3.75" customHeight="1" x14ac:dyDescent="0.25"/>
    <row r="94" ht="3.75" customHeight="1" x14ac:dyDescent="0.25"/>
    <row r="95" ht="3.75" customHeight="1" x14ac:dyDescent="0.25"/>
    <row r="96" ht="3.75" customHeight="1" x14ac:dyDescent="0.25"/>
    <row r="97" ht="3.75" customHeight="1" x14ac:dyDescent="0.25"/>
    <row r="98" ht="3.75" customHeight="1" x14ac:dyDescent="0.25"/>
    <row r="99" ht="3.75" customHeight="1" x14ac:dyDescent="0.25"/>
    <row r="100" ht="3.75" customHeight="1" x14ac:dyDescent="0.25"/>
    <row r="101" ht="3.75" customHeight="1" x14ac:dyDescent="0.25"/>
    <row r="102" ht="3.75" customHeight="1" x14ac:dyDescent="0.25"/>
    <row r="103" ht="3.75" customHeight="1" x14ac:dyDescent="0.25"/>
    <row r="104" ht="3.75" customHeight="1" x14ac:dyDescent="0.25"/>
    <row r="105" ht="3.75" customHeight="1" x14ac:dyDescent="0.25"/>
    <row r="106" ht="3.75" customHeight="1" x14ac:dyDescent="0.25"/>
    <row r="107" ht="3.75" customHeight="1" x14ac:dyDescent="0.25"/>
    <row r="108" ht="3.75" customHeight="1" x14ac:dyDescent="0.25"/>
    <row r="109" ht="3.75" customHeight="1" x14ac:dyDescent="0.25"/>
    <row r="110" ht="3.75" customHeight="1" x14ac:dyDescent="0.25"/>
    <row r="111" ht="3.75" customHeight="1" x14ac:dyDescent="0.25"/>
    <row r="112" ht="3.75" customHeight="1" x14ac:dyDescent="0.25"/>
    <row r="113" ht="3.75" customHeight="1" x14ac:dyDescent="0.25"/>
    <row r="114" ht="3.75" customHeight="1" x14ac:dyDescent="0.25"/>
    <row r="115" ht="3.75" customHeight="1" x14ac:dyDescent="0.25"/>
    <row r="116" ht="3.75" customHeight="1" x14ac:dyDescent="0.25"/>
    <row r="117" ht="3.75" customHeight="1" x14ac:dyDescent="0.25"/>
    <row r="118" ht="3.75" customHeight="1" x14ac:dyDescent="0.25"/>
    <row r="119" ht="3.75" customHeight="1" x14ac:dyDescent="0.25"/>
    <row r="120" ht="3.75" customHeight="1" x14ac:dyDescent="0.25"/>
    <row r="121" ht="3.75" customHeight="1" x14ac:dyDescent="0.25"/>
    <row r="122" ht="3.75" customHeight="1" x14ac:dyDescent="0.25"/>
    <row r="123" ht="3.75" customHeight="1" x14ac:dyDescent="0.25"/>
    <row r="124" ht="3.75" customHeight="1" x14ac:dyDescent="0.25"/>
    <row r="125" ht="3.75" customHeight="1" x14ac:dyDescent="0.25"/>
    <row r="126" ht="3.75" customHeight="1" x14ac:dyDescent="0.25"/>
    <row r="127" ht="3.75" customHeight="1" x14ac:dyDescent="0.25"/>
    <row r="128" ht="3.75" customHeight="1" x14ac:dyDescent="0.25"/>
    <row r="129" ht="3.75" customHeight="1" x14ac:dyDescent="0.25"/>
    <row r="130" ht="3.75" customHeight="1" x14ac:dyDescent="0.25"/>
    <row r="131" ht="3.75" customHeight="1" x14ac:dyDescent="0.25"/>
    <row r="132" ht="3.75" customHeight="1" x14ac:dyDescent="0.25"/>
    <row r="133" ht="3.75" customHeight="1" x14ac:dyDescent="0.25"/>
    <row r="134" ht="3.75" customHeight="1" x14ac:dyDescent="0.25"/>
    <row r="135" ht="3.75" customHeight="1" x14ac:dyDescent="0.25"/>
    <row r="136" ht="3.75" customHeight="1" x14ac:dyDescent="0.25"/>
    <row r="137" ht="3.75" customHeight="1" x14ac:dyDescent="0.25"/>
    <row r="138" ht="3.75" customHeight="1" x14ac:dyDescent="0.25"/>
    <row r="139" ht="3.75" customHeight="1" x14ac:dyDescent="0.25"/>
    <row r="140" ht="3.75" customHeight="1" x14ac:dyDescent="0.25"/>
    <row r="141" ht="3.75" customHeight="1" x14ac:dyDescent="0.25"/>
    <row r="142" ht="3.75" customHeight="1" x14ac:dyDescent="0.25"/>
    <row r="143" ht="3.75" customHeight="1" x14ac:dyDescent="0.25"/>
    <row r="144" ht="3.75" customHeight="1" x14ac:dyDescent="0.25"/>
    <row r="145" spans="10:10" ht="3.75" customHeight="1" x14ac:dyDescent="0.25"/>
    <row r="146" spans="10:10" ht="3.75" customHeight="1" x14ac:dyDescent="0.25"/>
    <row r="147" spans="10:10" ht="3.75" customHeight="1" x14ac:dyDescent="0.25">
      <c r="J147" s="659">
        <v>33</v>
      </c>
    </row>
  </sheetData>
  <mergeCells count="718">
    <mergeCell ref="FA34:FF34"/>
    <mergeCell ref="FG34:FK34"/>
    <mergeCell ref="FL34:FQ34"/>
    <mergeCell ref="FR34:FV34"/>
    <mergeCell ref="FW34:GB34"/>
    <mergeCell ref="GC34:GG34"/>
    <mergeCell ref="GH34:GM34"/>
    <mergeCell ref="GN34:GR34"/>
    <mergeCell ref="GS34:GW34"/>
    <mergeCell ref="CC34:CG34"/>
    <mergeCell ref="CH34:CM34"/>
    <mergeCell ref="CN34:CR34"/>
    <mergeCell ref="CS34:CX34"/>
    <mergeCell ref="CY34:DC34"/>
    <mergeCell ref="DD34:DI34"/>
    <mergeCell ref="DJ34:EM34"/>
    <mergeCell ref="EP34:EU34"/>
    <mergeCell ref="EV34:EZ34"/>
    <mergeCell ref="EC33:EG33"/>
    <mergeCell ref="EH33:EM33"/>
    <mergeCell ref="EN33:ER33"/>
    <mergeCell ref="ES33:EX33"/>
    <mergeCell ref="EY33:FC33"/>
    <mergeCell ref="FD33:FI33"/>
    <mergeCell ref="FJ33:FN33"/>
    <mergeCell ref="FO33:FS33"/>
    <mergeCell ref="FT33:GW33"/>
    <mergeCell ref="CC33:CG33"/>
    <mergeCell ref="CH33:CM33"/>
    <mergeCell ref="CN33:CR33"/>
    <mergeCell ref="CS33:CX33"/>
    <mergeCell ref="CY33:DC33"/>
    <mergeCell ref="DD33:DI33"/>
    <mergeCell ref="DL33:DQ33"/>
    <mergeCell ref="DR33:DV33"/>
    <mergeCell ref="DW33:EB33"/>
    <mergeCell ref="A33:A34"/>
    <mergeCell ref="B33:K34"/>
    <mergeCell ref="L33:AP34"/>
    <mergeCell ref="AQ33:AX34"/>
    <mergeCell ref="BA33:BF33"/>
    <mergeCell ref="BG33:BK33"/>
    <mergeCell ref="BL33:BQ33"/>
    <mergeCell ref="BR33:BV33"/>
    <mergeCell ref="BW33:CB33"/>
    <mergeCell ref="BA34:BF34"/>
    <mergeCell ref="BG34:BK34"/>
    <mergeCell ref="BL34:BQ34"/>
    <mergeCell ref="BR34:BV34"/>
    <mergeCell ref="BW34:CB34"/>
    <mergeCell ref="FA32:FF32"/>
    <mergeCell ref="FG32:FK32"/>
    <mergeCell ref="FL32:FQ32"/>
    <mergeCell ref="FR32:FV32"/>
    <mergeCell ref="FW32:GB32"/>
    <mergeCell ref="GC32:GG32"/>
    <mergeCell ref="GH32:GM32"/>
    <mergeCell ref="GN32:GR32"/>
    <mergeCell ref="GS32:GW32"/>
    <mergeCell ref="CC32:CG32"/>
    <mergeCell ref="CH32:CM32"/>
    <mergeCell ref="CN32:CR32"/>
    <mergeCell ref="CS32:CX32"/>
    <mergeCell ref="CY32:DC32"/>
    <mergeCell ref="DD32:DI32"/>
    <mergeCell ref="DJ32:EM32"/>
    <mergeCell ref="EP32:EU32"/>
    <mergeCell ref="EV32:EZ32"/>
    <mergeCell ref="EC31:EG31"/>
    <mergeCell ref="EH31:EM31"/>
    <mergeCell ref="EN31:ER31"/>
    <mergeCell ref="ES31:EX31"/>
    <mergeCell ref="EY31:FC31"/>
    <mergeCell ref="FD31:FI31"/>
    <mergeCell ref="FJ31:FN31"/>
    <mergeCell ref="FO31:FS31"/>
    <mergeCell ref="FT31:GW31"/>
    <mergeCell ref="CC31:CG31"/>
    <mergeCell ref="CH31:CM31"/>
    <mergeCell ref="CN31:CR31"/>
    <mergeCell ref="CS31:CX31"/>
    <mergeCell ref="CY31:DC31"/>
    <mergeCell ref="DD31:DI31"/>
    <mergeCell ref="DL31:DQ31"/>
    <mergeCell ref="DR31:DV31"/>
    <mergeCell ref="DW31:EB31"/>
    <mergeCell ref="A31:A32"/>
    <mergeCell ref="B31:K32"/>
    <mergeCell ref="L31:AP32"/>
    <mergeCell ref="AQ31:AX32"/>
    <mergeCell ref="BA31:BF31"/>
    <mergeCell ref="BG31:BK31"/>
    <mergeCell ref="BL31:BQ31"/>
    <mergeCell ref="BR31:BV31"/>
    <mergeCell ref="BW31:CB31"/>
    <mergeCell ref="BA32:BF32"/>
    <mergeCell ref="BG32:BK32"/>
    <mergeCell ref="BL32:BQ32"/>
    <mergeCell ref="BR32:BV32"/>
    <mergeCell ref="BW32:CB32"/>
    <mergeCell ref="FA30:FF30"/>
    <mergeCell ref="FG30:FK30"/>
    <mergeCell ref="FL30:FQ30"/>
    <mergeCell ref="FR30:FV30"/>
    <mergeCell ref="FW30:GB30"/>
    <mergeCell ref="GC30:GG30"/>
    <mergeCell ref="GH30:GM30"/>
    <mergeCell ref="GN30:GR30"/>
    <mergeCell ref="GS30:GW30"/>
    <mergeCell ref="CC30:CG30"/>
    <mergeCell ref="CH30:CM30"/>
    <mergeCell ref="CN30:CR30"/>
    <mergeCell ref="CS30:CX30"/>
    <mergeCell ref="CY30:DC30"/>
    <mergeCell ref="DD30:DI30"/>
    <mergeCell ref="DJ30:EM30"/>
    <mergeCell ref="EP30:EU30"/>
    <mergeCell ref="EV30:EZ30"/>
    <mergeCell ref="EC29:EG29"/>
    <mergeCell ref="EH29:EM29"/>
    <mergeCell ref="EN29:ER29"/>
    <mergeCell ref="ES29:EX29"/>
    <mergeCell ref="EY29:FC29"/>
    <mergeCell ref="FD29:FI29"/>
    <mergeCell ref="FJ29:FN29"/>
    <mergeCell ref="FO29:FS29"/>
    <mergeCell ref="FT29:GW29"/>
    <mergeCell ref="CC29:CG29"/>
    <mergeCell ref="CH29:CM29"/>
    <mergeCell ref="CN29:CR29"/>
    <mergeCell ref="CS29:CX29"/>
    <mergeCell ref="CY29:DC29"/>
    <mergeCell ref="DD29:DI29"/>
    <mergeCell ref="DL29:DQ29"/>
    <mergeCell ref="DR29:DV29"/>
    <mergeCell ref="DW29:EB29"/>
    <mergeCell ref="A29:A30"/>
    <mergeCell ref="B29:K30"/>
    <mergeCell ref="L29:AP30"/>
    <mergeCell ref="AQ29:AX30"/>
    <mergeCell ref="BA29:BF29"/>
    <mergeCell ref="BG29:BK29"/>
    <mergeCell ref="BL29:BQ29"/>
    <mergeCell ref="BR29:BV29"/>
    <mergeCell ref="BW29:CB29"/>
    <mergeCell ref="BA30:BF30"/>
    <mergeCell ref="BG30:BK30"/>
    <mergeCell ref="BL30:BQ30"/>
    <mergeCell ref="BR30:BV30"/>
    <mergeCell ref="BW30:CB30"/>
    <mergeCell ref="FA28:FF28"/>
    <mergeCell ref="FG28:FK28"/>
    <mergeCell ref="FL28:FQ28"/>
    <mergeCell ref="FR28:FV28"/>
    <mergeCell ref="FW28:GB28"/>
    <mergeCell ref="GC28:GG28"/>
    <mergeCell ref="GH28:GM28"/>
    <mergeCell ref="GN28:GR28"/>
    <mergeCell ref="GS28:GW28"/>
    <mergeCell ref="CC28:CG28"/>
    <mergeCell ref="CH28:CM28"/>
    <mergeCell ref="CN28:CR28"/>
    <mergeCell ref="CS28:CX28"/>
    <mergeCell ref="CY28:DC28"/>
    <mergeCell ref="DD28:DI28"/>
    <mergeCell ref="DJ28:EM28"/>
    <mergeCell ref="EP28:EU28"/>
    <mergeCell ref="EV28:EZ28"/>
    <mergeCell ref="EC27:EG27"/>
    <mergeCell ref="EH27:EM27"/>
    <mergeCell ref="EN27:ER27"/>
    <mergeCell ref="ES27:EX27"/>
    <mergeCell ref="EY27:FC27"/>
    <mergeCell ref="FD27:FI27"/>
    <mergeCell ref="FJ27:FN27"/>
    <mergeCell ref="FO27:FS27"/>
    <mergeCell ref="FT27:GW27"/>
    <mergeCell ref="CC27:CG27"/>
    <mergeCell ref="CH27:CM27"/>
    <mergeCell ref="CN27:CR27"/>
    <mergeCell ref="CS27:CX27"/>
    <mergeCell ref="CY27:DC27"/>
    <mergeCell ref="DD27:DI27"/>
    <mergeCell ref="DL27:DQ27"/>
    <mergeCell ref="DR27:DV27"/>
    <mergeCell ref="DW27:EB27"/>
    <mergeCell ref="A27:A28"/>
    <mergeCell ref="B27:K28"/>
    <mergeCell ref="L27:AP28"/>
    <mergeCell ref="AQ27:AX28"/>
    <mergeCell ref="BA27:BF27"/>
    <mergeCell ref="BG27:BK27"/>
    <mergeCell ref="BL27:BQ27"/>
    <mergeCell ref="BR27:BV27"/>
    <mergeCell ref="BW27:CB27"/>
    <mergeCell ref="BA28:BF28"/>
    <mergeCell ref="BG28:BK28"/>
    <mergeCell ref="BL28:BQ28"/>
    <mergeCell ref="BR28:BV28"/>
    <mergeCell ref="BW28:CB28"/>
    <mergeCell ref="FA26:FF26"/>
    <mergeCell ref="FG26:FK26"/>
    <mergeCell ref="FL26:FQ26"/>
    <mergeCell ref="FR26:FV26"/>
    <mergeCell ref="FW26:GB26"/>
    <mergeCell ref="GC26:GG26"/>
    <mergeCell ref="GH26:GM26"/>
    <mergeCell ref="GN26:GR26"/>
    <mergeCell ref="GS26:GW26"/>
    <mergeCell ref="CC26:CG26"/>
    <mergeCell ref="CH26:CM26"/>
    <mergeCell ref="CN26:CR26"/>
    <mergeCell ref="CS26:CX26"/>
    <mergeCell ref="CY26:DC26"/>
    <mergeCell ref="DD26:DI26"/>
    <mergeCell ref="DJ26:EM26"/>
    <mergeCell ref="EP26:EU26"/>
    <mergeCell ref="EV26:EZ26"/>
    <mergeCell ref="EC25:EG25"/>
    <mergeCell ref="EH25:EM25"/>
    <mergeCell ref="EN25:ER25"/>
    <mergeCell ref="ES25:EX25"/>
    <mergeCell ref="EY25:FC25"/>
    <mergeCell ref="FD25:FI25"/>
    <mergeCell ref="FJ25:FN25"/>
    <mergeCell ref="FO25:FS25"/>
    <mergeCell ref="FT25:GW25"/>
    <mergeCell ref="CC25:CG25"/>
    <mergeCell ref="CH25:CM25"/>
    <mergeCell ref="CN25:CR25"/>
    <mergeCell ref="CS25:CX25"/>
    <mergeCell ref="CY25:DC25"/>
    <mergeCell ref="DD25:DI25"/>
    <mergeCell ref="DL25:DQ25"/>
    <mergeCell ref="DR25:DV25"/>
    <mergeCell ref="DW25:EB25"/>
    <mergeCell ref="A25:A26"/>
    <mergeCell ref="B25:K26"/>
    <mergeCell ref="L25:AP26"/>
    <mergeCell ref="AQ25:AX26"/>
    <mergeCell ref="BA25:BF25"/>
    <mergeCell ref="BG25:BK25"/>
    <mergeCell ref="BL25:BQ25"/>
    <mergeCell ref="BR25:BV25"/>
    <mergeCell ref="BW25:CB25"/>
    <mergeCell ref="BA26:BF26"/>
    <mergeCell ref="BG26:BK26"/>
    <mergeCell ref="BL26:BQ26"/>
    <mergeCell ref="BR26:BV26"/>
    <mergeCell ref="BW26:CB26"/>
    <mergeCell ref="FA24:FF24"/>
    <mergeCell ref="FG24:FK24"/>
    <mergeCell ref="FL24:FQ24"/>
    <mergeCell ref="FR24:FV24"/>
    <mergeCell ref="FW24:GB24"/>
    <mergeCell ref="GC24:GG24"/>
    <mergeCell ref="GH24:GM24"/>
    <mergeCell ref="GN24:GR24"/>
    <mergeCell ref="GS24:GW24"/>
    <mergeCell ref="CC24:CG24"/>
    <mergeCell ref="CH24:CM24"/>
    <mergeCell ref="CN24:CR24"/>
    <mergeCell ref="CS24:CX24"/>
    <mergeCell ref="CY24:DC24"/>
    <mergeCell ref="DD24:DI24"/>
    <mergeCell ref="DJ24:EM24"/>
    <mergeCell ref="EP24:EU24"/>
    <mergeCell ref="EV24:EZ24"/>
    <mergeCell ref="EC23:EG23"/>
    <mergeCell ref="EH23:EM23"/>
    <mergeCell ref="EN23:ER23"/>
    <mergeCell ref="ES23:EX23"/>
    <mergeCell ref="EY23:FC23"/>
    <mergeCell ref="FD23:FI23"/>
    <mergeCell ref="FJ23:FN23"/>
    <mergeCell ref="FO23:FS23"/>
    <mergeCell ref="FT23:GW23"/>
    <mergeCell ref="CC23:CG23"/>
    <mergeCell ref="CH23:CM23"/>
    <mergeCell ref="CN23:CR23"/>
    <mergeCell ref="CS23:CX23"/>
    <mergeCell ref="CY23:DC23"/>
    <mergeCell ref="DD23:DI23"/>
    <mergeCell ref="DL23:DQ23"/>
    <mergeCell ref="DR23:DV23"/>
    <mergeCell ref="DW23:EB23"/>
    <mergeCell ref="A23:A24"/>
    <mergeCell ref="B23:K24"/>
    <mergeCell ref="L23:AP24"/>
    <mergeCell ref="AQ23:AX24"/>
    <mergeCell ref="BA23:BF23"/>
    <mergeCell ref="BG23:BK23"/>
    <mergeCell ref="BL23:BQ23"/>
    <mergeCell ref="BR23:BV23"/>
    <mergeCell ref="BW23:CB23"/>
    <mergeCell ref="BA24:BF24"/>
    <mergeCell ref="BG24:BK24"/>
    <mergeCell ref="BL24:BQ24"/>
    <mergeCell ref="BR24:BV24"/>
    <mergeCell ref="BW24:CB24"/>
    <mergeCell ref="FA22:FF22"/>
    <mergeCell ref="FG22:FK22"/>
    <mergeCell ref="FL22:FQ22"/>
    <mergeCell ref="FR22:FV22"/>
    <mergeCell ref="FW22:GB22"/>
    <mergeCell ref="GC22:GG22"/>
    <mergeCell ref="GH22:GM22"/>
    <mergeCell ref="GN22:GR22"/>
    <mergeCell ref="GS22:GW22"/>
    <mergeCell ref="CC22:CG22"/>
    <mergeCell ref="CH22:CM22"/>
    <mergeCell ref="CN22:CR22"/>
    <mergeCell ref="CS22:CX22"/>
    <mergeCell ref="CY22:DC22"/>
    <mergeCell ref="DD22:DI22"/>
    <mergeCell ref="DJ22:EM22"/>
    <mergeCell ref="EP22:EU22"/>
    <mergeCell ref="EV22:EZ22"/>
    <mergeCell ref="EC21:EG21"/>
    <mergeCell ref="EH21:EM21"/>
    <mergeCell ref="EN21:ER21"/>
    <mergeCell ref="ES21:EX21"/>
    <mergeCell ref="EY21:FC21"/>
    <mergeCell ref="FD21:FI21"/>
    <mergeCell ref="FJ21:FN21"/>
    <mergeCell ref="FO21:FS21"/>
    <mergeCell ref="FT21:GW21"/>
    <mergeCell ref="CC21:CG21"/>
    <mergeCell ref="CH21:CM21"/>
    <mergeCell ref="CN21:CR21"/>
    <mergeCell ref="CS21:CX21"/>
    <mergeCell ref="CY21:DC21"/>
    <mergeCell ref="DD21:DI21"/>
    <mergeCell ref="DL21:DQ21"/>
    <mergeCell ref="DR21:DV21"/>
    <mergeCell ref="DW21:EB21"/>
    <mergeCell ref="A21:A22"/>
    <mergeCell ref="B21:K22"/>
    <mergeCell ref="L21:AP22"/>
    <mergeCell ref="AQ21:AX22"/>
    <mergeCell ref="BA21:BF21"/>
    <mergeCell ref="BG21:BK21"/>
    <mergeCell ref="BL21:BQ21"/>
    <mergeCell ref="BR21:BV21"/>
    <mergeCell ref="BW21:CB21"/>
    <mergeCell ref="BA22:BF22"/>
    <mergeCell ref="BG22:BK22"/>
    <mergeCell ref="BL22:BQ22"/>
    <mergeCell ref="BR22:BV22"/>
    <mergeCell ref="BW22:CB22"/>
    <mergeCell ref="FA20:FF20"/>
    <mergeCell ref="FG20:FK20"/>
    <mergeCell ref="FL20:FQ20"/>
    <mergeCell ref="FR20:FV20"/>
    <mergeCell ref="FW20:GB20"/>
    <mergeCell ref="GC20:GG20"/>
    <mergeCell ref="GH20:GM20"/>
    <mergeCell ref="GN20:GR20"/>
    <mergeCell ref="GS20:GW20"/>
    <mergeCell ref="CC20:CG20"/>
    <mergeCell ref="CH20:CM20"/>
    <mergeCell ref="CN20:CR20"/>
    <mergeCell ref="CS20:CX20"/>
    <mergeCell ref="CY20:DC20"/>
    <mergeCell ref="DD20:DI20"/>
    <mergeCell ref="DJ20:EM20"/>
    <mergeCell ref="EP20:EU20"/>
    <mergeCell ref="EV20:EZ20"/>
    <mergeCell ref="EC19:EG19"/>
    <mergeCell ref="EH19:EM19"/>
    <mergeCell ref="EN19:ER19"/>
    <mergeCell ref="ES19:EX19"/>
    <mergeCell ref="EY19:FC19"/>
    <mergeCell ref="FD19:FI19"/>
    <mergeCell ref="FJ19:FN19"/>
    <mergeCell ref="FO19:FS19"/>
    <mergeCell ref="FT19:GW19"/>
    <mergeCell ref="CC19:CG19"/>
    <mergeCell ref="CH19:CM19"/>
    <mergeCell ref="CN19:CR19"/>
    <mergeCell ref="CS19:CX19"/>
    <mergeCell ref="CY19:DC19"/>
    <mergeCell ref="DD19:DI19"/>
    <mergeCell ref="DL19:DQ19"/>
    <mergeCell ref="DR19:DV19"/>
    <mergeCell ref="DW19:EB19"/>
    <mergeCell ref="A19:A20"/>
    <mergeCell ref="B19:K20"/>
    <mergeCell ref="L19:AP20"/>
    <mergeCell ref="AQ19:AX20"/>
    <mergeCell ref="BA19:BF19"/>
    <mergeCell ref="BG19:BK19"/>
    <mergeCell ref="BL19:BQ19"/>
    <mergeCell ref="BR19:BV19"/>
    <mergeCell ref="BW19:CB19"/>
    <mergeCell ref="BA20:BF20"/>
    <mergeCell ref="BG20:BK20"/>
    <mergeCell ref="BL20:BQ20"/>
    <mergeCell ref="BR20:BV20"/>
    <mergeCell ref="BW20:CB20"/>
    <mergeCell ref="FA18:FF18"/>
    <mergeCell ref="FG18:FK18"/>
    <mergeCell ref="FL18:FQ18"/>
    <mergeCell ref="FR18:FV18"/>
    <mergeCell ref="FW18:GB18"/>
    <mergeCell ref="GC18:GG18"/>
    <mergeCell ref="GH18:GM18"/>
    <mergeCell ref="GN18:GR18"/>
    <mergeCell ref="GS18:GW18"/>
    <mergeCell ref="CC18:CG18"/>
    <mergeCell ref="CH18:CM18"/>
    <mergeCell ref="CN18:CR18"/>
    <mergeCell ref="CS18:CX18"/>
    <mergeCell ref="CY18:DC18"/>
    <mergeCell ref="DD18:DI18"/>
    <mergeCell ref="DJ18:EM18"/>
    <mergeCell ref="EP18:EU18"/>
    <mergeCell ref="EV18:EZ18"/>
    <mergeCell ref="EC17:EG17"/>
    <mergeCell ref="EH17:EM17"/>
    <mergeCell ref="EN17:ER17"/>
    <mergeCell ref="ES17:EX17"/>
    <mergeCell ref="EY17:FC17"/>
    <mergeCell ref="FD17:FI17"/>
    <mergeCell ref="FJ17:FN17"/>
    <mergeCell ref="FO17:FS17"/>
    <mergeCell ref="FT17:GW17"/>
    <mergeCell ref="CC17:CG17"/>
    <mergeCell ref="CH17:CM17"/>
    <mergeCell ref="CN17:CR17"/>
    <mergeCell ref="CS17:CX17"/>
    <mergeCell ref="CY17:DC17"/>
    <mergeCell ref="DD17:DI17"/>
    <mergeCell ref="DL17:DQ17"/>
    <mergeCell ref="DR17:DV17"/>
    <mergeCell ref="DW17:EB17"/>
    <mergeCell ref="A17:A18"/>
    <mergeCell ref="B17:K18"/>
    <mergeCell ref="L17:AP18"/>
    <mergeCell ref="AQ17:AX18"/>
    <mergeCell ref="BA17:BF17"/>
    <mergeCell ref="BG17:BK17"/>
    <mergeCell ref="BL17:BQ17"/>
    <mergeCell ref="BR17:BV17"/>
    <mergeCell ref="BW17:CB17"/>
    <mergeCell ref="BA18:BF18"/>
    <mergeCell ref="BG18:BK18"/>
    <mergeCell ref="BL18:BQ18"/>
    <mergeCell ref="BR18:BV18"/>
    <mergeCell ref="BW18:CB18"/>
    <mergeCell ref="FA16:FF16"/>
    <mergeCell ref="FG16:FK16"/>
    <mergeCell ref="FL16:FQ16"/>
    <mergeCell ref="FR16:FV16"/>
    <mergeCell ref="FW16:GB16"/>
    <mergeCell ref="GC16:GG16"/>
    <mergeCell ref="GH16:GM16"/>
    <mergeCell ref="GN16:GR16"/>
    <mergeCell ref="GS16:GW16"/>
    <mergeCell ref="CC16:CG16"/>
    <mergeCell ref="CH16:CM16"/>
    <mergeCell ref="CN16:CR16"/>
    <mergeCell ref="CS16:CX16"/>
    <mergeCell ref="CY16:DC16"/>
    <mergeCell ref="DD16:DI16"/>
    <mergeCell ref="DJ16:EM16"/>
    <mergeCell ref="EP16:EU16"/>
    <mergeCell ref="EV16:EZ16"/>
    <mergeCell ref="EC15:EG15"/>
    <mergeCell ref="EH15:EM15"/>
    <mergeCell ref="EN15:ER15"/>
    <mergeCell ref="ES15:EX15"/>
    <mergeCell ref="EY15:FC15"/>
    <mergeCell ref="FD15:FI15"/>
    <mergeCell ref="FJ15:FN15"/>
    <mergeCell ref="FO15:FS15"/>
    <mergeCell ref="FT15:GW15"/>
    <mergeCell ref="CC15:CG15"/>
    <mergeCell ref="CH15:CM15"/>
    <mergeCell ref="CN15:CR15"/>
    <mergeCell ref="CS15:CX15"/>
    <mergeCell ref="CY15:DC15"/>
    <mergeCell ref="DD15:DI15"/>
    <mergeCell ref="DL15:DQ15"/>
    <mergeCell ref="DR15:DV15"/>
    <mergeCell ref="DW15:EB15"/>
    <mergeCell ref="A15:A16"/>
    <mergeCell ref="B15:K16"/>
    <mergeCell ref="L15:AP16"/>
    <mergeCell ref="AQ15:AX16"/>
    <mergeCell ref="BA15:BF15"/>
    <mergeCell ref="BG15:BK15"/>
    <mergeCell ref="BL15:BQ15"/>
    <mergeCell ref="BR15:BV15"/>
    <mergeCell ref="BW15:CB15"/>
    <mergeCell ref="BA16:BF16"/>
    <mergeCell ref="BG16:BK16"/>
    <mergeCell ref="BL16:BQ16"/>
    <mergeCell ref="BR16:BV16"/>
    <mergeCell ref="BW16:CB16"/>
    <mergeCell ref="FA14:FF14"/>
    <mergeCell ref="FG14:FK14"/>
    <mergeCell ref="FL14:FQ14"/>
    <mergeCell ref="FR14:FV14"/>
    <mergeCell ref="FW14:GB14"/>
    <mergeCell ref="GC14:GG14"/>
    <mergeCell ref="GH14:GM14"/>
    <mergeCell ref="GN14:GR14"/>
    <mergeCell ref="GS14:GW14"/>
    <mergeCell ref="CC14:CG14"/>
    <mergeCell ref="CH14:CM14"/>
    <mergeCell ref="CN14:CR14"/>
    <mergeCell ref="CS14:CX14"/>
    <mergeCell ref="CY14:DC14"/>
    <mergeCell ref="DD14:DI14"/>
    <mergeCell ref="DJ14:EM14"/>
    <mergeCell ref="EP14:EU14"/>
    <mergeCell ref="EV14:EZ14"/>
    <mergeCell ref="EC13:EG13"/>
    <mergeCell ref="EH13:EM13"/>
    <mergeCell ref="EN13:ER13"/>
    <mergeCell ref="ES13:EX13"/>
    <mergeCell ref="EY13:FC13"/>
    <mergeCell ref="FD13:FI13"/>
    <mergeCell ref="FJ13:FN13"/>
    <mergeCell ref="FO13:FS13"/>
    <mergeCell ref="FT13:GW13"/>
    <mergeCell ref="CC13:CG13"/>
    <mergeCell ref="CH13:CM13"/>
    <mergeCell ref="CN13:CR13"/>
    <mergeCell ref="CS13:CX13"/>
    <mergeCell ref="CY13:DC13"/>
    <mergeCell ref="DD13:DI13"/>
    <mergeCell ref="DL13:DQ13"/>
    <mergeCell ref="DR13:DV13"/>
    <mergeCell ref="DW13:EB13"/>
    <mergeCell ref="A13:A14"/>
    <mergeCell ref="B13:K14"/>
    <mergeCell ref="L13:AP14"/>
    <mergeCell ref="AQ13:AX14"/>
    <mergeCell ref="BA13:BF13"/>
    <mergeCell ref="BG13:BK13"/>
    <mergeCell ref="BL13:BQ13"/>
    <mergeCell ref="BR13:BV13"/>
    <mergeCell ref="BW13:CB13"/>
    <mergeCell ref="BA14:BF14"/>
    <mergeCell ref="BG14:BK14"/>
    <mergeCell ref="BL14:BQ14"/>
    <mergeCell ref="BR14:BV14"/>
    <mergeCell ref="BW14:CB14"/>
    <mergeCell ref="FA12:FF12"/>
    <mergeCell ref="FG12:FK12"/>
    <mergeCell ref="FL12:FQ12"/>
    <mergeCell ref="FR12:FV12"/>
    <mergeCell ref="FW12:GB12"/>
    <mergeCell ref="GC12:GG12"/>
    <mergeCell ref="GH12:GM12"/>
    <mergeCell ref="GN12:GR12"/>
    <mergeCell ref="GS12:GW12"/>
    <mergeCell ref="CC12:CG12"/>
    <mergeCell ref="CH12:CM12"/>
    <mergeCell ref="CN12:CR12"/>
    <mergeCell ref="CS12:CX12"/>
    <mergeCell ref="CY12:DC12"/>
    <mergeCell ref="DD12:DI12"/>
    <mergeCell ref="DJ12:EM12"/>
    <mergeCell ref="EP12:EU12"/>
    <mergeCell ref="EV12:EZ12"/>
    <mergeCell ref="EC11:EG11"/>
    <mergeCell ref="EH11:EM11"/>
    <mergeCell ref="EN11:ER11"/>
    <mergeCell ref="ES11:EX11"/>
    <mergeCell ref="EY11:FC11"/>
    <mergeCell ref="FD11:FI11"/>
    <mergeCell ref="FJ11:FN11"/>
    <mergeCell ref="FO11:FS11"/>
    <mergeCell ref="FT11:GW11"/>
    <mergeCell ref="CC11:CG11"/>
    <mergeCell ref="CH11:CM11"/>
    <mergeCell ref="CN11:CR11"/>
    <mergeCell ref="CS11:CX11"/>
    <mergeCell ref="CY11:DC11"/>
    <mergeCell ref="DD11:DI11"/>
    <mergeCell ref="DL11:DQ11"/>
    <mergeCell ref="DR11:DV11"/>
    <mergeCell ref="DW11:EB11"/>
    <mergeCell ref="A11:A12"/>
    <mergeCell ref="B11:K12"/>
    <mergeCell ref="L11:AP12"/>
    <mergeCell ref="AQ11:AX12"/>
    <mergeCell ref="BA11:BF11"/>
    <mergeCell ref="BG11:BK11"/>
    <mergeCell ref="BL11:BQ11"/>
    <mergeCell ref="BR11:BV11"/>
    <mergeCell ref="BW11:CB11"/>
    <mergeCell ref="BA12:BF12"/>
    <mergeCell ref="BG12:BK12"/>
    <mergeCell ref="BL12:BQ12"/>
    <mergeCell ref="BR12:BV12"/>
    <mergeCell ref="BW12:CB12"/>
    <mergeCell ref="FA10:FF10"/>
    <mergeCell ref="FG10:FK10"/>
    <mergeCell ref="FL10:FQ10"/>
    <mergeCell ref="FR10:FV10"/>
    <mergeCell ref="FW10:GB10"/>
    <mergeCell ref="GC10:GG10"/>
    <mergeCell ref="GH10:GM10"/>
    <mergeCell ref="GN10:GR10"/>
    <mergeCell ref="GS10:GW10"/>
    <mergeCell ref="CC10:CG10"/>
    <mergeCell ref="CH10:CM10"/>
    <mergeCell ref="CN10:CR10"/>
    <mergeCell ref="CS10:CX10"/>
    <mergeCell ref="CY10:DC10"/>
    <mergeCell ref="DD10:DI10"/>
    <mergeCell ref="DJ10:EM10"/>
    <mergeCell ref="EP10:EU10"/>
    <mergeCell ref="EV10:EZ10"/>
    <mergeCell ref="EC9:EG9"/>
    <mergeCell ref="EH9:EM9"/>
    <mergeCell ref="EN9:ER9"/>
    <mergeCell ref="ES9:EX9"/>
    <mergeCell ref="EY9:FC9"/>
    <mergeCell ref="FD9:FI9"/>
    <mergeCell ref="FJ9:FN9"/>
    <mergeCell ref="FO9:FS9"/>
    <mergeCell ref="FT9:GW9"/>
    <mergeCell ref="CC9:CG9"/>
    <mergeCell ref="CH9:CM9"/>
    <mergeCell ref="CN9:CR9"/>
    <mergeCell ref="CS9:CX9"/>
    <mergeCell ref="CY9:DC9"/>
    <mergeCell ref="DD9:DI9"/>
    <mergeCell ref="DL9:DQ9"/>
    <mergeCell ref="DR9:DV9"/>
    <mergeCell ref="DW9:EB9"/>
    <mergeCell ref="A9:A10"/>
    <mergeCell ref="B9:K10"/>
    <mergeCell ref="L9:AP10"/>
    <mergeCell ref="AQ9:AX10"/>
    <mergeCell ref="BA9:BF9"/>
    <mergeCell ref="BG9:BK9"/>
    <mergeCell ref="BL9:BQ9"/>
    <mergeCell ref="BR9:BV9"/>
    <mergeCell ref="BW9:CB9"/>
    <mergeCell ref="BA10:BF10"/>
    <mergeCell ref="BG10:BK10"/>
    <mergeCell ref="BL10:BQ10"/>
    <mergeCell ref="BR10:BV10"/>
    <mergeCell ref="BW10:CB10"/>
    <mergeCell ref="FA8:FF8"/>
    <mergeCell ref="FG8:FK8"/>
    <mergeCell ref="FL8:FQ8"/>
    <mergeCell ref="FR8:FV8"/>
    <mergeCell ref="FW8:GB8"/>
    <mergeCell ref="GC8:GG8"/>
    <mergeCell ref="GH8:GM8"/>
    <mergeCell ref="GN8:GR8"/>
    <mergeCell ref="GS8:GW8"/>
    <mergeCell ref="CC8:CG8"/>
    <mergeCell ref="CH8:CM8"/>
    <mergeCell ref="CN8:CR8"/>
    <mergeCell ref="CS8:CX8"/>
    <mergeCell ref="CY8:DC8"/>
    <mergeCell ref="DD8:DI8"/>
    <mergeCell ref="DJ8:EM8"/>
    <mergeCell ref="EP8:EU8"/>
    <mergeCell ref="EV8:EZ8"/>
    <mergeCell ref="EC7:EG7"/>
    <mergeCell ref="EH7:EM7"/>
    <mergeCell ref="EN7:ER7"/>
    <mergeCell ref="ES7:EX7"/>
    <mergeCell ref="EY7:FC7"/>
    <mergeCell ref="FD7:FI7"/>
    <mergeCell ref="FJ7:FN7"/>
    <mergeCell ref="FO7:FS7"/>
    <mergeCell ref="FT7:GW7"/>
    <mergeCell ref="CC7:CG7"/>
    <mergeCell ref="CH7:CM7"/>
    <mergeCell ref="CN7:CR7"/>
    <mergeCell ref="CS7:CX7"/>
    <mergeCell ref="CY7:DC7"/>
    <mergeCell ref="DD7:DI7"/>
    <mergeCell ref="DL7:DQ7"/>
    <mergeCell ref="DR7:DV7"/>
    <mergeCell ref="DW7:EB7"/>
    <mergeCell ref="A7:A8"/>
    <mergeCell ref="B7:K8"/>
    <mergeCell ref="L7:AP8"/>
    <mergeCell ref="AQ7:AX8"/>
    <mergeCell ref="BA7:BF7"/>
    <mergeCell ref="BG7:BK7"/>
    <mergeCell ref="BL7:BQ7"/>
    <mergeCell ref="BR7:BV7"/>
    <mergeCell ref="BW7:CB7"/>
    <mergeCell ref="BA8:BF8"/>
    <mergeCell ref="BG8:BK8"/>
    <mergeCell ref="BL8:BQ8"/>
    <mergeCell ref="BR8:BV8"/>
    <mergeCell ref="BW8:CB8"/>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33333333333304" right="0.70833333333333304" top="0.78749999999999998" bottom="0.78749999999999998" header="0.51180555555555496" footer="0.51180555555555496"/>
  <pageSetup paperSize="9" firstPageNumber="0" orientation="portrait" horizontalDpi="300" verticalDpi="300"/>
  <rowBreaks count="1" manualBreakCount="1">
    <brk id="36" max="16383" man="1"/>
  </rowBreaks>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Normal="100" workbookViewId="0"/>
  </sheetViews>
  <sheetFormatPr defaultRowHeight="15" x14ac:dyDescent="0.25"/>
  <cols>
    <col min="1" max="1" width="0.28515625" customWidth="1"/>
    <col min="2" max="1025" width="0.42578125" customWidth="1"/>
  </cols>
  <sheetData>
    <row r="1" spans="1:205" ht="3.75" customHeight="1" x14ac:dyDescent="0.25">
      <c r="A1" s="642"/>
    </row>
    <row r="2" spans="1:205" ht="25.5" customHeight="1" x14ac:dyDescent="0.25">
      <c r="B2" s="643"/>
      <c r="C2" s="644"/>
      <c r="D2" s="644"/>
      <c r="E2" s="644"/>
      <c r="F2" s="644"/>
      <c r="G2" s="644"/>
      <c r="H2" s="644"/>
      <c r="I2" s="957" t="s">
        <v>5344</v>
      </c>
      <c r="J2" s="957"/>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K2" s="958" t="s">
        <v>2327</v>
      </c>
      <c r="AL2" s="958"/>
      <c r="AM2" s="958"/>
      <c r="AN2" s="958"/>
      <c r="AO2" s="958"/>
      <c r="AP2" s="958"/>
      <c r="AQ2" s="958"/>
      <c r="AR2" s="958"/>
      <c r="AS2" s="645"/>
      <c r="AT2" s="986" t="str">
        <f>'S 002'!$AT$2</f>
        <v>2020473411</v>
      </c>
      <c r="AU2" s="986"/>
      <c r="AV2" s="986"/>
      <c r="AW2" s="986"/>
      <c r="AX2" s="986"/>
      <c r="AY2" s="986"/>
      <c r="AZ2" s="986"/>
      <c r="BA2" s="986"/>
      <c r="BB2" s="986"/>
      <c r="BC2" s="986"/>
      <c r="BD2" s="986"/>
      <c r="BE2" s="986"/>
      <c r="BF2" s="986"/>
      <c r="BG2" s="986"/>
      <c r="BH2" s="986"/>
      <c r="BI2" s="986"/>
      <c r="BJ2" s="986"/>
      <c r="BK2" s="986"/>
      <c r="BL2" s="986"/>
      <c r="BM2" s="986"/>
      <c r="BN2" s="986"/>
      <c r="BO2" s="986"/>
      <c r="BP2" s="986"/>
      <c r="BQ2" s="986"/>
      <c r="BR2" s="986"/>
      <c r="BS2" s="986"/>
      <c r="BT2" s="986"/>
      <c r="BU2" s="986"/>
      <c r="BV2" s="986"/>
      <c r="BW2" s="986"/>
      <c r="BX2" s="986"/>
      <c r="BY2" s="986"/>
      <c r="BZ2" s="986"/>
      <c r="CA2" s="986"/>
      <c r="CB2" s="986"/>
      <c r="CC2" s="986"/>
      <c r="CD2" s="986"/>
      <c r="CE2" s="986"/>
      <c r="CF2" s="986"/>
      <c r="CG2" s="986"/>
      <c r="CH2" s="986"/>
      <c r="CI2" s="986"/>
      <c r="CJ2" s="986"/>
      <c r="CK2" s="986"/>
      <c r="CL2" s="986"/>
      <c r="CM2" s="986"/>
      <c r="CN2" s="986"/>
      <c r="CO2" s="986"/>
      <c r="CP2" s="986"/>
      <c r="CQ2" s="986"/>
      <c r="CR2" s="986"/>
      <c r="CS2" s="986"/>
      <c r="CT2" s="645"/>
      <c r="CU2" s="646"/>
      <c r="CW2" s="958" t="s">
        <v>5</v>
      </c>
      <c r="CX2" s="958"/>
      <c r="CY2" s="958"/>
      <c r="CZ2" s="958"/>
      <c r="DA2" s="958"/>
      <c r="DB2" s="958"/>
      <c r="DC2" s="958"/>
      <c r="DD2" s="645"/>
      <c r="DE2" s="986" t="str">
        <f>'S 002'!$DE$2</f>
        <v>00651052</v>
      </c>
      <c r="DF2" s="986"/>
      <c r="DG2" s="986"/>
      <c r="DH2" s="986"/>
      <c r="DI2" s="986"/>
      <c r="DJ2" s="986"/>
      <c r="DK2" s="986"/>
      <c r="DL2" s="986"/>
      <c r="DM2" s="986"/>
      <c r="DN2" s="986"/>
      <c r="DO2" s="986"/>
      <c r="DP2" s="986"/>
      <c r="DQ2" s="986"/>
      <c r="DR2" s="986"/>
      <c r="DS2" s="986"/>
      <c r="DT2" s="986"/>
      <c r="DU2" s="986"/>
      <c r="DV2" s="986"/>
      <c r="DW2" s="986"/>
      <c r="DX2" s="986"/>
      <c r="DY2" s="986"/>
      <c r="DZ2" s="986"/>
      <c r="EA2" s="986"/>
      <c r="EB2" s="986"/>
      <c r="EC2" s="986"/>
      <c r="ED2" s="986"/>
      <c r="EE2" s="986"/>
      <c r="EF2" s="986"/>
      <c r="EG2" s="986"/>
      <c r="EH2" s="986"/>
      <c r="EI2" s="986"/>
      <c r="EJ2" s="986"/>
      <c r="EK2" s="986"/>
      <c r="EL2" s="986"/>
      <c r="EM2" s="986"/>
      <c r="EN2" s="986"/>
      <c r="EO2" s="986"/>
      <c r="EP2" s="986"/>
      <c r="EQ2" s="986"/>
      <c r="ER2" s="986"/>
      <c r="ES2" s="986"/>
      <c r="ET2" s="986"/>
      <c r="EU2" s="986"/>
      <c r="EV2" s="645"/>
      <c r="EW2" s="646"/>
      <c r="GQ2" s="644"/>
      <c r="GR2" s="644"/>
      <c r="GS2" s="644"/>
      <c r="GT2" s="644"/>
      <c r="GU2" s="644"/>
      <c r="GV2" s="644"/>
      <c r="GW2" s="647"/>
    </row>
    <row r="3" spans="1:205" ht="3" customHeight="1" x14ac:dyDescent="0.25"/>
    <row r="4" spans="1:205" ht="11.25" customHeight="1" x14ac:dyDescent="0.3">
      <c r="B4" s="960" t="s">
        <v>5340</v>
      </c>
      <c r="C4" s="960"/>
      <c r="D4" s="960"/>
      <c r="E4" s="960"/>
      <c r="F4" s="960"/>
      <c r="G4" s="960"/>
      <c r="H4" s="960"/>
      <c r="I4" s="960"/>
      <c r="J4" s="960"/>
      <c r="K4" s="960"/>
      <c r="L4" s="961" t="s">
        <v>5341</v>
      </c>
      <c r="M4" s="961"/>
      <c r="N4" s="961"/>
      <c r="O4" s="961"/>
      <c r="P4" s="961"/>
      <c r="Q4" s="961"/>
      <c r="R4" s="961"/>
      <c r="S4" s="961"/>
      <c r="T4" s="961"/>
      <c r="U4" s="961"/>
      <c r="V4" s="961"/>
      <c r="W4" s="961"/>
      <c r="X4" s="961"/>
      <c r="Y4" s="961"/>
      <c r="Z4" s="961"/>
      <c r="AA4" s="961"/>
      <c r="AB4" s="961"/>
      <c r="AC4" s="961"/>
      <c r="AD4" s="961"/>
      <c r="AE4" s="961"/>
      <c r="AF4" s="961"/>
      <c r="AG4" s="961"/>
      <c r="AH4" s="961"/>
      <c r="AI4" s="961"/>
      <c r="AJ4" s="961"/>
      <c r="AK4" s="961"/>
      <c r="AL4" s="961"/>
      <c r="AM4" s="961"/>
      <c r="AN4" s="961"/>
      <c r="AO4" s="961"/>
      <c r="AP4" s="961"/>
      <c r="AQ4" s="962" t="str">
        <f>'S 002'!$AQ$4</f>
        <v>Číslo riadku</v>
      </c>
      <c r="AR4" s="962"/>
      <c r="AS4" s="962"/>
      <c r="AT4" s="962"/>
      <c r="AU4" s="962"/>
      <c r="AV4" s="962"/>
      <c r="AW4" s="962"/>
      <c r="AX4" s="962"/>
      <c r="AY4" s="963" t="str">
        <f>'S 002'!AY4</f>
        <v>Bežné účtovné obdobie</v>
      </c>
      <c r="AZ4" s="963"/>
      <c r="BA4" s="963"/>
      <c r="BB4" s="963"/>
      <c r="BC4" s="963"/>
      <c r="BD4" s="963"/>
      <c r="BE4" s="963"/>
      <c r="BF4" s="963"/>
      <c r="BG4" s="963"/>
      <c r="BH4" s="963"/>
      <c r="BI4" s="963"/>
      <c r="BJ4" s="963"/>
      <c r="BK4" s="963"/>
      <c r="BL4" s="963"/>
      <c r="BM4" s="963"/>
      <c r="BN4" s="963"/>
      <c r="BO4" s="963"/>
      <c r="BP4" s="963"/>
      <c r="BQ4" s="963"/>
      <c r="BR4" s="963"/>
      <c r="BS4" s="963"/>
      <c r="BT4" s="963"/>
      <c r="BU4" s="963"/>
      <c r="BV4" s="963"/>
      <c r="BW4" s="963"/>
      <c r="BX4" s="963"/>
      <c r="BY4" s="963"/>
      <c r="BZ4" s="963"/>
      <c r="CA4" s="963"/>
      <c r="CB4" s="963"/>
      <c r="CC4" s="963"/>
      <c r="CD4" s="963"/>
      <c r="CE4" s="963"/>
      <c r="CF4" s="963"/>
      <c r="CG4" s="963"/>
      <c r="CH4" s="963"/>
      <c r="CI4" s="963"/>
      <c r="CJ4" s="963"/>
      <c r="CK4" s="963"/>
      <c r="CL4" s="963"/>
      <c r="CM4" s="963"/>
      <c r="CN4" s="963"/>
      <c r="CO4" s="963"/>
      <c r="CP4" s="963"/>
      <c r="CQ4" s="963"/>
      <c r="CR4" s="963"/>
      <c r="CS4" s="963"/>
      <c r="CT4" s="963"/>
      <c r="CU4" s="963"/>
      <c r="CV4" s="963"/>
      <c r="CW4" s="963"/>
      <c r="CX4" s="963"/>
      <c r="CY4" s="963"/>
      <c r="CZ4" s="963"/>
      <c r="DA4" s="963"/>
      <c r="DB4" s="963"/>
      <c r="DC4" s="963"/>
      <c r="DD4" s="963"/>
      <c r="DE4" s="963"/>
      <c r="DF4" s="963"/>
      <c r="DG4" s="963"/>
      <c r="DH4" s="963"/>
      <c r="DI4" s="963"/>
      <c r="DJ4" s="963"/>
      <c r="DK4" s="963"/>
      <c r="DL4" s="963"/>
      <c r="DM4" s="963"/>
      <c r="DN4" s="963"/>
      <c r="DO4" s="963"/>
      <c r="DP4" s="963"/>
      <c r="DQ4" s="963"/>
      <c r="DR4" s="963"/>
      <c r="DS4" s="963"/>
      <c r="DT4" s="963"/>
      <c r="DU4" s="963"/>
      <c r="DV4" s="963"/>
      <c r="DW4" s="963"/>
      <c r="DX4" s="963"/>
      <c r="DY4" s="963"/>
      <c r="DZ4" s="963"/>
      <c r="EA4" s="963"/>
      <c r="EB4" s="963"/>
      <c r="EC4" s="963"/>
      <c r="ED4" s="963"/>
      <c r="EE4" s="963"/>
      <c r="EF4" s="963"/>
      <c r="EG4" s="963"/>
      <c r="EH4" s="963"/>
      <c r="EI4" s="963"/>
      <c r="EJ4" s="963"/>
      <c r="EK4" s="963"/>
      <c r="EL4" s="963"/>
      <c r="EM4" s="963"/>
      <c r="EN4" s="963"/>
      <c r="EO4" s="963"/>
      <c r="EP4" s="963"/>
      <c r="EQ4" s="963"/>
      <c r="ER4" s="963"/>
      <c r="ES4" s="963"/>
      <c r="ET4" s="963"/>
      <c r="EU4" s="963"/>
      <c r="EV4" s="963"/>
      <c r="EW4" s="963"/>
      <c r="EX4" s="963"/>
      <c r="EY4" s="963"/>
      <c r="EZ4" s="963"/>
      <c r="FA4" s="963"/>
      <c r="FB4" s="963"/>
      <c r="FC4" s="987">
        <f>'S 002'!FC4</f>
        <v>0</v>
      </c>
      <c r="FD4" s="987"/>
      <c r="FE4" s="987"/>
      <c r="FF4" s="987"/>
      <c r="FG4" s="987"/>
      <c r="FH4" s="987"/>
      <c r="FI4" s="987"/>
      <c r="FJ4" s="987"/>
      <c r="FK4" s="987"/>
      <c r="FL4" s="987"/>
      <c r="FM4" s="987"/>
      <c r="FN4" s="987"/>
      <c r="FO4" s="987"/>
      <c r="FP4" s="987"/>
      <c r="FQ4" s="987"/>
      <c r="FR4" s="987"/>
      <c r="FS4" s="987"/>
      <c r="FT4" s="987"/>
      <c r="FU4" s="987"/>
      <c r="FV4" s="987"/>
      <c r="FW4" s="987"/>
      <c r="FX4" s="987"/>
      <c r="FY4" s="987"/>
      <c r="FZ4" s="987"/>
      <c r="GA4" s="987"/>
      <c r="GB4" s="987"/>
      <c r="GC4" s="987"/>
      <c r="GD4" s="987"/>
      <c r="GE4" s="987"/>
      <c r="GF4" s="987"/>
      <c r="GG4" s="987"/>
      <c r="GH4" s="987"/>
      <c r="GI4" s="987"/>
      <c r="GJ4" s="987"/>
      <c r="GK4" s="987"/>
      <c r="GL4" s="987"/>
      <c r="GM4" s="987"/>
      <c r="GN4" s="987"/>
      <c r="GO4" s="987"/>
      <c r="GP4" s="987"/>
      <c r="GQ4" s="987"/>
      <c r="GR4" s="987"/>
      <c r="GS4" s="987"/>
      <c r="GT4" s="987"/>
      <c r="GU4" s="987"/>
      <c r="GV4" s="987"/>
      <c r="GW4" s="987"/>
    </row>
    <row r="5" spans="1:205" ht="11.25" customHeight="1" x14ac:dyDescent="0.3">
      <c r="B5" s="965" t="s">
        <v>5342</v>
      </c>
      <c r="C5" s="965"/>
      <c r="D5" s="965"/>
      <c r="E5" s="965"/>
      <c r="F5" s="965"/>
      <c r="G5" s="965"/>
      <c r="H5" s="965"/>
      <c r="I5" s="965"/>
      <c r="J5" s="965"/>
      <c r="K5" s="965"/>
      <c r="L5" s="961"/>
      <c r="M5" s="961"/>
      <c r="N5" s="961"/>
      <c r="O5" s="961"/>
      <c r="P5" s="961"/>
      <c r="Q5" s="961"/>
      <c r="R5" s="961"/>
      <c r="S5" s="961"/>
      <c r="T5" s="961"/>
      <c r="U5" s="961"/>
      <c r="V5" s="961"/>
      <c r="W5" s="961"/>
      <c r="X5" s="961"/>
      <c r="Y5" s="961"/>
      <c r="Z5" s="961"/>
      <c r="AA5" s="961"/>
      <c r="AB5" s="961"/>
      <c r="AC5" s="961"/>
      <c r="AD5" s="961"/>
      <c r="AE5" s="961"/>
      <c r="AF5" s="961"/>
      <c r="AG5" s="961"/>
      <c r="AH5" s="961"/>
      <c r="AI5" s="961"/>
      <c r="AJ5" s="961"/>
      <c r="AK5" s="961"/>
      <c r="AL5" s="961"/>
      <c r="AM5" s="961"/>
      <c r="AN5" s="961"/>
      <c r="AO5" s="961"/>
      <c r="AP5" s="961"/>
      <c r="AQ5" s="962"/>
      <c r="AR5" s="962"/>
      <c r="AS5" s="962"/>
      <c r="AT5" s="962"/>
      <c r="AU5" s="962"/>
      <c r="AV5" s="962"/>
      <c r="AW5" s="962"/>
      <c r="AX5" s="962"/>
      <c r="AY5" s="966">
        <f>'S 002'!AY5</f>
        <v>0</v>
      </c>
      <c r="AZ5" s="966"/>
      <c r="BA5" s="966"/>
      <c r="BB5" s="966"/>
      <c r="BC5" s="966"/>
      <c r="BD5" s="966"/>
      <c r="BE5" s="967" t="str">
        <f>'S 002'!BE5</f>
        <v>Brutto-časť 1</v>
      </c>
      <c r="BF5" s="967"/>
      <c r="BG5" s="967"/>
      <c r="BH5" s="967"/>
      <c r="BI5" s="967"/>
      <c r="BJ5" s="967"/>
      <c r="BK5" s="967"/>
      <c r="BL5" s="967"/>
      <c r="BM5" s="967"/>
      <c r="BN5" s="967"/>
      <c r="BO5" s="967"/>
      <c r="BP5" s="967"/>
      <c r="BQ5" s="967"/>
      <c r="BR5" s="967"/>
      <c r="BS5" s="967"/>
      <c r="BT5" s="967"/>
      <c r="BU5" s="967"/>
      <c r="BV5" s="967"/>
      <c r="BW5" s="967"/>
      <c r="BX5" s="967"/>
      <c r="BY5" s="967"/>
      <c r="BZ5" s="967"/>
      <c r="CA5" s="967"/>
      <c r="CB5" s="967"/>
      <c r="CC5" s="967"/>
      <c r="CD5" s="967"/>
      <c r="CE5" s="967"/>
      <c r="CF5" s="967"/>
      <c r="CG5" s="967"/>
      <c r="CH5" s="967"/>
      <c r="CI5" s="967"/>
      <c r="CJ5" s="967"/>
      <c r="CK5" s="967"/>
      <c r="CL5" s="967"/>
      <c r="CM5" s="967"/>
      <c r="CN5" s="967"/>
      <c r="CO5" s="967"/>
      <c r="CP5" s="967"/>
      <c r="CQ5" s="967"/>
      <c r="CR5" s="967"/>
      <c r="CS5" s="967"/>
      <c r="CT5" s="967"/>
      <c r="CU5" s="967"/>
      <c r="CV5" s="967"/>
      <c r="CW5" s="967"/>
      <c r="CX5" s="967"/>
      <c r="CY5" s="967"/>
      <c r="CZ5" s="967"/>
      <c r="DA5" s="967"/>
      <c r="DB5" s="967"/>
      <c r="DC5" s="967"/>
      <c r="DD5" s="967"/>
      <c r="DE5" s="967"/>
      <c r="DF5" s="967"/>
      <c r="DG5" s="967"/>
      <c r="DH5" s="967"/>
      <c r="DI5" s="967"/>
      <c r="DJ5" s="963" t="str">
        <f>'S 002'!DJ5</f>
        <v>Netto</v>
      </c>
      <c r="DK5" s="963"/>
      <c r="DL5" s="963"/>
      <c r="DM5" s="963"/>
      <c r="DN5" s="963"/>
      <c r="DO5" s="963"/>
      <c r="DP5" s="963"/>
      <c r="DQ5" s="963"/>
      <c r="DR5" s="963"/>
      <c r="DS5" s="963"/>
      <c r="DT5" s="963"/>
      <c r="DU5" s="963"/>
      <c r="DV5" s="963"/>
      <c r="DW5" s="963"/>
      <c r="DX5" s="963"/>
      <c r="DY5" s="963"/>
      <c r="DZ5" s="963"/>
      <c r="EA5" s="963"/>
      <c r="EB5" s="963"/>
      <c r="EC5" s="963"/>
      <c r="ED5" s="963"/>
      <c r="EE5" s="963"/>
      <c r="EF5" s="963"/>
      <c r="EG5" s="963"/>
      <c r="EH5" s="963"/>
      <c r="EI5" s="963"/>
      <c r="EJ5" s="963"/>
      <c r="EK5" s="963"/>
      <c r="EL5" s="963"/>
      <c r="EM5" s="963"/>
      <c r="EN5" s="963"/>
      <c r="EO5" s="963"/>
      <c r="EP5" s="963"/>
      <c r="EQ5" s="963"/>
      <c r="ER5" s="963"/>
      <c r="ES5" s="963"/>
      <c r="ET5" s="963"/>
      <c r="EU5" s="963"/>
      <c r="EV5" s="963"/>
      <c r="EW5" s="963"/>
      <c r="EX5" s="963"/>
      <c r="EY5" s="963"/>
      <c r="EZ5" s="963"/>
      <c r="FA5" s="963"/>
      <c r="FB5" s="963"/>
      <c r="FC5" s="987"/>
      <c r="FD5" s="987"/>
      <c r="FE5" s="987"/>
      <c r="FF5" s="987"/>
      <c r="FG5" s="987"/>
      <c r="FH5" s="987"/>
      <c r="FI5" s="987"/>
      <c r="FJ5" s="987"/>
      <c r="FK5" s="987"/>
      <c r="FL5" s="987"/>
      <c r="FM5" s="987"/>
      <c r="FN5" s="987"/>
      <c r="FO5" s="987"/>
      <c r="FP5" s="987"/>
      <c r="FQ5" s="987"/>
      <c r="FR5" s="987"/>
      <c r="FS5" s="987"/>
      <c r="FT5" s="987"/>
      <c r="FU5" s="987"/>
      <c r="FV5" s="987"/>
      <c r="FW5" s="987"/>
      <c r="FX5" s="987"/>
      <c r="FY5" s="987"/>
      <c r="FZ5" s="987"/>
      <c r="GA5" s="987"/>
      <c r="GB5" s="987"/>
      <c r="GC5" s="987"/>
      <c r="GD5" s="987"/>
      <c r="GE5" s="987"/>
      <c r="GF5" s="987"/>
      <c r="GG5" s="987"/>
      <c r="GH5" s="987"/>
      <c r="GI5" s="987"/>
      <c r="GJ5" s="987"/>
      <c r="GK5" s="987"/>
      <c r="GL5" s="987"/>
      <c r="GM5" s="987"/>
      <c r="GN5" s="987"/>
      <c r="GO5" s="987"/>
      <c r="GP5" s="987"/>
      <c r="GQ5" s="987"/>
      <c r="GR5" s="987"/>
      <c r="GS5" s="987"/>
      <c r="GT5" s="987"/>
      <c r="GU5" s="987"/>
      <c r="GV5" s="987"/>
      <c r="GW5" s="987"/>
    </row>
    <row r="6" spans="1:205" ht="10.5" customHeight="1" x14ac:dyDescent="0.3">
      <c r="B6" s="969" t="s">
        <v>1323</v>
      </c>
      <c r="C6" s="969"/>
      <c r="D6" s="969"/>
      <c r="E6" s="969"/>
      <c r="F6" s="969"/>
      <c r="G6" s="969"/>
      <c r="H6" s="969"/>
      <c r="I6" s="969"/>
      <c r="J6" s="969"/>
      <c r="K6" s="969"/>
      <c r="L6" s="961"/>
      <c r="M6" s="961"/>
      <c r="N6" s="961"/>
      <c r="O6" s="961"/>
      <c r="P6" s="961"/>
      <c r="Q6" s="961"/>
      <c r="R6" s="961"/>
      <c r="S6" s="961"/>
      <c r="T6" s="961"/>
      <c r="U6" s="961"/>
      <c r="V6" s="961"/>
      <c r="W6" s="961"/>
      <c r="X6" s="961"/>
      <c r="Y6" s="961"/>
      <c r="Z6" s="961"/>
      <c r="AA6" s="961"/>
      <c r="AB6" s="961"/>
      <c r="AC6" s="961"/>
      <c r="AD6" s="961"/>
      <c r="AE6" s="961"/>
      <c r="AF6" s="961"/>
      <c r="AG6" s="961"/>
      <c r="AH6" s="961"/>
      <c r="AI6" s="961"/>
      <c r="AJ6" s="961"/>
      <c r="AK6" s="961"/>
      <c r="AL6" s="961"/>
      <c r="AM6" s="961"/>
      <c r="AN6" s="961"/>
      <c r="AO6" s="961"/>
      <c r="AP6" s="961"/>
      <c r="AQ6" s="962"/>
      <c r="AR6" s="962"/>
      <c r="AS6" s="962"/>
      <c r="AT6" s="962"/>
      <c r="AU6" s="962"/>
      <c r="AV6" s="962"/>
      <c r="AW6" s="962"/>
      <c r="AX6" s="962"/>
      <c r="AY6" s="966"/>
      <c r="AZ6" s="966"/>
      <c r="BA6" s="966"/>
      <c r="BB6" s="966"/>
      <c r="BC6" s="966"/>
      <c r="BD6" s="966"/>
      <c r="BE6" s="970" t="str">
        <f>'S 002'!BE6</f>
        <v>Oprávky</v>
      </c>
      <c r="BF6" s="970"/>
      <c r="BG6" s="970"/>
      <c r="BH6" s="970"/>
      <c r="BI6" s="970"/>
      <c r="BJ6" s="970"/>
      <c r="BK6" s="970"/>
      <c r="BL6" s="970"/>
      <c r="BM6" s="970"/>
      <c r="BN6" s="970"/>
      <c r="BO6" s="970"/>
      <c r="BP6" s="970"/>
      <c r="BQ6" s="970"/>
      <c r="BR6" s="970"/>
      <c r="BS6" s="970"/>
      <c r="BT6" s="970"/>
      <c r="BU6" s="970"/>
      <c r="BV6" s="970"/>
      <c r="BW6" s="970"/>
      <c r="BX6" s="970"/>
      <c r="BY6" s="970"/>
      <c r="BZ6" s="970"/>
      <c r="CA6" s="970"/>
      <c r="CB6" s="970"/>
      <c r="CC6" s="970"/>
      <c r="CD6" s="970"/>
      <c r="CE6" s="970"/>
      <c r="CF6" s="970"/>
      <c r="CG6" s="970"/>
      <c r="CH6" s="970"/>
      <c r="CI6" s="970"/>
      <c r="CJ6" s="970"/>
      <c r="CK6" s="970"/>
      <c r="CL6" s="970"/>
      <c r="CM6" s="970"/>
      <c r="CN6" s="970"/>
      <c r="CO6" s="970"/>
      <c r="CP6" s="970"/>
      <c r="CQ6" s="970"/>
      <c r="CR6" s="970"/>
      <c r="CS6" s="970"/>
      <c r="CT6" s="970"/>
      <c r="CU6" s="970"/>
      <c r="CV6" s="970"/>
      <c r="CW6" s="970"/>
      <c r="CX6" s="970"/>
      <c r="CY6" s="970"/>
      <c r="CZ6" s="970"/>
      <c r="DA6" s="970"/>
      <c r="DB6" s="970"/>
      <c r="DC6" s="970"/>
      <c r="DD6" s="970"/>
      <c r="DE6" s="970"/>
      <c r="DF6" s="970"/>
      <c r="DG6" s="970"/>
      <c r="DH6" s="970"/>
      <c r="DI6" s="970"/>
      <c r="DJ6" s="963">
        <f>'S 002'!DJ6</f>
        <v>0</v>
      </c>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963"/>
      <c r="EU6" s="963"/>
      <c r="EV6" s="963"/>
      <c r="EW6" s="963"/>
      <c r="EX6" s="963"/>
      <c r="EY6" s="963"/>
      <c r="EZ6" s="963"/>
      <c r="FA6" s="963"/>
      <c r="FB6" s="963"/>
      <c r="FC6" s="988" t="str">
        <f>'S 002'!FC6</f>
        <v>Netto</v>
      </c>
      <c r="FD6" s="988"/>
      <c r="FE6" s="988"/>
      <c r="FF6" s="988"/>
      <c r="FG6" s="988"/>
      <c r="FH6" s="988"/>
      <c r="FI6" s="988"/>
      <c r="FJ6" s="988"/>
      <c r="FK6" s="988"/>
      <c r="FL6" s="988"/>
      <c r="FM6" s="988"/>
      <c r="FN6" s="988"/>
      <c r="FO6" s="988"/>
      <c r="FP6" s="988"/>
      <c r="FQ6" s="988"/>
      <c r="FR6" s="988"/>
      <c r="FS6" s="988"/>
      <c r="FT6" s="988"/>
      <c r="FU6" s="988"/>
      <c r="FV6" s="988"/>
      <c r="FW6" s="988"/>
      <c r="FX6" s="988"/>
      <c r="FY6" s="988"/>
      <c r="FZ6" s="988"/>
      <c r="GA6" s="988"/>
      <c r="GB6" s="988"/>
      <c r="GC6" s="988"/>
      <c r="GD6" s="988"/>
      <c r="GE6" s="988"/>
      <c r="GF6" s="988"/>
      <c r="GG6" s="988"/>
      <c r="GH6" s="988"/>
      <c r="GI6" s="988"/>
      <c r="GJ6" s="988"/>
      <c r="GK6" s="988"/>
      <c r="GL6" s="988"/>
      <c r="GM6" s="988"/>
      <c r="GN6" s="988"/>
      <c r="GO6" s="988"/>
      <c r="GP6" s="988"/>
      <c r="GQ6" s="988"/>
      <c r="GR6" s="988"/>
      <c r="GS6" s="988"/>
      <c r="GT6" s="988"/>
      <c r="GU6" s="988"/>
      <c r="GV6" s="988"/>
      <c r="GW6" s="988"/>
    </row>
    <row r="7" spans="1:205" s="650" customFormat="1" ht="25.5" customHeight="1" x14ac:dyDescent="0.3">
      <c r="A7" s="972"/>
      <c r="B7" s="985" t="s">
        <v>2168</v>
      </c>
      <c r="C7" s="985"/>
      <c r="D7" s="985"/>
      <c r="E7" s="985"/>
      <c r="F7" s="985"/>
      <c r="G7" s="985"/>
      <c r="H7" s="985"/>
      <c r="I7" s="985"/>
      <c r="J7" s="985"/>
      <c r="K7" s="985"/>
      <c r="L7" s="984" t="str">
        <f>SUVAHAVUJ!$D$17</f>
        <v>Pestovateľské celky trvalých porastov (025)
- /085, 092A/</v>
      </c>
      <c r="M7" s="984"/>
      <c r="N7" s="984"/>
      <c r="O7" s="984"/>
      <c r="P7" s="984"/>
      <c r="Q7" s="984"/>
      <c r="R7" s="984"/>
      <c r="S7" s="984"/>
      <c r="T7" s="984"/>
      <c r="U7" s="984"/>
      <c r="V7" s="984"/>
      <c r="W7" s="984"/>
      <c r="X7" s="984"/>
      <c r="Y7" s="984"/>
      <c r="Z7" s="984"/>
      <c r="AA7" s="984"/>
      <c r="AB7" s="984"/>
      <c r="AC7" s="984"/>
      <c r="AD7" s="984"/>
      <c r="AE7" s="984"/>
      <c r="AF7" s="984"/>
      <c r="AG7" s="984"/>
      <c r="AH7" s="984"/>
      <c r="AI7" s="984"/>
      <c r="AJ7" s="984"/>
      <c r="AK7" s="984"/>
      <c r="AL7" s="984"/>
      <c r="AM7" s="984"/>
      <c r="AN7" s="984"/>
      <c r="AO7" s="984"/>
      <c r="AP7" s="984"/>
      <c r="AQ7" s="975" t="s">
        <v>1240</v>
      </c>
      <c r="AR7" s="975"/>
      <c r="AS7" s="975"/>
      <c r="AT7" s="975"/>
      <c r="AU7" s="975"/>
      <c r="AV7" s="975"/>
      <c r="AW7" s="975"/>
      <c r="AX7" s="975"/>
      <c r="AY7" s="648"/>
      <c r="AZ7" s="649"/>
      <c r="BA7" s="976" t="str">
        <f>MID(SUVAHAVUJ!AD17,1,1)</f>
        <v xml:space="preserve"> </v>
      </c>
      <c r="BB7" s="976"/>
      <c r="BC7" s="976"/>
      <c r="BD7" s="976"/>
      <c r="BE7" s="976"/>
      <c r="BF7" s="976"/>
      <c r="BG7" s="976" t="str">
        <f>MID(SUVAHAVUJ!AD17,2,1)</f>
        <v xml:space="preserve"> </v>
      </c>
      <c r="BH7" s="976"/>
      <c r="BI7" s="976"/>
      <c r="BJ7" s="976"/>
      <c r="BK7" s="976"/>
      <c r="BL7" s="976" t="str">
        <f>MID(SUVAHAVUJ!AD17,3,1)</f>
        <v xml:space="preserve"> </v>
      </c>
      <c r="BM7" s="976"/>
      <c r="BN7" s="976"/>
      <c r="BO7" s="976"/>
      <c r="BP7" s="976"/>
      <c r="BQ7" s="976"/>
      <c r="BR7" s="976" t="str">
        <f>MID(SUVAHAVUJ!AD17,4,1)</f>
        <v xml:space="preserve"> </v>
      </c>
      <c r="BS7" s="976"/>
      <c r="BT7" s="976"/>
      <c r="BU7" s="976"/>
      <c r="BV7" s="976"/>
      <c r="BW7" s="976" t="str">
        <f>MID(SUVAHAVUJ!AD17,5,1)</f>
        <v xml:space="preserve"> </v>
      </c>
      <c r="BX7" s="976"/>
      <c r="BY7" s="976"/>
      <c r="BZ7" s="976"/>
      <c r="CA7" s="976"/>
      <c r="CB7" s="976"/>
      <c r="CC7" s="976" t="str">
        <f>MID(SUVAHAVUJ!AD17,6,1)</f>
        <v xml:space="preserve"> </v>
      </c>
      <c r="CD7" s="976"/>
      <c r="CE7" s="976"/>
      <c r="CF7" s="976"/>
      <c r="CG7" s="976"/>
      <c r="CH7" s="976" t="str">
        <f>MID(SUVAHAVUJ!AD17,7,1)</f>
        <v xml:space="preserve"> </v>
      </c>
      <c r="CI7" s="976"/>
      <c r="CJ7" s="976"/>
      <c r="CK7" s="976"/>
      <c r="CL7" s="976"/>
      <c r="CM7" s="976"/>
      <c r="CN7" s="976" t="str">
        <f>MID(SUVAHAVUJ!AD17,8,1)</f>
        <v>1</v>
      </c>
      <c r="CO7" s="976"/>
      <c r="CP7" s="976"/>
      <c r="CQ7" s="976"/>
      <c r="CR7" s="976"/>
      <c r="CS7" s="976" t="str">
        <f>MID(SUVAHAVUJ!AD17,9,1)</f>
        <v>0</v>
      </c>
      <c r="CT7" s="976"/>
      <c r="CU7" s="976"/>
      <c r="CV7" s="976"/>
      <c r="CW7" s="976"/>
      <c r="CX7" s="976"/>
      <c r="CY7" s="976" t="str">
        <f>MID(SUVAHAVUJ!AD17,10,1)</f>
        <v>0</v>
      </c>
      <c r="CZ7" s="976"/>
      <c r="DA7" s="976"/>
      <c r="DB7" s="976"/>
      <c r="DC7" s="976"/>
      <c r="DD7" s="977" t="str">
        <f>MID(SUVAHAVUJ!AD17,11,1)</f>
        <v>0</v>
      </c>
      <c r="DE7" s="977"/>
      <c r="DF7" s="977"/>
      <c r="DG7" s="977"/>
      <c r="DH7" s="977"/>
      <c r="DI7" s="977"/>
      <c r="DJ7" s="648"/>
      <c r="DK7" s="649"/>
      <c r="DL7" s="976" t="str">
        <f>MID(SUVAHAVUJ!AF17,1,1)</f>
        <v xml:space="preserve"> </v>
      </c>
      <c r="DM7" s="976"/>
      <c r="DN7" s="976"/>
      <c r="DO7" s="976"/>
      <c r="DP7" s="976"/>
      <c r="DQ7" s="976"/>
      <c r="DR7" s="976" t="str">
        <f>MID(SUVAHAVUJ!AF17,2,1)</f>
        <v xml:space="preserve"> </v>
      </c>
      <c r="DS7" s="976"/>
      <c r="DT7" s="976"/>
      <c r="DU7" s="976"/>
      <c r="DV7" s="976"/>
      <c r="DW7" s="976" t="str">
        <f>MID(SUVAHAVUJ!AF17,3,1)</f>
        <v xml:space="preserve"> </v>
      </c>
      <c r="DX7" s="976"/>
      <c r="DY7" s="976"/>
      <c r="DZ7" s="976"/>
      <c r="EA7" s="976"/>
      <c r="EB7" s="976"/>
      <c r="EC7" s="976" t="str">
        <f>MID(SUVAHAVUJ!AF17,4,1)</f>
        <v xml:space="preserve"> </v>
      </c>
      <c r="ED7" s="976"/>
      <c r="EE7" s="976"/>
      <c r="EF7" s="976"/>
      <c r="EG7" s="976"/>
      <c r="EH7" s="976" t="str">
        <f>MID(SUVAHAVUJ!AF17,5,1)</f>
        <v xml:space="preserve"> </v>
      </c>
      <c r="EI7" s="976"/>
      <c r="EJ7" s="976"/>
      <c r="EK7" s="976"/>
      <c r="EL7" s="976"/>
      <c r="EM7" s="976"/>
      <c r="EN7" s="976" t="str">
        <f>MID(SUVAHAVUJ!AF17,6,1)</f>
        <v xml:space="preserve"> </v>
      </c>
      <c r="EO7" s="976"/>
      <c r="EP7" s="976"/>
      <c r="EQ7" s="976"/>
      <c r="ER7" s="976"/>
      <c r="ES7" s="976" t="str">
        <f>MID(SUVAHAVUJ!AF17,7,1)</f>
        <v xml:space="preserve"> </v>
      </c>
      <c r="ET7" s="976"/>
      <c r="EU7" s="976"/>
      <c r="EV7" s="976"/>
      <c r="EW7" s="976"/>
      <c r="EX7" s="976"/>
      <c r="EY7" s="976" t="str">
        <f>MID(SUVAHAVUJ!AF17,8,1)</f>
        <v>1</v>
      </c>
      <c r="EZ7" s="976"/>
      <c r="FA7" s="976"/>
      <c r="FB7" s="976"/>
      <c r="FC7" s="976"/>
      <c r="FD7" s="976" t="str">
        <f>MID(SUVAHAVUJ!AF17,9,1)</f>
        <v>0</v>
      </c>
      <c r="FE7" s="976"/>
      <c r="FF7" s="976"/>
      <c r="FG7" s="976"/>
      <c r="FH7" s="976"/>
      <c r="FI7" s="976"/>
      <c r="FJ7" s="976" t="str">
        <f>MID(SUVAHAVUJ!AF17,10,1)</f>
        <v>0</v>
      </c>
      <c r="FK7" s="976"/>
      <c r="FL7" s="976"/>
      <c r="FM7" s="976"/>
      <c r="FN7" s="976"/>
      <c r="FO7" s="978" t="str">
        <f>MID(SUVAHAVUJ!AF17,11,1)</f>
        <v>0</v>
      </c>
      <c r="FP7" s="978"/>
      <c r="FQ7" s="978"/>
      <c r="FR7" s="978"/>
      <c r="FS7" s="978"/>
      <c r="FT7" s="979"/>
      <c r="FU7" s="979"/>
      <c r="FV7" s="979"/>
      <c r="FW7" s="979"/>
      <c r="FX7" s="979"/>
      <c r="FY7" s="979"/>
      <c r="FZ7" s="979"/>
      <c r="GA7" s="979"/>
      <c r="GB7" s="979"/>
      <c r="GC7" s="979"/>
      <c r="GD7" s="979"/>
      <c r="GE7" s="979"/>
      <c r="GF7" s="979"/>
      <c r="GG7" s="979"/>
      <c r="GH7" s="979"/>
      <c r="GI7" s="979"/>
      <c r="GJ7" s="979"/>
      <c r="GK7" s="979"/>
      <c r="GL7" s="979"/>
      <c r="GM7" s="979"/>
      <c r="GN7" s="979"/>
      <c r="GO7" s="979"/>
      <c r="GP7" s="979"/>
      <c r="GQ7" s="979"/>
      <c r="GR7" s="979"/>
      <c r="GS7" s="979"/>
      <c r="GT7" s="979"/>
      <c r="GU7" s="979"/>
      <c r="GV7" s="979"/>
      <c r="GW7" s="979"/>
    </row>
    <row r="8" spans="1:205" ht="22.5" customHeight="1" x14ac:dyDescent="0.3">
      <c r="A8" s="972"/>
      <c r="B8" s="985"/>
      <c r="C8" s="985"/>
      <c r="D8" s="985"/>
      <c r="E8" s="985"/>
      <c r="F8" s="985"/>
      <c r="G8" s="985"/>
      <c r="H8" s="985"/>
      <c r="I8" s="985"/>
      <c r="J8" s="985"/>
      <c r="K8" s="985"/>
      <c r="L8" s="984"/>
      <c r="M8" s="984"/>
      <c r="N8" s="984"/>
      <c r="O8" s="984"/>
      <c r="P8" s="984"/>
      <c r="Q8" s="984"/>
      <c r="R8" s="984"/>
      <c r="S8" s="984"/>
      <c r="T8" s="984"/>
      <c r="U8" s="984"/>
      <c r="V8" s="984"/>
      <c r="W8" s="984"/>
      <c r="X8" s="984"/>
      <c r="Y8" s="984"/>
      <c r="Z8" s="984"/>
      <c r="AA8" s="984"/>
      <c r="AB8" s="984"/>
      <c r="AC8" s="984"/>
      <c r="AD8" s="984"/>
      <c r="AE8" s="984"/>
      <c r="AF8" s="984"/>
      <c r="AG8" s="984"/>
      <c r="AH8" s="984"/>
      <c r="AI8" s="984"/>
      <c r="AJ8" s="984"/>
      <c r="AK8" s="984"/>
      <c r="AL8" s="984"/>
      <c r="AM8" s="984"/>
      <c r="AN8" s="984"/>
      <c r="AO8" s="984"/>
      <c r="AP8" s="984"/>
      <c r="AQ8" s="975"/>
      <c r="AR8" s="975"/>
      <c r="AS8" s="975"/>
      <c r="AT8" s="975"/>
      <c r="AU8" s="975"/>
      <c r="AV8" s="975"/>
      <c r="AW8" s="975"/>
      <c r="AX8" s="975"/>
      <c r="AY8" s="648"/>
      <c r="AZ8" s="649"/>
      <c r="BA8" s="976" t="str">
        <f>MID(SUVAHAVUJ!AE17,1,1)</f>
        <v xml:space="preserve"> </v>
      </c>
      <c r="BB8" s="976"/>
      <c r="BC8" s="976"/>
      <c r="BD8" s="976"/>
      <c r="BE8" s="976"/>
      <c r="BF8" s="976"/>
      <c r="BG8" s="976" t="str">
        <f>MID(SUVAHAVUJ!AE17,2,1)</f>
        <v xml:space="preserve"> </v>
      </c>
      <c r="BH8" s="976"/>
      <c r="BI8" s="976"/>
      <c r="BJ8" s="976"/>
      <c r="BK8" s="976"/>
      <c r="BL8" s="976" t="str">
        <f>MID(SUVAHAVUJ!AE17,3,1)</f>
        <v xml:space="preserve"> </v>
      </c>
      <c r="BM8" s="976"/>
      <c r="BN8" s="976"/>
      <c r="BO8" s="976"/>
      <c r="BP8" s="976"/>
      <c r="BQ8" s="976"/>
      <c r="BR8" s="976" t="str">
        <f>MID(SUVAHAVUJ!AE17,4,1)</f>
        <v xml:space="preserve"> </v>
      </c>
      <c r="BS8" s="976"/>
      <c r="BT8" s="976"/>
      <c r="BU8" s="976"/>
      <c r="BV8" s="976"/>
      <c r="BW8" s="976" t="str">
        <f>MID(SUVAHAVUJ!AE17,5,1)</f>
        <v xml:space="preserve"> </v>
      </c>
      <c r="BX8" s="976"/>
      <c r="BY8" s="976"/>
      <c r="BZ8" s="976"/>
      <c r="CA8" s="976"/>
      <c r="CB8" s="976"/>
      <c r="CC8" s="976" t="str">
        <f>MID(SUVAHAVUJ!AE17,6,1)</f>
        <v xml:space="preserve"> </v>
      </c>
      <c r="CD8" s="976"/>
      <c r="CE8" s="976"/>
      <c r="CF8" s="976"/>
      <c r="CG8" s="976"/>
      <c r="CH8" s="976" t="str">
        <f>MID(SUVAHAVUJ!AE17,7,1)</f>
        <v xml:space="preserve"> </v>
      </c>
      <c r="CI8" s="976"/>
      <c r="CJ8" s="976"/>
      <c r="CK8" s="976"/>
      <c r="CL8" s="976"/>
      <c r="CM8" s="976"/>
      <c r="CN8" s="976" t="str">
        <f>MID(SUVAHAVUJ!AE17,8,1)</f>
        <v xml:space="preserve"> </v>
      </c>
      <c r="CO8" s="976"/>
      <c r="CP8" s="976"/>
      <c r="CQ8" s="976"/>
      <c r="CR8" s="976"/>
      <c r="CS8" s="976" t="str">
        <f>MID(SUVAHAVUJ!AE17,9,1)</f>
        <v xml:space="preserve"> </v>
      </c>
      <c r="CT8" s="976"/>
      <c r="CU8" s="976"/>
      <c r="CV8" s="976"/>
      <c r="CW8" s="976"/>
      <c r="CX8" s="976"/>
      <c r="CY8" s="976" t="str">
        <f>MID(SUVAHAVUJ!AE17,10,1)</f>
        <v xml:space="preserve"> </v>
      </c>
      <c r="CZ8" s="976"/>
      <c r="DA8" s="976"/>
      <c r="DB8" s="976"/>
      <c r="DC8" s="976"/>
      <c r="DD8" s="977" t="str">
        <f>MID(SUVAHAVUJ!AE17,11,1)</f>
        <v>0</v>
      </c>
      <c r="DE8" s="977"/>
      <c r="DF8" s="977"/>
      <c r="DG8" s="977"/>
      <c r="DH8" s="977"/>
      <c r="DI8" s="977"/>
      <c r="DJ8" s="980"/>
      <c r="DK8" s="980"/>
      <c r="DL8" s="980"/>
      <c r="DM8" s="980"/>
      <c r="DN8" s="980"/>
      <c r="DO8" s="980"/>
      <c r="DP8" s="980"/>
      <c r="DQ8" s="980"/>
      <c r="DR8" s="980"/>
      <c r="DS8" s="980"/>
      <c r="DT8" s="980"/>
      <c r="DU8" s="980"/>
      <c r="DV8" s="980"/>
      <c r="DW8" s="980"/>
      <c r="DX8" s="980"/>
      <c r="DY8" s="980"/>
      <c r="DZ8" s="980"/>
      <c r="EA8" s="980"/>
      <c r="EB8" s="980"/>
      <c r="EC8" s="980"/>
      <c r="ED8" s="980"/>
      <c r="EE8" s="980"/>
      <c r="EF8" s="980"/>
      <c r="EG8" s="980"/>
      <c r="EH8" s="980"/>
      <c r="EI8" s="980"/>
      <c r="EJ8" s="980"/>
      <c r="EK8" s="980"/>
      <c r="EL8" s="980"/>
      <c r="EM8" s="980"/>
      <c r="EN8" s="648"/>
      <c r="EO8" s="649"/>
      <c r="EP8" s="976" t="str">
        <f>MID(SUVAHAVUJ!AG17,1,1)</f>
        <v xml:space="preserve"> </v>
      </c>
      <c r="EQ8" s="976"/>
      <c r="ER8" s="976"/>
      <c r="ES8" s="976"/>
      <c r="ET8" s="976"/>
      <c r="EU8" s="976"/>
      <c r="EV8" s="976" t="str">
        <f>MID(SUVAHAVUJ!AG17,2,1)</f>
        <v xml:space="preserve"> </v>
      </c>
      <c r="EW8" s="976"/>
      <c r="EX8" s="976"/>
      <c r="EY8" s="976"/>
      <c r="EZ8" s="976"/>
      <c r="FA8" s="976" t="str">
        <f>MID(SUVAHAVUJ!AG17,3,1)</f>
        <v xml:space="preserve"> </v>
      </c>
      <c r="FB8" s="976"/>
      <c r="FC8" s="976"/>
      <c r="FD8" s="976"/>
      <c r="FE8" s="976"/>
      <c r="FF8" s="976"/>
      <c r="FG8" s="976" t="str">
        <f>MID(SUVAHAVUJ!AG17,4,1)</f>
        <v xml:space="preserve"> </v>
      </c>
      <c r="FH8" s="976"/>
      <c r="FI8" s="976"/>
      <c r="FJ8" s="976"/>
      <c r="FK8" s="976"/>
      <c r="FL8" s="976" t="str">
        <f>MID(SUVAHAVUJ!AG17,5,1)</f>
        <v xml:space="preserve"> </v>
      </c>
      <c r="FM8" s="976"/>
      <c r="FN8" s="976"/>
      <c r="FO8" s="976"/>
      <c r="FP8" s="976"/>
      <c r="FQ8" s="976"/>
      <c r="FR8" s="976" t="str">
        <f>MID(SUVAHAVUJ!AG17,6,1)</f>
        <v xml:space="preserve"> </v>
      </c>
      <c r="FS8" s="976"/>
      <c r="FT8" s="976"/>
      <c r="FU8" s="976"/>
      <c r="FV8" s="976"/>
      <c r="FW8" s="976" t="str">
        <f>MID(SUVAHAVUJ!AG17,7,1)</f>
        <v xml:space="preserve"> </v>
      </c>
      <c r="FX8" s="976"/>
      <c r="FY8" s="976"/>
      <c r="FZ8" s="976"/>
      <c r="GA8" s="976"/>
      <c r="GB8" s="976"/>
      <c r="GC8" s="976" t="str">
        <f>MID(SUVAHAVUJ!AG17,8,1)</f>
        <v>1</v>
      </c>
      <c r="GD8" s="976"/>
      <c r="GE8" s="976"/>
      <c r="GF8" s="976"/>
      <c r="GG8" s="976"/>
      <c r="GH8" s="976" t="str">
        <f>MID(SUVAHAVUJ!AG17,9,1)</f>
        <v>0</v>
      </c>
      <c r="GI8" s="976"/>
      <c r="GJ8" s="976"/>
      <c r="GK8" s="976"/>
      <c r="GL8" s="976"/>
      <c r="GM8" s="976"/>
      <c r="GN8" s="976" t="str">
        <f>MID(SUVAHAVUJ!AG17,10,1)</f>
        <v>0</v>
      </c>
      <c r="GO8" s="976"/>
      <c r="GP8" s="976"/>
      <c r="GQ8" s="976"/>
      <c r="GR8" s="976"/>
      <c r="GS8" s="978" t="str">
        <f>MID(SUVAHAVUJ!AG17,11,1)</f>
        <v>0</v>
      </c>
      <c r="GT8" s="978"/>
      <c r="GU8" s="978"/>
      <c r="GV8" s="978"/>
      <c r="GW8" s="978"/>
    </row>
    <row r="9" spans="1:205" s="650" customFormat="1" ht="25.5" customHeight="1" x14ac:dyDescent="0.3">
      <c r="B9" s="985" t="s">
        <v>2169</v>
      </c>
      <c r="C9" s="985"/>
      <c r="D9" s="985"/>
      <c r="E9" s="985"/>
      <c r="F9" s="985"/>
      <c r="G9" s="985"/>
      <c r="H9" s="985"/>
      <c r="I9" s="985"/>
      <c r="J9" s="985"/>
      <c r="K9" s="985"/>
      <c r="L9" s="984" t="str">
        <f>SUVAHAVUJ!$D$18</f>
        <v>Základné stádo a ťažné zvieratá (026) - /086, 092A/</v>
      </c>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75" t="s">
        <v>1241</v>
      </c>
      <c r="AR9" s="975"/>
      <c r="AS9" s="975"/>
      <c r="AT9" s="975"/>
      <c r="AU9" s="975"/>
      <c r="AV9" s="975"/>
      <c r="AW9" s="975"/>
      <c r="AX9" s="975"/>
      <c r="AY9" s="648"/>
      <c r="AZ9" s="649"/>
      <c r="BA9" s="976" t="str">
        <f>MID(SUVAHAVUJ!AD18,1,1)</f>
        <v xml:space="preserve"> </v>
      </c>
      <c r="BB9" s="976"/>
      <c r="BC9" s="976"/>
      <c r="BD9" s="976"/>
      <c r="BE9" s="976"/>
      <c r="BF9" s="976"/>
      <c r="BG9" s="976" t="str">
        <f>MID(SUVAHAVUJ!AD18,2,1)</f>
        <v xml:space="preserve"> </v>
      </c>
      <c r="BH9" s="976"/>
      <c r="BI9" s="976"/>
      <c r="BJ9" s="976"/>
      <c r="BK9" s="976"/>
      <c r="BL9" s="976" t="str">
        <f>MID(SUVAHAVUJ!AD18,3,1)</f>
        <v xml:space="preserve"> </v>
      </c>
      <c r="BM9" s="976"/>
      <c r="BN9" s="976"/>
      <c r="BO9" s="976"/>
      <c r="BP9" s="976"/>
      <c r="BQ9" s="976"/>
      <c r="BR9" s="976" t="str">
        <f>MID(SUVAHAVUJ!AD18,4,1)</f>
        <v xml:space="preserve"> </v>
      </c>
      <c r="BS9" s="976"/>
      <c r="BT9" s="976"/>
      <c r="BU9" s="976"/>
      <c r="BV9" s="976"/>
      <c r="BW9" s="976" t="str">
        <f>MID(SUVAHAVUJ!AD18,5,1)</f>
        <v xml:space="preserve"> </v>
      </c>
      <c r="BX9" s="976"/>
      <c r="BY9" s="976"/>
      <c r="BZ9" s="976"/>
      <c r="CA9" s="976"/>
      <c r="CB9" s="976"/>
      <c r="CC9" s="976" t="str">
        <f>MID(SUVAHAVUJ!AD18,6,1)</f>
        <v>1</v>
      </c>
      <c r="CD9" s="976"/>
      <c r="CE9" s="976"/>
      <c r="CF9" s="976"/>
      <c r="CG9" s="976"/>
      <c r="CH9" s="976" t="str">
        <f>MID(SUVAHAVUJ!AD18,7,1)</f>
        <v>1</v>
      </c>
      <c r="CI9" s="976"/>
      <c r="CJ9" s="976"/>
      <c r="CK9" s="976"/>
      <c r="CL9" s="976"/>
      <c r="CM9" s="976"/>
      <c r="CN9" s="976" t="str">
        <f>MID(SUVAHAVUJ!AD18,8,1)</f>
        <v>7</v>
      </c>
      <c r="CO9" s="976"/>
      <c r="CP9" s="976"/>
      <c r="CQ9" s="976"/>
      <c r="CR9" s="976"/>
      <c r="CS9" s="976" t="str">
        <f>MID(SUVAHAVUJ!AD18,9,1)</f>
        <v>7</v>
      </c>
      <c r="CT9" s="976"/>
      <c r="CU9" s="976"/>
      <c r="CV9" s="976"/>
      <c r="CW9" s="976"/>
      <c r="CX9" s="976"/>
      <c r="CY9" s="976" t="str">
        <f>MID(SUVAHAVUJ!AD18,10,1)</f>
        <v>2</v>
      </c>
      <c r="CZ9" s="976"/>
      <c r="DA9" s="976"/>
      <c r="DB9" s="976"/>
      <c r="DC9" s="976"/>
      <c r="DD9" s="977" t="str">
        <f>MID(SUVAHAVUJ!AD18,11,1)</f>
        <v>8</v>
      </c>
      <c r="DE9" s="977"/>
      <c r="DF9" s="977"/>
      <c r="DG9" s="977"/>
      <c r="DH9" s="977"/>
      <c r="DI9" s="977"/>
      <c r="DJ9" s="648"/>
      <c r="DK9" s="649"/>
      <c r="DL9" s="976" t="str">
        <f>MID(SUVAHAVUJ!AF18,1,1)</f>
        <v xml:space="preserve"> </v>
      </c>
      <c r="DM9" s="976"/>
      <c r="DN9" s="976"/>
      <c r="DO9" s="976"/>
      <c r="DP9" s="976"/>
      <c r="DQ9" s="976"/>
      <c r="DR9" s="976" t="str">
        <f>MID(SUVAHAVUJ!AF18,2,1)</f>
        <v xml:space="preserve"> </v>
      </c>
      <c r="DS9" s="976"/>
      <c r="DT9" s="976"/>
      <c r="DU9" s="976"/>
      <c r="DV9" s="976"/>
      <c r="DW9" s="976" t="str">
        <f>MID(SUVAHAVUJ!AF18,3,1)</f>
        <v xml:space="preserve"> </v>
      </c>
      <c r="DX9" s="976"/>
      <c r="DY9" s="976"/>
      <c r="DZ9" s="976"/>
      <c r="EA9" s="976"/>
      <c r="EB9" s="976"/>
      <c r="EC9" s="976" t="str">
        <f>MID(SUVAHAVUJ!AF18,4,1)</f>
        <v xml:space="preserve"> </v>
      </c>
      <c r="ED9" s="976"/>
      <c r="EE9" s="976"/>
      <c r="EF9" s="976"/>
      <c r="EG9" s="976"/>
      <c r="EH9" s="976" t="str">
        <f>MID(SUVAHAVUJ!AF18,5,1)</f>
        <v xml:space="preserve"> </v>
      </c>
      <c r="EI9" s="976"/>
      <c r="EJ9" s="976"/>
      <c r="EK9" s="976"/>
      <c r="EL9" s="976"/>
      <c r="EM9" s="976"/>
      <c r="EN9" s="976" t="str">
        <f>MID(SUVAHAVUJ!AF18,6,1)</f>
        <v xml:space="preserve"> </v>
      </c>
      <c r="EO9" s="976"/>
      <c r="EP9" s="976"/>
      <c r="EQ9" s="976"/>
      <c r="ER9" s="976"/>
      <c r="ES9" s="976" t="str">
        <f>MID(SUVAHAVUJ!AF18,7,1)</f>
        <v>2</v>
      </c>
      <c r="ET9" s="976"/>
      <c r="EU9" s="976"/>
      <c r="EV9" s="976"/>
      <c r="EW9" s="976"/>
      <c r="EX9" s="976"/>
      <c r="EY9" s="976" t="str">
        <f>MID(SUVAHAVUJ!AF18,8,1)</f>
        <v>5</v>
      </c>
      <c r="EZ9" s="976"/>
      <c r="FA9" s="976"/>
      <c r="FB9" s="976"/>
      <c r="FC9" s="976"/>
      <c r="FD9" s="976" t="str">
        <f>MID(SUVAHAVUJ!AF18,9,1)</f>
        <v>5</v>
      </c>
      <c r="FE9" s="976"/>
      <c r="FF9" s="976"/>
      <c r="FG9" s="976"/>
      <c r="FH9" s="976"/>
      <c r="FI9" s="976"/>
      <c r="FJ9" s="976" t="str">
        <f>MID(SUVAHAVUJ!AF18,10,1)</f>
        <v>6</v>
      </c>
      <c r="FK9" s="976"/>
      <c r="FL9" s="976"/>
      <c r="FM9" s="976"/>
      <c r="FN9" s="976"/>
      <c r="FO9" s="978" t="str">
        <f>MID(SUVAHAVUJ!AF18,11,1)</f>
        <v>0</v>
      </c>
      <c r="FP9" s="978"/>
      <c r="FQ9" s="978"/>
      <c r="FR9" s="978"/>
      <c r="FS9" s="978"/>
      <c r="FT9" s="979"/>
      <c r="FU9" s="979"/>
      <c r="FV9" s="979"/>
      <c r="FW9" s="979"/>
      <c r="FX9" s="979"/>
      <c r="FY9" s="979"/>
      <c r="FZ9" s="979"/>
      <c r="GA9" s="979"/>
      <c r="GB9" s="979"/>
      <c r="GC9" s="979"/>
      <c r="GD9" s="979"/>
      <c r="GE9" s="979"/>
      <c r="GF9" s="979"/>
      <c r="GG9" s="979"/>
      <c r="GH9" s="979"/>
      <c r="GI9" s="979"/>
      <c r="GJ9" s="979"/>
      <c r="GK9" s="979"/>
      <c r="GL9" s="979"/>
      <c r="GM9" s="979"/>
      <c r="GN9" s="979"/>
      <c r="GO9" s="979"/>
      <c r="GP9" s="979"/>
      <c r="GQ9" s="979"/>
      <c r="GR9" s="979"/>
      <c r="GS9" s="979"/>
      <c r="GT9" s="979"/>
      <c r="GU9" s="979"/>
      <c r="GV9" s="979"/>
      <c r="GW9" s="979"/>
    </row>
    <row r="10" spans="1:205" ht="21" customHeight="1" x14ac:dyDescent="0.3">
      <c r="B10" s="985"/>
      <c r="C10" s="985"/>
      <c r="D10" s="985"/>
      <c r="E10" s="985"/>
      <c r="F10" s="985"/>
      <c r="G10" s="985"/>
      <c r="H10" s="985"/>
      <c r="I10" s="985"/>
      <c r="J10" s="985"/>
      <c r="K10" s="985"/>
      <c r="L10" s="984"/>
      <c r="M10" s="984"/>
      <c r="N10" s="984"/>
      <c r="O10" s="984"/>
      <c r="P10" s="984"/>
      <c r="Q10" s="984"/>
      <c r="R10" s="984"/>
      <c r="S10" s="984"/>
      <c r="T10" s="984"/>
      <c r="U10" s="984"/>
      <c r="V10" s="984"/>
      <c r="W10" s="984"/>
      <c r="X10" s="984"/>
      <c r="Y10" s="984"/>
      <c r="Z10" s="984"/>
      <c r="AA10" s="984"/>
      <c r="AB10" s="984"/>
      <c r="AC10" s="984"/>
      <c r="AD10" s="984"/>
      <c r="AE10" s="984"/>
      <c r="AF10" s="984"/>
      <c r="AG10" s="984"/>
      <c r="AH10" s="984"/>
      <c r="AI10" s="984"/>
      <c r="AJ10" s="984"/>
      <c r="AK10" s="984"/>
      <c r="AL10" s="984"/>
      <c r="AM10" s="984"/>
      <c r="AN10" s="984"/>
      <c r="AO10" s="984"/>
      <c r="AP10" s="984"/>
      <c r="AQ10" s="975"/>
      <c r="AR10" s="975"/>
      <c r="AS10" s="975"/>
      <c r="AT10" s="975"/>
      <c r="AU10" s="975"/>
      <c r="AV10" s="975"/>
      <c r="AW10" s="975"/>
      <c r="AX10" s="975"/>
      <c r="AY10" s="648"/>
      <c r="AZ10" s="649"/>
      <c r="BA10" s="976" t="str">
        <f>MID(SUVAHAVUJ!AE18,1,1)</f>
        <v xml:space="preserve"> </v>
      </c>
      <c r="BB10" s="976"/>
      <c r="BC10" s="976"/>
      <c r="BD10" s="976"/>
      <c r="BE10" s="976"/>
      <c r="BF10" s="976"/>
      <c r="BG10" s="976" t="str">
        <f>MID(SUVAHAVUJ!AE18,2,1)</f>
        <v xml:space="preserve"> </v>
      </c>
      <c r="BH10" s="976"/>
      <c r="BI10" s="976"/>
      <c r="BJ10" s="976"/>
      <c r="BK10" s="976"/>
      <c r="BL10" s="976" t="str">
        <f>MID(SUVAHAVUJ!AE18,3,1)</f>
        <v xml:space="preserve"> </v>
      </c>
      <c r="BM10" s="976"/>
      <c r="BN10" s="976"/>
      <c r="BO10" s="976"/>
      <c r="BP10" s="976"/>
      <c r="BQ10" s="976"/>
      <c r="BR10" s="976" t="str">
        <f>MID(SUVAHAVUJ!AE18,4,1)</f>
        <v xml:space="preserve"> </v>
      </c>
      <c r="BS10" s="976"/>
      <c r="BT10" s="976"/>
      <c r="BU10" s="976"/>
      <c r="BV10" s="976"/>
      <c r="BW10" s="976" t="str">
        <f>MID(SUVAHAVUJ!AE18,5,1)</f>
        <v xml:space="preserve"> </v>
      </c>
      <c r="BX10" s="976"/>
      <c r="BY10" s="976"/>
      <c r="BZ10" s="976"/>
      <c r="CA10" s="976"/>
      <c r="CB10" s="976"/>
      <c r="CC10" s="976" t="str">
        <f>MID(SUVAHAVUJ!AE18,6,1)</f>
        <v xml:space="preserve"> </v>
      </c>
      <c r="CD10" s="976"/>
      <c r="CE10" s="976"/>
      <c r="CF10" s="976"/>
      <c r="CG10" s="976"/>
      <c r="CH10" s="976" t="str">
        <f>MID(SUVAHAVUJ!AE18,7,1)</f>
        <v>9</v>
      </c>
      <c r="CI10" s="976"/>
      <c r="CJ10" s="976"/>
      <c r="CK10" s="976"/>
      <c r="CL10" s="976"/>
      <c r="CM10" s="976"/>
      <c r="CN10" s="976" t="str">
        <f>MID(SUVAHAVUJ!AE18,8,1)</f>
        <v>2</v>
      </c>
      <c r="CO10" s="976"/>
      <c r="CP10" s="976"/>
      <c r="CQ10" s="976"/>
      <c r="CR10" s="976"/>
      <c r="CS10" s="976" t="str">
        <f>MID(SUVAHAVUJ!AE18,9,1)</f>
        <v>1</v>
      </c>
      <c r="CT10" s="976"/>
      <c r="CU10" s="976"/>
      <c r="CV10" s="976"/>
      <c r="CW10" s="976"/>
      <c r="CX10" s="976"/>
      <c r="CY10" s="976" t="str">
        <f>MID(SUVAHAVUJ!AE18,10,1)</f>
        <v>6</v>
      </c>
      <c r="CZ10" s="976"/>
      <c r="DA10" s="976"/>
      <c r="DB10" s="976"/>
      <c r="DC10" s="976"/>
      <c r="DD10" s="977" t="str">
        <f>MID(SUVAHAVUJ!AE18,11,1)</f>
        <v>8</v>
      </c>
      <c r="DE10" s="977"/>
      <c r="DF10" s="977"/>
      <c r="DG10" s="977"/>
      <c r="DH10" s="977"/>
      <c r="DI10" s="977"/>
      <c r="DJ10" s="980"/>
      <c r="DK10" s="980"/>
      <c r="DL10" s="980"/>
      <c r="DM10" s="980"/>
      <c r="DN10" s="980"/>
      <c r="DO10" s="980"/>
      <c r="DP10" s="980"/>
      <c r="DQ10" s="980"/>
      <c r="DR10" s="980"/>
      <c r="DS10" s="980"/>
      <c r="DT10" s="980"/>
      <c r="DU10" s="980"/>
      <c r="DV10" s="980"/>
      <c r="DW10" s="980"/>
      <c r="DX10" s="980"/>
      <c r="DY10" s="980"/>
      <c r="DZ10" s="980"/>
      <c r="EA10" s="980"/>
      <c r="EB10" s="980"/>
      <c r="EC10" s="980"/>
      <c r="ED10" s="980"/>
      <c r="EE10" s="980"/>
      <c r="EF10" s="980"/>
      <c r="EG10" s="980"/>
      <c r="EH10" s="980"/>
      <c r="EI10" s="980"/>
      <c r="EJ10" s="980"/>
      <c r="EK10" s="980"/>
      <c r="EL10" s="980"/>
      <c r="EM10" s="980"/>
      <c r="EN10" s="648"/>
      <c r="EO10" s="649"/>
      <c r="EP10" s="976" t="str">
        <f>MID(SUVAHAVUJ!AG18,1,1)</f>
        <v xml:space="preserve"> </v>
      </c>
      <c r="EQ10" s="976"/>
      <c r="ER10" s="976"/>
      <c r="ES10" s="976"/>
      <c r="ET10" s="976"/>
      <c r="EU10" s="976"/>
      <c r="EV10" s="976" t="str">
        <f>MID(SUVAHAVUJ!AG18,2,1)</f>
        <v xml:space="preserve"> </v>
      </c>
      <c r="EW10" s="976"/>
      <c r="EX10" s="976"/>
      <c r="EY10" s="976"/>
      <c r="EZ10" s="976"/>
      <c r="FA10" s="976" t="str">
        <f>MID(SUVAHAVUJ!AG18,3,1)</f>
        <v xml:space="preserve"> </v>
      </c>
      <c r="FB10" s="976"/>
      <c r="FC10" s="976"/>
      <c r="FD10" s="976"/>
      <c r="FE10" s="976"/>
      <c r="FF10" s="976"/>
      <c r="FG10" s="976" t="str">
        <f>MID(SUVAHAVUJ!AG18,4,1)</f>
        <v xml:space="preserve"> </v>
      </c>
      <c r="FH10" s="976"/>
      <c r="FI10" s="976"/>
      <c r="FJ10" s="976"/>
      <c r="FK10" s="976"/>
      <c r="FL10" s="976" t="str">
        <f>MID(SUVAHAVUJ!AG18,5,1)</f>
        <v xml:space="preserve"> </v>
      </c>
      <c r="FM10" s="976"/>
      <c r="FN10" s="976"/>
      <c r="FO10" s="976"/>
      <c r="FP10" s="976"/>
      <c r="FQ10" s="976"/>
      <c r="FR10" s="976" t="str">
        <f>MID(SUVAHAVUJ!AG18,6,1)</f>
        <v xml:space="preserve"> </v>
      </c>
      <c r="FS10" s="976"/>
      <c r="FT10" s="976"/>
      <c r="FU10" s="976"/>
      <c r="FV10" s="976"/>
      <c r="FW10" s="976" t="str">
        <f>MID(SUVAHAVUJ!AG18,7,1)</f>
        <v>3</v>
      </c>
      <c r="FX10" s="976"/>
      <c r="FY10" s="976"/>
      <c r="FZ10" s="976"/>
      <c r="GA10" s="976"/>
      <c r="GB10" s="976"/>
      <c r="GC10" s="976" t="str">
        <f>MID(SUVAHAVUJ!AG18,8,1)</f>
        <v>5</v>
      </c>
      <c r="GD10" s="976"/>
      <c r="GE10" s="976"/>
      <c r="GF10" s="976"/>
      <c r="GG10" s="976"/>
      <c r="GH10" s="976" t="str">
        <f>MID(SUVAHAVUJ!AG18,9,1)</f>
        <v>5</v>
      </c>
      <c r="GI10" s="976"/>
      <c r="GJ10" s="976"/>
      <c r="GK10" s="976"/>
      <c r="GL10" s="976"/>
      <c r="GM10" s="976"/>
      <c r="GN10" s="976" t="str">
        <f>MID(SUVAHAVUJ!AG18,10,1)</f>
        <v>5</v>
      </c>
      <c r="GO10" s="976"/>
      <c r="GP10" s="976"/>
      <c r="GQ10" s="976"/>
      <c r="GR10" s="976"/>
      <c r="GS10" s="978" t="str">
        <f>MID(SUVAHAVUJ!AG18,11,1)</f>
        <v>5</v>
      </c>
      <c r="GT10" s="978"/>
      <c r="GU10" s="978"/>
      <c r="GV10" s="978"/>
      <c r="GW10" s="978"/>
    </row>
    <row r="11" spans="1:205" s="650" customFormat="1" ht="23.25" customHeight="1" x14ac:dyDescent="0.3">
      <c r="B11" s="985" t="s">
        <v>2171</v>
      </c>
      <c r="C11" s="985"/>
      <c r="D11" s="985"/>
      <c r="E11" s="985"/>
      <c r="F11" s="985"/>
      <c r="G11" s="985"/>
      <c r="H11" s="985"/>
      <c r="I11" s="985"/>
      <c r="J11" s="985"/>
      <c r="K11" s="985"/>
      <c r="L11" s="984" t="str">
        <f>SUVAHAVUJ!$D$19</f>
        <v>Ostatný dlhodobý hmotný majetok
(029, 02X, 032) - /089, 08X, 092A/</v>
      </c>
      <c r="M11" s="984"/>
      <c r="N11" s="984"/>
      <c r="O11" s="984"/>
      <c r="P11" s="984"/>
      <c r="Q11" s="984"/>
      <c r="R11" s="984"/>
      <c r="S11" s="984"/>
      <c r="T11" s="984"/>
      <c r="U11" s="984"/>
      <c r="V11" s="984"/>
      <c r="W11" s="984"/>
      <c r="X11" s="984"/>
      <c r="Y11" s="984"/>
      <c r="Z11" s="984"/>
      <c r="AA11" s="984"/>
      <c r="AB11" s="984"/>
      <c r="AC11" s="984"/>
      <c r="AD11" s="984"/>
      <c r="AE11" s="984"/>
      <c r="AF11" s="984"/>
      <c r="AG11" s="984"/>
      <c r="AH11" s="984"/>
      <c r="AI11" s="984"/>
      <c r="AJ11" s="984"/>
      <c r="AK11" s="984"/>
      <c r="AL11" s="984"/>
      <c r="AM11" s="984"/>
      <c r="AN11" s="984"/>
      <c r="AO11" s="984"/>
      <c r="AP11" s="984"/>
      <c r="AQ11" s="975" t="s">
        <v>1242</v>
      </c>
      <c r="AR11" s="975"/>
      <c r="AS11" s="975"/>
      <c r="AT11" s="975"/>
      <c r="AU11" s="975"/>
      <c r="AV11" s="975"/>
      <c r="AW11" s="975"/>
      <c r="AX11" s="975"/>
      <c r="AY11" s="648"/>
      <c r="AZ11" s="649"/>
      <c r="BA11" s="976" t="str">
        <f>MID(SUVAHAVUJ!AD19,1,1)</f>
        <v xml:space="preserve"> </v>
      </c>
      <c r="BB11" s="976"/>
      <c r="BC11" s="976"/>
      <c r="BD11" s="976"/>
      <c r="BE11" s="976"/>
      <c r="BF11" s="976"/>
      <c r="BG11" s="976" t="str">
        <f>MID(SUVAHAVUJ!AD19,2,1)</f>
        <v xml:space="preserve"> </v>
      </c>
      <c r="BH11" s="976"/>
      <c r="BI11" s="976"/>
      <c r="BJ11" s="976"/>
      <c r="BK11" s="976"/>
      <c r="BL11" s="976" t="str">
        <f>MID(SUVAHAVUJ!AD19,3,1)</f>
        <v xml:space="preserve"> </v>
      </c>
      <c r="BM11" s="976"/>
      <c r="BN11" s="976"/>
      <c r="BO11" s="976"/>
      <c r="BP11" s="976"/>
      <c r="BQ11" s="976"/>
      <c r="BR11" s="976" t="str">
        <f>MID(SUVAHAVUJ!AD19,4,1)</f>
        <v xml:space="preserve"> </v>
      </c>
      <c r="BS11" s="976"/>
      <c r="BT11" s="976"/>
      <c r="BU11" s="976"/>
      <c r="BV11" s="976"/>
      <c r="BW11" s="976" t="str">
        <f>MID(SUVAHAVUJ!AD19,5,1)</f>
        <v xml:space="preserve"> </v>
      </c>
      <c r="BX11" s="976"/>
      <c r="BY11" s="976"/>
      <c r="BZ11" s="976"/>
      <c r="CA11" s="976"/>
      <c r="CB11" s="976"/>
      <c r="CC11" s="976" t="str">
        <f>MID(SUVAHAVUJ!AD19,6,1)</f>
        <v xml:space="preserve"> </v>
      </c>
      <c r="CD11" s="976"/>
      <c r="CE11" s="976"/>
      <c r="CF11" s="976"/>
      <c r="CG11" s="976"/>
      <c r="CH11" s="976" t="str">
        <f>MID(SUVAHAVUJ!AD19,7,1)</f>
        <v xml:space="preserve"> </v>
      </c>
      <c r="CI11" s="976"/>
      <c r="CJ11" s="976"/>
      <c r="CK11" s="976"/>
      <c r="CL11" s="976"/>
      <c r="CM11" s="976"/>
      <c r="CN11" s="976" t="str">
        <f>MID(SUVAHAVUJ!AD19,8,1)</f>
        <v xml:space="preserve"> </v>
      </c>
      <c r="CO11" s="976"/>
      <c r="CP11" s="976"/>
      <c r="CQ11" s="976"/>
      <c r="CR11" s="976"/>
      <c r="CS11" s="976" t="str">
        <f>MID(SUVAHAVUJ!AD19,9,1)</f>
        <v xml:space="preserve"> </v>
      </c>
      <c r="CT11" s="976"/>
      <c r="CU11" s="976"/>
      <c r="CV11" s="976"/>
      <c r="CW11" s="976"/>
      <c r="CX11" s="976"/>
      <c r="CY11" s="976" t="str">
        <f>MID(SUVAHAVUJ!AD19,10,1)</f>
        <v xml:space="preserve"> </v>
      </c>
      <c r="CZ11" s="976"/>
      <c r="DA11" s="976"/>
      <c r="DB11" s="976"/>
      <c r="DC11" s="976"/>
      <c r="DD11" s="977" t="str">
        <f>MID(SUVAHAVUJ!AD19,11,1)</f>
        <v>0</v>
      </c>
      <c r="DE11" s="977"/>
      <c r="DF11" s="977"/>
      <c r="DG11" s="977"/>
      <c r="DH11" s="977"/>
      <c r="DI11" s="977"/>
      <c r="DJ11" s="648"/>
      <c r="DK11" s="649"/>
      <c r="DL11" s="976" t="str">
        <f>MID(SUVAHAVUJ!AF19,1,1)</f>
        <v xml:space="preserve"> </v>
      </c>
      <c r="DM11" s="976"/>
      <c r="DN11" s="976"/>
      <c r="DO11" s="976"/>
      <c r="DP11" s="976"/>
      <c r="DQ11" s="976"/>
      <c r="DR11" s="976" t="str">
        <f>MID(SUVAHAVUJ!AF19,2,1)</f>
        <v xml:space="preserve"> </v>
      </c>
      <c r="DS11" s="976"/>
      <c r="DT11" s="976"/>
      <c r="DU11" s="976"/>
      <c r="DV11" s="976"/>
      <c r="DW11" s="976" t="str">
        <f>MID(SUVAHAVUJ!AF19,3,1)</f>
        <v xml:space="preserve"> </v>
      </c>
      <c r="DX11" s="976"/>
      <c r="DY11" s="976"/>
      <c r="DZ11" s="976"/>
      <c r="EA11" s="976"/>
      <c r="EB11" s="976"/>
      <c r="EC11" s="976" t="str">
        <f>MID(SUVAHAVUJ!AF19,4,1)</f>
        <v xml:space="preserve"> </v>
      </c>
      <c r="ED11" s="976"/>
      <c r="EE11" s="976"/>
      <c r="EF11" s="976"/>
      <c r="EG11" s="976"/>
      <c r="EH11" s="976" t="str">
        <f>MID(SUVAHAVUJ!AF19,5,1)</f>
        <v xml:space="preserve"> </v>
      </c>
      <c r="EI11" s="976"/>
      <c r="EJ11" s="976"/>
      <c r="EK11" s="976"/>
      <c r="EL11" s="976"/>
      <c r="EM11" s="976"/>
      <c r="EN11" s="976" t="str">
        <f>MID(SUVAHAVUJ!AF19,6,1)</f>
        <v xml:space="preserve"> </v>
      </c>
      <c r="EO11" s="976"/>
      <c r="EP11" s="976"/>
      <c r="EQ11" s="976"/>
      <c r="ER11" s="976"/>
      <c r="ES11" s="976" t="str">
        <f>MID(SUVAHAVUJ!AF19,7,1)</f>
        <v xml:space="preserve"> </v>
      </c>
      <c r="ET11" s="976"/>
      <c r="EU11" s="976"/>
      <c r="EV11" s="976"/>
      <c r="EW11" s="976"/>
      <c r="EX11" s="976"/>
      <c r="EY11" s="976" t="str">
        <f>MID(SUVAHAVUJ!AF19,8,1)</f>
        <v xml:space="preserve"> </v>
      </c>
      <c r="EZ11" s="976"/>
      <c r="FA11" s="976"/>
      <c r="FB11" s="976"/>
      <c r="FC11" s="976"/>
      <c r="FD11" s="976" t="str">
        <f>MID(SUVAHAVUJ!AF19,9,1)</f>
        <v xml:space="preserve"> </v>
      </c>
      <c r="FE11" s="976"/>
      <c r="FF11" s="976"/>
      <c r="FG11" s="976"/>
      <c r="FH11" s="976"/>
      <c r="FI11" s="976"/>
      <c r="FJ11" s="976" t="str">
        <f>MID(SUVAHAVUJ!AF19,10,1)</f>
        <v xml:space="preserve"> </v>
      </c>
      <c r="FK11" s="976"/>
      <c r="FL11" s="976"/>
      <c r="FM11" s="976"/>
      <c r="FN11" s="976"/>
      <c r="FO11" s="978" t="str">
        <f>MID(SUVAHAVUJ!AF19,11,1)</f>
        <v>0</v>
      </c>
      <c r="FP11" s="978"/>
      <c r="FQ11" s="978"/>
      <c r="FR11" s="978"/>
      <c r="FS11" s="978"/>
      <c r="FT11" s="979"/>
      <c r="FU11" s="979"/>
      <c r="FV11" s="979"/>
      <c r="FW11" s="979"/>
      <c r="FX11" s="979"/>
      <c r="FY11" s="979"/>
      <c r="FZ11" s="979"/>
      <c r="GA11" s="979"/>
      <c r="GB11" s="979"/>
      <c r="GC11" s="979"/>
      <c r="GD11" s="979"/>
      <c r="GE11" s="979"/>
      <c r="GF11" s="979"/>
      <c r="GG11" s="979"/>
      <c r="GH11" s="979"/>
      <c r="GI11" s="979"/>
      <c r="GJ11" s="979"/>
      <c r="GK11" s="979"/>
      <c r="GL11" s="979"/>
      <c r="GM11" s="979"/>
      <c r="GN11" s="979"/>
      <c r="GO11" s="979"/>
      <c r="GP11" s="979"/>
      <c r="GQ11" s="979"/>
      <c r="GR11" s="979"/>
      <c r="GS11" s="979"/>
      <c r="GT11" s="979"/>
      <c r="GU11" s="979"/>
      <c r="GV11" s="979"/>
      <c r="GW11" s="979"/>
    </row>
    <row r="12" spans="1:205" ht="23.25" customHeight="1" x14ac:dyDescent="0.3">
      <c r="B12" s="985"/>
      <c r="C12" s="985"/>
      <c r="D12" s="985"/>
      <c r="E12" s="985"/>
      <c r="F12" s="985"/>
      <c r="G12" s="985"/>
      <c r="H12" s="985"/>
      <c r="I12" s="985"/>
      <c r="J12" s="985"/>
      <c r="K12" s="985"/>
      <c r="L12" s="984"/>
      <c r="M12" s="984"/>
      <c r="N12" s="984"/>
      <c r="O12" s="984"/>
      <c r="P12" s="984"/>
      <c r="Q12" s="984"/>
      <c r="R12" s="984"/>
      <c r="S12" s="984"/>
      <c r="T12" s="984"/>
      <c r="U12" s="984"/>
      <c r="V12" s="984"/>
      <c r="W12" s="984"/>
      <c r="X12" s="984"/>
      <c r="Y12" s="984"/>
      <c r="Z12" s="984"/>
      <c r="AA12" s="984"/>
      <c r="AB12" s="984"/>
      <c r="AC12" s="984"/>
      <c r="AD12" s="984"/>
      <c r="AE12" s="984"/>
      <c r="AF12" s="984"/>
      <c r="AG12" s="984"/>
      <c r="AH12" s="984"/>
      <c r="AI12" s="984"/>
      <c r="AJ12" s="984"/>
      <c r="AK12" s="984"/>
      <c r="AL12" s="984"/>
      <c r="AM12" s="984"/>
      <c r="AN12" s="984"/>
      <c r="AO12" s="984"/>
      <c r="AP12" s="984"/>
      <c r="AQ12" s="975"/>
      <c r="AR12" s="975"/>
      <c r="AS12" s="975"/>
      <c r="AT12" s="975"/>
      <c r="AU12" s="975"/>
      <c r="AV12" s="975"/>
      <c r="AW12" s="975"/>
      <c r="AX12" s="975"/>
      <c r="AY12" s="648"/>
      <c r="AZ12" s="649"/>
      <c r="BA12" s="976" t="str">
        <f>MID(SUVAHAVUJ!AE19,1,1)</f>
        <v xml:space="preserve"> </v>
      </c>
      <c r="BB12" s="976"/>
      <c r="BC12" s="976"/>
      <c r="BD12" s="976"/>
      <c r="BE12" s="976"/>
      <c r="BF12" s="976"/>
      <c r="BG12" s="976" t="str">
        <f>MID(SUVAHAVUJ!AE19,2,1)</f>
        <v xml:space="preserve"> </v>
      </c>
      <c r="BH12" s="976"/>
      <c r="BI12" s="976"/>
      <c r="BJ12" s="976"/>
      <c r="BK12" s="976"/>
      <c r="BL12" s="976" t="str">
        <f>MID(SUVAHAVUJ!AE19,3,1)</f>
        <v xml:space="preserve"> </v>
      </c>
      <c r="BM12" s="976"/>
      <c r="BN12" s="976"/>
      <c r="BO12" s="976"/>
      <c r="BP12" s="976"/>
      <c r="BQ12" s="976"/>
      <c r="BR12" s="976" t="str">
        <f>MID(SUVAHAVUJ!AE19,4,1)</f>
        <v xml:space="preserve"> </v>
      </c>
      <c r="BS12" s="976"/>
      <c r="BT12" s="976"/>
      <c r="BU12" s="976"/>
      <c r="BV12" s="976"/>
      <c r="BW12" s="976" t="str">
        <f>MID(SUVAHAVUJ!AE19,5,1)</f>
        <v xml:space="preserve"> </v>
      </c>
      <c r="BX12" s="976"/>
      <c r="BY12" s="976"/>
      <c r="BZ12" s="976"/>
      <c r="CA12" s="976"/>
      <c r="CB12" s="976"/>
      <c r="CC12" s="976" t="str">
        <f>MID(SUVAHAVUJ!AE19,6,1)</f>
        <v xml:space="preserve"> </v>
      </c>
      <c r="CD12" s="976"/>
      <c r="CE12" s="976"/>
      <c r="CF12" s="976"/>
      <c r="CG12" s="976"/>
      <c r="CH12" s="976" t="str">
        <f>MID(SUVAHAVUJ!AE19,7,1)</f>
        <v xml:space="preserve"> </v>
      </c>
      <c r="CI12" s="976"/>
      <c r="CJ12" s="976"/>
      <c r="CK12" s="976"/>
      <c r="CL12" s="976"/>
      <c r="CM12" s="976"/>
      <c r="CN12" s="976" t="str">
        <f>MID(SUVAHAVUJ!AE19,8,1)</f>
        <v xml:space="preserve"> </v>
      </c>
      <c r="CO12" s="976"/>
      <c r="CP12" s="976"/>
      <c r="CQ12" s="976"/>
      <c r="CR12" s="976"/>
      <c r="CS12" s="976" t="str">
        <f>MID(SUVAHAVUJ!AE19,9,1)</f>
        <v xml:space="preserve"> </v>
      </c>
      <c r="CT12" s="976"/>
      <c r="CU12" s="976"/>
      <c r="CV12" s="976"/>
      <c r="CW12" s="976"/>
      <c r="CX12" s="976"/>
      <c r="CY12" s="976" t="str">
        <f>MID(SUVAHAVUJ!AE19,10,1)</f>
        <v xml:space="preserve"> </v>
      </c>
      <c r="CZ12" s="976"/>
      <c r="DA12" s="976"/>
      <c r="DB12" s="976"/>
      <c r="DC12" s="976"/>
      <c r="DD12" s="977" t="str">
        <f>MID(SUVAHAVUJ!AE19,11,1)</f>
        <v>0</v>
      </c>
      <c r="DE12" s="977"/>
      <c r="DF12" s="977"/>
      <c r="DG12" s="977"/>
      <c r="DH12" s="977"/>
      <c r="DI12" s="977"/>
      <c r="DJ12" s="980"/>
      <c r="DK12" s="980"/>
      <c r="DL12" s="980"/>
      <c r="DM12" s="980"/>
      <c r="DN12" s="980"/>
      <c r="DO12" s="980"/>
      <c r="DP12" s="980"/>
      <c r="DQ12" s="980"/>
      <c r="DR12" s="980"/>
      <c r="DS12" s="980"/>
      <c r="DT12" s="980"/>
      <c r="DU12" s="980"/>
      <c r="DV12" s="980"/>
      <c r="DW12" s="980"/>
      <c r="DX12" s="980"/>
      <c r="DY12" s="980"/>
      <c r="DZ12" s="980"/>
      <c r="EA12" s="980"/>
      <c r="EB12" s="980"/>
      <c r="EC12" s="980"/>
      <c r="ED12" s="980"/>
      <c r="EE12" s="980"/>
      <c r="EF12" s="980"/>
      <c r="EG12" s="980"/>
      <c r="EH12" s="980"/>
      <c r="EI12" s="980"/>
      <c r="EJ12" s="980"/>
      <c r="EK12" s="980"/>
      <c r="EL12" s="980"/>
      <c r="EM12" s="980"/>
      <c r="EN12" s="648"/>
      <c r="EO12" s="649"/>
      <c r="EP12" s="976" t="str">
        <f>MID(SUVAHAVUJ!AG19,1,1)</f>
        <v xml:space="preserve"> </v>
      </c>
      <c r="EQ12" s="976"/>
      <c r="ER12" s="976"/>
      <c r="ES12" s="976"/>
      <c r="ET12" s="976"/>
      <c r="EU12" s="976"/>
      <c r="EV12" s="976" t="str">
        <f>MID(SUVAHAVUJ!AG19,2,1)</f>
        <v xml:space="preserve"> </v>
      </c>
      <c r="EW12" s="976"/>
      <c r="EX12" s="976"/>
      <c r="EY12" s="976"/>
      <c r="EZ12" s="976"/>
      <c r="FA12" s="976" t="str">
        <f>MID(SUVAHAVUJ!AG19,3,1)</f>
        <v xml:space="preserve"> </v>
      </c>
      <c r="FB12" s="976"/>
      <c r="FC12" s="976"/>
      <c r="FD12" s="976"/>
      <c r="FE12" s="976"/>
      <c r="FF12" s="976"/>
      <c r="FG12" s="976" t="str">
        <f>MID(SUVAHAVUJ!AG19,4,1)</f>
        <v xml:space="preserve"> </v>
      </c>
      <c r="FH12" s="976"/>
      <c r="FI12" s="976"/>
      <c r="FJ12" s="976"/>
      <c r="FK12" s="976"/>
      <c r="FL12" s="976" t="str">
        <f>MID(SUVAHAVUJ!AG19,5,1)</f>
        <v xml:space="preserve"> </v>
      </c>
      <c r="FM12" s="976"/>
      <c r="FN12" s="976"/>
      <c r="FO12" s="976"/>
      <c r="FP12" s="976"/>
      <c r="FQ12" s="976"/>
      <c r="FR12" s="976" t="str">
        <f>MID(SUVAHAVUJ!AG19,6,1)</f>
        <v xml:space="preserve"> </v>
      </c>
      <c r="FS12" s="976"/>
      <c r="FT12" s="976"/>
      <c r="FU12" s="976"/>
      <c r="FV12" s="976"/>
      <c r="FW12" s="976" t="str">
        <f>MID(SUVAHAVUJ!AG19,7,1)</f>
        <v xml:space="preserve"> </v>
      </c>
      <c r="FX12" s="976"/>
      <c r="FY12" s="976"/>
      <c r="FZ12" s="976"/>
      <c r="GA12" s="976"/>
      <c r="GB12" s="976"/>
      <c r="GC12" s="976" t="str">
        <f>MID(SUVAHAVUJ!AG19,8,1)</f>
        <v xml:space="preserve"> </v>
      </c>
      <c r="GD12" s="976"/>
      <c r="GE12" s="976"/>
      <c r="GF12" s="976"/>
      <c r="GG12" s="976"/>
      <c r="GH12" s="976" t="str">
        <f>MID(SUVAHAVUJ!AG19,9,1)</f>
        <v xml:space="preserve"> </v>
      </c>
      <c r="GI12" s="976"/>
      <c r="GJ12" s="976"/>
      <c r="GK12" s="976"/>
      <c r="GL12" s="976"/>
      <c r="GM12" s="976"/>
      <c r="GN12" s="976" t="str">
        <f>MID(SUVAHAVUJ!AG19,10,1)</f>
        <v xml:space="preserve"> </v>
      </c>
      <c r="GO12" s="976"/>
      <c r="GP12" s="976"/>
      <c r="GQ12" s="976"/>
      <c r="GR12" s="976"/>
      <c r="GS12" s="978" t="str">
        <f>MID(SUVAHAVUJ!AG19,11,1)</f>
        <v>0</v>
      </c>
      <c r="GT12" s="978"/>
      <c r="GU12" s="978"/>
      <c r="GV12" s="978"/>
      <c r="GW12" s="978"/>
    </row>
    <row r="13" spans="1:205" s="650" customFormat="1" ht="23.25" customHeight="1" x14ac:dyDescent="0.3">
      <c r="B13" s="985" t="s">
        <v>2172</v>
      </c>
      <c r="C13" s="985"/>
      <c r="D13" s="985"/>
      <c r="E13" s="985"/>
      <c r="F13" s="985"/>
      <c r="G13" s="985"/>
      <c r="H13" s="985"/>
      <c r="I13" s="985"/>
      <c r="J13" s="985"/>
      <c r="K13" s="985"/>
      <c r="L13" s="984" t="str">
        <f>SUVAHAVUJ!$D$20</f>
        <v>Obstarávaný dlhodobý hmotný majetok
(042) - /094/</v>
      </c>
      <c r="M13" s="984"/>
      <c r="N13" s="984"/>
      <c r="O13" s="984"/>
      <c r="P13" s="984"/>
      <c r="Q13" s="984"/>
      <c r="R13" s="984"/>
      <c r="S13" s="984"/>
      <c r="T13" s="984"/>
      <c r="U13" s="984"/>
      <c r="V13" s="984"/>
      <c r="W13" s="984"/>
      <c r="X13" s="984"/>
      <c r="Y13" s="984"/>
      <c r="Z13" s="984"/>
      <c r="AA13" s="984"/>
      <c r="AB13" s="984"/>
      <c r="AC13" s="984"/>
      <c r="AD13" s="984"/>
      <c r="AE13" s="984"/>
      <c r="AF13" s="984"/>
      <c r="AG13" s="984"/>
      <c r="AH13" s="984"/>
      <c r="AI13" s="984"/>
      <c r="AJ13" s="984"/>
      <c r="AK13" s="984"/>
      <c r="AL13" s="984"/>
      <c r="AM13" s="984"/>
      <c r="AN13" s="984"/>
      <c r="AO13" s="984"/>
      <c r="AP13" s="984"/>
      <c r="AQ13" s="975" t="s">
        <v>2176</v>
      </c>
      <c r="AR13" s="975"/>
      <c r="AS13" s="975"/>
      <c r="AT13" s="975"/>
      <c r="AU13" s="975"/>
      <c r="AV13" s="975"/>
      <c r="AW13" s="975"/>
      <c r="AX13" s="975"/>
      <c r="AY13" s="648"/>
      <c r="AZ13" s="649"/>
      <c r="BA13" s="976" t="str">
        <f>MID(SUVAHAVUJ!AD20,1,1)</f>
        <v xml:space="preserve"> </v>
      </c>
      <c r="BB13" s="976"/>
      <c r="BC13" s="976"/>
      <c r="BD13" s="976"/>
      <c r="BE13" s="976"/>
      <c r="BF13" s="976"/>
      <c r="BG13" s="976" t="str">
        <f>MID(SUVAHAVUJ!AD20,2,1)</f>
        <v xml:space="preserve"> </v>
      </c>
      <c r="BH13" s="976"/>
      <c r="BI13" s="976"/>
      <c r="BJ13" s="976"/>
      <c r="BK13" s="976"/>
      <c r="BL13" s="976" t="str">
        <f>MID(SUVAHAVUJ!AD20,3,1)</f>
        <v xml:space="preserve"> </v>
      </c>
      <c r="BM13" s="976"/>
      <c r="BN13" s="976"/>
      <c r="BO13" s="976"/>
      <c r="BP13" s="976"/>
      <c r="BQ13" s="976"/>
      <c r="BR13" s="976" t="str">
        <f>MID(SUVAHAVUJ!AD20,4,1)</f>
        <v xml:space="preserve"> </v>
      </c>
      <c r="BS13" s="976"/>
      <c r="BT13" s="976"/>
      <c r="BU13" s="976"/>
      <c r="BV13" s="976"/>
      <c r="BW13" s="976" t="str">
        <f>MID(SUVAHAVUJ!AD20,5,1)</f>
        <v xml:space="preserve"> </v>
      </c>
      <c r="BX13" s="976"/>
      <c r="BY13" s="976"/>
      <c r="BZ13" s="976"/>
      <c r="CA13" s="976"/>
      <c r="CB13" s="976"/>
      <c r="CC13" s="976" t="str">
        <f>MID(SUVAHAVUJ!AD20,6,1)</f>
        <v xml:space="preserve"> </v>
      </c>
      <c r="CD13" s="976"/>
      <c r="CE13" s="976"/>
      <c r="CF13" s="976"/>
      <c r="CG13" s="976"/>
      <c r="CH13" s="976" t="str">
        <f>MID(SUVAHAVUJ!AD20,7,1)</f>
        <v xml:space="preserve"> </v>
      </c>
      <c r="CI13" s="976"/>
      <c r="CJ13" s="976"/>
      <c r="CK13" s="976"/>
      <c r="CL13" s="976"/>
      <c r="CM13" s="976"/>
      <c r="CN13" s="976" t="str">
        <f>MID(SUVAHAVUJ!AD20,8,1)</f>
        <v xml:space="preserve"> </v>
      </c>
      <c r="CO13" s="976"/>
      <c r="CP13" s="976"/>
      <c r="CQ13" s="976"/>
      <c r="CR13" s="976"/>
      <c r="CS13" s="976" t="str">
        <f>MID(SUVAHAVUJ!AD20,9,1)</f>
        <v>5</v>
      </c>
      <c r="CT13" s="976"/>
      <c r="CU13" s="976"/>
      <c r="CV13" s="976"/>
      <c r="CW13" s="976"/>
      <c r="CX13" s="976"/>
      <c r="CY13" s="976" t="str">
        <f>MID(SUVAHAVUJ!AD20,10,1)</f>
        <v>0</v>
      </c>
      <c r="CZ13" s="976"/>
      <c r="DA13" s="976"/>
      <c r="DB13" s="976"/>
      <c r="DC13" s="976"/>
      <c r="DD13" s="977" t="str">
        <f>MID(SUVAHAVUJ!AD20,11,1)</f>
        <v>0</v>
      </c>
      <c r="DE13" s="977"/>
      <c r="DF13" s="977"/>
      <c r="DG13" s="977"/>
      <c r="DH13" s="977"/>
      <c r="DI13" s="977"/>
      <c r="DJ13" s="648"/>
      <c r="DK13" s="649"/>
      <c r="DL13" s="976" t="str">
        <f>MID(SUVAHAVUJ!AF20,1,1)</f>
        <v xml:space="preserve"> </v>
      </c>
      <c r="DM13" s="976"/>
      <c r="DN13" s="976"/>
      <c r="DO13" s="976"/>
      <c r="DP13" s="976"/>
      <c r="DQ13" s="976"/>
      <c r="DR13" s="976" t="str">
        <f>MID(SUVAHAVUJ!AF20,2,1)</f>
        <v xml:space="preserve"> </v>
      </c>
      <c r="DS13" s="976"/>
      <c r="DT13" s="976"/>
      <c r="DU13" s="976"/>
      <c r="DV13" s="976"/>
      <c r="DW13" s="976" t="str">
        <f>MID(SUVAHAVUJ!AF20,3,1)</f>
        <v xml:space="preserve"> </v>
      </c>
      <c r="DX13" s="976"/>
      <c r="DY13" s="976"/>
      <c r="DZ13" s="976"/>
      <c r="EA13" s="976"/>
      <c r="EB13" s="976"/>
      <c r="EC13" s="976" t="str">
        <f>MID(SUVAHAVUJ!AF20,4,1)</f>
        <v xml:space="preserve"> </v>
      </c>
      <c r="ED13" s="976"/>
      <c r="EE13" s="976"/>
      <c r="EF13" s="976"/>
      <c r="EG13" s="976"/>
      <c r="EH13" s="976" t="str">
        <f>MID(SUVAHAVUJ!AF20,5,1)</f>
        <v xml:space="preserve"> </v>
      </c>
      <c r="EI13" s="976"/>
      <c r="EJ13" s="976"/>
      <c r="EK13" s="976"/>
      <c r="EL13" s="976"/>
      <c r="EM13" s="976"/>
      <c r="EN13" s="976" t="str">
        <f>MID(SUVAHAVUJ!AF20,6,1)</f>
        <v xml:space="preserve"> </v>
      </c>
      <c r="EO13" s="976"/>
      <c r="EP13" s="976"/>
      <c r="EQ13" s="976"/>
      <c r="ER13" s="976"/>
      <c r="ES13" s="976" t="str">
        <f>MID(SUVAHAVUJ!AF20,7,1)</f>
        <v xml:space="preserve"> </v>
      </c>
      <c r="ET13" s="976"/>
      <c r="EU13" s="976"/>
      <c r="EV13" s="976"/>
      <c r="EW13" s="976"/>
      <c r="EX13" s="976"/>
      <c r="EY13" s="976" t="str">
        <f>MID(SUVAHAVUJ!AF20,8,1)</f>
        <v xml:space="preserve"> </v>
      </c>
      <c r="EZ13" s="976"/>
      <c r="FA13" s="976"/>
      <c r="FB13" s="976"/>
      <c r="FC13" s="976"/>
      <c r="FD13" s="976" t="str">
        <f>MID(SUVAHAVUJ!AF20,9,1)</f>
        <v>5</v>
      </c>
      <c r="FE13" s="976"/>
      <c r="FF13" s="976"/>
      <c r="FG13" s="976"/>
      <c r="FH13" s="976"/>
      <c r="FI13" s="976"/>
      <c r="FJ13" s="976" t="str">
        <f>MID(SUVAHAVUJ!AF20,10,1)</f>
        <v>0</v>
      </c>
      <c r="FK13" s="976"/>
      <c r="FL13" s="976"/>
      <c r="FM13" s="976"/>
      <c r="FN13" s="976"/>
      <c r="FO13" s="978" t="str">
        <f>MID(SUVAHAVUJ!AF20,11,1)</f>
        <v>0</v>
      </c>
      <c r="FP13" s="978"/>
      <c r="FQ13" s="978"/>
      <c r="FR13" s="978"/>
      <c r="FS13" s="978"/>
      <c r="FT13" s="979"/>
      <c r="FU13" s="979"/>
      <c r="FV13" s="979"/>
      <c r="FW13" s="979"/>
      <c r="FX13" s="979"/>
      <c r="FY13" s="979"/>
      <c r="FZ13" s="979"/>
      <c r="GA13" s="979"/>
      <c r="GB13" s="979"/>
      <c r="GC13" s="979"/>
      <c r="GD13" s="979"/>
      <c r="GE13" s="979"/>
      <c r="GF13" s="979"/>
      <c r="GG13" s="979"/>
      <c r="GH13" s="979"/>
      <c r="GI13" s="979"/>
      <c r="GJ13" s="979"/>
      <c r="GK13" s="979"/>
      <c r="GL13" s="979"/>
      <c r="GM13" s="979"/>
      <c r="GN13" s="979"/>
      <c r="GO13" s="979"/>
      <c r="GP13" s="979"/>
      <c r="GQ13" s="979"/>
      <c r="GR13" s="979"/>
      <c r="GS13" s="979"/>
      <c r="GT13" s="979"/>
      <c r="GU13" s="979"/>
      <c r="GV13" s="979"/>
      <c r="GW13" s="979"/>
    </row>
    <row r="14" spans="1:205" ht="23.25" customHeight="1" x14ac:dyDescent="0.3">
      <c r="B14" s="985"/>
      <c r="C14" s="985"/>
      <c r="D14" s="985"/>
      <c r="E14" s="985"/>
      <c r="F14" s="985"/>
      <c r="G14" s="985"/>
      <c r="H14" s="985"/>
      <c r="I14" s="985"/>
      <c r="J14" s="985"/>
      <c r="K14" s="985"/>
      <c r="L14" s="984"/>
      <c r="M14" s="984"/>
      <c r="N14" s="984"/>
      <c r="O14" s="984"/>
      <c r="P14" s="984"/>
      <c r="Q14" s="984"/>
      <c r="R14" s="984"/>
      <c r="S14" s="984"/>
      <c r="T14" s="984"/>
      <c r="U14" s="984"/>
      <c r="V14" s="984"/>
      <c r="W14" s="984"/>
      <c r="X14" s="984"/>
      <c r="Y14" s="984"/>
      <c r="Z14" s="984"/>
      <c r="AA14" s="984"/>
      <c r="AB14" s="984"/>
      <c r="AC14" s="984"/>
      <c r="AD14" s="984"/>
      <c r="AE14" s="984"/>
      <c r="AF14" s="984"/>
      <c r="AG14" s="984"/>
      <c r="AH14" s="984"/>
      <c r="AI14" s="984"/>
      <c r="AJ14" s="984"/>
      <c r="AK14" s="984"/>
      <c r="AL14" s="984"/>
      <c r="AM14" s="984"/>
      <c r="AN14" s="984"/>
      <c r="AO14" s="984"/>
      <c r="AP14" s="984"/>
      <c r="AQ14" s="975"/>
      <c r="AR14" s="975"/>
      <c r="AS14" s="975"/>
      <c r="AT14" s="975"/>
      <c r="AU14" s="975"/>
      <c r="AV14" s="975"/>
      <c r="AW14" s="975"/>
      <c r="AX14" s="975"/>
      <c r="AY14" s="648"/>
      <c r="AZ14" s="649"/>
      <c r="BA14" s="976" t="str">
        <f>MID(SUVAHAVUJ!AE20,1,1)</f>
        <v xml:space="preserve"> </v>
      </c>
      <c r="BB14" s="976"/>
      <c r="BC14" s="976"/>
      <c r="BD14" s="976"/>
      <c r="BE14" s="976"/>
      <c r="BF14" s="976"/>
      <c r="BG14" s="976" t="str">
        <f>MID(SUVAHAVUJ!AE20,2,1)</f>
        <v xml:space="preserve"> </v>
      </c>
      <c r="BH14" s="976"/>
      <c r="BI14" s="976"/>
      <c r="BJ14" s="976"/>
      <c r="BK14" s="976"/>
      <c r="BL14" s="976" t="str">
        <f>MID(SUVAHAVUJ!AE20,3,1)</f>
        <v xml:space="preserve"> </v>
      </c>
      <c r="BM14" s="976"/>
      <c r="BN14" s="976"/>
      <c r="BO14" s="976"/>
      <c r="BP14" s="976"/>
      <c r="BQ14" s="976"/>
      <c r="BR14" s="976" t="str">
        <f>MID(SUVAHAVUJ!AE20,4,1)</f>
        <v xml:space="preserve"> </v>
      </c>
      <c r="BS14" s="976"/>
      <c r="BT14" s="976"/>
      <c r="BU14" s="976"/>
      <c r="BV14" s="976"/>
      <c r="BW14" s="976" t="str">
        <f>MID(SUVAHAVUJ!AE20,5,1)</f>
        <v xml:space="preserve"> </v>
      </c>
      <c r="BX14" s="976"/>
      <c r="BY14" s="976"/>
      <c r="BZ14" s="976"/>
      <c r="CA14" s="976"/>
      <c r="CB14" s="976"/>
      <c r="CC14" s="976" t="str">
        <f>MID(SUVAHAVUJ!AE20,6,1)</f>
        <v xml:space="preserve"> </v>
      </c>
      <c r="CD14" s="976"/>
      <c r="CE14" s="976"/>
      <c r="CF14" s="976"/>
      <c r="CG14" s="976"/>
      <c r="CH14" s="976" t="str">
        <f>MID(SUVAHAVUJ!AE20,7,1)</f>
        <v xml:space="preserve"> </v>
      </c>
      <c r="CI14" s="976"/>
      <c r="CJ14" s="976"/>
      <c r="CK14" s="976"/>
      <c r="CL14" s="976"/>
      <c r="CM14" s="976"/>
      <c r="CN14" s="976" t="str">
        <f>MID(SUVAHAVUJ!AE20,8,1)</f>
        <v xml:space="preserve"> </v>
      </c>
      <c r="CO14" s="976"/>
      <c r="CP14" s="976"/>
      <c r="CQ14" s="976"/>
      <c r="CR14" s="976"/>
      <c r="CS14" s="976" t="str">
        <f>MID(SUVAHAVUJ!AE20,9,1)</f>
        <v xml:space="preserve"> </v>
      </c>
      <c r="CT14" s="976"/>
      <c r="CU14" s="976"/>
      <c r="CV14" s="976"/>
      <c r="CW14" s="976"/>
      <c r="CX14" s="976"/>
      <c r="CY14" s="976" t="str">
        <f>MID(SUVAHAVUJ!AE20,10,1)</f>
        <v xml:space="preserve"> </v>
      </c>
      <c r="CZ14" s="976"/>
      <c r="DA14" s="976"/>
      <c r="DB14" s="976"/>
      <c r="DC14" s="976"/>
      <c r="DD14" s="977" t="str">
        <f>MID(SUVAHAVUJ!AE20,11,1)</f>
        <v>0</v>
      </c>
      <c r="DE14" s="977"/>
      <c r="DF14" s="977"/>
      <c r="DG14" s="977"/>
      <c r="DH14" s="977"/>
      <c r="DI14" s="977"/>
      <c r="DJ14" s="980"/>
      <c r="DK14" s="980"/>
      <c r="DL14" s="980"/>
      <c r="DM14" s="980"/>
      <c r="DN14" s="980"/>
      <c r="DO14" s="980"/>
      <c r="DP14" s="980"/>
      <c r="DQ14" s="980"/>
      <c r="DR14" s="980"/>
      <c r="DS14" s="980"/>
      <c r="DT14" s="980"/>
      <c r="DU14" s="980"/>
      <c r="DV14" s="980"/>
      <c r="DW14" s="980"/>
      <c r="DX14" s="980"/>
      <c r="DY14" s="980"/>
      <c r="DZ14" s="980"/>
      <c r="EA14" s="980"/>
      <c r="EB14" s="980"/>
      <c r="EC14" s="980"/>
      <c r="ED14" s="980"/>
      <c r="EE14" s="980"/>
      <c r="EF14" s="980"/>
      <c r="EG14" s="980"/>
      <c r="EH14" s="980"/>
      <c r="EI14" s="980"/>
      <c r="EJ14" s="980"/>
      <c r="EK14" s="980"/>
      <c r="EL14" s="980"/>
      <c r="EM14" s="980"/>
      <c r="EN14" s="648"/>
      <c r="EO14" s="649"/>
      <c r="EP14" s="976" t="str">
        <f>MID(SUVAHAVUJ!AG20,1,1)</f>
        <v xml:space="preserve"> </v>
      </c>
      <c r="EQ14" s="976"/>
      <c r="ER14" s="976"/>
      <c r="ES14" s="976"/>
      <c r="ET14" s="976"/>
      <c r="EU14" s="976"/>
      <c r="EV14" s="976" t="str">
        <f>MID(SUVAHAVUJ!AG20,2,1)</f>
        <v xml:space="preserve"> </v>
      </c>
      <c r="EW14" s="976"/>
      <c r="EX14" s="976"/>
      <c r="EY14" s="976"/>
      <c r="EZ14" s="976"/>
      <c r="FA14" s="976" t="str">
        <f>MID(SUVAHAVUJ!AG20,3,1)</f>
        <v xml:space="preserve"> </v>
      </c>
      <c r="FB14" s="976"/>
      <c r="FC14" s="976"/>
      <c r="FD14" s="976"/>
      <c r="FE14" s="976"/>
      <c r="FF14" s="976"/>
      <c r="FG14" s="976" t="str">
        <f>MID(SUVAHAVUJ!AG20,4,1)</f>
        <v xml:space="preserve"> </v>
      </c>
      <c r="FH14" s="976"/>
      <c r="FI14" s="976"/>
      <c r="FJ14" s="976"/>
      <c r="FK14" s="976"/>
      <c r="FL14" s="976" t="str">
        <f>MID(SUVAHAVUJ!AG20,5,1)</f>
        <v xml:space="preserve"> </v>
      </c>
      <c r="FM14" s="976"/>
      <c r="FN14" s="976"/>
      <c r="FO14" s="976"/>
      <c r="FP14" s="976"/>
      <c r="FQ14" s="976"/>
      <c r="FR14" s="976" t="str">
        <f>MID(SUVAHAVUJ!AG20,6,1)</f>
        <v xml:space="preserve"> </v>
      </c>
      <c r="FS14" s="976"/>
      <c r="FT14" s="976"/>
      <c r="FU14" s="976"/>
      <c r="FV14" s="976"/>
      <c r="FW14" s="976" t="str">
        <f>MID(SUVAHAVUJ!AG20,7,1)</f>
        <v xml:space="preserve"> </v>
      </c>
      <c r="FX14" s="976"/>
      <c r="FY14" s="976"/>
      <c r="FZ14" s="976"/>
      <c r="GA14" s="976"/>
      <c r="GB14" s="976"/>
      <c r="GC14" s="976" t="str">
        <f>MID(SUVAHAVUJ!AG20,8,1)</f>
        <v xml:space="preserve"> </v>
      </c>
      <c r="GD14" s="976"/>
      <c r="GE14" s="976"/>
      <c r="GF14" s="976"/>
      <c r="GG14" s="976"/>
      <c r="GH14" s="976" t="str">
        <f>MID(SUVAHAVUJ!AG20,9,1)</f>
        <v xml:space="preserve"> </v>
      </c>
      <c r="GI14" s="976"/>
      <c r="GJ14" s="976"/>
      <c r="GK14" s="976"/>
      <c r="GL14" s="976"/>
      <c r="GM14" s="976"/>
      <c r="GN14" s="976" t="str">
        <f>MID(SUVAHAVUJ!AG20,10,1)</f>
        <v xml:space="preserve"> </v>
      </c>
      <c r="GO14" s="976"/>
      <c r="GP14" s="976"/>
      <c r="GQ14" s="976"/>
      <c r="GR14" s="976"/>
      <c r="GS14" s="978" t="str">
        <f>MID(SUVAHAVUJ!AG20,11,1)</f>
        <v>0</v>
      </c>
      <c r="GT14" s="978"/>
      <c r="GU14" s="978"/>
      <c r="GV14" s="978"/>
      <c r="GW14" s="978"/>
    </row>
    <row r="15" spans="1:205" s="650" customFormat="1" ht="24" customHeight="1" x14ac:dyDescent="0.3">
      <c r="B15" s="985" t="s">
        <v>2177</v>
      </c>
      <c r="C15" s="985"/>
      <c r="D15" s="985"/>
      <c r="E15" s="985"/>
      <c r="F15" s="985"/>
      <c r="G15" s="985"/>
      <c r="H15" s="985"/>
      <c r="I15" s="985"/>
      <c r="J15" s="985"/>
      <c r="K15" s="985"/>
      <c r="L15" s="984" t="str">
        <f>SUVAHAVUJ!$D$21</f>
        <v>Poskytnuté preddavky na dlhodobý hmotný majetok (052) - /095A/</v>
      </c>
      <c r="M15" s="984"/>
      <c r="N15" s="984"/>
      <c r="O15" s="984"/>
      <c r="P15" s="984"/>
      <c r="Q15" s="984"/>
      <c r="R15" s="984"/>
      <c r="S15" s="984"/>
      <c r="T15" s="984"/>
      <c r="U15" s="984"/>
      <c r="V15" s="984"/>
      <c r="W15" s="984"/>
      <c r="X15" s="984"/>
      <c r="Y15" s="984"/>
      <c r="Z15" s="984"/>
      <c r="AA15" s="984"/>
      <c r="AB15" s="984"/>
      <c r="AC15" s="984"/>
      <c r="AD15" s="984"/>
      <c r="AE15" s="984"/>
      <c r="AF15" s="984"/>
      <c r="AG15" s="984"/>
      <c r="AH15" s="984"/>
      <c r="AI15" s="984"/>
      <c r="AJ15" s="984"/>
      <c r="AK15" s="984"/>
      <c r="AL15" s="984"/>
      <c r="AM15" s="984"/>
      <c r="AN15" s="984"/>
      <c r="AO15" s="984"/>
      <c r="AP15" s="984"/>
      <c r="AQ15" s="975" t="s">
        <v>1246</v>
      </c>
      <c r="AR15" s="975"/>
      <c r="AS15" s="975"/>
      <c r="AT15" s="975"/>
      <c r="AU15" s="975"/>
      <c r="AV15" s="975"/>
      <c r="AW15" s="975"/>
      <c r="AX15" s="975"/>
      <c r="AY15" s="648"/>
      <c r="AZ15" s="649"/>
      <c r="BA15" s="976" t="str">
        <f>MID(SUVAHAVUJ!AD21,1,1)</f>
        <v xml:space="preserve"> </v>
      </c>
      <c r="BB15" s="976"/>
      <c r="BC15" s="976"/>
      <c r="BD15" s="976"/>
      <c r="BE15" s="976"/>
      <c r="BF15" s="976"/>
      <c r="BG15" s="976" t="str">
        <f>MID(SUVAHAVUJ!AD21,2,1)</f>
        <v xml:space="preserve"> </v>
      </c>
      <c r="BH15" s="976"/>
      <c r="BI15" s="976"/>
      <c r="BJ15" s="976"/>
      <c r="BK15" s="976"/>
      <c r="BL15" s="976" t="str">
        <f>MID(SUVAHAVUJ!AD21,3,1)</f>
        <v xml:space="preserve"> </v>
      </c>
      <c r="BM15" s="976"/>
      <c r="BN15" s="976"/>
      <c r="BO15" s="976"/>
      <c r="BP15" s="976"/>
      <c r="BQ15" s="976"/>
      <c r="BR15" s="976" t="str">
        <f>MID(SUVAHAVUJ!AD21,4,1)</f>
        <v xml:space="preserve"> </v>
      </c>
      <c r="BS15" s="976"/>
      <c r="BT15" s="976"/>
      <c r="BU15" s="976"/>
      <c r="BV15" s="976"/>
      <c r="BW15" s="976" t="str">
        <f>MID(SUVAHAVUJ!AD21,5,1)</f>
        <v xml:space="preserve"> </v>
      </c>
      <c r="BX15" s="976"/>
      <c r="BY15" s="976"/>
      <c r="BZ15" s="976"/>
      <c r="CA15" s="976"/>
      <c r="CB15" s="976"/>
      <c r="CC15" s="976" t="str">
        <f>MID(SUVAHAVUJ!AD21,6,1)</f>
        <v xml:space="preserve"> </v>
      </c>
      <c r="CD15" s="976"/>
      <c r="CE15" s="976"/>
      <c r="CF15" s="976"/>
      <c r="CG15" s="976"/>
      <c r="CH15" s="976" t="str">
        <f>MID(SUVAHAVUJ!AD21,7,1)</f>
        <v xml:space="preserve"> </v>
      </c>
      <c r="CI15" s="976"/>
      <c r="CJ15" s="976"/>
      <c r="CK15" s="976"/>
      <c r="CL15" s="976"/>
      <c r="CM15" s="976"/>
      <c r="CN15" s="976" t="str">
        <f>MID(SUVAHAVUJ!AD21,8,1)</f>
        <v xml:space="preserve"> </v>
      </c>
      <c r="CO15" s="976"/>
      <c r="CP15" s="976"/>
      <c r="CQ15" s="976"/>
      <c r="CR15" s="976"/>
      <c r="CS15" s="976" t="str">
        <f>MID(SUVAHAVUJ!AD21,9,1)</f>
        <v xml:space="preserve"> </v>
      </c>
      <c r="CT15" s="976"/>
      <c r="CU15" s="976"/>
      <c r="CV15" s="976"/>
      <c r="CW15" s="976"/>
      <c r="CX15" s="976"/>
      <c r="CY15" s="976" t="str">
        <f>MID(SUVAHAVUJ!AD21,10,1)</f>
        <v xml:space="preserve"> </v>
      </c>
      <c r="CZ15" s="976"/>
      <c r="DA15" s="976"/>
      <c r="DB15" s="976"/>
      <c r="DC15" s="976"/>
      <c r="DD15" s="977" t="str">
        <f>MID(SUVAHAVUJ!AD21,11,1)</f>
        <v>0</v>
      </c>
      <c r="DE15" s="977"/>
      <c r="DF15" s="977"/>
      <c r="DG15" s="977"/>
      <c r="DH15" s="977"/>
      <c r="DI15" s="977"/>
      <c r="DJ15" s="648"/>
      <c r="DK15" s="649"/>
      <c r="DL15" s="976" t="str">
        <f>MID(SUVAHAVUJ!AF21,1,1)</f>
        <v xml:space="preserve"> </v>
      </c>
      <c r="DM15" s="976"/>
      <c r="DN15" s="976"/>
      <c r="DO15" s="976"/>
      <c r="DP15" s="976"/>
      <c r="DQ15" s="976"/>
      <c r="DR15" s="976" t="str">
        <f>MID(SUVAHAVUJ!AF21,2,1)</f>
        <v xml:space="preserve"> </v>
      </c>
      <c r="DS15" s="976"/>
      <c r="DT15" s="976"/>
      <c r="DU15" s="976"/>
      <c r="DV15" s="976"/>
      <c r="DW15" s="976" t="str">
        <f>MID(SUVAHAVUJ!AF21,3,1)</f>
        <v xml:space="preserve"> </v>
      </c>
      <c r="DX15" s="976"/>
      <c r="DY15" s="976"/>
      <c r="DZ15" s="976"/>
      <c r="EA15" s="976"/>
      <c r="EB15" s="976"/>
      <c r="EC15" s="976" t="str">
        <f>MID(SUVAHAVUJ!AF21,4,1)</f>
        <v xml:space="preserve"> </v>
      </c>
      <c r="ED15" s="976"/>
      <c r="EE15" s="976"/>
      <c r="EF15" s="976"/>
      <c r="EG15" s="976"/>
      <c r="EH15" s="976" t="str">
        <f>MID(SUVAHAVUJ!AF21,5,1)</f>
        <v xml:space="preserve"> </v>
      </c>
      <c r="EI15" s="976"/>
      <c r="EJ15" s="976"/>
      <c r="EK15" s="976"/>
      <c r="EL15" s="976"/>
      <c r="EM15" s="976"/>
      <c r="EN15" s="976" t="str">
        <f>MID(SUVAHAVUJ!AF21,6,1)</f>
        <v xml:space="preserve"> </v>
      </c>
      <c r="EO15" s="976"/>
      <c r="EP15" s="976"/>
      <c r="EQ15" s="976"/>
      <c r="ER15" s="976"/>
      <c r="ES15" s="976" t="str">
        <f>MID(SUVAHAVUJ!AF21,7,1)</f>
        <v xml:space="preserve"> </v>
      </c>
      <c r="ET15" s="976"/>
      <c r="EU15" s="976"/>
      <c r="EV15" s="976"/>
      <c r="EW15" s="976"/>
      <c r="EX15" s="976"/>
      <c r="EY15" s="976" t="str">
        <f>MID(SUVAHAVUJ!AF21,8,1)</f>
        <v xml:space="preserve"> </v>
      </c>
      <c r="EZ15" s="976"/>
      <c r="FA15" s="976"/>
      <c r="FB15" s="976"/>
      <c r="FC15" s="976"/>
      <c r="FD15" s="976" t="str">
        <f>MID(SUVAHAVUJ!AF21,9,1)</f>
        <v xml:space="preserve"> </v>
      </c>
      <c r="FE15" s="976"/>
      <c r="FF15" s="976"/>
      <c r="FG15" s="976"/>
      <c r="FH15" s="976"/>
      <c r="FI15" s="976"/>
      <c r="FJ15" s="976" t="str">
        <f>MID(SUVAHAVUJ!AF21,10,1)</f>
        <v xml:space="preserve"> </v>
      </c>
      <c r="FK15" s="976"/>
      <c r="FL15" s="976"/>
      <c r="FM15" s="976"/>
      <c r="FN15" s="976"/>
      <c r="FO15" s="978" t="str">
        <f>MID(SUVAHAVUJ!AF21,11,1)</f>
        <v>0</v>
      </c>
      <c r="FP15" s="978"/>
      <c r="FQ15" s="978"/>
      <c r="FR15" s="978"/>
      <c r="FS15" s="978"/>
      <c r="FT15" s="979"/>
      <c r="FU15" s="979"/>
      <c r="FV15" s="979"/>
      <c r="FW15" s="979"/>
      <c r="FX15" s="979"/>
      <c r="FY15" s="979"/>
      <c r="FZ15" s="979"/>
      <c r="GA15" s="979"/>
      <c r="GB15" s="979"/>
      <c r="GC15" s="979"/>
      <c r="GD15" s="979"/>
      <c r="GE15" s="979"/>
      <c r="GF15" s="979"/>
      <c r="GG15" s="979"/>
      <c r="GH15" s="979"/>
      <c r="GI15" s="979"/>
      <c r="GJ15" s="979"/>
      <c r="GK15" s="979"/>
      <c r="GL15" s="979"/>
      <c r="GM15" s="979"/>
      <c r="GN15" s="979"/>
      <c r="GO15" s="979"/>
      <c r="GP15" s="979"/>
      <c r="GQ15" s="979"/>
      <c r="GR15" s="979"/>
      <c r="GS15" s="979"/>
      <c r="GT15" s="979"/>
      <c r="GU15" s="979"/>
      <c r="GV15" s="979"/>
      <c r="GW15" s="979"/>
    </row>
    <row r="16" spans="1:205" ht="24.75" customHeight="1" x14ac:dyDescent="0.3">
      <c r="B16" s="985"/>
      <c r="C16" s="985"/>
      <c r="D16" s="985"/>
      <c r="E16" s="985"/>
      <c r="F16" s="985"/>
      <c r="G16" s="985"/>
      <c r="H16" s="985"/>
      <c r="I16" s="985"/>
      <c r="J16" s="985"/>
      <c r="K16" s="985"/>
      <c r="L16" s="984"/>
      <c r="M16" s="984"/>
      <c r="N16" s="984"/>
      <c r="O16" s="984"/>
      <c r="P16" s="984"/>
      <c r="Q16" s="984"/>
      <c r="R16" s="984"/>
      <c r="S16" s="984"/>
      <c r="T16" s="984"/>
      <c r="U16" s="984"/>
      <c r="V16" s="984"/>
      <c r="W16" s="984"/>
      <c r="X16" s="984"/>
      <c r="Y16" s="984"/>
      <c r="Z16" s="984"/>
      <c r="AA16" s="984"/>
      <c r="AB16" s="984"/>
      <c r="AC16" s="984"/>
      <c r="AD16" s="984"/>
      <c r="AE16" s="984"/>
      <c r="AF16" s="984"/>
      <c r="AG16" s="984"/>
      <c r="AH16" s="984"/>
      <c r="AI16" s="984"/>
      <c r="AJ16" s="984"/>
      <c r="AK16" s="984"/>
      <c r="AL16" s="984"/>
      <c r="AM16" s="984"/>
      <c r="AN16" s="984"/>
      <c r="AO16" s="984"/>
      <c r="AP16" s="984"/>
      <c r="AQ16" s="975"/>
      <c r="AR16" s="975"/>
      <c r="AS16" s="975"/>
      <c r="AT16" s="975"/>
      <c r="AU16" s="975"/>
      <c r="AV16" s="975"/>
      <c r="AW16" s="975"/>
      <c r="AX16" s="975"/>
      <c r="AY16" s="648"/>
      <c r="AZ16" s="649"/>
      <c r="BA16" s="976" t="str">
        <f>MID(SUVAHAVUJ!AE21,1,1)</f>
        <v xml:space="preserve"> </v>
      </c>
      <c r="BB16" s="976"/>
      <c r="BC16" s="976"/>
      <c r="BD16" s="976"/>
      <c r="BE16" s="976"/>
      <c r="BF16" s="976"/>
      <c r="BG16" s="976" t="str">
        <f>MID(SUVAHAVUJ!AE21,2,1)</f>
        <v xml:space="preserve"> </v>
      </c>
      <c r="BH16" s="976"/>
      <c r="BI16" s="976"/>
      <c r="BJ16" s="976"/>
      <c r="BK16" s="976"/>
      <c r="BL16" s="976" t="str">
        <f>MID(SUVAHAVUJ!AE21,3,1)</f>
        <v xml:space="preserve"> </v>
      </c>
      <c r="BM16" s="976"/>
      <c r="BN16" s="976"/>
      <c r="BO16" s="976"/>
      <c r="BP16" s="976"/>
      <c r="BQ16" s="976"/>
      <c r="BR16" s="976" t="str">
        <f>MID(SUVAHAVUJ!AE21,4,1)</f>
        <v xml:space="preserve"> </v>
      </c>
      <c r="BS16" s="976"/>
      <c r="BT16" s="976"/>
      <c r="BU16" s="976"/>
      <c r="BV16" s="976"/>
      <c r="BW16" s="976" t="str">
        <f>MID(SUVAHAVUJ!AE21,5,1)</f>
        <v xml:space="preserve"> </v>
      </c>
      <c r="BX16" s="976"/>
      <c r="BY16" s="976"/>
      <c r="BZ16" s="976"/>
      <c r="CA16" s="976"/>
      <c r="CB16" s="976"/>
      <c r="CC16" s="976" t="str">
        <f>MID(SUVAHAVUJ!AE21,6,1)</f>
        <v xml:space="preserve"> </v>
      </c>
      <c r="CD16" s="976"/>
      <c r="CE16" s="976"/>
      <c r="CF16" s="976"/>
      <c r="CG16" s="976"/>
      <c r="CH16" s="976" t="str">
        <f>MID(SUVAHAVUJ!AE21,7,1)</f>
        <v xml:space="preserve"> </v>
      </c>
      <c r="CI16" s="976"/>
      <c r="CJ16" s="976"/>
      <c r="CK16" s="976"/>
      <c r="CL16" s="976"/>
      <c r="CM16" s="976"/>
      <c r="CN16" s="976" t="str">
        <f>MID(SUVAHAVUJ!AE21,8,1)</f>
        <v xml:space="preserve"> </v>
      </c>
      <c r="CO16" s="976"/>
      <c r="CP16" s="976"/>
      <c r="CQ16" s="976"/>
      <c r="CR16" s="976"/>
      <c r="CS16" s="976" t="str">
        <f>MID(SUVAHAVUJ!AE21,9,1)</f>
        <v xml:space="preserve"> </v>
      </c>
      <c r="CT16" s="976"/>
      <c r="CU16" s="976"/>
      <c r="CV16" s="976"/>
      <c r="CW16" s="976"/>
      <c r="CX16" s="976"/>
      <c r="CY16" s="976" t="str">
        <f>MID(SUVAHAVUJ!AE21,10,1)</f>
        <v xml:space="preserve"> </v>
      </c>
      <c r="CZ16" s="976"/>
      <c r="DA16" s="976"/>
      <c r="DB16" s="976"/>
      <c r="DC16" s="976"/>
      <c r="DD16" s="977" t="str">
        <f>MID(SUVAHAVUJ!AE21,11,1)</f>
        <v>0</v>
      </c>
      <c r="DE16" s="977"/>
      <c r="DF16" s="977"/>
      <c r="DG16" s="977"/>
      <c r="DH16" s="977"/>
      <c r="DI16" s="977"/>
      <c r="DJ16" s="980"/>
      <c r="DK16" s="980"/>
      <c r="DL16" s="980"/>
      <c r="DM16" s="980"/>
      <c r="DN16" s="980"/>
      <c r="DO16" s="980"/>
      <c r="DP16" s="980"/>
      <c r="DQ16" s="980"/>
      <c r="DR16" s="980"/>
      <c r="DS16" s="980"/>
      <c r="DT16" s="980"/>
      <c r="DU16" s="980"/>
      <c r="DV16" s="980"/>
      <c r="DW16" s="980"/>
      <c r="DX16" s="980"/>
      <c r="DY16" s="980"/>
      <c r="DZ16" s="980"/>
      <c r="EA16" s="980"/>
      <c r="EB16" s="980"/>
      <c r="EC16" s="980"/>
      <c r="ED16" s="980"/>
      <c r="EE16" s="980"/>
      <c r="EF16" s="980"/>
      <c r="EG16" s="980"/>
      <c r="EH16" s="980"/>
      <c r="EI16" s="980"/>
      <c r="EJ16" s="980"/>
      <c r="EK16" s="980"/>
      <c r="EL16" s="980"/>
      <c r="EM16" s="980"/>
      <c r="EN16" s="648"/>
      <c r="EO16" s="649"/>
      <c r="EP16" s="976" t="str">
        <f>MID(SUVAHAVUJ!AG21,1,1)</f>
        <v xml:space="preserve"> </v>
      </c>
      <c r="EQ16" s="976"/>
      <c r="ER16" s="976"/>
      <c r="ES16" s="976"/>
      <c r="ET16" s="976"/>
      <c r="EU16" s="976"/>
      <c r="EV16" s="976" t="str">
        <f>MID(SUVAHAVUJ!AG21,2,1)</f>
        <v xml:space="preserve"> </v>
      </c>
      <c r="EW16" s="976"/>
      <c r="EX16" s="976"/>
      <c r="EY16" s="976"/>
      <c r="EZ16" s="976"/>
      <c r="FA16" s="976" t="str">
        <f>MID(SUVAHAVUJ!AG21,3,1)</f>
        <v xml:space="preserve"> </v>
      </c>
      <c r="FB16" s="976"/>
      <c r="FC16" s="976"/>
      <c r="FD16" s="976"/>
      <c r="FE16" s="976"/>
      <c r="FF16" s="976"/>
      <c r="FG16" s="976" t="str">
        <f>MID(SUVAHAVUJ!AG21,4,1)</f>
        <v xml:space="preserve"> </v>
      </c>
      <c r="FH16" s="976"/>
      <c r="FI16" s="976"/>
      <c r="FJ16" s="976"/>
      <c r="FK16" s="976"/>
      <c r="FL16" s="976" t="str">
        <f>MID(SUVAHAVUJ!AG21,5,1)</f>
        <v xml:space="preserve"> </v>
      </c>
      <c r="FM16" s="976"/>
      <c r="FN16" s="976"/>
      <c r="FO16" s="976"/>
      <c r="FP16" s="976"/>
      <c r="FQ16" s="976"/>
      <c r="FR16" s="976" t="str">
        <f>MID(SUVAHAVUJ!AG21,6,1)</f>
        <v xml:space="preserve"> </v>
      </c>
      <c r="FS16" s="976"/>
      <c r="FT16" s="976"/>
      <c r="FU16" s="976"/>
      <c r="FV16" s="976"/>
      <c r="FW16" s="976" t="str">
        <f>MID(SUVAHAVUJ!AG21,7,1)</f>
        <v xml:space="preserve"> </v>
      </c>
      <c r="FX16" s="976"/>
      <c r="FY16" s="976"/>
      <c r="FZ16" s="976"/>
      <c r="GA16" s="976"/>
      <c r="GB16" s="976"/>
      <c r="GC16" s="976" t="str">
        <f>MID(SUVAHAVUJ!AG21,8,1)</f>
        <v xml:space="preserve"> </v>
      </c>
      <c r="GD16" s="976"/>
      <c r="GE16" s="976"/>
      <c r="GF16" s="976"/>
      <c r="GG16" s="976"/>
      <c r="GH16" s="976" t="str">
        <f>MID(SUVAHAVUJ!AG21,9,1)</f>
        <v xml:space="preserve"> </v>
      </c>
      <c r="GI16" s="976"/>
      <c r="GJ16" s="976"/>
      <c r="GK16" s="976"/>
      <c r="GL16" s="976"/>
      <c r="GM16" s="976"/>
      <c r="GN16" s="976" t="str">
        <f>MID(SUVAHAVUJ!AG21,10,1)</f>
        <v xml:space="preserve"> </v>
      </c>
      <c r="GO16" s="976"/>
      <c r="GP16" s="976"/>
      <c r="GQ16" s="976"/>
      <c r="GR16" s="976"/>
      <c r="GS16" s="978" t="str">
        <f>MID(SUVAHAVUJ!AG21,11,1)</f>
        <v>0</v>
      </c>
      <c r="GT16" s="978"/>
      <c r="GU16" s="978"/>
      <c r="GV16" s="978"/>
      <c r="GW16" s="978"/>
    </row>
    <row r="17" spans="2:205" s="650" customFormat="1" ht="23.25" customHeight="1" x14ac:dyDescent="0.3">
      <c r="B17" s="985" t="s">
        <v>2178</v>
      </c>
      <c r="C17" s="985"/>
      <c r="D17" s="985"/>
      <c r="E17" s="985"/>
      <c r="F17" s="985"/>
      <c r="G17" s="985"/>
      <c r="H17" s="985"/>
      <c r="I17" s="985"/>
      <c r="J17" s="985"/>
      <c r="K17" s="985"/>
      <c r="L17" s="984" t="str">
        <f>SUVAHAVUJ!$D$22</f>
        <v>Opravná položka k nadobudnutému majetku 
(+/- 097) +/- 098</v>
      </c>
      <c r="M17" s="984"/>
      <c r="N17" s="984"/>
      <c r="O17" s="984"/>
      <c r="P17" s="984"/>
      <c r="Q17" s="984"/>
      <c r="R17" s="984"/>
      <c r="S17" s="984"/>
      <c r="T17" s="984"/>
      <c r="U17" s="984"/>
      <c r="V17" s="984"/>
      <c r="W17" s="984"/>
      <c r="X17" s="984"/>
      <c r="Y17" s="984"/>
      <c r="Z17" s="984"/>
      <c r="AA17" s="984"/>
      <c r="AB17" s="984"/>
      <c r="AC17" s="984"/>
      <c r="AD17" s="984"/>
      <c r="AE17" s="984"/>
      <c r="AF17" s="984"/>
      <c r="AG17" s="984"/>
      <c r="AH17" s="984"/>
      <c r="AI17" s="984"/>
      <c r="AJ17" s="984"/>
      <c r="AK17" s="984"/>
      <c r="AL17" s="984"/>
      <c r="AM17" s="984"/>
      <c r="AN17" s="984"/>
      <c r="AO17" s="984"/>
      <c r="AP17" s="984"/>
      <c r="AQ17" s="975" t="s">
        <v>2179</v>
      </c>
      <c r="AR17" s="975"/>
      <c r="AS17" s="975"/>
      <c r="AT17" s="975"/>
      <c r="AU17" s="975"/>
      <c r="AV17" s="975"/>
      <c r="AW17" s="975"/>
      <c r="AX17" s="975"/>
      <c r="AY17" s="648"/>
      <c r="AZ17" s="649"/>
      <c r="BA17" s="982" t="str">
        <f>MID(SUVAHAVUJ!AD22,1,1)</f>
        <v xml:space="preserve"> </v>
      </c>
      <c r="BB17" s="982"/>
      <c r="BC17" s="982"/>
      <c r="BD17" s="982"/>
      <c r="BE17" s="982"/>
      <c r="BF17" s="982"/>
      <c r="BG17" s="982" t="str">
        <f>MID(SUVAHAVUJ!AD22,2,1)</f>
        <v xml:space="preserve"> </v>
      </c>
      <c r="BH17" s="982"/>
      <c r="BI17" s="982"/>
      <c r="BJ17" s="982"/>
      <c r="BK17" s="982"/>
      <c r="BL17" s="982" t="str">
        <f>MID(SUVAHAVUJ!AD22,3,1)</f>
        <v xml:space="preserve"> </v>
      </c>
      <c r="BM17" s="982"/>
      <c r="BN17" s="982"/>
      <c r="BO17" s="982"/>
      <c r="BP17" s="982"/>
      <c r="BQ17" s="982"/>
      <c r="BR17" s="982" t="str">
        <f>MID(SUVAHAVUJ!AD22,4,1)</f>
        <v xml:space="preserve"> </v>
      </c>
      <c r="BS17" s="982"/>
      <c r="BT17" s="982"/>
      <c r="BU17" s="982"/>
      <c r="BV17" s="982"/>
      <c r="BW17" s="982" t="str">
        <f>MID(SUVAHAVUJ!AD22,5,1)</f>
        <v xml:space="preserve"> </v>
      </c>
      <c r="BX17" s="982"/>
      <c r="BY17" s="982"/>
      <c r="BZ17" s="982"/>
      <c r="CA17" s="982"/>
      <c r="CB17" s="982"/>
      <c r="CC17" s="982" t="str">
        <f>MID(SUVAHAVUJ!AD22,6,1)</f>
        <v xml:space="preserve"> </v>
      </c>
      <c r="CD17" s="982"/>
      <c r="CE17" s="982"/>
      <c r="CF17" s="982"/>
      <c r="CG17" s="982"/>
      <c r="CH17" s="982" t="str">
        <f>MID(SUVAHAVUJ!AD22,7,1)</f>
        <v xml:space="preserve"> </v>
      </c>
      <c r="CI17" s="982"/>
      <c r="CJ17" s="982"/>
      <c r="CK17" s="982"/>
      <c r="CL17" s="982"/>
      <c r="CM17" s="982"/>
      <c r="CN17" s="982" t="str">
        <f>MID(SUVAHAVUJ!AD22,8,1)</f>
        <v xml:space="preserve"> </v>
      </c>
      <c r="CO17" s="982"/>
      <c r="CP17" s="982"/>
      <c r="CQ17" s="982"/>
      <c r="CR17" s="982"/>
      <c r="CS17" s="982" t="str">
        <f>MID(SUVAHAVUJ!AD22,9,1)</f>
        <v xml:space="preserve"> </v>
      </c>
      <c r="CT17" s="982"/>
      <c r="CU17" s="982"/>
      <c r="CV17" s="982"/>
      <c r="CW17" s="982"/>
      <c r="CX17" s="982"/>
      <c r="CY17" s="982" t="str">
        <f>MID(SUVAHAVUJ!AD22,10,1)</f>
        <v xml:space="preserve"> </v>
      </c>
      <c r="CZ17" s="982"/>
      <c r="DA17" s="982"/>
      <c r="DB17" s="982"/>
      <c r="DC17" s="982"/>
      <c r="DD17" s="978" t="str">
        <f>MID(SUVAHAVUJ!AD22,11,1)</f>
        <v>0</v>
      </c>
      <c r="DE17" s="978"/>
      <c r="DF17" s="978"/>
      <c r="DG17" s="978"/>
      <c r="DH17" s="978"/>
      <c r="DI17" s="978"/>
      <c r="DJ17" s="648"/>
      <c r="DK17" s="649"/>
      <c r="DL17" s="976" t="str">
        <f>MID(SUVAHAVUJ!AF22,1,1)</f>
        <v xml:space="preserve"> </v>
      </c>
      <c r="DM17" s="976"/>
      <c r="DN17" s="976"/>
      <c r="DO17" s="976"/>
      <c r="DP17" s="976"/>
      <c r="DQ17" s="976"/>
      <c r="DR17" s="976" t="str">
        <f>MID(SUVAHAVUJ!AF22,2,1)</f>
        <v xml:space="preserve"> </v>
      </c>
      <c r="DS17" s="976"/>
      <c r="DT17" s="976"/>
      <c r="DU17" s="976"/>
      <c r="DV17" s="976"/>
      <c r="DW17" s="976" t="str">
        <f>MID(SUVAHAVUJ!AF22,3,1)</f>
        <v xml:space="preserve"> </v>
      </c>
      <c r="DX17" s="976"/>
      <c r="DY17" s="976"/>
      <c r="DZ17" s="976"/>
      <c r="EA17" s="976"/>
      <c r="EB17" s="976"/>
      <c r="EC17" s="976" t="str">
        <f>MID(SUVAHAVUJ!AF22,4,1)</f>
        <v xml:space="preserve"> </v>
      </c>
      <c r="ED17" s="976"/>
      <c r="EE17" s="976"/>
      <c r="EF17" s="976"/>
      <c r="EG17" s="976"/>
      <c r="EH17" s="976" t="str">
        <f>MID(SUVAHAVUJ!AF22,5,1)</f>
        <v xml:space="preserve"> </v>
      </c>
      <c r="EI17" s="976"/>
      <c r="EJ17" s="976"/>
      <c r="EK17" s="976"/>
      <c r="EL17" s="976"/>
      <c r="EM17" s="976"/>
      <c r="EN17" s="976" t="str">
        <f>MID(SUVAHAVUJ!AF22,6,1)</f>
        <v xml:space="preserve"> </v>
      </c>
      <c r="EO17" s="976"/>
      <c r="EP17" s="976"/>
      <c r="EQ17" s="976"/>
      <c r="ER17" s="976"/>
      <c r="ES17" s="976" t="str">
        <f>MID(SUVAHAVUJ!AF22,7,1)</f>
        <v xml:space="preserve"> </v>
      </c>
      <c r="ET17" s="976"/>
      <c r="EU17" s="976"/>
      <c r="EV17" s="976"/>
      <c r="EW17" s="976"/>
      <c r="EX17" s="976"/>
      <c r="EY17" s="976" t="str">
        <f>MID(SUVAHAVUJ!AF22,8,1)</f>
        <v xml:space="preserve"> </v>
      </c>
      <c r="EZ17" s="976"/>
      <c r="FA17" s="976"/>
      <c r="FB17" s="976"/>
      <c r="FC17" s="976"/>
      <c r="FD17" s="976" t="str">
        <f>MID(SUVAHAVUJ!AF22,9,1)</f>
        <v xml:space="preserve"> </v>
      </c>
      <c r="FE17" s="976"/>
      <c r="FF17" s="976"/>
      <c r="FG17" s="976"/>
      <c r="FH17" s="976"/>
      <c r="FI17" s="976"/>
      <c r="FJ17" s="976" t="str">
        <f>MID(SUVAHAVUJ!AF22,10,1)</f>
        <v xml:space="preserve"> </v>
      </c>
      <c r="FK17" s="976"/>
      <c r="FL17" s="976"/>
      <c r="FM17" s="976"/>
      <c r="FN17" s="976"/>
      <c r="FO17" s="978" t="str">
        <f>MID(SUVAHAVUJ!AF22,11,1)</f>
        <v>0</v>
      </c>
      <c r="FP17" s="978"/>
      <c r="FQ17" s="978"/>
      <c r="FR17" s="978"/>
      <c r="FS17" s="978"/>
      <c r="FT17" s="979"/>
      <c r="FU17" s="979"/>
      <c r="FV17" s="979"/>
      <c r="FW17" s="979"/>
      <c r="FX17" s="979"/>
      <c r="FY17" s="979"/>
      <c r="FZ17" s="979"/>
      <c r="GA17" s="979"/>
      <c r="GB17" s="979"/>
      <c r="GC17" s="979"/>
      <c r="GD17" s="979"/>
      <c r="GE17" s="979"/>
      <c r="GF17" s="979"/>
      <c r="GG17" s="979"/>
      <c r="GH17" s="979"/>
      <c r="GI17" s="979"/>
      <c r="GJ17" s="979"/>
      <c r="GK17" s="979"/>
      <c r="GL17" s="979"/>
      <c r="GM17" s="979"/>
      <c r="GN17" s="979"/>
      <c r="GO17" s="979"/>
      <c r="GP17" s="979"/>
      <c r="GQ17" s="979"/>
      <c r="GR17" s="979"/>
      <c r="GS17" s="979"/>
      <c r="GT17" s="979"/>
      <c r="GU17" s="979"/>
      <c r="GV17" s="979"/>
      <c r="GW17" s="979"/>
    </row>
    <row r="18" spans="2:205" ht="23.25" customHeight="1" x14ac:dyDescent="0.3">
      <c r="B18" s="985"/>
      <c r="C18" s="985"/>
      <c r="D18" s="985"/>
      <c r="E18" s="985"/>
      <c r="F18" s="985"/>
      <c r="G18" s="985"/>
      <c r="H18" s="985"/>
      <c r="I18" s="985"/>
      <c r="J18" s="985"/>
      <c r="K18" s="985"/>
      <c r="L18" s="984"/>
      <c r="M18" s="984"/>
      <c r="N18" s="984"/>
      <c r="O18" s="984"/>
      <c r="P18" s="984"/>
      <c r="Q18" s="984"/>
      <c r="R18" s="984"/>
      <c r="S18" s="984"/>
      <c r="T18" s="984"/>
      <c r="U18" s="984"/>
      <c r="V18" s="984"/>
      <c r="W18" s="984"/>
      <c r="X18" s="984"/>
      <c r="Y18" s="984"/>
      <c r="Z18" s="984"/>
      <c r="AA18" s="984"/>
      <c r="AB18" s="984"/>
      <c r="AC18" s="984"/>
      <c r="AD18" s="984"/>
      <c r="AE18" s="984"/>
      <c r="AF18" s="984"/>
      <c r="AG18" s="984"/>
      <c r="AH18" s="984"/>
      <c r="AI18" s="984"/>
      <c r="AJ18" s="984"/>
      <c r="AK18" s="984"/>
      <c r="AL18" s="984"/>
      <c r="AM18" s="984"/>
      <c r="AN18" s="984"/>
      <c r="AO18" s="984"/>
      <c r="AP18" s="984"/>
      <c r="AQ18" s="975"/>
      <c r="AR18" s="975"/>
      <c r="AS18" s="975"/>
      <c r="AT18" s="975"/>
      <c r="AU18" s="975"/>
      <c r="AV18" s="975"/>
      <c r="AW18" s="975"/>
      <c r="AX18" s="975"/>
      <c r="AY18" s="648"/>
      <c r="AZ18" s="649"/>
      <c r="BA18" s="976" t="str">
        <f>MID(SUVAHAVUJ!AE22,1,1)</f>
        <v xml:space="preserve"> </v>
      </c>
      <c r="BB18" s="976"/>
      <c r="BC18" s="976"/>
      <c r="BD18" s="976"/>
      <c r="BE18" s="976"/>
      <c r="BF18" s="976"/>
      <c r="BG18" s="976" t="str">
        <f>MID(SUVAHAVUJ!AE22,2,1)</f>
        <v xml:space="preserve"> </v>
      </c>
      <c r="BH18" s="976"/>
      <c r="BI18" s="976"/>
      <c r="BJ18" s="976"/>
      <c r="BK18" s="976"/>
      <c r="BL18" s="976" t="str">
        <f>MID(SUVAHAVUJ!AE22,3,1)</f>
        <v xml:space="preserve"> </v>
      </c>
      <c r="BM18" s="976"/>
      <c r="BN18" s="976"/>
      <c r="BO18" s="976"/>
      <c r="BP18" s="976"/>
      <c r="BQ18" s="976"/>
      <c r="BR18" s="976" t="str">
        <f>MID(SUVAHAVUJ!AE22,4,1)</f>
        <v xml:space="preserve"> </v>
      </c>
      <c r="BS18" s="976"/>
      <c r="BT18" s="976"/>
      <c r="BU18" s="976"/>
      <c r="BV18" s="976"/>
      <c r="BW18" s="976" t="str">
        <f>MID(SUVAHAVUJ!AE22,5,1)</f>
        <v xml:space="preserve"> </v>
      </c>
      <c r="BX18" s="976"/>
      <c r="BY18" s="976"/>
      <c r="BZ18" s="976"/>
      <c r="CA18" s="976"/>
      <c r="CB18" s="976"/>
      <c r="CC18" s="976" t="str">
        <f>MID(SUVAHAVUJ!AE22,6,1)</f>
        <v xml:space="preserve"> </v>
      </c>
      <c r="CD18" s="976"/>
      <c r="CE18" s="976"/>
      <c r="CF18" s="976"/>
      <c r="CG18" s="976"/>
      <c r="CH18" s="976" t="str">
        <f>MID(SUVAHAVUJ!AE22,7,1)</f>
        <v xml:space="preserve"> </v>
      </c>
      <c r="CI18" s="976"/>
      <c r="CJ18" s="976"/>
      <c r="CK18" s="976"/>
      <c r="CL18" s="976"/>
      <c r="CM18" s="976"/>
      <c r="CN18" s="976" t="str">
        <f>MID(SUVAHAVUJ!AE22,8,1)</f>
        <v xml:space="preserve"> </v>
      </c>
      <c r="CO18" s="976"/>
      <c r="CP18" s="976"/>
      <c r="CQ18" s="976"/>
      <c r="CR18" s="976"/>
      <c r="CS18" s="976" t="str">
        <f>MID(SUVAHAVUJ!AE22,9,1)</f>
        <v xml:space="preserve"> </v>
      </c>
      <c r="CT18" s="976"/>
      <c r="CU18" s="976"/>
      <c r="CV18" s="976"/>
      <c r="CW18" s="976"/>
      <c r="CX18" s="976"/>
      <c r="CY18" s="976" t="str">
        <f>MID(SUVAHAVUJ!AE22,10,1)</f>
        <v xml:space="preserve"> </v>
      </c>
      <c r="CZ18" s="976"/>
      <c r="DA18" s="976"/>
      <c r="DB18" s="976"/>
      <c r="DC18" s="976"/>
      <c r="DD18" s="977" t="str">
        <f>MID(SUVAHAVUJ!AE22,11,1)</f>
        <v>0</v>
      </c>
      <c r="DE18" s="977"/>
      <c r="DF18" s="977"/>
      <c r="DG18" s="977"/>
      <c r="DH18" s="977"/>
      <c r="DI18" s="977"/>
      <c r="DJ18" s="980"/>
      <c r="DK18" s="980"/>
      <c r="DL18" s="980"/>
      <c r="DM18" s="980"/>
      <c r="DN18" s="980"/>
      <c r="DO18" s="980"/>
      <c r="DP18" s="980"/>
      <c r="DQ18" s="980"/>
      <c r="DR18" s="980"/>
      <c r="DS18" s="980"/>
      <c r="DT18" s="980"/>
      <c r="DU18" s="980"/>
      <c r="DV18" s="980"/>
      <c r="DW18" s="980"/>
      <c r="DX18" s="980"/>
      <c r="DY18" s="980"/>
      <c r="DZ18" s="980"/>
      <c r="EA18" s="980"/>
      <c r="EB18" s="980"/>
      <c r="EC18" s="980"/>
      <c r="ED18" s="980"/>
      <c r="EE18" s="980"/>
      <c r="EF18" s="980"/>
      <c r="EG18" s="980"/>
      <c r="EH18" s="980"/>
      <c r="EI18" s="980"/>
      <c r="EJ18" s="980"/>
      <c r="EK18" s="980"/>
      <c r="EL18" s="980"/>
      <c r="EM18" s="980"/>
      <c r="EN18" s="648"/>
      <c r="EO18" s="649"/>
      <c r="EP18" s="976" t="str">
        <f>MID(SUVAHAVUJ!AG22,1,1)</f>
        <v xml:space="preserve"> </v>
      </c>
      <c r="EQ18" s="976"/>
      <c r="ER18" s="976"/>
      <c r="ES18" s="976"/>
      <c r="ET18" s="976"/>
      <c r="EU18" s="976"/>
      <c r="EV18" s="976" t="str">
        <f>MID(SUVAHAVUJ!AG22,2,1)</f>
        <v xml:space="preserve"> </v>
      </c>
      <c r="EW18" s="976"/>
      <c r="EX18" s="976"/>
      <c r="EY18" s="976"/>
      <c r="EZ18" s="976"/>
      <c r="FA18" s="976" t="str">
        <f>MID(SUVAHAVUJ!AG22,3,1)</f>
        <v xml:space="preserve"> </v>
      </c>
      <c r="FB18" s="976"/>
      <c r="FC18" s="976"/>
      <c r="FD18" s="976"/>
      <c r="FE18" s="976"/>
      <c r="FF18" s="976"/>
      <c r="FG18" s="976" t="str">
        <f>MID(SUVAHAVUJ!AG22,4,1)</f>
        <v xml:space="preserve"> </v>
      </c>
      <c r="FH18" s="976"/>
      <c r="FI18" s="976"/>
      <c r="FJ18" s="976"/>
      <c r="FK18" s="976"/>
      <c r="FL18" s="976" t="str">
        <f>MID(SUVAHAVUJ!AG22,5,1)</f>
        <v xml:space="preserve"> </v>
      </c>
      <c r="FM18" s="976"/>
      <c r="FN18" s="976"/>
      <c r="FO18" s="976"/>
      <c r="FP18" s="976"/>
      <c r="FQ18" s="976"/>
      <c r="FR18" s="976" t="str">
        <f>MID(SUVAHAVUJ!AG22,6,1)</f>
        <v xml:space="preserve"> </v>
      </c>
      <c r="FS18" s="976"/>
      <c r="FT18" s="976"/>
      <c r="FU18" s="976"/>
      <c r="FV18" s="976"/>
      <c r="FW18" s="976" t="str">
        <f>MID(SUVAHAVUJ!AG22,7,1)</f>
        <v xml:space="preserve"> </v>
      </c>
      <c r="FX18" s="976"/>
      <c r="FY18" s="976"/>
      <c r="FZ18" s="976"/>
      <c r="GA18" s="976"/>
      <c r="GB18" s="976"/>
      <c r="GC18" s="976" t="str">
        <f>MID(SUVAHAVUJ!AG22,8,1)</f>
        <v xml:space="preserve"> </v>
      </c>
      <c r="GD18" s="976"/>
      <c r="GE18" s="976"/>
      <c r="GF18" s="976"/>
      <c r="GG18" s="976"/>
      <c r="GH18" s="976" t="str">
        <f>MID(SUVAHAVUJ!AG22,9,1)</f>
        <v xml:space="preserve"> </v>
      </c>
      <c r="GI18" s="976"/>
      <c r="GJ18" s="976"/>
      <c r="GK18" s="976"/>
      <c r="GL18" s="976"/>
      <c r="GM18" s="976"/>
      <c r="GN18" s="976" t="str">
        <f>MID(SUVAHAVUJ!AG22,10,1)</f>
        <v xml:space="preserve"> </v>
      </c>
      <c r="GO18" s="976"/>
      <c r="GP18" s="976"/>
      <c r="GQ18" s="976"/>
      <c r="GR18" s="976"/>
      <c r="GS18" s="978" t="str">
        <f>MID(SUVAHAVUJ!AG22,11,1)</f>
        <v>0</v>
      </c>
      <c r="GT18" s="978"/>
      <c r="GU18" s="978"/>
      <c r="GV18" s="978"/>
      <c r="GW18" s="978"/>
    </row>
    <row r="19" spans="2:205" s="650" customFormat="1" ht="23.25" customHeight="1" x14ac:dyDescent="0.3">
      <c r="B19" s="981" t="s">
        <v>2180</v>
      </c>
      <c r="C19" s="981"/>
      <c r="D19" s="981"/>
      <c r="E19" s="981"/>
      <c r="F19" s="981"/>
      <c r="G19" s="981"/>
      <c r="H19" s="981"/>
      <c r="I19" s="981"/>
      <c r="J19" s="981"/>
      <c r="K19" s="981"/>
      <c r="L19" s="974" t="str">
        <f>SUVAHAVUJ!$D$23</f>
        <v>Dlhodobý finančný majetok súčet (r. 22 až r. 32)</v>
      </c>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c r="AL19" s="974"/>
      <c r="AM19" s="974"/>
      <c r="AN19" s="974"/>
      <c r="AO19" s="974"/>
      <c r="AP19" s="974"/>
      <c r="AQ19" s="975" t="s">
        <v>2181</v>
      </c>
      <c r="AR19" s="975"/>
      <c r="AS19" s="975"/>
      <c r="AT19" s="975"/>
      <c r="AU19" s="975"/>
      <c r="AV19" s="975"/>
      <c r="AW19" s="975"/>
      <c r="AX19" s="975"/>
      <c r="AY19" s="648"/>
      <c r="AZ19" s="649"/>
      <c r="BA19" s="982" t="str">
        <f>MID(SUVAHAVUJ!AD23,1,1)</f>
        <v xml:space="preserve"> </v>
      </c>
      <c r="BB19" s="982"/>
      <c r="BC19" s="982"/>
      <c r="BD19" s="982"/>
      <c r="BE19" s="982"/>
      <c r="BF19" s="982"/>
      <c r="BG19" s="982" t="str">
        <f>MID(SUVAHAVUJ!AD23,2,1)</f>
        <v xml:space="preserve"> </v>
      </c>
      <c r="BH19" s="982"/>
      <c r="BI19" s="982"/>
      <c r="BJ19" s="982"/>
      <c r="BK19" s="982"/>
      <c r="BL19" s="982" t="str">
        <f>MID(SUVAHAVUJ!AD23,3,1)</f>
        <v xml:space="preserve"> </v>
      </c>
      <c r="BM19" s="982"/>
      <c r="BN19" s="982"/>
      <c r="BO19" s="982"/>
      <c r="BP19" s="982"/>
      <c r="BQ19" s="982"/>
      <c r="BR19" s="982" t="str">
        <f>MID(SUVAHAVUJ!AD23,4,1)</f>
        <v xml:space="preserve"> </v>
      </c>
      <c r="BS19" s="982"/>
      <c r="BT19" s="982"/>
      <c r="BU19" s="982"/>
      <c r="BV19" s="982"/>
      <c r="BW19" s="982" t="str">
        <f>MID(SUVAHAVUJ!AD23,5,1)</f>
        <v xml:space="preserve"> </v>
      </c>
      <c r="BX19" s="982"/>
      <c r="BY19" s="982"/>
      <c r="BZ19" s="982"/>
      <c r="CA19" s="982"/>
      <c r="CB19" s="982"/>
      <c r="CC19" s="982" t="str">
        <f>MID(SUVAHAVUJ!AD23,6,1)</f>
        <v xml:space="preserve"> </v>
      </c>
      <c r="CD19" s="982"/>
      <c r="CE19" s="982"/>
      <c r="CF19" s="982"/>
      <c r="CG19" s="982"/>
      <c r="CH19" s="982" t="str">
        <f>MID(SUVAHAVUJ!AD23,7,1)</f>
        <v xml:space="preserve"> </v>
      </c>
      <c r="CI19" s="982"/>
      <c r="CJ19" s="982"/>
      <c r="CK19" s="982"/>
      <c r="CL19" s="982"/>
      <c r="CM19" s="982"/>
      <c r="CN19" s="982" t="str">
        <f>MID(SUVAHAVUJ!AD23,8,1)</f>
        <v xml:space="preserve"> </v>
      </c>
      <c r="CO19" s="982"/>
      <c r="CP19" s="982"/>
      <c r="CQ19" s="982"/>
      <c r="CR19" s="982"/>
      <c r="CS19" s="982" t="str">
        <f>MID(SUVAHAVUJ!AD23,9,1)</f>
        <v xml:space="preserve"> </v>
      </c>
      <c r="CT19" s="982"/>
      <c r="CU19" s="982"/>
      <c r="CV19" s="982"/>
      <c r="CW19" s="982"/>
      <c r="CX19" s="982"/>
      <c r="CY19" s="982" t="str">
        <f>MID(SUVAHAVUJ!AD23,10,1)</f>
        <v xml:space="preserve"> </v>
      </c>
      <c r="CZ19" s="982"/>
      <c r="DA19" s="982"/>
      <c r="DB19" s="982"/>
      <c r="DC19" s="982"/>
      <c r="DD19" s="978" t="str">
        <f>MID(SUVAHAVUJ!AD23,11,1)</f>
        <v>0</v>
      </c>
      <c r="DE19" s="978"/>
      <c r="DF19" s="978"/>
      <c r="DG19" s="978"/>
      <c r="DH19" s="978"/>
      <c r="DI19" s="978"/>
      <c r="DJ19" s="648"/>
      <c r="DK19" s="649"/>
      <c r="DL19" s="976" t="str">
        <f>MID(SUVAHAVUJ!AF23,1,1)</f>
        <v xml:space="preserve"> </v>
      </c>
      <c r="DM19" s="976"/>
      <c r="DN19" s="976"/>
      <c r="DO19" s="976"/>
      <c r="DP19" s="976"/>
      <c r="DQ19" s="976"/>
      <c r="DR19" s="976" t="str">
        <f>MID(SUVAHAVUJ!AF23,2,1)</f>
        <v xml:space="preserve"> </v>
      </c>
      <c r="DS19" s="976"/>
      <c r="DT19" s="976"/>
      <c r="DU19" s="976"/>
      <c r="DV19" s="976"/>
      <c r="DW19" s="976" t="str">
        <f>MID(SUVAHAVUJ!AF23,3,1)</f>
        <v xml:space="preserve"> </v>
      </c>
      <c r="DX19" s="976"/>
      <c r="DY19" s="976"/>
      <c r="DZ19" s="976"/>
      <c r="EA19" s="976"/>
      <c r="EB19" s="976"/>
      <c r="EC19" s="976" t="str">
        <f>MID(SUVAHAVUJ!AF23,4,1)</f>
        <v xml:space="preserve"> </v>
      </c>
      <c r="ED19" s="976"/>
      <c r="EE19" s="976"/>
      <c r="EF19" s="976"/>
      <c r="EG19" s="976"/>
      <c r="EH19" s="976" t="str">
        <f>MID(SUVAHAVUJ!AF23,5,1)</f>
        <v xml:space="preserve"> </v>
      </c>
      <c r="EI19" s="976"/>
      <c r="EJ19" s="976"/>
      <c r="EK19" s="976"/>
      <c r="EL19" s="976"/>
      <c r="EM19" s="976"/>
      <c r="EN19" s="976" t="str">
        <f>MID(SUVAHAVUJ!AF23,6,1)</f>
        <v xml:space="preserve"> </v>
      </c>
      <c r="EO19" s="976"/>
      <c r="EP19" s="976"/>
      <c r="EQ19" s="976"/>
      <c r="ER19" s="976"/>
      <c r="ES19" s="976" t="str">
        <f>MID(SUVAHAVUJ!AF23,7,1)</f>
        <v xml:space="preserve"> </v>
      </c>
      <c r="ET19" s="976"/>
      <c r="EU19" s="976"/>
      <c r="EV19" s="976"/>
      <c r="EW19" s="976"/>
      <c r="EX19" s="976"/>
      <c r="EY19" s="976" t="str">
        <f>MID(SUVAHAVUJ!AF23,8,1)</f>
        <v xml:space="preserve"> </v>
      </c>
      <c r="EZ19" s="976"/>
      <c r="FA19" s="976"/>
      <c r="FB19" s="976"/>
      <c r="FC19" s="976"/>
      <c r="FD19" s="976" t="str">
        <f>MID(SUVAHAVUJ!AF23,9,1)</f>
        <v xml:space="preserve"> </v>
      </c>
      <c r="FE19" s="976"/>
      <c r="FF19" s="976"/>
      <c r="FG19" s="976"/>
      <c r="FH19" s="976"/>
      <c r="FI19" s="976"/>
      <c r="FJ19" s="976" t="str">
        <f>MID(SUVAHAVUJ!AF23,10,1)</f>
        <v xml:space="preserve"> </v>
      </c>
      <c r="FK19" s="976"/>
      <c r="FL19" s="976"/>
      <c r="FM19" s="976"/>
      <c r="FN19" s="976"/>
      <c r="FO19" s="978" t="str">
        <f>MID(SUVAHAVUJ!AF23,11,1)</f>
        <v>0</v>
      </c>
      <c r="FP19" s="978"/>
      <c r="FQ19" s="978"/>
      <c r="FR19" s="978"/>
      <c r="FS19" s="978"/>
      <c r="FT19" s="979"/>
      <c r="FU19" s="979"/>
      <c r="FV19" s="979"/>
      <c r="FW19" s="979"/>
      <c r="FX19" s="979"/>
      <c r="FY19" s="979"/>
      <c r="FZ19" s="979"/>
      <c r="GA19" s="979"/>
      <c r="GB19" s="979"/>
      <c r="GC19" s="979"/>
      <c r="GD19" s="979"/>
      <c r="GE19" s="979"/>
      <c r="GF19" s="979"/>
      <c r="GG19" s="979"/>
      <c r="GH19" s="979"/>
      <c r="GI19" s="979"/>
      <c r="GJ19" s="979"/>
      <c r="GK19" s="979"/>
      <c r="GL19" s="979"/>
      <c r="GM19" s="979"/>
      <c r="GN19" s="979"/>
      <c r="GO19" s="979"/>
      <c r="GP19" s="979"/>
      <c r="GQ19" s="979"/>
      <c r="GR19" s="979"/>
      <c r="GS19" s="979"/>
      <c r="GT19" s="979"/>
      <c r="GU19" s="979"/>
      <c r="GV19" s="979"/>
      <c r="GW19" s="979"/>
    </row>
    <row r="20" spans="2:205" ht="24" customHeight="1" x14ac:dyDescent="0.3">
      <c r="B20" s="981"/>
      <c r="C20" s="981"/>
      <c r="D20" s="981"/>
      <c r="E20" s="981"/>
      <c r="F20" s="981"/>
      <c r="G20" s="981"/>
      <c r="H20" s="981"/>
      <c r="I20" s="981"/>
      <c r="J20" s="981"/>
      <c r="K20" s="981"/>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c r="AL20" s="974"/>
      <c r="AM20" s="974"/>
      <c r="AN20" s="974"/>
      <c r="AO20" s="974"/>
      <c r="AP20" s="974"/>
      <c r="AQ20" s="975"/>
      <c r="AR20" s="975"/>
      <c r="AS20" s="975"/>
      <c r="AT20" s="975"/>
      <c r="AU20" s="975"/>
      <c r="AV20" s="975"/>
      <c r="AW20" s="975"/>
      <c r="AX20" s="975"/>
      <c r="AY20" s="648"/>
      <c r="AZ20" s="649"/>
      <c r="BA20" s="976" t="str">
        <f>MID(SUVAHAVUJ!AE23,1,1)</f>
        <v xml:space="preserve"> </v>
      </c>
      <c r="BB20" s="976"/>
      <c r="BC20" s="976"/>
      <c r="BD20" s="976"/>
      <c r="BE20" s="976"/>
      <c r="BF20" s="976"/>
      <c r="BG20" s="976" t="str">
        <f>MID(SUVAHAVUJ!AE23,2,1)</f>
        <v xml:space="preserve"> </v>
      </c>
      <c r="BH20" s="976"/>
      <c r="BI20" s="976"/>
      <c r="BJ20" s="976"/>
      <c r="BK20" s="976"/>
      <c r="BL20" s="976" t="str">
        <f>MID(SUVAHAVUJ!AE23,3,1)</f>
        <v xml:space="preserve"> </v>
      </c>
      <c r="BM20" s="976"/>
      <c r="BN20" s="976"/>
      <c r="BO20" s="976"/>
      <c r="BP20" s="976"/>
      <c r="BQ20" s="976"/>
      <c r="BR20" s="976" t="str">
        <f>MID(SUVAHAVUJ!AE23,4,1)</f>
        <v xml:space="preserve"> </v>
      </c>
      <c r="BS20" s="976"/>
      <c r="BT20" s="976"/>
      <c r="BU20" s="976"/>
      <c r="BV20" s="976"/>
      <c r="BW20" s="976" t="str">
        <f>MID(SUVAHAVUJ!AE23,5,1)</f>
        <v xml:space="preserve"> </v>
      </c>
      <c r="BX20" s="976"/>
      <c r="BY20" s="976"/>
      <c r="BZ20" s="976"/>
      <c r="CA20" s="976"/>
      <c r="CB20" s="976"/>
      <c r="CC20" s="976" t="str">
        <f>MID(SUVAHAVUJ!AE23,6,1)</f>
        <v xml:space="preserve"> </v>
      </c>
      <c r="CD20" s="976"/>
      <c r="CE20" s="976"/>
      <c r="CF20" s="976"/>
      <c r="CG20" s="976"/>
      <c r="CH20" s="976" t="str">
        <f>MID(SUVAHAVUJ!AE23,7,1)</f>
        <v xml:space="preserve"> </v>
      </c>
      <c r="CI20" s="976"/>
      <c r="CJ20" s="976"/>
      <c r="CK20" s="976"/>
      <c r="CL20" s="976"/>
      <c r="CM20" s="976"/>
      <c r="CN20" s="976" t="str">
        <f>MID(SUVAHAVUJ!AE23,8,1)</f>
        <v xml:space="preserve"> </v>
      </c>
      <c r="CO20" s="976"/>
      <c r="CP20" s="976"/>
      <c r="CQ20" s="976"/>
      <c r="CR20" s="976"/>
      <c r="CS20" s="976" t="str">
        <f>MID(SUVAHAVUJ!AE23,9,1)</f>
        <v xml:space="preserve"> </v>
      </c>
      <c r="CT20" s="976"/>
      <c r="CU20" s="976"/>
      <c r="CV20" s="976"/>
      <c r="CW20" s="976"/>
      <c r="CX20" s="976"/>
      <c r="CY20" s="976" t="str">
        <f>MID(SUVAHAVUJ!AE23,10,1)</f>
        <v xml:space="preserve"> </v>
      </c>
      <c r="CZ20" s="976"/>
      <c r="DA20" s="976"/>
      <c r="DB20" s="976"/>
      <c r="DC20" s="976"/>
      <c r="DD20" s="977" t="str">
        <f>MID(SUVAHAVUJ!AE23,11,1)</f>
        <v>0</v>
      </c>
      <c r="DE20" s="977"/>
      <c r="DF20" s="977"/>
      <c r="DG20" s="977"/>
      <c r="DH20" s="977"/>
      <c r="DI20" s="977"/>
      <c r="DJ20" s="980"/>
      <c r="DK20" s="980"/>
      <c r="DL20" s="980"/>
      <c r="DM20" s="980"/>
      <c r="DN20" s="980"/>
      <c r="DO20" s="980"/>
      <c r="DP20" s="980"/>
      <c r="DQ20" s="980"/>
      <c r="DR20" s="980"/>
      <c r="DS20" s="980"/>
      <c r="DT20" s="980"/>
      <c r="DU20" s="980"/>
      <c r="DV20" s="980"/>
      <c r="DW20" s="980"/>
      <c r="DX20" s="980"/>
      <c r="DY20" s="980"/>
      <c r="DZ20" s="980"/>
      <c r="EA20" s="980"/>
      <c r="EB20" s="980"/>
      <c r="EC20" s="980"/>
      <c r="ED20" s="980"/>
      <c r="EE20" s="980"/>
      <c r="EF20" s="980"/>
      <c r="EG20" s="980"/>
      <c r="EH20" s="980"/>
      <c r="EI20" s="980"/>
      <c r="EJ20" s="980"/>
      <c r="EK20" s="980"/>
      <c r="EL20" s="980"/>
      <c r="EM20" s="980"/>
      <c r="EN20" s="648"/>
      <c r="EO20" s="649"/>
      <c r="EP20" s="976" t="str">
        <f>MID(SUVAHAVUJ!AG23,1,1)</f>
        <v xml:space="preserve"> </v>
      </c>
      <c r="EQ20" s="976"/>
      <c r="ER20" s="976"/>
      <c r="ES20" s="976"/>
      <c r="ET20" s="976"/>
      <c r="EU20" s="976"/>
      <c r="EV20" s="976" t="str">
        <f>MID(SUVAHAVUJ!AG23,2,1)</f>
        <v xml:space="preserve"> </v>
      </c>
      <c r="EW20" s="976"/>
      <c r="EX20" s="976"/>
      <c r="EY20" s="976"/>
      <c r="EZ20" s="976"/>
      <c r="FA20" s="976" t="str">
        <f>MID(SUVAHAVUJ!AG23,3,1)</f>
        <v xml:space="preserve"> </v>
      </c>
      <c r="FB20" s="976"/>
      <c r="FC20" s="976"/>
      <c r="FD20" s="976"/>
      <c r="FE20" s="976"/>
      <c r="FF20" s="976"/>
      <c r="FG20" s="976" t="str">
        <f>MID(SUVAHAVUJ!AG23,4,1)</f>
        <v xml:space="preserve"> </v>
      </c>
      <c r="FH20" s="976"/>
      <c r="FI20" s="976"/>
      <c r="FJ20" s="976"/>
      <c r="FK20" s="976"/>
      <c r="FL20" s="976" t="str">
        <f>MID(SUVAHAVUJ!AG23,5,1)</f>
        <v xml:space="preserve"> </v>
      </c>
      <c r="FM20" s="976"/>
      <c r="FN20" s="976"/>
      <c r="FO20" s="976"/>
      <c r="FP20" s="976"/>
      <c r="FQ20" s="976"/>
      <c r="FR20" s="976" t="str">
        <f>MID(SUVAHAVUJ!AG23,6,1)</f>
        <v xml:space="preserve"> </v>
      </c>
      <c r="FS20" s="976"/>
      <c r="FT20" s="976"/>
      <c r="FU20" s="976"/>
      <c r="FV20" s="976"/>
      <c r="FW20" s="976" t="str">
        <f>MID(SUVAHAVUJ!AG23,7,1)</f>
        <v xml:space="preserve"> </v>
      </c>
      <c r="FX20" s="976"/>
      <c r="FY20" s="976"/>
      <c r="FZ20" s="976"/>
      <c r="GA20" s="976"/>
      <c r="GB20" s="976"/>
      <c r="GC20" s="976" t="str">
        <f>MID(SUVAHAVUJ!AG23,8,1)</f>
        <v xml:space="preserve"> </v>
      </c>
      <c r="GD20" s="976"/>
      <c r="GE20" s="976"/>
      <c r="GF20" s="976"/>
      <c r="GG20" s="976"/>
      <c r="GH20" s="976" t="str">
        <f>MID(SUVAHAVUJ!AG23,9,1)</f>
        <v xml:space="preserve"> </v>
      </c>
      <c r="GI20" s="976"/>
      <c r="GJ20" s="976"/>
      <c r="GK20" s="976"/>
      <c r="GL20" s="976"/>
      <c r="GM20" s="976"/>
      <c r="GN20" s="976" t="str">
        <f>MID(SUVAHAVUJ!AG23,10,1)</f>
        <v xml:space="preserve"> </v>
      </c>
      <c r="GO20" s="976"/>
      <c r="GP20" s="976"/>
      <c r="GQ20" s="976"/>
      <c r="GR20" s="976"/>
      <c r="GS20" s="978" t="str">
        <f>MID(SUVAHAVUJ!AG23,11,1)</f>
        <v>0</v>
      </c>
      <c r="GT20" s="978"/>
      <c r="GU20" s="978"/>
      <c r="GV20" s="978"/>
      <c r="GW20" s="978"/>
    </row>
    <row r="21" spans="2:205" s="650" customFormat="1" ht="23.25" customHeight="1" x14ac:dyDescent="0.3">
      <c r="B21" s="989" t="s">
        <v>2182</v>
      </c>
      <c r="C21" s="989"/>
      <c r="D21" s="989"/>
      <c r="E21" s="989"/>
      <c r="F21" s="989"/>
      <c r="G21" s="989"/>
      <c r="H21" s="989"/>
      <c r="I21" s="989"/>
      <c r="J21" s="989"/>
      <c r="K21" s="989"/>
      <c r="L21" s="984" t="str">
        <f>SUVAHAVUJ!$D$24</f>
        <v>Podielové cenné papiere a podiely v prepojených účtovných jednotkách (061A, 062A, 063A) - /096A/</v>
      </c>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c r="AL21" s="984"/>
      <c r="AM21" s="984"/>
      <c r="AN21" s="984"/>
      <c r="AO21" s="984"/>
      <c r="AP21" s="984"/>
      <c r="AQ21" s="975" t="s">
        <v>1217</v>
      </c>
      <c r="AR21" s="975"/>
      <c r="AS21" s="975"/>
      <c r="AT21" s="975"/>
      <c r="AU21" s="975"/>
      <c r="AV21" s="975"/>
      <c r="AW21" s="975"/>
      <c r="AX21" s="975"/>
      <c r="AY21" s="648"/>
      <c r="AZ21" s="649"/>
      <c r="BA21" s="982" t="str">
        <f>MID(SUVAHAVUJ!AD24,1,1)</f>
        <v xml:space="preserve"> </v>
      </c>
      <c r="BB21" s="982"/>
      <c r="BC21" s="982"/>
      <c r="BD21" s="982"/>
      <c r="BE21" s="982"/>
      <c r="BF21" s="982"/>
      <c r="BG21" s="982" t="str">
        <f>MID(SUVAHAVUJ!AD24,2,1)</f>
        <v xml:space="preserve"> </v>
      </c>
      <c r="BH21" s="982"/>
      <c r="BI21" s="982"/>
      <c r="BJ21" s="982"/>
      <c r="BK21" s="982"/>
      <c r="BL21" s="982" t="str">
        <f>MID(SUVAHAVUJ!AD24,3,1)</f>
        <v xml:space="preserve"> </v>
      </c>
      <c r="BM21" s="982"/>
      <c r="BN21" s="982"/>
      <c r="BO21" s="982"/>
      <c r="BP21" s="982"/>
      <c r="BQ21" s="982"/>
      <c r="BR21" s="982" t="str">
        <f>MID(SUVAHAVUJ!AD24,4,1)</f>
        <v xml:space="preserve"> </v>
      </c>
      <c r="BS21" s="982"/>
      <c r="BT21" s="982"/>
      <c r="BU21" s="982"/>
      <c r="BV21" s="982"/>
      <c r="BW21" s="982" t="str">
        <f>MID(SUVAHAVUJ!AD24,5,1)</f>
        <v xml:space="preserve"> </v>
      </c>
      <c r="BX21" s="982"/>
      <c r="BY21" s="982"/>
      <c r="BZ21" s="982"/>
      <c r="CA21" s="982"/>
      <c r="CB21" s="982"/>
      <c r="CC21" s="982" t="str">
        <f>MID(SUVAHAVUJ!AD24,6,1)</f>
        <v xml:space="preserve"> </v>
      </c>
      <c r="CD21" s="982"/>
      <c r="CE21" s="982"/>
      <c r="CF21" s="982"/>
      <c r="CG21" s="982"/>
      <c r="CH21" s="982" t="str">
        <f>MID(SUVAHAVUJ!AD24,7,1)</f>
        <v xml:space="preserve"> </v>
      </c>
      <c r="CI21" s="982"/>
      <c r="CJ21" s="982"/>
      <c r="CK21" s="982"/>
      <c r="CL21" s="982"/>
      <c r="CM21" s="982"/>
      <c r="CN21" s="982" t="str">
        <f>MID(SUVAHAVUJ!AD24,8,1)</f>
        <v xml:space="preserve"> </v>
      </c>
      <c r="CO21" s="982"/>
      <c r="CP21" s="982"/>
      <c r="CQ21" s="982"/>
      <c r="CR21" s="982"/>
      <c r="CS21" s="982" t="str">
        <f>MID(SUVAHAVUJ!AD24,9,1)</f>
        <v xml:space="preserve"> </v>
      </c>
      <c r="CT21" s="982"/>
      <c r="CU21" s="982"/>
      <c r="CV21" s="982"/>
      <c r="CW21" s="982"/>
      <c r="CX21" s="982"/>
      <c r="CY21" s="982" t="str">
        <f>MID(SUVAHAVUJ!AD24,10,1)</f>
        <v xml:space="preserve"> </v>
      </c>
      <c r="CZ21" s="982"/>
      <c r="DA21" s="982"/>
      <c r="DB21" s="982"/>
      <c r="DC21" s="982"/>
      <c r="DD21" s="978" t="str">
        <f>MID(SUVAHAVUJ!AD24,11,1)</f>
        <v>0</v>
      </c>
      <c r="DE21" s="978"/>
      <c r="DF21" s="978"/>
      <c r="DG21" s="978"/>
      <c r="DH21" s="978"/>
      <c r="DI21" s="978"/>
      <c r="DJ21" s="648"/>
      <c r="DK21" s="649"/>
      <c r="DL21" s="976" t="str">
        <f>MID(SUVAHAVUJ!AF24,1,1)</f>
        <v xml:space="preserve"> </v>
      </c>
      <c r="DM21" s="976"/>
      <c r="DN21" s="976"/>
      <c r="DO21" s="976"/>
      <c r="DP21" s="976"/>
      <c r="DQ21" s="976"/>
      <c r="DR21" s="976" t="str">
        <f>MID(SUVAHAVUJ!AF24,2,1)</f>
        <v xml:space="preserve"> </v>
      </c>
      <c r="DS21" s="976"/>
      <c r="DT21" s="976"/>
      <c r="DU21" s="976"/>
      <c r="DV21" s="976"/>
      <c r="DW21" s="976" t="str">
        <f>MID(SUVAHAVUJ!AF24,3,1)</f>
        <v xml:space="preserve"> </v>
      </c>
      <c r="DX21" s="976"/>
      <c r="DY21" s="976"/>
      <c r="DZ21" s="976"/>
      <c r="EA21" s="976"/>
      <c r="EB21" s="976"/>
      <c r="EC21" s="976" t="str">
        <f>MID(SUVAHAVUJ!AF24,4,1)</f>
        <v xml:space="preserve"> </v>
      </c>
      <c r="ED21" s="976"/>
      <c r="EE21" s="976"/>
      <c r="EF21" s="976"/>
      <c r="EG21" s="976"/>
      <c r="EH21" s="976" t="str">
        <f>MID(SUVAHAVUJ!AF24,5,1)</f>
        <v xml:space="preserve"> </v>
      </c>
      <c r="EI21" s="976"/>
      <c r="EJ21" s="976"/>
      <c r="EK21" s="976"/>
      <c r="EL21" s="976"/>
      <c r="EM21" s="976"/>
      <c r="EN21" s="976" t="str">
        <f>MID(SUVAHAVUJ!AF24,6,1)</f>
        <v xml:space="preserve"> </v>
      </c>
      <c r="EO21" s="976"/>
      <c r="EP21" s="976"/>
      <c r="EQ21" s="976"/>
      <c r="ER21" s="976"/>
      <c r="ES21" s="976" t="str">
        <f>MID(SUVAHAVUJ!AF24,7,1)</f>
        <v xml:space="preserve"> </v>
      </c>
      <c r="ET21" s="976"/>
      <c r="EU21" s="976"/>
      <c r="EV21" s="976"/>
      <c r="EW21" s="976"/>
      <c r="EX21" s="976"/>
      <c r="EY21" s="976" t="str">
        <f>MID(SUVAHAVUJ!AF24,8,1)</f>
        <v xml:space="preserve"> </v>
      </c>
      <c r="EZ21" s="976"/>
      <c r="FA21" s="976"/>
      <c r="FB21" s="976"/>
      <c r="FC21" s="976"/>
      <c r="FD21" s="976" t="str">
        <f>MID(SUVAHAVUJ!AF24,9,1)</f>
        <v xml:space="preserve"> </v>
      </c>
      <c r="FE21" s="976"/>
      <c r="FF21" s="976"/>
      <c r="FG21" s="976"/>
      <c r="FH21" s="976"/>
      <c r="FI21" s="976"/>
      <c r="FJ21" s="976" t="str">
        <f>MID(SUVAHAVUJ!AF24,10,1)</f>
        <v xml:space="preserve"> </v>
      </c>
      <c r="FK21" s="976"/>
      <c r="FL21" s="976"/>
      <c r="FM21" s="976"/>
      <c r="FN21" s="976"/>
      <c r="FO21" s="978" t="str">
        <f>MID(SUVAHAVUJ!AF24,11,1)</f>
        <v>0</v>
      </c>
      <c r="FP21" s="978"/>
      <c r="FQ21" s="978"/>
      <c r="FR21" s="978"/>
      <c r="FS21" s="978"/>
      <c r="FT21" s="979"/>
      <c r="FU21" s="979"/>
      <c r="FV21" s="979"/>
      <c r="FW21" s="979"/>
      <c r="FX21" s="979"/>
      <c r="FY21" s="979"/>
      <c r="FZ21" s="979"/>
      <c r="GA21" s="979"/>
      <c r="GB21" s="979"/>
      <c r="GC21" s="979"/>
      <c r="GD21" s="979"/>
      <c r="GE21" s="979"/>
      <c r="GF21" s="979"/>
      <c r="GG21" s="979"/>
      <c r="GH21" s="979"/>
      <c r="GI21" s="979"/>
      <c r="GJ21" s="979"/>
      <c r="GK21" s="979"/>
      <c r="GL21" s="979"/>
      <c r="GM21" s="979"/>
      <c r="GN21" s="979"/>
      <c r="GO21" s="979"/>
      <c r="GP21" s="979"/>
      <c r="GQ21" s="979"/>
      <c r="GR21" s="979"/>
      <c r="GS21" s="979"/>
      <c r="GT21" s="979"/>
      <c r="GU21" s="979"/>
      <c r="GV21" s="979"/>
      <c r="GW21" s="979"/>
    </row>
    <row r="22" spans="2:205" ht="23.25" customHeight="1" x14ac:dyDescent="0.3">
      <c r="B22" s="989"/>
      <c r="C22" s="989"/>
      <c r="D22" s="989"/>
      <c r="E22" s="989"/>
      <c r="F22" s="989"/>
      <c r="G22" s="989"/>
      <c r="H22" s="989"/>
      <c r="I22" s="989"/>
      <c r="J22" s="989"/>
      <c r="K22" s="989"/>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75"/>
      <c r="AR22" s="975"/>
      <c r="AS22" s="975"/>
      <c r="AT22" s="975"/>
      <c r="AU22" s="975"/>
      <c r="AV22" s="975"/>
      <c r="AW22" s="975"/>
      <c r="AX22" s="975"/>
      <c r="AY22" s="648"/>
      <c r="AZ22" s="649"/>
      <c r="BA22" s="976" t="str">
        <f>MID(SUVAHAVUJ!AE24,1,1)</f>
        <v xml:space="preserve"> </v>
      </c>
      <c r="BB22" s="976"/>
      <c r="BC22" s="976"/>
      <c r="BD22" s="976"/>
      <c r="BE22" s="976"/>
      <c r="BF22" s="976"/>
      <c r="BG22" s="976" t="str">
        <f>MID(SUVAHAVUJ!AE24,2,1)</f>
        <v xml:space="preserve"> </v>
      </c>
      <c r="BH22" s="976"/>
      <c r="BI22" s="976"/>
      <c r="BJ22" s="976"/>
      <c r="BK22" s="976"/>
      <c r="BL22" s="976" t="str">
        <f>MID(SUVAHAVUJ!AE24,3,1)</f>
        <v xml:space="preserve"> </v>
      </c>
      <c r="BM22" s="976"/>
      <c r="BN22" s="976"/>
      <c r="BO22" s="976"/>
      <c r="BP22" s="976"/>
      <c r="BQ22" s="976"/>
      <c r="BR22" s="976" t="str">
        <f>MID(SUVAHAVUJ!AE24,4,1)</f>
        <v xml:space="preserve"> </v>
      </c>
      <c r="BS22" s="976"/>
      <c r="BT22" s="976"/>
      <c r="BU22" s="976"/>
      <c r="BV22" s="976"/>
      <c r="BW22" s="976" t="str">
        <f>MID(SUVAHAVUJ!AE24,5,1)</f>
        <v xml:space="preserve"> </v>
      </c>
      <c r="BX22" s="976"/>
      <c r="BY22" s="976"/>
      <c r="BZ22" s="976"/>
      <c r="CA22" s="976"/>
      <c r="CB22" s="976"/>
      <c r="CC22" s="976" t="str">
        <f>MID(SUVAHAVUJ!AE24,6,1)</f>
        <v xml:space="preserve"> </v>
      </c>
      <c r="CD22" s="976"/>
      <c r="CE22" s="976"/>
      <c r="CF22" s="976"/>
      <c r="CG22" s="976"/>
      <c r="CH22" s="976" t="str">
        <f>MID(SUVAHAVUJ!AE24,7,1)</f>
        <v xml:space="preserve"> </v>
      </c>
      <c r="CI22" s="976"/>
      <c r="CJ22" s="976"/>
      <c r="CK22" s="976"/>
      <c r="CL22" s="976"/>
      <c r="CM22" s="976"/>
      <c r="CN22" s="976" t="str">
        <f>MID(SUVAHAVUJ!AE24,8,1)</f>
        <v xml:space="preserve"> </v>
      </c>
      <c r="CO22" s="976"/>
      <c r="CP22" s="976"/>
      <c r="CQ22" s="976"/>
      <c r="CR22" s="976"/>
      <c r="CS22" s="976" t="str">
        <f>MID(SUVAHAVUJ!AE24,9,1)</f>
        <v xml:space="preserve"> </v>
      </c>
      <c r="CT22" s="976"/>
      <c r="CU22" s="976"/>
      <c r="CV22" s="976"/>
      <c r="CW22" s="976"/>
      <c r="CX22" s="976"/>
      <c r="CY22" s="976" t="str">
        <f>MID(SUVAHAVUJ!AE24,10,1)</f>
        <v xml:space="preserve"> </v>
      </c>
      <c r="CZ22" s="976"/>
      <c r="DA22" s="976"/>
      <c r="DB22" s="976"/>
      <c r="DC22" s="976"/>
      <c r="DD22" s="977" t="str">
        <f>MID(SUVAHAVUJ!AE24,11,1)</f>
        <v>0</v>
      </c>
      <c r="DE22" s="977"/>
      <c r="DF22" s="977"/>
      <c r="DG22" s="977"/>
      <c r="DH22" s="977"/>
      <c r="DI22" s="977"/>
      <c r="DJ22" s="980"/>
      <c r="DK22" s="980"/>
      <c r="DL22" s="980"/>
      <c r="DM22" s="980"/>
      <c r="DN22" s="980"/>
      <c r="DO22" s="980"/>
      <c r="DP22" s="980"/>
      <c r="DQ22" s="980"/>
      <c r="DR22" s="980"/>
      <c r="DS22" s="980"/>
      <c r="DT22" s="980"/>
      <c r="DU22" s="980"/>
      <c r="DV22" s="980"/>
      <c r="DW22" s="980"/>
      <c r="DX22" s="980"/>
      <c r="DY22" s="980"/>
      <c r="DZ22" s="980"/>
      <c r="EA22" s="980"/>
      <c r="EB22" s="980"/>
      <c r="EC22" s="980"/>
      <c r="ED22" s="980"/>
      <c r="EE22" s="980"/>
      <c r="EF22" s="980"/>
      <c r="EG22" s="980"/>
      <c r="EH22" s="980"/>
      <c r="EI22" s="980"/>
      <c r="EJ22" s="980"/>
      <c r="EK22" s="980"/>
      <c r="EL22" s="980"/>
      <c r="EM22" s="980"/>
      <c r="EN22" s="648"/>
      <c r="EO22" s="649"/>
      <c r="EP22" s="976" t="str">
        <f>MID(SUVAHAVUJ!AG24,1,1)</f>
        <v xml:space="preserve"> </v>
      </c>
      <c r="EQ22" s="976"/>
      <c r="ER22" s="976"/>
      <c r="ES22" s="976"/>
      <c r="ET22" s="976"/>
      <c r="EU22" s="976"/>
      <c r="EV22" s="976" t="str">
        <f>MID(SUVAHAVUJ!AG24,2,1)</f>
        <v xml:space="preserve"> </v>
      </c>
      <c r="EW22" s="976"/>
      <c r="EX22" s="976"/>
      <c r="EY22" s="976"/>
      <c r="EZ22" s="976"/>
      <c r="FA22" s="976" t="str">
        <f>MID(SUVAHAVUJ!AG24,3,1)</f>
        <v xml:space="preserve"> </v>
      </c>
      <c r="FB22" s="976"/>
      <c r="FC22" s="976"/>
      <c r="FD22" s="976"/>
      <c r="FE22" s="976"/>
      <c r="FF22" s="976"/>
      <c r="FG22" s="976" t="str">
        <f>MID(SUVAHAVUJ!AG24,4,1)</f>
        <v xml:space="preserve"> </v>
      </c>
      <c r="FH22" s="976"/>
      <c r="FI22" s="976"/>
      <c r="FJ22" s="976"/>
      <c r="FK22" s="976"/>
      <c r="FL22" s="976" t="str">
        <f>MID(SUVAHAVUJ!AG24,5,1)</f>
        <v xml:space="preserve"> </v>
      </c>
      <c r="FM22" s="976"/>
      <c r="FN22" s="976"/>
      <c r="FO22" s="976"/>
      <c r="FP22" s="976"/>
      <c r="FQ22" s="976"/>
      <c r="FR22" s="976" t="str">
        <f>MID(SUVAHAVUJ!AG24,6,1)</f>
        <v xml:space="preserve"> </v>
      </c>
      <c r="FS22" s="976"/>
      <c r="FT22" s="976"/>
      <c r="FU22" s="976"/>
      <c r="FV22" s="976"/>
      <c r="FW22" s="976" t="str">
        <f>MID(SUVAHAVUJ!AG24,7,1)</f>
        <v xml:space="preserve"> </v>
      </c>
      <c r="FX22" s="976"/>
      <c r="FY22" s="976"/>
      <c r="FZ22" s="976"/>
      <c r="GA22" s="976"/>
      <c r="GB22" s="976"/>
      <c r="GC22" s="976" t="str">
        <f>MID(SUVAHAVUJ!AG24,8,1)</f>
        <v xml:space="preserve"> </v>
      </c>
      <c r="GD22" s="976"/>
      <c r="GE22" s="976"/>
      <c r="GF22" s="976"/>
      <c r="GG22" s="976"/>
      <c r="GH22" s="976" t="str">
        <f>MID(SUVAHAVUJ!AG24,9,1)</f>
        <v xml:space="preserve"> </v>
      </c>
      <c r="GI22" s="976"/>
      <c r="GJ22" s="976"/>
      <c r="GK22" s="976"/>
      <c r="GL22" s="976"/>
      <c r="GM22" s="976"/>
      <c r="GN22" s="976" t="str">
        <f>MID(SUVAHAVUJ!AG24,10,1)</f>
        <v xml:space="preserve"> </v>
      </c>
      <c r="GO22" s="976"/>
      <c r="GP22" s="976"/>
      <c r="GQ22" s="976"/>
      <c r="GR22" s="976"/>
      <c r="GS22" s="978" t="str">
        <f>MID(SUVAHAVUJ!AG24,11,1)</f>
        <v>0</v>
      </c>
      <c r="GT22" s="978"/>
      <c r="GU22" s="978"/>
      <c r="GV22" s="978"/>
      <c r="GW22" s="978"/>
    </row>
    <row r="23" spans="2:205" s="650" customFormat="1" ht="23.25" customHeight="1" x14ac:dyDescent="0.3">
      <c r="B23" s="985" t="s">
        <v>2166</v>
      </c>
      <c r="C23" s="985"/>
      <c r="D23" s="985"/>
      <c r="E23" s="985"/>
      <c r="F23" s="985"/>
      <c r="G23" s="985"/>
      <c r="H23" s="985"/>
      <c r="I23" s="985"/>
      <c r="J23" s="985"/>
      <c r="K23" s="985"/>
      <c r="L23" s="984" t="str">
        <f>SUVAHAVUJ!$D$25</f>
        <v>Podielové cenné papiere a podiely s podielovou účasťou okrem v prepojených účtovných jednotkách 
(062A) - /096A/</v>
      </c>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c r="AL23" s="984"/>
      <c r="AM23" s="984"/>
      <c r="AN23" s="984"/>
      <c r="AO23" s="984"/>
      <c r="AP23" s="984"/>
      <c r="AQ23" s="975" t="s">
        <v>1219</v>
      </c>
      <c r="AR23" s="975"/>
      <c r="AS23" s="975"/>
      <c r="AT23" s="975"/>
      <c r="AU23" s="975"/>
      <c r="AV23" s="975"/>
      <c r="AW23" s="975"/>
      <c r="AX23" s="975"/>
      <c r="AY23" s="648"/>
      <c r="AZ23" s="649"/>
      <c r="BA23" s="982" t="str">
        <f>MID(SUVAHAVUJ!AD25,1,1)</f>
        <v xml:space="preserve"> </v>
      </c>
      <c r="BB23" s="982"/>
      <c r="BC23" s="982"/>
      <c r="BD23" s="982"/>
      <c r="BE23" s="982"/>
      <c r="BF23" s="982"/>
      <c r="BG23" s="982" t="str">
        <f>MID(SUVAHAVUJ!AD25,2,1)</f>
        <v xml:space="preserve"> </v>
      </c>
      <c r="BH23" s="982"/>
      <c r="BI23" s="982"/>
      <c r="BJ23" s="982"/>
      <c r="BK23" s="982"/>
      <c r="BL23" s="982" t="str">
        <f>MID(SUVAHAVUJ!AD25,3,1)</f>
        <v xml:space="preserve"> </v>
      </c>
      <c r="BM23" s="982"/>
      <c r="BN23" s="982"/>
      <c r="BO23" s="982"/>
      <c r="BP23" s="982"/>
      <c r="BQ23" s="982"/>
      <c r="BR23" s="982" t="str">
        <f>MID(SUVAHAVUJ!AD25,4,1)</f>
        <v xml:space="preserve"> </v>
      </c>
      <c r="BS23" s="982"/>
      <c r="BT23" s="982"/>
      <c r="BU23" s="982"/>
      <c r="BV23" s="982"/>
      <c r="BW23" s="982" t="str">
        <f>MID(SUVAHAVUJ!AD25,5,1)</f>
        <v xml:space="preserve"> </v>
      </c>
      <c r="BX23" s="982"/>
      <c r="BY23" s="982"/>
      <c r="BZ23" s="982"/>
      <c r="CA23" s="982"/>
      <c r="CB23" s="982"/>
      <c r="CC23" s="982" t="str">
        <f>MID(SUVAHAVUJ!AD25,6,1)</f>
        <v xml:space="preserve"> </v>
      </c>
      <c r="CD23" s="982"/>
      <c r="CE23" s="982"/>
      <c r="CF23" s="982"/>
      <c r="CG23" s="982"/>
      <c r="CH23" s="982" t="str">
        <f>MID(SUVAHAVUJ!AD25,7,1)</f>
        <v xml:space="preserve"> </v>
      </c>
      <c r="CI23" s="982"/>
      <c r="CJ23" s="982"/>
      <c r="CK23" s="982"/>
      <c r="CL23" s="982"/>
      <c r="CM23" s="982"/>
      <c r="CN23" s="982" t="str">
        <f>MID(SUVAHAVUJ!AD25,8,1)</f>
        <v xml:space="preserve"> </v>
      </c>
      <c r="CO23" s="982"/>
      <c r="CP23" s="982"/>
      <c r="CQ23" s="982"/>
      <c r="CR23" s="982"/>
      <c r="CS23" s="982" t="str">
        <f>MID(SUVAHAVUJ!AD25,9,1)</f>
        <v xml:space="preserve"> </v>
      </c>
      <c r="CT23" s="982"/>
      <c r="CU23" s="982"/>
      <c r="CV23" s="982"/>
      <c r="CW23" s="982"/>
      <c r="CX23" s="982"/>
      <c r="CY23" s="982" t="str">
        <f>MID(SUVAHAVUJ!AD25,10,1)</f>
        <v xml:space="preserve"> </v>
      </c>
      <c r="CZ23" s="982"/>
      <c r="DA23" s="982"/>
      <c r="DB23" s="982"/>
      <c r="DC23" s="982"/>
      <c r="DD23" s="978" t="str">
        <f>MID(SUVAHAVUJ!AD25,11,1)</f>
        <v>0</v>
      </c>
      <c r="DE23" s="978"/>
      <c r="DF23" s="978"/>
      <c r="DG23" s="978"/>
      <c r="DH23" s="978"/>
      <c r="DI23" s="978"/>
      <c r="DJ23" s="648"/>
      <c r="DK23" s="649"/>
      <c r="DL23" s="976" t="str">
        <f>MID(SUVAHAVUJ!AF25,1,1)</f>
        <v xml:space="preserve"> </v>
      </c>
      <c r="DM23" s="976"/>
      <c r="DN23" s="976"/>
      <c r="DO23" s="976"/>
      <c r="DP23" s="976"/>
      <c r="DQ23" s="976"/>
      <c r="DR23" s="976" t="str">
        <f>MID(SUVAHAVUJ!AF25,2,1)</f>
        <v xml:space="preserve"> </v>
      </c>
      <c r="DS23" s="976"/>
      <c r="DT23" s="976"/>
      <c r="DU23" s="976"/>
      <c r="DV23" s="976"/>
      <c r="DW23" s="976" t="str">
        <f>MID(SUVAHAVUJ!AF25,3,1)</f>
        <v xml:space="preserve"> </v>
      </c>
      <c r="DX23" s="976"/>
      <c r="DY23" s="976"/>
      <c r="DZ23" s="976"/>
      <c r="EA23" s="976"/>
      <c r="EB23" s="976"/>
      <c r="EC23" s="976" t="str">
        <f>MID(SUVAHAVUJ!AF25,4,1)</f>
        <v xml:space="preserve"> </v>
      </c>
      <c r="ED23" s="976"/>
      <c r="EE23" s="976"/>
      <c r="EF23" s="976"/>
      <c r="EG23" s="976"/>
      <c r="EH23" s="976" t="str">
        <f>MID(SUVAHAVUJ!AF25,5,1)</f>
        <v xml:space="preserve"> </v>
      </c>
      <c r="EI23" s="976"/>
      <c r="EJ23" s="976"/>
      <c r="EK23" s="976"/>
      <c r="EL23" s="976"/>
      <c r="EM23" s="976"/>
      <c r="EN23" s="976" t="str">
        <f>MID(SUVAHAVUJ!AF25,6,1)</f>
        <v xml:space="preserve"> </v>
      </c>
      <c r="EO23" s="976"/>
      <c r="EP23" s="976"/>
      <c r="EQ23" s="976"/>
      <c r="ER23" s="976"/>
      <c r="ES23" s="976" t="str">
        <f>MID(SUVAHAVUJ!AF25,7,1)</f>
        <v xml:space="preserve"> </v>
      </c>
      <c r="ET23" s="976"/>
      <c r="EU23" s="976"/>
      <c r="EV23" s="976"/>
      <c r="EW23" s="976"/>
      <c r="EX23" s="976"/>
      <c r="EY23" s="976" t="str">
        <f>MID(SUVAHAVUJ!AF25,8,1)</f>
        <v xml:space="preserve"> </v>
      </c>
      <c r="EZ23" s="976"/>
      <c r="FA23" s="976"/>
      <c r="FB23" s="976"/>
      <c r="FC23" s="976"/>
      <c r="FD23" s="976" t="str">
        <f>MID(SUVAHAVUJ!AF25,9,1)</f>
        <v xml:space="preserve"> </v>
      </c>
      <c r="FE23" s="976"/>
      <c r="FF23" s="976"/>
      <c r="FG23" s="976"/>
      <c r="FH23" s="976"/>
      <c r="FI23" s="976"/>
      <c r="FJ23" s="976" t="str">
        <f>MID(SUVAHAVUJ!AF25,10,1)</f>
        <v xml:space="preserve"> </v>
      </c>
      <c r="FK23" s="976"/>
      <c r="FL23" s="976"/>
      <c r="FM23" s="976"/>
      <c r="FN23" s="976"/>
      <c r="FO23" s="978" t="str">
        <f>MID(SUVAHAVUJ!AF25,11,1)</f>
        <v>0</v>
      </c>
      <c r="FP23" s="978"/>
      <c r="FQ23" s="978"/>
      <c r="FR23" s="978"/>
      <c r="FS23" s="978"/>
      <c r="FT23" s="979"/>
      <c r="FU23" s="979"/>
      <c r="FV23" s="979"/>
      <c r="FW23" s="979"/>
      <c r="FX23" s="979"/>
      <c r="FY23" s="979"/>
      <c r="FZ23" s="979"/>
      <c r="GA23" s="979"/>
      <c r="GB23" s="979"/>
      <c r="GC23" s="979"/>
      <c r="GD23" s="979"/>
      <c r="GE23" s="979"/>
      <c r="GF23" s="979"/>
      <c r="GG23" s="979"/>
      <c r="GH23" s="979"/>
      <c r="GI23" s="979"/>
      <c r="GJ23" s="979"/>
      <c r="GK23" s="979"/>
      <c r="GL23" s="979"/>
      <c r="GM23" s="979"/>
      <c r="GN23" s="979"/>
      <c r="GO23" s="979"/>
      <c r="GP23" s="979"/>
      <c r="GQ23" s="979"/>
      <c r="GR23" s="979"/>
      <c r="GS23" s="979"/>
      <c r="GT23" s="979"/>
      <c r="GU23" s="979"/>
      <c r="GV23" s="979"/>
      <c r="GW23" s="979"/>
    </row>
    <row r="24" spans="2:205" ht="23.25" customHeight="1" x14ac:dyDescent="0.3">
      <c r="B24" s="985"/>
      <c r="C24" s="985"/>
      <c r="D24" s="985"/>
      <c r="E24" s="985"/>
      <c r="F24" s="985"/>
      <c r="G24" s="985"/>
      <c r="H24" s="985"/>
      <c r="I24" s="985"/>
      <c r="J24" s="985"/>
      <c r="K24" s="985"/>
      <c r="L24" s="984"/>
      <c r="M24" s="984"/>
      <c r="N24" s="984"/>
      <c r="O24" s="984"/>
      <c r="P24" s="984"/>
      <c r="Q24" s="984"/>
      <c r="R24" s="984"/>
      <c r="S24" s="984"/>
      <c r="T24" s="984"/>
      <c r="U24" s="984"/>
      <c r="V24" s="984"/>
      <c r="W24" s="984"/>
      <c r="X24" s="984"/>
      <c r="Y24" s="984"/>
      <c r="Z24" s="984"/>
      <c r="AA24" s="984"/>
      <c r="AB24" s="984"/>
      <c r="AC24" s="984"/>
      <c r="AD24" s="984"/>
      <c r="AE24" s="984"/>
      <c r="AF24" s="984"/>
      <c r="AG24" s="984"/>
      <c r="AH24" s="984"/>
      <c r="AI24" s="984"/>
      <c r="AJ24" s="984"/>
      <c r="AK24" s="984"/>
      <c r="AL24" s="984"/>
      <c r="AM24" s="984"/>
      <c r="AN24" s="984"/>
      <c r="AO24" s="984"/>
      <c r="AP24" s="984"/>
      <c r="AQ24" s="975"/>
      <c r="AR24" s="975"/>
      <c r="AS24" s="975"/>
      <c r="AT24" s="975"/>
      <c r="AU24" s="975"/>
      <c r="AV24" s="975"/>
      <c r="AW24" s="975"/>
      <c r="AX24" s="975"/>
      <c r="AY24" s="648"/>
      <c r="AZ24" s="649"/>
      <c r="BA24" s="976" t="str">
        <f>MID(SUVAHAVUJ!AE25,1,1)</f>
        <v xml:space="preserve"> </v>
      </c>
      <c r="BB24" s="976"/>
      <c r="BC24" s="976"/>
      <c r="BD24" s="976"/>
      <c r="BE24" s="976"/>
      <c r="BF24" s="976"/>
      <c r="BG24" s="976" t="str">
        <f>MID(SUVAHAVUJ!AE25,2,1)</f>
        <v xml:space="preserve"> </v>
      </c>
      <c r="BH24" s="976"/>
      <c r="BI24" s="976"/>
      <c r="BJ24" s="976"/>
      <c r="BK24" s="976"/>
      <c r="BL24" s="976" t="str">
        <f>MID(SUVAHAVUJ!AE25,3,1)</f>
        <v xml:space="preserve"> </v>
      </c>
      <c r="BM24" s="976"/>
      <c r="BN24" s="976"/>
      <c r="BO24" s="976"/>
      <c r="BP24" s="976"/>
      <c r="BQ24" s="976"/>
      <c r="BR24" s="976" t="str">
        <f>MID(SUVAHAVUJ!AE25,4,1)</f>
        <v xml:space="preserve"> </v>
      </c>
      <c r="BS24" s="976"/>
      <c r="BT24" s="976"/>
      <c r="BU24" s="976"/>
      <c r="BV24" s="976"/>
      <c r="BW24" s="976" t="str">
        <f>MID(SUVAHAVUJ!AE25,5,1)</f>
        <v xml:space="preserve"> </v>
      </c>
      <c r="BX24" s="976"/>
      <c r="BY24" s="976"/>
      <c r="BZ24" s="976"/>
      <c r="CA24" s="976"/>
      <c r="CB24" s="976"/>
      <c r="CC24" s="976" t="str">
        <f>MID(SUVAHAVUJ!AE25,6,1)</f>
        <v xml:space="preserve"> </v>
      </c>
      <c r="CD24" s="976"/>
      <c r="CE24" s="976"/>
      <c r="CF24" s="976"/>
      <c r="CG24" s="976"/>
      <c r="CH24" s="976" t="str">
        <f>MID(SUVAHAVUJ!AE25,7,1)</f>
        <v xml:space="preserve"> </v>
      </c>
      <c r="CI24" s="976"/>
      <c r="CJ24" s="976"/>
      <c r="CK24" s="976"/>
      <c r="CL24" s="976"/>
      <c r="CM24" s="976"/>
      <c r="CN24" s="976" t="str">
        <f>MID(SUVAHAVUJ!AE25,8,1)</f>
        <v xml:space="preserve"> </v>
      </c>
      <c r="CO24" s="976"/>
      <c r="CP24" s="976"/>
      <c r="CQ24" s="976"/>
      <c r="CR24" s="976"/>
      <c r="CS24" s="976" t="str">
        <f>MID(SUVAHAVUJ!AE25,9,1)</f>
        <v xml:space="preserve"> </v>
      </c>
      <c r="CT24" s="976"/>
      <c r="CU24" s="976"/>
      <c r="CV24" s="976"/>
      <c r="CW24" s="976"/>
      <c r="CX24" s="976"/>
      <c r="CY24" s="976" t="str">
        <f>MID(SUVAHAVUJ!AE25,10,1)</f>
        <v xml:space="preserve"> </v>
      </c>
      <c r="CZ24" s="976"/>
      <c r="DA24" s="976"/>
      <c r="DB24" s="976"/>
      <c r="DC24" s="976"/>
      <c r="DD24" s="977" t="str">
        <f>MID(SUVAHAVUJ!AE25,11,1)</f>
        <v>0</v>
      </c>
      <c r="DE24" s="977"/>
      <c r="DF24" s="977"/>
      <c r="DG24" s="977"/>
      <c r="DH24" s="977"/>
      <c r="DI24" s="977"/>
      <c r="DJ24" s="980"/>
      <c r="DK24" s="980"/>
      <c r="DL24" s="980"/>
      <c r="DM24" s="980"/>
      <c r="DN24" s="980"/>
      <c r="DO24" s="980"/>
      <c r="DP24" s="980"/>
      <c r="DQ24" s="980"/>
      <c r="DR24" s="980"/>
      <c r="DS24" s="980"/>
      <c r="DT24" s="980"/>
      <c r="DU24" s="980"/>
      <c r="DV24" s="980"/>
      <c r="DW24" s="980"/>
      <c r="DX24" s="980"/>
      <c r="DY24" s="980"/>
      <c r="DZ24" s="980"/>
      <c r="EA24" s="980"/>
      <c r="EB24" s="980"/>
      <c r="EC24" s="980"/>
      <c r="ED24" s="980"/>
      <c r="EE24" s="980"/>
      <c r="EF24" s="980"/>
      <c r="EG24" s="980"/>
      <c r="EH24" s="980"/>
      <c r="EI24" s="980"/>
      <c r="EJ24" s="980"/>
      <c r="EK24" s="980"/>
      <c r="EL24" s="980"/>
      <c r="EM24" s="980"/>
      <c r="EN24" s="648"/>
      <c r="EO24" s="649"/>
      <c r="EP24" s="976" t="str">
        <f>MID(SUVAHAVUJ!AG25,1,1)</f>
        <v xml:space="preserve"> </v>
      </c>
      <c r="EQ24" s="976"/>
      <c r="ER24" s="976"/>
      <c r="ES24" s="976"/>
      <c r="ET24" s="976"/>
      <c r="EU24" s="976"/>
      <c r="EV24" s="976" t="str">
        <f>MID(SUVAHAVUJ!AG25,2,1)</f>
        <v xml:space="preserve"> </v>
      </c>
      <c r="EW24" s="976"/>
      <c r="EX24" s="976"/>
      <c r="EY24" s="976"/>
      <c r="EZ24" s="976"/>
      <c r="FA24" s="976" t="str">
        <f>MID(SUVAHAVUJ!AG25,3,1)</f>
        <v xml:space="preserve"> </v>
      </c>
      <c r="FB24" s="976"/>
      <c r="FC24" s="976"/>
      <c r="FD24" s="976"/>
      <c r="FE24" s="976"/>
      <c r="FF24" s="976"/>
      <c r="FG24" s="976" t="str">
        <f>MID(SUVAHAVUJ!AG25,4,1)</f>
        <v xml:space="preserve"> </v>
      </c>
      <c r="FH24" s="976"/>
      <c r="FI24" s="976"/>
      <c r="FJ24" s="976"/>
      <c r="FK24" s="976"/>
      <c r="FL24" s="976" t="str">
        <f>MID(SUVAHAVUJ!AG25,5,1)</f>
        <v xml:space="preserve"> </v>
      </c>
      <c r="FM24" s="976"/>
      <c r="FN24" s="976"/>
      <c r="FO24" s="976"/>
      <c r="FP24" s="976"/>
      <c r="FQ24" s="976"/>
      <c r="FR24" s="976" t="str">
        <f>MID(SUVAHAVUJ!AG25,6,1)</f>
        <v xml:space="preserve"> </v>
      </c>
      <c r="FS24" s="976"/>
      <c r="FT24" s="976"/>
      <c r="FU24" s="976"/>
      <c r="FV24" s="976"/>
      <c r="FW24" s="976" t="str">
        <f>MID(SUVAHAVUJ!AG25,7,1)</f>
        <v xml:space="preserve"> </v>
      </c>
      <c r="FX24" s="976"/>
      <c r="FY24" s="976"/>
      <c r="FZ24" s="976"/>
      <c r="GA24" s="976"/>
      <c r="GB24" s="976"/>
      <c r="GC24" s="976" t="str">
        <f>MID(SUVAHAVUJ!AG25,8,1)</f>
        <v xml:space="preserve"> </v>
      </c>
      <c r="GD24" s="976"/>
      <c r="GE24" s="976"/>
      <c r="GF24" s="976"/>
      <c r="GG24" s="976"/>
      <c r="GH24" s="976" t="str">
        <f>MID(SUVAHAVUJ!AG25,9,1)</f>
        <v xml:space="preserve"> </v>
      </c>
      <c r="GI24" s="976"/>
      <c r="GJ24" s="976"/>
      <c r="GK24" s="976"/>
      <c r="GL24" s="976"/>
      <c r="GM24" s="976"/>
      <c r="GN24" s="976" t="str">
        <f>MID(SUVAHAVUJ!AG25,10,1)</f>
        <v xml:space="preserve"> </v>
      </c>
      <c r="GO24" s="976"/>
      <c r="GP24" s="976"/>
      <c r="GQ24" s="976"/>
      <c r="GR24" s="976"/>
      <c r="GS24" s="978" t="str">
        <f>MID(SUVAHAVUJ!AG25,11,1)</f>
        <v>0</v>
      </c>
      <c r="GT24" s="978"/>
      <c r="GU24" s="978"/>
      <c r="GV24" s="978"/>
      <c r="GW24" s="978"/>
    </row>
    <row r="25" spans="2:205" s="650" customFormat="1" ht="23.25" customHeight="1" x14ac:dyDescent="0.3">
      <c r="B25" s="985" t="s">
        <v>2167</v>
      </c>
      <c r="C25" s="985"/>
      <c r="D25" s="985"/>
      <c r="E25" s="985"/>
      <c r="F25" s="985"/>
      <c r="G25" s="985"/>
      <c r="H25" s="985"/>
      <c r="I25" s="985"/>
      <c r="J25" s="985"/>
      <c r="K25" s="985"/>
      <c r="L25" s="984" t="str">
        <f>SUVAHAVUJ!$D$26</f>
        <v>Ostatné realizovateľné cenné papiere a podiely
(063A) - /096A/</v>
      </c>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c r="AL25" s="984"/>
      <c r="AM25" s="984"/>
      <c r="AN25" s="984"/>
      <c r="AO25" s="984"/>
      <c r="AP25" s="984"/>
      <c r="AQ25" s="975" t="s">
        <v>1222</v>
      </c>
      <c r="AR25" s="975"/>
      <c r="AS25" s="975"/>
      <c r="AT25" s="975"/>
      <c r="AU25" s="975"/>
      <c r="AV25" s="975"/>
      <c r="AW25" s="975"/>
      <c r="AX25" s="975"/>
      <c r="AY25" s="648"/>
      <c r="AZ25" s="649"/>
      <c r="BA25" s="982" t="str">
        <f>MID(SUVAHAVUJ!AD26,1,1)</f>
        <v xml:space="preserve"> </v>
      </c>
      <c r="BB25" s="982"/>
      <c r="BC25" s="982"/>
      <c r="BD25" s="982"/>
      <c r="BE25" s="982"/>
      <c r="BF25" s="982"/>
      <c r="BG25" s="982" t="str">
        <f>MID(SUVAHAVUJ!AD26,2,1)</f>
        <v xml:space="preserve"> </v>
      </c>
      <c r="BH25" s="982"/>
      <c r="BI25" s="982"/>
      <c r="BJ25" s="982"/>
      <c r="BK25" s="982"/>
      <c r="BL25" s="982" t="str">
        <f>MID(SUVAHAVUJ!AD26,3,1)</f>
        <v xml:space="preserve"> </v>
      </c>
      <c r="BM25" s="982"/>
      <c r="BN25" s="982"/>
      <c r="BO25" s="982"/>
      <c r="BP25" s="982"/>
      <c r="BQ25" s="982"/>
      <c r="BR25" s="982" t="str">
        <f>MID(SUVAHAVUJ!AD26,4,1)</f>
        <v xml:space="preserve"> </v>
      </c>
      <c r="BS25" s="982"/>
      <c r="BT25" s="982"/>
      <c r="BU25" s="982"/>
      <c r="BV25" s="982"/>
      <c r="BW25" s="982" t="str">
        <f>MID(SUVAHAVUJ!AD26,5,1)</f>
        <v xml:space="preserve"> </v>
      </c>
      <c r="BX25" s="982"/>
      <c r="BY25" s="982"/>
      <c r="BZ25" s="982"/>
      <c r="CA25" s="982"/>
      <c r="CB25" s="982"/>
      <c r="CC25" s="982" t="str">
        <f>MID(SUVAHAVUJ!AD26,6,1)</f>
        <v xml:space="preserve"> </v>
      </c>
      <c r="CD25" s="982"/>
      <c r="CE25" s="982"/>
      <c r="CF25" s="982"/>
      <c r="CG25" s="982"/>
      <c r="CH25" s="982" t="str">
        <f>MID(SUVAHAVUJ!AD26,7,1)</f>
        <v xml:space="preserve"> </v>
      </c>
      <c r="CI25" s="982"/>
      <c r="CJ25" s="982"/>
      <c r="CK25" s="982"/>
      <c r="CL25" s="982"/>
      <c r="CM25" s="982"/>
      <c r="CN25" s="982" t="str">
        <f>MID(SUVAHAVUJ!AD26,8,1)</f>
        <v xml:space="preserve"> </v>
      </c>
      <c r="CO25" s="982"/>
      <c r="CP25" s="982"/>
      <c r="CQ25" s="982"/>
      <c r="CR25" s="982"/>
      <c r="CS25" s="982" t="str">
        <f>MID(SUVAHAVUJ!AD26,9,1)</f>
        <v xml:space="preserve"> </v>
      </c>
      <c r="CT25" s="982"/>
      <c r="CU25" s="982"/>
      <c r="CV25" s="982"/>
      <c r="CW25" s="982"/>
      <c r="CX25" s="982"/>
      <c r="CY25" s="982" t="str">
        <f>MID(SUVAHAVUJ!AD26,10,1)</f>
        <v xml:space="preserve"> </v>
      </c>
      <c r="CZ25" s="982"/>
      <c r="DA25" s="982"/>
      <c r="DB25" s="982"/>
      <c r="DC25" s="982"/>
      <c r="DD25" s="978" t="str">
        <f>MID(SUVAHAVUJ!AD26,11,1)</f>
        <v>0</v>
      </c>
      <c r="DE25" s="978"/>
      <c r="DF25" s="978"/>
      <c r="DG25" s="978"/>
      <c r="DH25" s="978"/>
      <c r="DI25" s="978"/>
      <c r="DJ25" s="648"/>
      <c r="DK25" s="649"/>
      <c r="DL25" s="976" t="str">
        <f>MID(SUVAHAVUJ!AF26,1,1)</f>
        <v xml:space="preserve"> </v>
      </c>
      <c r="DM25" s="976"/>
      <c r="DN25" s="976"/>
      <c r="DO25" s="976"/>
      <c r="DP25" s="976"/>
      <c r="DQ25" s="976"/>
      <c r="DR25" s="976" t="str">
        <f>MID(SUVAHAVUJ!AF26,2,1)</f>
        <v xml:space="preserve"> </v>
      </c>
      <c r="DS25" s="976"/>
      <c r="DT25" s="976"/>
      <c r="DU25" s="976"/>
      <c r="DV25" s="976"/>
      <c r="DW25" s="976" t="str">
        <f>MID(SUVAHAVUJ!AF26,3,1)</f>
        <v xml:space="preserve"> </v>
      </c>
      <c r="DX25" s="976"/>
      <c r="DY25" s="976"/>
      <c r="DZ25" s="976"/>
      <c r="EA25" s="976"/>
      <c r="EB25" s="976"/>
      <c r="EC25" s="976" t="str">
        <f>MID(SUVAHAVUJ!AF26,4,1)</f>
        <v xml:space="preserve"> </v>
      </c>
      <c r="ED25" s="976"/>
      <c r="EE25" s="976"/>
      <c r="EF25" s="976"/>
      <c r="EG25" s="976"/>
      <c r="EH25" s="976" t="str">
        <f>MID(SUVAHAVUJ!AF26,5,1)</f>
        <v xml:space="preserve"> </v>
      </c>
      <c r="EI25" s="976"/>
      <c r="EJ25" s="976"/>
      <c r="EK25" s="976"/>
      <c r="EL25" s="976"/>
      <c r="EM25" s="976"/>
      <c r="EN25" s="976" t="str">
        <f>MID(SUVAHAVUJ!AF26,6,1)</f>
        <v xml:space="preserve"> </v>
      </c>
      <c r="EO25" s="976"/>
      <c r="EP25" s="976"/>
      <c r="EQ25" s="976"/>
      <c r="ER25" s="976"/>
      <c r="ES25" s="976" t="str">
        <f>MID(SUVAHAVUJ!AF26,7,1)</f>
        <v xml:space="preserve"> </v>
      </c>
      <c r="ET25" s="976"/>
      <c r="EU25" s="976"/>
      <c r="EV25" s="976"/>
      <c r="EW25" s="976"/>
      <c r="EX25" s="976"/>
      <c r="EY25" s="976" t="str">
        <f>MID(SUVAHAVUJ!AF26,8,1)</f>
        <v xml:space="preserve"> </v>
      </c>
      <c r="EZ25" s="976"/>
      <c r="FA25" s="976"/>
      <c r="FB25" s="976"/>
      <c r="FC25" s="976"/>
      <c r="FD25" s="976" t="str">
        <f>MID(SUVAHAVUJ!AF26,9,1)</f>
        <v xml:space="preserve"> </v>
      </c>
      <c r="FE25" s="976"/>
      <c r="FF25" s="976"/>
      <c r="FG25" s="976"/>
      <c r="FH25" s="976"/>
      <c r="FI25" s="976"/>
      <c r="FJ25" s="976" t="str">
        <f>MID(SUVAHAVUJ!AF26,10,1)</f>
        <v xml:space="preserve"> </v>
      </c>
      <c r="FK25" s="976"/>
      <c r="FL25" s="976"/>
      <c r="FM25" s="976"/>
      <c r="FN25" s="976"/>
      <c r="FO25" s="978" t="str">
        <f>MID(SUVAHAVUJ!AF26,11,1)</f>
        <v>0</v>
      </c>
      <c r="FP25" s="978"/>
      <c r="FQ25" s="978"/>
      <c r="FR25" s="978"/>
      <c r="FS25" s="978"/>
      <c r="FT25" s="979"/>
      <c r="FU25" s="979"/>
      <c r="FV25" s="979"/>
      <c r="FW25" s="979"/>
      <c r="FX25" s="979"/>
      <c r="FY25" s="979"/>
      <c r="FZ25" s="979"/>
      <c r="GA25" s="979"/>
      <c r="GB25" s="979"/>
      <c r="GC25" s="979"/>
      <c r="GD25" s="979"/>
      <c r="GE25" s="979"/>
      <c r="GF25" s="979"/>
      <c r="GG25" s="979"/>
      <c r="GH25" s="979"/>
      <c r="GI25" s="979"/>
      <c r="GJ25" s="979"/>
      <c r="GK25" s="979"/>
      <c r="GL25" s="979"/>
      <c r="GM25" s="979"/>
      <c r="GN25" s="979"/>
      <c r="GO25" s="979"/>
      <c r="GP25" s="979"/>
      <c r="GQ25" s="979"/>
      <c r="GR25" s="979"/>
      <c r="GS25" s="979"/>
      <c r="GT25" s="979"/>
      <c r="GU25" s="979"/>
      <c r="GV25" s="979"/>
      <c r="GW25" s="979"/>
    </row>
    <row r="26" spans="2:205" ht="25.5" customHeight="1" x14ac:dyDescent="0.3">
      <c r="B26" s="985"/>
      <c r="C26" s="985"/>
      <c r="D26" s="985"/>
      <c r="E26" s="985"/>
      <c r="F26" s="985"/>
      <c r="G26" s="985"/>
      <c r="H26" s="985"/>
      <c r="I26" s="985"/>
      <c r="J26" s="985"/>
      <c r="K26" s="985"/>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c r="AL26" s="984"/>
      <c r="AM26" s="984"/>
      <c r="AN26" s="984"/>
      <c r="AO26" s="984"/>
      <c r="AP26" s="984"/>
      <c r="AQ26" s="975"/>
      <c r="AR26" s="975"/>
      <c r="AS26" s="975"/>
      <c r="AT26" s="975"/>
      <c r="AU26" s="975"/>
      <c r="AV26" s="975"/>
      <c r="AW26" s="975"/>
      <c r="AX26" s="975"/>
      <c r="AY26" s="648"/>
      <c r="AZ26" s="649"/>
      <c r="BA26" s="976" t="str">
        <f>MID(SUVAHAVUJ!AE26,1,1)</f>
        <v xml:space="preserve"> </v>
      </c>
      <c r="BB26" s="976"/>
      <c r="BC26" s="976"/>
      <c r="BD26" s="976"/>
      <c r="BE26" s="976"/>
      <c r="BF26" s="976"/>
      <c r="BG26" s="976" t="str">
        <f>MID(SUVAHAVUJ!AE26,2,1)</f>
        <v xml:space="preserve"> </v>
      </c>
      <c r="BH26" s="976"/>
      <c r="BI26" s="976"/>
      <c r="BJ26" s="976"/>
      <c r="BK26" s="976"/>
      <c r="BL26" s="976" t="str">
        <f>MID(SUVAHAVUJ!AE26,3,1)</f>
        <v xml:space="preserve"> </v>
      </c>
      <c r="BM26" s="976"/>
      <c r="BN26" s="976"/>
      <c r="BO26" s="976"/>
      <c r="BP26" s="976"/>
      <c r="BQ26" s="976"/>
      <c r="BR26" s="976" t="str">
        <f>MID(SUVAHAVUJ!AE26,4,1)</f>
        <v xml:space="preserve"> </v>
      </c>
      <c r="BS26" s="976"/>
      <c r="BT26" s="976"/>
      <c r="BU26" s="976"/>
      <c r="BV26" s="976"/>
      <c r="BW26" s="976" t="str">
        <f>MID(SUVAHAVUJ!AE26,5,1)</f>
        <v xml:space="preserve"> </v>
      </c>
      <c r="BX26" s="976"/>
      <c r="BY26" s="976"/>
      <c r="BZ26" s="976"/>
      <c r="CA26" s="976"/>
      <c r="CB26" s="976"/>
      <c r="CC26" s="976" t="str">
        <f>MID(SUVAHAVUJ!AE26,6,1)</f>
        <v xml:space="preserve"> </v>
      </c>
      <c r="CD26" s="976"/>
      <c r="CE26" s="976"/>
      <c r="CF26" s="976"/>
      <c r="CG26" s="976"/>
      <c r="CH26" s="976" t="str">
        <f>MID(SUVAHAVUJ!AE26,7,1)</f>
        <v xml:space="preserve"> </v>
      </c>
      <c r="CI26" s="976"/>
      <c r="CJ26" s="976"/>
      <c r="CK26" s="976"/>
      <c r="CL26" s="976"/>
      <c r="CM26" s="976"/>
      <c r="CN26" s="976" t="str">
        <f>MID(SUVAHAVUJ!AE26,8,1)</f>
        <v xml:space="preserve"> </v>
      </c>
      <c r="CO26" s="976"/>
      <c r="CP26" s="976"/>
      <c r="CQ26" s="976"/>
      <c r="CR26" s="976"/>
      <c r="CS26" s="976" t="str">
        <f>MID(SUVAHAVUJ!AE26,9,1)</f>
        <v xml:space="preserve"> </v>
      </c>
      <c r="CT26" s="976"/>
      <c r="CU26" s="976"/>
      <c r="CV26" s="976"/>
      <c r="CW26" s="976"/>
      <c r="CX26" s="976"/>
      <c r="CY26" s="976" t="str">
        <f>MID(SUVAHAVUJ!AE26,10,1)</f>
        <v xml:space="preserve"> </v>
      </c>
      <c r="CZ26" s="976"/>
      <c r="DA26" s="976"/>
      <c r="DB26" s="976"/>
      <c r="DC26" s="976"/>
      <c r="DD26" s="977" t="str">
        <f>MID(SUVAHAVUJ!AE26,11,1)</f>
        <v>0</v>
      </c>
      <c r="DE26" s="977"/>
      <c r="DF26" s="977"/>
      <c r="DG26" s="977"/>
      <c r="DH26" s="977"/>
      <c r="DI26" s="977"/>
      <c r="DJ26" s="980"/>
      <c r="DK26" s="980"/>
      <c r="DL26" s="980"/>
      <c r="DM26" s="980"/>
      <c r="DN26" s="980"/>
      <c r="DO26" s="980"/>
      <c r="DP26" s="980"/>
      <c r="DQ26" s="980"/>
      <c r="DR26" s="980"/>
      <c r="DS26" s="980"/>
      <c r="DT26" s="980"/>
      <c r="DU26" s="980"/>
      <c r="DV26" s="980"/>
      <c r="DW26" s="980"/>
      <c r="DX26" s="980"/>
      <c r="DY26" s="980"/>
      <c r="DZ26" s="980"/>
      <c r="EA26" s="980"/>
      <c r="EB26" s="980"/>
      <c r="EC26" s="980"/>
      <c r="ED26" s="980"/>
      <c r="EE26" s="980"/>
      <c r="EF26" s="980"/>
      <c r="EG26" s="980"/>
      <c r="EH26" s="980"/>
      <c r="EI26" s="980"/>
      <c r="EJ26" s="980"/>
      <c r="EK26" s="980"/>
      <c r="EL26" s="980"/>
      <c r="EM26" s="980"/>
      <c r="EN26" s="648"/>
      <c r="EO26" s="649"/>
      <c r="EP26" s="976" t="str">
        <f>MID(SUVAHAVUJ!AG26,1,1)</f>
        <v xml:space="preserve"> </v>
      </c>
      <c r="EQ26" s="976"/>
      <c r="ER26" s="976"/>
      <c r="ES26" s="976"/>
      <c r="ET26" s="976"/>
      <c r="EU26" s="976"/>
      <c r="EV26" s="976" t="str">
        <f>MID(SUVAHAVUJ!AG26,2,1)</f>
        <v xml:space="preserve"> </v>
      </c>
      <c r="EW26" s="976"/>
      <c r="EX26" s="976"/>
      <c r="EY26" s="976"/>
      <c r="EZ26" s="976"/>
      <c r="FA26" s="976" t="str">
        <f>MID(SUVAHAVUJ!AG26,3,1)</f>
        <v xml:space="preserve"> </v>
      </c>
      <c r="FB26" s="976"/>
      <c r="FC26" s="976"/>
      <c r="FD26" s="976"/>
      <c r="FE26" s="976"/>
      <c r="FF26" s="976"/>
      <c r="FG26" s="976" t="str">
        <f>MID(SUVAHAVUJ!AG26,4,1)</f>
        <v xml:space="preserve"> </v>
      </c>
      <c r="FH26" s="976"/>
      <c r="FI26" s="976"/>
      <c r="FJ26" s="976"/>
      <c r="FK26" s="976"/>
      <c r="FL26" s="976" t="str">
        <f>MID(SUVAHAVUJ!AG26,5,1)</f>
        <v xml:space="preserve"> </v>
      </c>
      <c r="FM26" s="976"/>
      <c r="FN26" s="976"/>
      <c r="FO26" s="976"/>
      <c r="FP26" s="976"/>
      <c r="FQ26" s="976"/>
      <c r="FR26" s="976" t="str">
        <f>MID(SUVAHAVUJ!AG26,6,1)</f>
        <v xml:space="preserve"> </v>
      </c>
      <c r="FS26" s="976"/>
      <c r="FT26" s="976"/>
      <c r="FU26" s="976"/>
      <c r="FV26" s="976"/>
      <c r="FW26" s="976" t="str">
        <f>MID(SUVAHAVUJ!AG26,7,1)</f>
        <v xml:space="preserve"> </v>
      </c>
      <c r="FX26" s="976"/>
      <c r="FY26" s="976"/>
      <c r="FZ26" s="976"/>
      <c r="GA26" s="976"/>
      <c r="GB26" s="976"/>
      <c r="GC26" s="976" t="str">
        <f>MID(SUVAHAVUJ!AG26,8,1)</f>
        <v xml:space="preserve"> </v>
      </c>
      <c r="GD26" s="976"/>
      <c r="GE26" s="976"/>
      <c r="GF26" s="976"/>
      <c r="GG26" s="976"/>
      <c r="GH26" s="976" t="str">
        <f>MID(SUVAHAVUJ!AG26,9,1)</f>
        <v xml:space="preserve"> </v>
      </c>
      <c r="GI26" s="976"/>
      <c r="GJ26" s="976"/>
      <c r="GK26" s="976"/>
      <c r="GL26" s="976"/>
      <c r="GM26" s="976"/>
      <c r="GN26" s="976" t="str">
        <f>MID(SUVAHAVUJ!AG26,10,1)</f>
        <v xml:space="preserve"> </v>
      </c>
      <c r="GO26" s="976"/>
      <c r="GP26" s="976"/>
      <c r="GQ26" s="976"/>
      <c r="GR26" s="976"/>
      <c r="GS26" s="978" t="str">
        <f>MID(SUVAHAVUJ!AG26,11,1)</f>
        <v>0</v>
      </c>
      <c r="GT26" s="978"/>
      <c r="GU26" s="978"/>
      <c r="GV26" s="978"/>
      <c r="GW26" s="978"/>
    </row>
    <row r="27" spans="2:205" s="650" customFormat="1" ht="23.25" customHeight="1" x14ac:dyDescent="0.3">
      <c r="B27" s="985" t="s">
        <v>2168</v>
      </c>
      <c r="C27" s="985"/>
      <c r="D27" s="985"/>
      <c r="E27" s="985"/>
      <c r="F27" s="985"/>
      <c r="G27" s="985"/>
      <c r="H27" s="985"/>
      <c r="I27" s="985"/>
      <c r="J27" s="985"/>
      <c r="K27" s="985"/>
      <c r="L27" s="984" t="str">
        <f>SUVAHAVUJ!$D$27</f>
        <v>Pôžičky prepojeným účtovným jednotkám (066A)
- /096A/</v>
      </c>
      <c r="M27" s="984"/>
      <c r="N27" s="984"/>
      <c r="O27" s="984"/>
      <c r="P27" s="984"/>
      <c r="Q27" s="984"/>
      <c r="R27" s="984"/>
      <c r="S27" s="984"/>
      <c r="T27" s="984"/>
      <c r="U27" s="984"/>
      <c r="V27" s="984"/>
      <c r="W27" s="984"/>
      <c r="X27" s="984"/>
      <c r="Y27" s="984"/>
      <c r="Z27" s="984"/>
      <c r="AA27" s="984"/>
      <c r="AB27" s="984"/>
      <c r="AC27" s="984"/>
      <c r="AD27" s="984"/>
      <c r="AE27" s="984"/>
      <c r="AF27" s="984"/>
      <c r="AG27" s="984"/>
      <c r="AH27" s="984"/>
      <c r="AI27" s="984"/>
      <c r="AJ27" s="984"/>
      <c r="AK27" s="984"/>
      <c r="AL27" s="984"/>
      <c r="AM27" s="984"/>
      <c r="AN27" s="984"/>
      <c r="AO27" s="984"/>
      <c r="AP27" s="984"/>
      <c r="AQ27" s="975" t="s">
        <v>1225</v>
      </c>
      <c r="AR27" s="975"/>
      <c r="AS27" s="975"/>
      <c r="AT27" s="975"/>
      <c r="AU27" s="975"/>
      <c r="AV27" s="975"/>
      <c r="AW27" s="975"/>
      <c r="AX27" s="975"/>
      <c r="AY27" s="648"/>
      <c r="AZ27" s="649"/>
      <c r="BA27" s="982" t="str">
        <f>MID(SUVAHAVUJ!AD27,1,1)</f>
        <v xml:space="preserve"> </v>
      </c>
      <c r="BB27" s="982"/>
      <c r="BC27" s="982"/>
      <c r="BD27" s="982"/>
      <c r="BE27" s="982"/>
      <c r="BF27" s="982"/>
      <c r="BG27" s="982" t="str">
        <f>MID(SUVAHAVUJ!AD27,2,1)</f>
        <v xml:space="preserve"> </v>
      </c>
      <c r="BH27" s="982"/>
      <c r="BI27" s="982"/>
      <c r="BJ27" s="982"/>
      <c r="BK27" s="982"/>
      <c r="BL27" s="982" t="str">
        <f>MID(SUVAHAVUJ!AD27,3,1)</f>
        <v xml:space="preserve"> </v>
      </c>
      <c r="BM27" s="982"/>
      <c r="BN27" s="982"/>
      <c r="BO27" s="982"/>
      <c r="BP27" s="982"/>
      <c r="BQ27" s="982"/>
      <c r="BR27" s="982" t="str">
        <f>MID(SUVAHAVUJ!AD27,4,1)</f>
        <v xml:space="preserve"> </v>
      </c>
      <c r="BS27" s="982"/>
      <c r="BT27" s="982"/>
      <c r="BU27" s="982"/>
      <c r="BV27" s="982"/>
      <c r="BW27" s="982" t="str">
        <f>MID(SUVAHAVUJ!AD27,5,1)</f>
        <v xml:space="preserve"> </v>
      </c>
      <c r="BX27" s="982"/>
      <c r="BY27" s="982"/>
      <c r="BZ27" s="982"/>
      <c r="CA27" s="982"/>
      <c r="CB27" s="982"/>
      <c r="CC27" s="982" t="str">
        <f>MID(SUVAHAVUJ!AD27,6,1)</f>
        <v xml:space="preserve"> </v>
      </c>
      <c r="CD27" s="982"/>
      <c r="CE27" s="982"/>
      <c r="CF27" s="982"/>
      <c r="CG27" s="982"/>
      <c r="CH27" s="982" t="str">
        <f>MID(SUVAHAVUJ!AD27,7,1)</f>
        <v xml:space="preserve"> </v>
      </c>
      <c r="CI27" s="982"/>
      <c r="CJ27" s="982"/>
      <c r="CK27" s="982"/>
      <c r="CL27" s="982"/>
      <c r="CM27" s="982"/>
      <c r="CN27" s="982" t="str">
        <f>MID(SUVAHAVUJ!AD27,8,1)</f>
        <v xml:space="preserve"> </v>
      </c>
      <c r="CO27" s="982"/>
      <c r="CP27" s="982"/>
      <c r="CQ27" s="982"/>
      <c r="CR27" s="982"/>
      <c r="CS27" s="982" t="str">
        <f>MID(SUVAHAVUJ!AD27,9,1)</f>
        <v xml:space="preserve"> </v>
      </c>
      <c r="CT27" s="982"/>
      <c r="CU27" s="982"/>
      <c r="CV27" s="982"/>
      <c r="CW27" s="982"/>
      <c r="CX27" s="982"/>
      <c r="CY27" s="982" t="str">
        <f>MID(SUVAHAVUJ!AD27,10,1)</f>
        <v xml:space="preserve"> </v>
      </c>
      <c r="CZ27" s="982"/>
      <c r="DA27" s="982"/>
      <c r="DB27" s="982"/>
      <c r="DC27" s="982"/>
      <c r="DD27" s="978" t="str">
        <f>MID(SUVAHAVUJ!AD27,11,1)</f>
        <v>0</v>
      </c>
      <c r="DE27" s="978"/>
      <c r="DF27" s="978"/>
      <c r="DG27" s="978"/>
      <c r="DH27" s="978"/>
      <c r="DI27" s="978"/>
      <c r="DJ27" s="648"/>
      <c r="DK27" s="649"/>
      <c r="DL27" s="976" t="str">
        <f>MID(SUVAHAVUJ!AF27,1,1)</f>
        <v xml:space="preserve"> </v>
      </c>
      <c r="DM27" s="976"/>
      <c r="DN27" s="976"/>
      <c r="DO27" s="976"/>
      <c r="DP27" s="976"/>
      <c r="DQ27" s="976"/>
      <c r="DR27" s="976" t="str">
        <f>MID(SUVAHAVUJ!AF27,2,1)</f>
        <v xml:space="preserve"> </v>
      </c>
      <c r="DS27" s="976"/>
      <c r="DT27" s="976"/>
      <c r="DU27" s="976"/>
      <c r="DV27" s="976"/>
      <c r="DW27" s="976" t="str">
        <f>MID(SUVAHAVUJ!AF27,3,1)</f>
        <v xml:space="preserve"> </v>
      </c>
      <c r="DX27" s="976"/>
      <c r="DY27" s="976"/>
      <c r="DZ27" s="976"/>
      <c r="EA27" s="976"/>
      <c r="EB27" s="976"/>
      <c r="EC27" s="976" t="str">
        <f>MID(SUVAHAVUJ!AF27,4,1)</f>
        <v xml:space="preserve"> </v>
      </c>
      <c r="ED27" s="976"/>
      <c r="EE27" s="976"/>
      <c r="EF27" s="976"/>
      <c r="EG27" s="976"/>
      <c r="EH27" s="976" t="str">
        <f>MID(SUVAHAVUJ!AF27,5,1)</f>
        <v xml:space="preserve"> </v>
      </c>
      <c r="EI27" s="976"/>
      <c r="EJ27" s="976"/>
      <c r="EK27" s="976"/>
      <c r="EL27" s="976"/>
      <c r="EM27" s="976"/>
      <c r="EN27" s="976" t="str">
        <f>MID(SUVAHAVUJ!AF27,6,1)</f>
        <v xml:space="preserve"> </v>
      </c>
      <c r="EO27" s="976"/>
      <c r="EP27" s="976"/>
      <c r="EQ27" s="976"/>
      <c r="ER27" s="976"/>
      <c r="ES27" s="976" t="str">
        <f>MID(SUVAHAVUJ!AF27,7,1)</f>
        <v xml:space="preserve"> </v>
      </c>
      <c r="ET27" s="976"/>
      <c r="EU27" s="976"/>
      <c r="EV27" s="976"/>
      <c r="EW27" s="976"/>
      <c r="EX27" s="976"/>
      <c r="EY27" s="976" t="str">
        <f>MID(SUVAHAVUJ!AF27,8,1)</f>
        <v xml:space="preserve"> </v>
      </c>
      <c r="EZ27" s="976"/>
      <c r="FA27" s="976"/>
      <c r="FB27" s="976"/>
      <c r="FC27" s="976"/>
      <c r="FD27" s="976" t="str">
        <f>MID(SUVAHAVUJ!AF27,9,1)</f>
        <v xml:space="preserve"> </v>
      </c>
      <c r="FE27" s="976"/>
      <c r="FF27" s="976"/>
      <c r="FG27" s="976"/>
      <c r="FH27" s="976"/>
      <c r="FI27" s="976"/>
      <c r="FJ27" s="976" t="str">
        <f>MID(SUVAHAVUJ!AF27,10,1)</f>
        <v xml:space="preserve"> </v>
      </c>
      <c r="FK27" s="976"/>
      <c r="FL27" s="976"/>
      <c r="FM27" s="976"/>
      <c r="FN27" s="976"/>
      <c r="FO27" s="978" t="str">
        <f>MID(SUVAHAVUJ!AF27,11,1)</f>
        <v>0</v>
      </c>
      <c r="FP27" s="978"/>
      <c r="FQ27" s="978"/>
      <c r="FR27" s="978"/>
      <c r="FS27" s="978"/>
      <c r="FT27" s="979"/>
      <c r="FU27" s="979"/>
      <c r="FV27" s="979"/>
      <c r="FW27" s="979"/>
      <c r="FX27" s="979"/>
      <c r="FY27" s="979"/>
      <c r="FZ27" s="979"/>
      <c r="GA27" s="979"/>
      <c r="GB27" s="979"/>
      <c r="GC27" s="979"/>
      <c r="GD27" s="979"/>
      <c r="GE27" s="979"/>
      <c r="GF27" s="979"/>
      <c r="GG27" s="979"/>
      <c r="GH27" s="979"/>
      <c r="GI27" s="979"/>
      <c r="GJ27" s="979"/>
      <c r="GK27" s="979"/>
      <c r="GL27" s="979"/>
      <c r="GM27" s="979"/>
      <c r="GN27" s="979"/>
      <c r="GO27" s="979"/>
      <c r="GP27" s="979"/>
      <c r="GQ27" s="979"/>
      <c r="GR27" s="979"/>
      <c r="GS27" s="979"/>
      <c r="GT27" s="979"/>
      <c r="GU27" s="979"/>
      <c r="GV27" s="979"/>
      <c r="GW27" s="979"/>
    </row>
    <row r="28" spans="2:205" ht="23.25" customHeight="1" x14ac:dyDescent="0.3">
      <c r="B28" s="985"/>
      <c r="C28" s="985"/>
      <c r="D28" s="985"/>
      <c r="E28" s="985"/>
      <c r="F28" s="985"/>
      <c r="G28" s="985"/>
      <c r="H28" s="985"/>
      <c r="I28" s="985"/>
      <c r="J28" s="985"/>
      <c r="K28" s="985"/>
      <c r="L28" s="984"/>
      <c r="M28" s="984"/>
      <c r="N28" s="984"/>
      <c r="O28" s="984"/>
      <c r="P28" s="984"/>
      <c r="Q28" s="984"/>
      <c r="R28" s="984"/>
      <c r="S28" s="984"/>
      <c r="T28" s="984"/>
      <c r="U28" s="984"/>
      <c r="V28" s="984"/>
      <c r="W28" s="984"/>
      <c r="X28" s="984"/>
      <c r="Y28" s="984"/>
      <c r="Z28" s="984"/>
      <c r="AA28" s="984"/>
      <c r="AB28" s="984"/>
      <c r="AC28" s="984"/>
      <c r="AD28" s="984"/>
      <c r="AE28" s="984"/>
      <c r="AF28" s="984"/>
      <c r="AG28" s="984"/>
      <c r="AH28" s="984"/>
      <c r="AI28" s="984"/>
      <c r="AJ28" s="984"/>
      <c r="AK28" s="984"/>
      <c r="AL28" s="984"/>
      <c r="AM28" s="984"/>
      <c r="AN28" s="984"/>
      <c r="AO28" s="984"/>
      <c r="AP28" s="984"/>
      <c r="AQ28" s="975"/>
      <c r="AR28" s="975"/>
      <c r="AS28" s="975"/>
      <c r="AT28" s="975"/>
      <c r="AU28" s="975"/>
      <c r="AV28" s="975"/>
      <c r="AW28" s="975"/>
      <c r="AX28" s="975"/>
      <c r="AY28" s="648"/>
      <c r="AZ28" s="649"/>
      <c r="BA28" s="976" t="str">
        <f>MID(SUVAHAVUJ!AE27,1,1)</f>
        <v xml:space="preserve"> </v>
      </c>
      <c r="BB28" s="976"/>
      <c r="BC28" s="976"/>
      <c r="BD28" s="976"/>
      <c r="BE28" s="976"/>
      <c r="BF28" s="976"/>
      <c r="BG28" s="976" t="str">
        <f>MID(SUVAHAVUJ!AE27,2,1)</f>
        <v xml:space="preserve"> </v>
      </c>
      <c r="BH28" s="976"/>
      <c r="BI28" s="976"/>
      <c r="BJ28" s="976"/>
      <c r="BK28" s="976"/>
      <c r="BL28" s="976" t="str">
        <f>MID(SUVAHAVUJ!AE27,3,1)</f>
        <v xml:space="preserve"> </v>
      </c>
      <c r="BM28" s="976"/>
      <c r="BN28" s="976"/>
      <c r="BO28" s="976"/>
      <c r="BP28" s="976"/>
      <c r="BQ28" s="976"/>
      <c r="BR28" s="976" t="str">
        <f>MID(SUVAHAVUJ!AE27,4,1)</f>
        <v xml:space="preserve"> </v>
      </c>
      <c r="BS28" s="976"/>
      <c r="BT28" s="976"/>
      <c r="BU28" s="976"/>
      <c r="BV28" s="976"/>
      <c r="BW28" s="976" t="str">
        <f>MID(SUVAHAVUJ!AE27,5,1)</f>
        <v xml:space="preserve"> </v>
      </c>
      <c r="BX28" s="976"/>
      <c r="BY28" s="976"/>
      <c r="BZ28" s="976"/>
      <c r="CA28" s="976"/>
      <c r="CB28" s="976"/>
      <c r="CC28" s="976" t="str">
        <f>MID(SUVAHAVUJ!AE27,6,1)</f>
        <v xml:space="preserve"> </v>
      </c>
      <c r="CD28" s="976"/>
      <c r="CE28" s="976"/>
      <c r="CF28" s="976"/>
      <c r="CG28" s="976"/>
      <c r="CH28" s="976" t="str">
        <f>MID(SUVAHAVUJ!AE27,7,1)</f>
        <v xml:space="preserve"> </v>
      </c>
      <c r="CI28" s="976"/>
      <c r="CJ28" s="976"/>
      <c r="CK28" s="976"/>
      <c r="CL28" s="976"/>
      <c r="CM28" s="976"/>
      <c r="CN28" s="976" t="str">
        <f>MID(SUVAHAVUJ!AE27,8,1)</f>
        <v xml:space="preserve"> </v>
      </c>
      <c r="CO28" s="976"/>
      <c r="CP28" s="976"/>
      <c r="CQ28" s="976"/>
      <c r="CR28" s="976"/>
      <c r="CS28" s="976" t="str">
        <f>MID(SUVAHAVUJ!AE27,9,1)</f>
        <v xml:space="preserve"> </v>
      </c>
      <c r="CT28" s="976"/>
      <c r="CU28" s="976"/>
      <c r="CV28" s="976"/>
      <c r="CW28" s="976"/>
      <c r="CX28" s="976"/>
      <c r="CY28" s="976" t="str">
        <f>MID(SUVAHAVUJ!AE27,10,1)</f>
        <v xml:space="preserve"> </v>
      </c>
      <c r="CZ28" s="976"/>
      <c r="DA28" s="976"/>
      <c r="DB28" s="976"/>
      <c r="DC28" s="976"/>
      <c r="DD28" s="977" t="str">
        <f>MID(SUVAHAVUJ!AE27,11,1)</f>
        <v>0</v>
      </c>
      <c r="DE28" s="977"/>
      <c r="DF28" s="977"/>
      <c r="DG28" s="977"/>
      <c r="DH28" s="977"/>
      <c r="DI28" s="977"/>
      <c r="DJ28" s="980"/>
      <c r="DK28" s="980"/>
      <c r="DL28" s="980"/>
      <c r="DM28" s="980"/>
      <c r="DN28" s="980"/>
      <c r="DO28" s="980"/>
      <c r="DP28" s="980"/>
      <c r="DQ28" s="980"/>
      <c r="DR28" s="980"/>
      <c r="DS28" s="980"/>
      <c r="DT28" s="980"/>
      <c r="DU28" s="980"/>
      <c r="DV28" s="980"/>
      <c r="DW28" s="980"/>
      <c r="DX28" s="980"/>
      <c r="DY28" s="980"/>
      <c r="DZ28" s="980"/>
      <c r="EA28" s="980"/>
      <c r="EB28" s="980"/>
      <c r="EC28" s="980"/>
      <c r="ED28" s="980"/>
      <c r="EE28" s="980"/>
      <c r="EF28" s="980"/>
      <c r="EG28" s="980"/>
      <c r="EH28" s="980"/>
      <c r="EI28" s="980"/>
      <c r="EJ28" s="980"/>
      <c r="EK28" s="980"/>
      <c r="EL28" s="980"/>
      <c r="EM28" s="980"/>
      <c r="EN28" s="648"/>
      <c r="EO28" s="649"/>
      <c r="EP28" s="976" t="str">
        <f>MID(SUVAHAVUJ!AG27,1,1)</f>
        <v xml:space="preserve"> </v>
      </c>
      <c r="EQ28" s="976"/>
      <c r="ER28" s="976"/>
      <c r="ES28" s="976"/>
      <c r="ET28" s="976"/>
      <c r="EU28" s="976"/>
      <c r="EV28" s="976" t="str">
        <f>MID(SUVAHAVUJ!AG27,2,1)</f>
        <v xml:space="preserve"> </v>
      </c>
      <c r="EW28" s="976"/>
      <c r="EX28" s="976"/>
      <c r="EY28" s="976"/>
      <c r="EZ28" s="976"/>
      <c r="FA28" s="976" t="str">
        <f>MID(SUVAHAVUJ!AG27,3,1)</f>
        <v xml:space="preserve"> </v>
      </c>
      <c r="FB28" s="976"/>
      <c r="FC28" s="976"/>
      <c r="FD28" s="976"/>
      <c r="FE28" s="976"/>
      <c r="FF28" s="976"/>
      <c r="FG28" s="976" t="str">
        <f>MID(SUVAHAVUJ!AG27,4,1)</f>
        <v xml:space="preserve"> </v>
      </c>
      <c r="FH28" s="976"/>
      <c r="FI28" s="976"/>
      <c r="FJ28" s="976"/>
      <c r="FK28" s="976"/>
      <c r="FL28" s="976" t="str">
        <f>MID(SUVAHAVUJ!AG27,5,1)</f>
        <v xml:space="preserve"> </v>
      </c>
      <c r="FM28" s="976"/>
      <c r="FN28" s="976"/>
      <c r="FO28" s="976"/>
      <c r="FP28" s="976"/>
      <c r="FQ28" s="976"/>
      <c r="FR28" s="976" t="str">
        <f>MID(SUVAHAVUJ!AG27,6,1)</f>
        <v xml:space="preserve"> </v>
      </c>
      <c r="FS28" s="976"/>
      <c r="FT28" s="976"/>
      <c r="FU28" s="976"/>
      <c r="FV28" s="976"/>
      <c r="FW28" s="976" t="str">
        <f>MID(SUVAHAVUJ!AG27,7,1)</f>
        <v xml:space="preserve"> </v>
      </c>
      <c r="FX28" s="976"/>
      <c r="FY28" s="976"/>
      <c r="FZ28" s="976"/>
      <c r="GA28" s="976"/>
      <c r="GB28" s="976"/>
      <c r="GC28" s="976" t="str">
        <f>MID(SUVAHAVUJ!AG27,8,1)</f>
        <v xml:space="preserve"> </v>
      </c>
      <c r="GD28" s="976"/>
      <c r="GE28" s="976"/>
      <c r="GF28" s="976"/>
      <c r="GG28" s="976"/>
      <c r="GH28" s="976" t="str">
        <f>MID(SUVAHAVUJ!AG27,9,1)</f>
        <v xml:space="preserve"> </v>
      </c>
      <c r="GI28" s="976"/>
      <c r="GJ28" s="976"/>
      <c r="GK28" s="976"/>
      <c r="GL28" s="976"/>
      <c r="GM28" s="976"/>
      <c r="GN28" s="976" t="str">
        <f>MID(SUVAHAVUJ!AG27,10,1)</f>
        <v xml:space="preserve"> </v>
      </c>
      <c r="GO28" s="976"/>
      <c r="GP28" s="976"/>
      <c r="GQ28" s="976"/>
      <c r="GR28" s="976"/>
      <c r="GS28" s="978" t="str">
        <f>MID(SUVAHAVUJ!AG27,11,1)</f>
        <v>0</v>
      </c>
      <c r="GT28" s="978"/>
      <c r="GU28" s="978"/>
      <c r="GV28" s="978"/>
      <c r="GW28" s="978"/>
    </row>
    <row r="29" spans="2:205" s="650" customFormat="1" ht="24" customHeight="1" x14ac:dyDescent="0.3">
      <c r="B29" s="985" t="s">
        <v>2169</v>
      </c>
      <c r="C29" s="985"/>
      <c r="D29" s="985"/>
      <c r="E29" s="985"/>
      <c r="F29" s="985"/>
      <c r="G29" s="985"/>
      <c r="H29" s="985"/>
      <c r="I29" s="985"/>
      <c r="J29" s="985"/>
      <c r="K29" s="985"/>
      <c r="L29" s="984" t="str">
        <f>SUVAHAVUJ!$D$28</f>
        <v>Pôžičky v rámci podielovej účasti okrem prepojeným účtovným jednotkám (066A) - /096A/</v>
      </c>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984"/>
      <c r="AO29" s="984"/>
      <c r="AP29" s="984"/>
      <c r="AQ29" s="975" t="s">
        <v>1226</v>
      </c>
      <c r="AR29" s="975"/>
      <c r="AS29" s="975"/>
      <c r="AT29" s="975"/>
      <c r="AU29" s="975"/>
      <c r="AV29" s="975"/>
      <c r="AW29" s="975"/>
      <c r="AX29" s="975"/>
      <c r="AY29" s="648"/>
      <c r="AZ29" s="649"/>
      <c r="BA29" s="982" t="str">
        <f>MID(SUVAHAVUJ!AD28,1,1)</f>
        <v xml:space="preserve"> </v>
      </c>
      <c r="BB29" s="982"/>
      <c r="BC29" s="982"/>
      <c r="BD29" s="982"/>
      <c r="BE29" s="982"/>
      <c r="BF29" s="982"/>
      <c r="BG29" s="982" t="str">
        <f>MID(SUVAHAVUJ!AD28,2,1)</f>
        <v xml:space="preserve"> </v>
      </c>
      <c r="BH29" s="982"/>
      <c r="BI29" s="982"/>
      <c r="BJ29" s="982"/>
      <c r="BK29" s="982"/>
      <c r="BL29" s="982" t="str">
        <f>MID(SUVAHAVUJ!AD28,3,1)</f>
        <v xml:space="preserve"> </v>
      </c>
      <c r="BM29" s="982"/>
      <c r="BN29" s="982"/>
      <c r="BO29" s="982"/>
      <c r="BP29" s="982"/>
      <c r="BQ29" s="982"/>
      <c r="BR29" s="982" t="str">
        <f>MID(SUVAHAVUJ!AD28,4,1)</f>
        <v xml:space="preserve"> </v>
      </c>
      <c r="BS29" s="982"/>
      <c r="BT29" s="982"/>
      <c r="BU29" s="982"/>
      <c r="BV29" s="982"/>
      <c r="BW29" s="982" t="str">
        <f>MID(SUVAHAVUJ!AD28,5,1)</f>
        <v xml:space="preserve"> </v>
      </c>
      <c r="BX29" s="982"/>
      <c r="BY29" s="982"/>
      <c r="BZ29" s="982"/>
      <c r="CA29" s="982"/>
      <c r="CB29" s="982"/>
      <c r="CC29" s="982" t="str">
        <f>MID(SUVAHAVUJ!AD28,6,1)</f>
        <v xml:space="preserve"> </v>
      </c>
      <c r="CD29" s="982"/>
      <c r="CE29" s="982"/>
      <c r="CF29" s="982"/>
      <c r="CG29" s="982"/>
      <c r="CH29" s="982" t="str">
        <f>MID(SUVAHAVUJ!AD28,7,1)</f>
        <v xml:space="preserve"> </v>
      </c>
      <c r="CI29" s="982"/>
      <c r="CJ29" s="982"/>
      <c r="CK29" s="982"/>
      <c r="CL29" s="982"/>
      <c r="CM29" s="982"/>
      <c r="CN29" s="982" t="str">
        <f>MID(SUVAHAVUJ!AD28,8,1)</f>
        <v xml:space="preserve"> </v>
      </c>
      <c r="CO29" s="982"/>
      <c r="CP29" s="982"/>
      <c r="CQ29" s="982"/>
      <c r="CR29" s="982"/>
      <c r="CS29" s="982" t="str">
        <f>MID(SUVAHAVUJ!AD28,9,1)</f>
        <v xml:space="preserve"> </v>
      </c>
      <c r="CT29" s="982"/>
      <c r="CU29" s="982"/>
      <c r="CV29" s="982"/>
      <c r="CW29" s="982"/>
      <c r="CX29" s="982"/>
      <c r="CY29" s="982" t="str">
        <f>MID(SUVAHAVUJ!AD28,10,1)</f>
        <v xml:space="preserve"> </v>
      </c>
      <c r="CZ29" s="982"/>
      <c r="DA29" s="982"/>
      <c r="DB29" s="982"/>
      <c r="DC29" s="982"/>
      <c r="DD29" s="978" t="str">
        <f>MID(SUVAHAVUJ!AD28,11,1)</f>
        <v>0</v>
      </c>
      <c r="DE29" s="978"/>
      <c r="DF29" s="978"/>
      <c r="DG29" s="978"/>
      <c r="DH29" s="978"/>
      <c r="DI29" s="978"/>
      <c r="DJ29" s="648"/>
      <c r="DK29" s="649"/>
      <c r="DL29" s="976" t="str">
        <f>MID(SUVAHAVUJ!AF28,1,1)</f>
        <v xml:space="preserve"> </v>
      </c>
      <c r="DM29" s="976"/>
      <c r="DN29" s="976"/>
      <c r="DO29" s="976"/>
      <c r="DP29" s="976"/>
      <c r="DQ29" s="976"/>
      <c r="DR29" s="976" t="str">
        <f>MID(SUVAHAVUJ!AF28,2,1)</f>
        <v xml:space="preserve"> </v>
      </c>
      <c r="DS29" s="976"/>
      <c r="DT29" s="976"/>
      <c r="DU29" s="976"/>
      <c r="DV29" s="976"/>
      <c r="DW29" s="976" t="str">
        <f>MID(SUVAHAVUJ!AF28,3,1)</f>
        <v xml:space="preserve"> </v>
      </c>
      <c r="DX29" s="976"/>
      <c r="DY29" s="976"/>
      <c r="DZ29" s="976"/>
      <c r="EA29" s="976"/>
      <c r="EB29" s="976"/>
      <c r="EC29" s="976" t="str">
        <f>MID(SUVAHAVUJ!AF28,4,1)</f>
        <v xml:space="preserve"> </v>
      </c>
      <c r="ED29" s="976"/>
      <c r="EE29" s="976"/>
      <c r="EF29" s="976"/>
      <c r="EG29" s="976"/>
      <c r="EH29" s="976" t="str">
        <f>MID(SUVAHAVUJ!AF28,5,1)</f>
        <v xml:space="preserve"> </v>
      </c>
      <c r="EI29" s="976"/>
      <c r="EJ29" s="976"/>
      <c r="EK29" s="976"/>
      <c r="EL29" s="976"/>
      <c r="EM29" s="976"/>
      <c r="EN29" s="976" t="str">
        <f>MID(SUVAHAVUJ!AF28,6,1)</f>
        <v xml:space="preserve"> </v>
      </c>
      <c r="EO29" s="976"/>
      <c r="EP29" s="976"/>
      <c r="EQ29" s="976"/>
      <c r="ER29" s="976"/>
      <c r="ES29" s="976" t="str">
        <f>MID(SUVAHAVUJ!AF28,7,1)</f>
        <v xml:space="preserve"> </v>
      </c>
      <c r="ET29" s="976"/>
      <c r="EU29" s="976"/>
      <c r="EV29" s="976"/>
      <c r="EW29" s="976"/>
      <c r="EX29" s="976"/>
      <c r="EY29" s="976" t="str">
        <f>MID(SUVAHAVUJ!AF28,8,1)</f>
        <v xml:space="preserve"> </v>
      </c>
      <c r="EZ29" s="976"/>
      <c r="FA29" s="976"/>
      <c r="FB29" s="976"/>
      <c r="FC29" s="976"/>
      <c r="FD29" s="976" t="str">
        <f>MID(SUVAHAVUJ!AF28,9,1)</f>
        <v xml:space="preserve"> </v>
      </c>
      <c r="FE29" s="976"/>
      <c r="FF29" s="976"/>
      <c r="FG29" s="976"/>
      <c r="FH29" s="976"/>
      <c r="FI29" s="976"/>
      <c r="FJ29" s="976" t="str">
        <f>MID(SUVAHAVUJ!AF28,10,1)</f>
        <v xml:space="preserve"> </v>
      </c>
      <c r="FK29" s="976"/>
      <c r="FL29" s="976"/>
      <c r="FM29" s="976"/>
      <c r="FN29" s="976"/>
      <c r="FO29" s="978" t="str">
        <f>MID(SUVAHAVUJ!AF28,11,1)</f>
        <v>0</v>
      </c>
      <c r="FP29" s="978"/>
      <c r="FQ29" s="978"/>
      <c r="FR29" s="978"/>
      <c r="FS29" s="978"/>
      <c r="FT29" s="979"/>
      <c r="FU29" s="979"/>
      <c r="FV29" s="979"/>
      <c r="FW29" s="979"/>
      <c r="FX29" s="979"/>
      <c r="FY29" s="979"/>
      <c r="FZ29" s="979"/>
      <c r="GA29" s="979"/>
      <c r="GB29" s="979"/>
      <c r="GC29" s="979"/>
      <c r="GD29" s="979"/>
      <c r="GE29" s="979"/>
      <c r="GF29" s="979"/>
      <c r="GG29" s="979"/>
      <c r="GH29" s="979"/>
      <c r="GI29" s="979"/>
      <c r="GJ29" s="979"/>
      <c r="GK29" s="979"/>
      <c r="GL29" s="979"/>
      <c r="GM29" s="979"/>
      <c r="GN29" s="979"/>
      <c r="GO29" s="979"/>
      <c r="GP29" s="979"/>
      <c r="GQ29" s="979"/>
      <c r="GR29" s="979"/>
      <c r="GS29" s="979"/>
      <c r="GT29" s="979"/>
      <c r="GU29" s="979"/>
      <c r="GV29" s="979"/>
      <c r="GW29" s="979"/>
    </row>
    <row r="30" spans="2:205" ht="23.25" customHeight="1" x14ac:dyDescent="0.3">
      <c r="B30" s="985"/>
      <c r="C30" s="985"/>
      <c r="D30" s="985"/>
      <c r="E30" s="985"/>
      <c r="F30" s="985"/>
      <c r="G30" s="985"/>
      <c r="H30" s="985"/>
      <c r="I30" s="985"/>
      <c r="J30" s="985"/>
      <c r="K30" s="985"/>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984"/>
      <c r="AO30" s="984"/>
      <c r="AP30" s="984"/>
      <c r="AQ30" s="975"/>
      <c r="AR30" s="975"/>
      <c r="AS30" s="975"/>
      <c r="AT30" s="975"/>
      <c r="AU30" s="975"/>
      <c r="AV30" s="975"/>
      <c r="AW30" s="975"/>
      <c r="AX30" s="975"/>
      <c r="AY30" s="648"/>
      <c r="AZ30" s="649"/>
      <c r="BA30" s="976" t="str">
        <f>MID(SUVAHAVUJ!AE28,1,1)</f>
        <v xml:space="preserve"> </v>
      </c>
      <c r="BB30" s="976"/>
      <c r="BC30" s="976"/>
      <c r="BD30" s="976"/>
      <c r="BE30" s="976"/>
      <c r="BF30" s="976"/>
      <c r="BG30" s="976" t="str">
        <f>MID(SUVAHAVUJ!AE28,2,1)</f>
        <v xml:space="preserve"> </v>
      </c>
      <c r="BH30" s="976"/>
      <c r="BI30" s="976"/>
      <c r="BJ30" s="976"/>
      <c r="BK30" s="976"/>
      <c r="BL30" s="976" t="str">
        <f>MID(SUVAHAVUJ!AE28,3,1)</f>
        <v xml:space="preserve"> </v>
      </c>
      <c r="BM30" s="976"/>
      <c r="BN30" s="976"/>
      <c r="BO30" s="976"/>
      <c r="BP30" s="976"/>
      <c r="BQ30" s="976"/>
      <c r="BR30" s="976" t="str">
        <f>MID(SUVAHAVUJ!AE28,4,1)</f>
        <v xml:space="preserve"> </v>
      </c>
      <c r="BS30" s="976"/>
      <c r="BT30" s="976"/>
      <c r="BU30" s="976"/>
      <c r="BV30" s="976"/>
      <c r="BW30" s="976" t="str">
        <f>MID(SUVAHAVUJ!AE28,5,1)</f>
        <v xml:space="preserve"> </v>
      </c>
      <c r="BX30" s="976"/>
      <c r="BY30" s="976"/>
      <c r="BZ30" s="976"/>
      <c r="CA30" s="976"/>
      <c r="CB30" s="976"/>
      <c r="CC30" s="976" t="str">
        <f>MID(SUVAHAVUJ!AE28,6,1)</f>
        <v xml:space="preserve"> </v>
      </c>
      <c r="CD30" s="976"/>
      <c r="CE30" s="976"/>
      <c r="CF30" s="976"/>
      <c r="CG30" s="976"/>
      <c r="CH30" s="976" t="str">
        <f>MID(SUVAHAVUJ!AE28,7,1)</f>
        <v xml:space="preserve"> </v>
      </c>
      <c r="CI30" s="976"/>
      <c r="CJ30" s="976"/>
      <c r="CK30" s="976"/>
      <c r="CL30" s="976"/>
      <c r="CM30" s="976"/>
      <c r="CN30" s="976" t="str">
        <f>MID(SUVAHAVUJ!AE28,8,1)</f>
        <v xml:space="preserve"> </v>
      </c>
      <c r="CO30" s="976"/>
      <c r="CP30" s="976"/>
      <c r="CQ30" s="976"/>
      <c r="CR30" s="976"/>
      <c r="CS30" s="976" t="str">
        <f>MID(SUVAHAVUJ!AE28,9,1)</f>
        <v xml:space="preserve"> </v>
      </c>
      <c r="CT30" s="976"/>
      <c r="CU30" s="976"/>
      <c r="CV30" s="976"/>
      <c r="CW30" s="976"/>
      <c r="CX30" s="976"/>
      <c r="CY30" s="976" t="str">
        <f>MID(SUVAHAVUJ!AE28,10,1)</f>
        <v xml:space="preserve"> </v>
      </c>
      <c r="CZ30" s="976"/>
      <c r="DA30" s="976"/>
      <c r="DB30" s="976"/>
      <c r="DC30" s="976"/>
      <c r="DD30" s="977" t="str">
        <f>MID(SUVAHAVUJ!AE28,11,1)</f>
        <v>0</v>
      </c>
      <c r="DE30" s="977"/>
      <c r="DF30" s="977"/>
      <c r="DG30" s="977"/>
      <c r="DH30" s="977"/>
      <c r="DI30" s="977"/>
      <c r="DJ30" s="980"/>
      <c r="DK30" s="980"/>
      <c r="DL30" s="980"/>
      <c r="DM30" s="980"/>
      <c r="DN30" s="980"/>
      <c r="DO30" s="980"/>
      <c r="DP30" s="980"/>
      <c r="DQ30" s="980"/>
      <c r="DR30" s="980"/>
      <c r="DS30" s="980"/>
      <c r="DT30" s="980"/>
      <c r="DU30" s="980"/>
      <c r="DV30" s="980"/>
      <c r="DW30" s="980"/>
      <c r="DX30" s="980"/>
      <c r="DY30" s="980"/>
      <c r="DZ30" s="980"/>
      <c r="EA30" s="980"/>
      <c r="EB30" s="980"/>
      <c r="EC30" s="980"/>
      <c r="ED30" s="980"/>
      <c r="EE30" s="980"/>
      <c r="EF30" s="980"/>
      <c r="EG30" s="980"/>
      <c r="EH30" s="980"/>
      <c r="EI30" s="980"/>
      <c r="EJ30" s="980"/>
      <c r="EK30" s="980"/>
      <c r="EL30" s="980"/>
      <c r="EM30" s="980"/>
      <c r="EN30" s="648"/>
      <c r="EO30" s="649"/>
      <c r="EP30" s="976" t="str">
        <f>MID(SUVAHAVUJ!AG28,1,1)</f>
        <v xml:space="preserve"> </v>
      </c>
      <c r="EQ30" s="976"/>
      <c r="ER30" s="976"/>
      <c r="ES30" s="976"/>
      <c r="ET30" s="976"/>
      <c r="EU30" s="976"/>
      <c r="EV30" s="976" t="str">
        <f>MID(SUVAHAVUJ!AG28,2,1)</f>
        <v xml:space="preserve"> </v>
      </c>
      <c r="EW30" s="976"/>
      <c r="EX30" s="976"/>
      <c r="EY30" s="976"/>
      <c r="EZ30" s="976"/>
      <c r="FA30" s="976" t="str">
        <f>MID(SUVAHAVUJ!AG28,3,1)</f>
        <v xml:space="preserve"> </v>
      </c>
      <c r="FB30" s="976"/>
      <c r="FC30" s="976"/>
      <c r="FD30" s="976"/>
      <c r="FE30" s="976"/>
      <c r="FF30" s="976"/>
      <c r="FG30" s="976" t="str">
        <f>MID(SUVAHAVUJ!AG28,4,1)</f>
        <v xml:space="preserve"> </v>
      </c>
      <c r="FH30" s="976"/>
      <c r="FI30" s="976"/>
      <c r="FJ30" s="976"/>
      <c r="FK30" s="976"/>
      <c r="FL30" s="976" t="str">
        <f>MID(SUVAHAVUJ!AG28,5,1)</f>
        <v xml:space="preserve"> </v>
      </c>
      <c r="FM30" s="976"/>
      <c r="FN30" s="976"/>
      <c r="FO30" s="976"/>
      <c r="FP30" s="976"/>
      <c r="FQ30" s="976"/>
      <c r="FR30" s="976" t="str">
        <f>MID(SUVAHAVUJ!AG28,6,1)</f>
        <v xml:space="preserve"> </v>
      </c>
      <c r="FS30" s="976"/>
      <c r="FT30" s="976"/>
      <c r="FU30" s="976"/>
      <c r="FV30" s="976"/>
      <c r="FW30" s="976" t="str">
        <f>MID(SUVAHAVUJ!AG28,7,1)</f>
        <v xml:space="preserve"> </v>
      </c>
      <c r="FX30" s="976"/>
      <c r="FY30" s="976"/>
      <c r="FZ30" s="976"/>
      <c r="GA30" s="976"/>
      <c r="GB30" s="976"/>
      <c r="GC30" s="976" t="str">
        <f>MID(SUVAHAVUJ!AG28,8,1)</f>
        <v xml:space="preserve"> </v>
      </c>
      <c r="GD30" s="976"/>
      <c r="GE30" s="976"/>
      <c r="GF30" s="976"/>
      <c r="GG30" s="976"/>
      <c r="GH30" s="976" t="str">
        <f>MID(SUVAHAVUJ!AG28,9,1)</f>
        <v xml:space="preserve"> </v>
      </c>
      <c r="GI30" s="976"/>
      <c r="GJ30" s="976"/>
      <c r="GK30" s="976"/>
      <c r="GL30" s="976"/>
      <c r="GM30" s="976"/>
      <c r="GN30" s="976" t="str">
        <f>MID(SUVAHAVUJ!AG28,10,1)</f>
        <v xml:space="preserve"> </v>
      </c>
      <c r="GO30" s="976"/>
      <c r="GP30" s="976"/>
      <c r="GQ30" s="976"/>
      <c r="GR30" s="976"/>
      <c r="GS30" s="978" t="str">
        <f>MID(SUVAHAVUJ!AG28,11,1)</f>
        <v>0</v>
      </c>
      <c r="GT30" s="978"/>
      <c r="GU30" s="978"/>
      <c r="GV30" s="978"/>
      <c r="GW30" s="978"/>
    </row>
    <row r="31" spans="2:205" s="650" customFormat="1" ht="23.25" customHeight="1" x14ac:dyDescent="0.3">
      <c r="B31" s="985" t="s">
        <v>2171</v>
      </c>
      <c r="C31" s="985"/>
      <c r="D31" s="985"/>
      <c r="E31" s="985"/>
      <c r="F31" s="985"/>
      <c r="G31" s="985"/>
      <c r="H31" s="985"/>
      <c r="I31" s="985"/>
      <c r="J31" s="985"/>
      <c r="K31" s="985"/>
      <c r="L31" s="984" t="str">
        <f>SUVAHAVUJ!$D$29</f>
        <v>Ostatné pôžičky (067A) - /096A/</v>
      </c>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c r="AL31" s="984"/>
      <c r="AM31" s="984"/>
      <c r="AN31" s="984"/>
      <c r="AO31" s="984"/>
      <c r="AP31" s="984"/>
      <c r="AQ31" s="975" t="s">
        <v>1230</v>
      </c>
      <c r="AR31" s="975"/>
      <c r="AS31" s="975"/>
      <c r="AT31" s="975"/>
      <c r="AU31" s="975"/>
      <c r="AV31" s="975"/>
      <c r="AW31" s="975"/>
      <c r="AX31" s="975"/>
      <c r="AY31" s="648"/>
      <c r="AZ31" s="649"/>
      <c r="BA31" s="982" t="str">
        <f>MID(SUVAHAVUJ!AD29,1,1)</f>
        <v xml:space="preserve"> </v>
      </c>
      <c r="BB31" s="982"/>
      <c r="BC31" s="982"/>
      <c r="BD31" s="982"/>
      <c r="BE31" s="982"/>
      <c r="BF31" s="982"/>
      <c r="BG31" s="982" t="str">
        <f>MID(SUVAHAVUJ!AD29,2,1)</f>
        <v xml:space="preserve"> </v>
      </c>
      <c r="BH31" s="982"/>
      <c r="BI31" s="982"/>
      <c r="BJ31" s="982"/>
      <c r="BK31" s="982"/>
      <c r="BL31" s="982" t="str">
        <f>MID(SUVAHAVUJ!AD29,3,1)</f>
        <v xml:space="preserve"> </v>
      </c>
      <c r="BM31" s="982"/>
      <c r="BN31" s="982"/>
      <c r="BO31" s="982"/>
      <c r="BP31" s="982"/>
      <c r="BQ31" s="982"/>
      <c r="BR31" s="982" t="str">
        <f>MID(SUVAHAVUJ!AD29,4,1)</f>
        <v xml:space="preserve"> </v>
      </c>
      <c r="BS31" s="982"/>
      <c r="BT31" s="982"/>
      <c r="BU31" s="982"/>
      <c r="BV31" s="982"/>
      <c r="BW31" s="982" t="str">
        <f>MID(SUVAHAVUJ!AD29,5,1)</f>
        <v xml:space="preserve"> </v>
      </c>
      <c r="BX31" s="982"/>
      <c r="BY31" s="982"/>
      <c r="BZ31" s="982"/>
      <c r="CA31" s="982"/>
      <c r="CB31" s="982"/>
      <c r="CC31" s="982" t="str">
        <f>MID(SUVAHAVUJ!AD29,6,1)</f>
        <v xml:space="preserve"> </v>
      </c>
      <c r="CD31" s="982"/>
      <c r="CE31" s="982"/>
      <c r="CF31" s="982"/>
      <c r="CG31" s="982"/>
      <c r="CH31" s="982" t="str">
        <f>MID(SUVAHAVUJ!AD29,7,1)</f>
        <v xml:space="preserve"> </v>
      </c>
      <c r="CI31" s="982"/>
      <c r="CJ31" s="982"/>
      <c r="CK31" s="982"/>
      <c r="CL31" s="982"/>
      <c r="CM31" s="982"/>
      <c r="CN31" s="982" t="str">
        <f>MID(SUVAHAVUJ!AD29,8,1)</f>
        <v xml:space="preserve"> </v>
      </c>
      <c r="CO31" s="982"/>
      <c r="CP31" s="982"/>
      <c r="CQ31" s="982"/>
      <c r="CR31" s="982"/>
      <c r="CS31" s="982" t="str">
        <f>MID(SUVAHAVUJ!AD29,9,1)</f>
        <v xml:space="preserve"> </v>
      </c>
      <c r="CT31" s="982"/>
      <c r="CU31" s="982"/>
      <c r="CV31" s="982"/>
      <c r="CW31" s="982"/>
      <c r="CX31" s="982"/>
      <c r="CY31" s="982" t="str">
        <f>MID(SUVAHAVUJ!AD29,10,1)</f>
        <v xml:space="preserve"> </v>
      </c>
      <c r="CZ31" s="982"/>
      <c r="DA31" s="982"/>
      <c r="DB31" s="982"/>
      <c r="DC31" s="982"/>
      <c r="DD31" s="978" t="str">
        <f>MID(SUVAHAVUJ!AD29,11,1)</f>
        <v>0</v>
      </c>
      <c r="DE31" s="978"/>
      <c r="DF31" s="978"/>
      <c r="DG31" s="978"/>
      <c r="DH31" s="978"/>
      <c r="DI31" s="978"/>
      <c r="DJ31" s="648"/>
      <c r="DK31" s="649"/>
      <c r="DL31" s="976" t="str">
        <f>MID(SUVAHAVUJ!AF29,1,1)</f>
        <v xml:space="preserve"> </v>
      </c>
      <c r="DM31" s="976"/>
      <c r="DN31" s="976"/>
      <c r="DO31" s="976"/>
      <c r="DP31" s="976"/>
      <c r="DQ31" s="976"/>
      <c r="DR31" s="976" t="str">
        <f>MID(SUVAHAVUJ!AF29,2,1)</f>
        <v xml:space="preserve"> </v>
      </c>
      <c r="DS31" s="976"/>
      <c r="DT31" s="976"/>
      <c r="DU31" s="976"/>
      <c r="DV31" s="976"/>
      <c r="DW31" s="976" t="str">
        <f>MID(SUVAHAVUJ!AF29,3,1)</f>
        <v xml:space="preserve"> </v>
      </c>
      <c r="DX31" s="976"/>
      <c r="DY31" s="976"/>
      <c r="DZ31" s="976"/>
      <c r="EA31" s="976"/>
      <c r="EB31" s="976"/>
      <c r="EC31" s="976" t="str">
        <f>MID(SUVAHAVUJ!AF29,4,1)</f>
        <v xml:space="preserve"> </v>
      </c>
      <c r="ED31" s="976"/>
      <c r="EE31" s="976"/>
      <c r="EF31" s="976"/>
      <c r="EG31" s="976"/>
      <c r="EH31" s="976" t="str">
        <f>MID(SUVAHAVUJ!AF29,5,1)</f>
        <v xml:space="preserve"> </v>
      </c>
      <c r="EI31" s="976"/>
      <c r="EJ31" s="976"/>
      <c r="EK31" s="976"/>
      <c r="EL31" s="976"/>
      <c r="EM31" s="976"/>
      <c r="EN31" s="976" t="str">
        <f>MID(SUVAHAVUJ!AF29,6,1)</f>
        <v xml:space="preserve"> </v>
      </c>
      <c r="EO31" s="976"/>
      <c r="EP31" s="976"/>
      <c r="EQ31" s="976"/>
      <c r="ER31" s="976"/>
      <c r="ES31" s="976" t="str">
        <f>MID(SUVAHAVUJ!AF29,7,1)</f>
        <v xml:space="preserve"> </v>
      </c>
      <c r="ET31" s="976"/>
      <c r="EU31" s="976"/>
      <c r="EV31" s="976"/>
      <c r="EW31" s="976"/>
      <c r="EX31" s="976"/>
      <c r="EY31" s="976" t="str">
        <f>MID(SUVAHAVUJ!AF29,8,1)</f>
        <v xml:space="preserve"> </v>
      </c>
      <c r="EZ31" s="976"/>
      <c r="FA31" s="976"/>
      <c r="FB31" s="976"/>
      <c r="FC31" s="976"/>
      <c r="FD31" s="976" t="str">
        <f>MID(SUVAHAVUJ!AF29,9,1)</f>
        <v xml:space="preserve"> </v>
      </c>
      <c r="FE31" s="976"/>
      <c r="FF31" s="976"/>
      <c r="FG31" s="976"/>
      <c r="FH31" s="976"/>
      <c r="FI31" s="976"/>
      <c r="FJ31" s="976" t="str">
        <f>MID(SUVAHAVUJ!AF29,10,1)</f>
        <v xml:space="preserve"> </v>
      </c>
      <c r="FK31" s="976"/>
      <c r="FL31" s="976"/>
      <c r="FM31" s="976"/>
      <c r="FN31" s="976"/>
      <c r="FO31" s="978" t="str">
        <f>MID(SUVAHAVUJ!AF29,11,1)</f>
        <v>0</v>
      </c>
      <c r="FP31" s="978"/>
      <c r="FQ31" s="978"/>
      <c r="FR31" s="978"/>
      <c r="FS31" s="978"/>
      <c r="FT31" s="979"/>
      <c r="FU31" s="979"/>
      <c r="FV31" s="979"/>
      <c r="FW31" s="979"/>
      <c r="FX31" s="979"/>
      <c r="FY31" s="979"/>
      <c r="FZ31" s="979"/>
      <c r="GA31" s="979"/>
      <c r="GB31" s="979"/>
      <c r="GC31" s="979"/>
      <c r="GD31" s="979"/>
      <c r="GE31" s="979"/>
      <c r="GF31" s="979"/>
      <c r="GG31" s="979"/>
      <c r="GH31" s="979"/>
      <c r="GI31" s="979"/>
      <c r="GJ31" s="979"/>
      <c r="GK31" s="979"/>
      <c r="GL31" s="979"/>
      <c r="GM31" s="979"/>
      <c r="GN31" s="979"/>
      <c r="GO31" s="979"/>
      <c r="GP31" s="979"/>
      <c r="GQ31" s="979"/>
      <c r="GR31" s="979"/>
      <c r="GS31" s="979"/>
      <c r="GT31" s="979"/>
      <c r="GU31" s="979"/>
      <c r="GV31" s="979"/>
      <c r="GW31" s="979"/>
    </row>
    <row r="32" spans="2:205" ht="23.25" customHeight="1" x14ac:dyDescent="0.3">
      <c r="B32" s="985"/>
      <c r="C32" s="985"/>
      <c r="D32" s="985"/>
      <c r="E32" s="985"/>
      <c r="F32" s="985"/>
      <c r="G32" s="985"/>
      <c r="H32" s="985"/>
      <c r="I32" s="985"/>
      <c r="J32" s="985"/>
      <c r="K32" s="985"/>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c r="AL32" s="984"/>
      <c r="AM32" s="984"/>
      <c r="AN32" s="984"/>
      <c r="AO32" s="984"/>
      <c r="AP32" s="984"/>
      <c r="AQ32" s="975"/>
      <c r="AR32" s="975"/>
      <c r="AS32" s="975"/>
      <c r="AT32" s="975"/>
      <c r="AU32" s="975"/>
      <c r="AV32" s="975"/>
      <c r="AW32" s="975"/>
      <c r="AX32" s="975"/>
      <c r="AY32" s="648"/>
      <c r="AZ32" s="649"/>
      <c r="BA32" s="976" t="str">
        <f>MID(SUVAHAVUJ!AE29,1,1)</f>
        <v xml:space="preserve"> </v>
      </c>
      <c r="BB32" s="976"/>
      <c r="BC32" s="976"/>
      <c r="BD32" s="976"/>
      <c r="BE32" s="976"/>
      <c r="BF32" s="976"/>
      <c r="BG32" s="976" t="str">
        <f>MID(SUVAHAVUJ!AE29,2,1)</f>
        <v xml:space="preserve"> </v>
      </c>
      <c r="BH32" s="976"/>
      <c r="BI32" s="976"/>
      <c r="BJ32" s="976"/>
      <c r="BK32" s="976"/>
      <c r="BL32" s="976" t="str">
        <f>MID(SUVAHAVUJ!AE29,3,1)</f>
        <v xml:space="preserve"> </v>
      </c>
      <c r="BM32" s="976"/>
      <c r="BN32" s="976"/>
      <c r="BO32" s="976"/>
      <c r="BP32" s="976"/>
      <c r="BQ32" s="976"/>
      <c r="BR32" s="976" t="str">
        <f>MID(SUVAHAVUJ!AE29,4,1)</f>
        <v xml:space="preserve"> </v>
      </c>
      <c r="BS32" s="976"/>
      <c r="BT32" s="976"/>
      <c r="BU32" s="976"/>
      <c r="BV32" s="976"/>
      <c r="BW32" s="976" t="str">
        <f>MID(SUVAHAVUJ!AE29,5,1)</f>
        <v xml:space="preserve"> </v>
      </c>
      <c r="BX32" s="976"/>
      <c r="BY32" s="976"/>
      <c r="BZ32" s="976"/>
      <c r="CA32" s="976"/>
      <c r="CB32" s="976"/>
      <c r="CC32" s="976" t="str">
        <f>MID(SUVAHAVUJ!AE29,6,1)</f>
        <v xml:space="preserve"> </v>
      </c>
      <c r="CD32" s="976"/>
      <c r="CE32" s="976"/>
      <c r="CF32" s="976"/>
      <c r="CG32" s="976"/>
      <c r="CH32" s="976" t="str">
        <f>MID(SUVAHAVUJ!AE29,7,1)</f>
        <v xml:space="preserve"> </v>
      </c>
      <c r="CI32" s="976"/>
      <c r="CJ32" s="976"/>
      <c r="CK32" s="976"/>
      <c r="CL32" s="976"/>
      <c r="CM32" s="976"/>
      <c r="CN32" s="976" t="str">
        <f>MID(SUVAHAVUJ!AE29,8,1)</f>
        <v xml:space="preserve"> </v>
      </c>
      <c r="CO32" s="976"/>
      <c r="CP32" s="976"/>
      <c r="CQ32" s="976"/>
      <c r="CR32" s="976"/>
      <c r="CS32" s="976" t="str">
        <f>MID(SUVAHAVUJ!AE29,9,1)</f>
        <v xml:space="preserve"> </v>
      </c>
      <c r="CT32" s="976"/>
      <c r="CU32" s="976"/>
      <c r="CV32" s="976"/>
      <c r="CW32" s="976"/>
      <c r="CX32" s="976"/>
      <c r="CY32" s="976" t="str">
        <f>MID(SUVAHAVUJ!AE29,10,1)</f>
        <v xml:space="preserve"> </v>
      </c>
      <c r="CZ32" s="976"/>
      <c r="DA32" s="976"/>
      <c r="DB32" s="976"/>
      <c r="DC32" s="976"/>
      <c r="DD32" s="977" t="str">
        <f>MID(SUVAHAVUJ!AE29,11,1)</f>
        <v>0</v>
      </c>
      <c r="DE32" s="977"/>
      <c r="DF32" s="977"/>
      <c r="DG32" s="977"/>
      <c r="DH32" s="977"/>
      <c r="DI32" s="977"/>
      <c r="DJ32" s="980"/>
      <c r="DK32" s="980"/>
      <c r="DL32" s="980"/>
      <c r="DM32" s="980"/>
      <c r="DN32" s="980"/>
      <c r="DO32" s="980"/>
      <c r="DP32" s="980"/>
      <c r="DQ32" s="980"/>
      <c r="DR32" s="980"/>
      <c r="DS32" s="980"/>
      <c r="DT32" s="980"/>
      <c r="DU32" s="980"/>
      <c r="DV32" s="980"/>
      <c r="DW32" s="980"/>
      <c r="DX32" s="980"/>
      <c r="DY32" s="980"/>
      <c r="DZ32" s="980"/>
      <c r="EA32" s="980"/>
      <c r="EB32" s="980"/>
      <c r="EC32" s="980"/>
      <c r="ED32" s="980"/>
      <c r="EE32" s="980"/>
      <c r="EF32" s="980"/>
      <c r="EG32" s="980"/>
      <c r="EH32" s="980"/>
      <c r="EI32" s="980"/>
      <c r="EJ32" s="980"/>
      <c r="EK32" s="980"/>
      <c r="EL32" s="980"/>
      <c r="EM32" s="980"/>
      <c r="EN32" s="648"/>
      <c r="EO32" s="649"/>
      <c r="EP32" s="976" t="str">
        <f>MID(SUVAHAVUJ!AG29,1,1)</f>
        <v xml:space="preserve"> </v>
      </c>
      <c r="EQ32" s="976"/>
      <c r="ER32" s="976"/>
      <c r="ES32" s="976"/>
      <c r="ET32" s="976"/>
      <c r="EU32" s="976"/>
      <c r="EV32" s="976" t="str">
        <f>MID(SUVAHAVUJ!AG29,2,1)</f>
        <v xml:space="preserve"> </v>
      </c>
      <c r="EW32" s="976"/>
      <c r="EX32" s="976"/>
      <c r="EY32" s="976"/>
      <c r="EZ32" s="976"/>
      <c r="FA32" s="976" t="str">
        <f>MID(SUVAHAVUJ!AG29,3,1)</f>
        <v xml:space="preserve"> </v>
      </c>
      <c r="FB32" s="976"/>
      <c r="FC32" s="976"/>
      <c r="FD32" s="976"/>
      <c r="FE32" s="976"/>
      <c r="FF32" s="976"/>
      <c r="FG32" s="976" t="str">
        <f>MID(SUVAHAVUJ!AG29,4,1)</f>
        <v xml:space="preserve"> </v>
      </c>
      <c r="FH32" s="976"/>
      <c r="FI32" s="976"/>
      <c r="FJ32" s="976"/>
      <c r="FK32" s="976"/>
      <c r="FL32" s="976" t="str">
        <f>MID(SUVAHAVUJ!AG29,5,1)</f>
        <v xml:space="preserve"> </v>
      </c>
      <c r="FM32" s="976"/>
      <c r="FN32" s="976"/>
      <c r="FO32" s="976"/>
      <c r="FP32" s="976"/>
      <c r="FQ32" s="976"/>
      <c r="FR32" s="976" t="str">
        <f>MID(SUVAHAVUJ!AG29,6,1)</f>
        <v xml:space="preserve"> </v>
      </c>
      <c r="FS32" s="976"/>
      <c r="FT32" s="976"/>
      <c r="FU32" s="976"/>
      <c r="FV32" s="976"/>
      <c r="FW32" s="976" t="str">
        <f>MID(SUVAHAVUJ!AG29,7,1)</f>
        <v xml:space="preserve"> </v>
      </c>
      <c r="FX32" s="976"/>
      <c r="FY32" s="976"/>
      <c r="FZ32" s="976"/>
      <c r="GA32" s="976"/>
      <c r="GB32" s="976"/>
      <c r="GC32" s="976" t="str">
        <f>MID(SUVAHAVUJ!AG29,8,1)</f>
        <v xml:space="preserve"> </v>
      </c>
      <c r="GD32" s="976"/>
      <c r="GE32" s="976"/>
      <c r="GF32" s="976"/>
      <c r="GG32" s="976"/>
      <c r="GH32" s="976" t="str">
        <f>MID(SUVAHAVUJ!AG29,9,1)</f>
        <v xml:space="preserve"> </v>
      </c>
      <c r="GI32" s="976"/>
      <c r="GJ32" s="976"/>
      <c r="GK32" s="976"/>
      <c r="GL32" s="976"/>
      <c r="GM32" s="976"/>
      <c r="GN32" s="976" t="str">
        <f>MID(SUVAHAVUJ!AG29,10,1)</f>
        <v xml:space="preserve"> </v>
      </c>
      <c r="GO32" s="976"/>
      <c r="GP32" s="976"/>
      <c r="GQ32" s="976"/>
      <c r="GR32" s="976"/>
      <c r="GS32" s="978" t="str">
        <f>MID(SUVAHAVUJ!AG29,11,1)</f>
        <v>0</v>
      </c>
      <c r="GT32" s="978"/>
      <c r="GU32" s="978"/>
      <c r="GV32" s="978"/>
      <c r="GW32" s="978"/>
    </row>
    <row r="33" spans="1:205" s="650" customFormat="1" ht="23.25" customHeight="1" x14ac:dyDescent="0.3">
      <c r="B33" s="985" t="s">
        <v>2172</v>
      </c>
      <c r="C33" s="985"/>
      <c r="D33" s="985"/>
      <c r="E33" s="985"/>
      <c r="F33" s="985"/>
      <c r="G33" s="985"/>
      <c r="H33" s="985"/>
      <c r="I33" s="985"/>
      <c r="J33" s="985"/>
      <c r="K33" s="985"/>
      <c r="L33" s="984" t="str">
        <f>SUVAHAVUJ!$D$30</f>
        <v>Dlhové cenné papiere a ostatný dlhodobý finančný majetok (065A, 069A, 06XA) - /096A/</v>
      </c>
      <c r="M33" s="984"/>
      <c r="N33" s="984"/>
      <c r="O33" s="984"/>
      <c r="P33" s="984"/>
      <c r="Q33" s="984"/>
      <c r="R33" s="984"/>
      <c r="S33" s="984"/>
      <c r="T33" s="984"/>
      <c r="U33" s="984"/>
      <c r="V33" s="984"/>
      <c r="W33" s="984"/>
      <c r="X33" s="984"/>
      <c r="Y33" s="984"/>
      <c r="Z33" s="984"/>
      <c r="AA33" s="984"/>
      <c r="AB33" s="984"/>
      <c r="AC33" s="984"/>
      <c r="AD33" s="984"/>
      <c r="AE33" s="984"/>
      <c r="AF33" s="984"/>
      <c r="AG33" s="984"/>
      <c r="AH33" s="984"/>
      <c r="AI33" s="984"/>
      <c r="AJ33" s="984"/>
      <c r="AK33" s="984"/>
      <c r="AL33" s="984"/>
      <c r="AM33" s="984"/>
      <c r="AN33" s="984"/>
      <c r="AO33" s="984"/>
      <c r="AP33" s="984"/>
      <c r="AQ33" s="975" t="s">
        <v>1231</v>
      </c>
      <c r="AR33" s="975"/>
      <c r="AS33" s="975"/>
      <c r="AT33" s="975"/>
      <c r="AU33" s="975"/>
      <c r="AV33" s="975"/>
      <c r="AW33" s="975"/>
      <c r="AX33" s="975"/>
      <c r="AY33" s="648"/>
      <c r="AZ33" s="649"/>
      <c r="BA33" s="982" t="str">
        <f>MID(SUVAHAVUJ!AD30,1,1)</f>
        <v xml:space="preserve"> </v>
      </c>
      <c r="BB33" s="982"/>
      <c r="BC33" s="982"/>
      <c r="BD33" s="982"/>
      <c r="BE33" s="982"/>
      <c r="BF33" s="982"/>
      <c r="BG33" s="982" t="str">
        <f>MID(SUVAHAVUJ!AD30,2,1)</f>
        <v xml:space="preserve"> </v>
      </c>
      <c r="BH33" s="982"/>
      <c r="BI33" s="982"/>
      <c r="BJ33" s="982"/>
      <c r="BK33" s="982"/>
      <c r="BL33" s="982" t="str">
        <f>MID(SUVAHAVUJ!AD30,3,1)</f>
        <v xml:space="preserve"> </v>
      </c>
      <c r="BM33" s="982"/>
      <c r="BN33" s="982"/>
      <c r="BO33" s="982"/>
      <c r="BP33" s="982"/>
      <c r="BQ33" s="982"/>
      <c r="BR33" s="982" t="str">
        <f>MID(SUVAHAVUJ!AD30,4,1)</f>
        <v xml:space="preserve"> </v>
      </c>
      <c r="BS33" s="982"/>
      <c r="BT33" s="982"/>
      <c r="BU33" s="982"/>
      <c r="BV33" s="982"/>
      <c r="BW33" s="982" t="str">
        <f>MID(SUVAHAVUJ!AD30,5,1)</f>
        <v xml:space="preserve"> </v>
      </c>
      <c r="BX33" s="982"/>
      <c r="BY33" s="982"/>
      <c r="BZ33" s="982"/>
      <c r="CA33" s="982"/>
      <c r="CB33" s="982"/>
      <c r="CC33" s="982" t="str">
        <f>MID(SUVAHAVUJ!AD30,6,1)</f>
        <v xml:space="preserve"> </v>
      </c>
      <c r="CD33" s="982"/>
      <c r="CE33" s="982"/>
      <c r="CF33" s="982"/>
      <c r="CG33" s="982"/>
      <c r="CH33" s="982" t="str">
        <f>MID(SUVAHAVUJ!AD30,7,1)</f>
        <v xml:space="preserve"> </v>
      </c>
      <c r="CI33" s="982"/>
      <c r="CJ33" s="982"/>
      <c r="CK33" s="982"/>
      <c r="CL33" s="982"/>
      <c r="CM33" s="982"/>
      <c r="CN33" s="982" t="str">
        <f>MID(SUVAHAVUJ!AD30,8,1)</f>
        <v xml:space="preserve"> </v>
      </c>
      <c r="CO33" s="982"/>
      <c r="CP33" s="982"/>
      <c r="CQ33" s="982"/>
      <c r="CR33" s="982"/>
      <c r="CS33" s="982" t="str">
        <f>MID(SUVAHAVUJ!AD30,9,1)</f>
        <v xml:space="preserve"> </v>
      </c>
      <c r="CT33" s="982"/>
      <c r="CU33" s="982"/>
      <c r="CV33" s="982"/>
      <c r="CW33" s="982"/>
      <c r="CX33" s="982"/>
      <c r="CY33" s="982" t="str">
        <f>MID(SUVAHAVUJ!AD30,10,1)</f>
        <v xml:space="preserve"> </v>
      </c>
      <c r="CZ33" s="982"/>
      <c r="DA33" s="982"/>
      <c r="DB33" s="982"/>
      <c r="DC33" s="982"/>
      <c r="DD33" s="978" t="str">
        <f>MID(SUVAHAVUJ!AD30,11,1)</f>
        <v>0</v>
      </c>
      <c r="DE33" s="978"/>
      <c r="DF33" s="978"/>
      <c r="DG33" s="978"/>
      <c r="DH33" s="978"/>
      <c r="DI33" s="978"/>
      <c r="DJ33" s="648"/>
      <c r="DK33" s="649"/>
      <c r="DL33" s="976" t="str">
        <f>MID(SUVAHAVUJ!AF30,1,1)</f>
        <v xml:space="preserve"> </v>
      </c>
      <c r="DM33" s="976"/>
      <c r="DN33" s="976"/>
      <c r="DO33" s="976"/>
      <c r="DP33" s="976"/>
      <c r="DQ33" s="976"/>
      <c r="DR33" s="976" t="str">
        <f>MID(SUVAHAVUJ!AF30,2,1)</f>
        <v xml:space="preserve"> </v>
      </c>
      <c r="DS33" s="976"/>
      <c r="DT33" s="976"/>
      <c r="DU33" s="976"/>
      <c r="DV33" s="976"/>
      <c r="DW33" s="976" t="str">
        <f>MID(SUVAHAVUJ!AF30,3,1)</f>
        <v xml:space="preserve"> </v>
      </c>
      <c r="DX33" s="976"/>
      <c r="DY33" s="976"/>
      <c r="DZ33" s="976"/>
      <c r="EA33" s="976"/>
      <c r="EB33" s="976"/>
      <c r="EC33" s="976" t="str">
        <f>MID(SUVAHAVUJ!AF30,4,1)</f>
        <v xml:space="preserve"> </v>
      </c>
      <c r="ED33" s="976"/>
      <c r="EE33" s="976"/>
      <c r="EF33" s="976"/>
      <c r="EG33" s="976"/>
      <c r="EH33" s="976" t="str">
        <f>MID(SUVAHAVUJ!AF30,5,1)</f>
        <v xml:space="preserve"> </v>
      </c>
      <c r="EI33" s="976"/>
      <c r="EJ33" s="976"/>
      <c r="EK33" s="976"/>
      <c r="EL33" s="976"/>
      <c r="EM33" s="976"/>
      <c r="EN33" s="976" t="str">
        <f>MID(SUVAHAVUJ!AF30,6,1)</f>
        <v xml:space="preserve"> </v>
      </c>
      <c r="EO33" s="976"/>
      <c r="EP33" s="976"/>
      <c r="EQ33" s="976"/>
      <c r="ER33" s="976"/>
      <c r="ES33" s="976" t="str">
        <f>MID(SUVAHAVUJ!AF30,7,1)</f>
        <v xml:space="preserve"> </v>
      </c>
      <c r="ET33" s="976"/>
      <c r="EU33" s="976"/>
      <c r="EV33" s="976"/>
      <c r="EW33" s="976"/>
      <c r="EX33" s="976"/>
      <c r="EY33" s="976" t="str">
        <f>MID(SUVAHAVUJ!AF30,8,1)</f>
        <v xml:space="preserve"> </v>
      </c>
      <c r="EZ33" s="976"/>
      <c r="FA33" s="976"/>
      <c r="FB33" s="976"/>
      <c r="FC33" s="976"/>
      <c r="FD33" s="976" t="str">
        <f>MID(SUVAHAVUJ!AF30,9,1)</f>
        <v xml:space="preserve"> </v>
      </c>
      <c r="FE33" s="976"/>
      <c r="FF33" s="976"/>
      <c r="FG33" s="976"/>
      <c r="FH33" s="976"/>
      <c r="FI33" s="976"/>
      <c r="FJ33" s="976" t="str">
        <f>MID(SUVAHAVUJ!AF30,10,1)</f>
        <v xml:space="preserve"> </v>
      </c>
      <c r="FK33" s="976"/>
      <c r="FL33" s="976"/>
      <c r="FM33" s="976"/>
      <c r="FN33" s="976"/>
      <c r="FO33" s="978" t="str">
        <f>MID(SUVAHAVUJ!AF30,11,1)</f>
        <v>0</v>
      </c>
      <c r="FP33" s="978"/>
      <c r="FQ33" s="978"/>
      <c r="FR33" s="978"/>
      <c r="FS33" s="978"/>
      <c r="FT33" s="979"/>
      <c r="FU33" s="979"/>
      <c r="FV33" s="979"/>
      <c r="FW33" s="979"/>
      <c r="FX33" s="979"/>
      <c r="FY33" s="979"/>
      <c r="FZ33" s="979"/>
      <c r="GA33" s="979"/>
      <c r="GB33" s="979"/>
      <c r="GC33" s="979"/>
      <c r="GD33" s="979"/>
      <c r="GE33" s="979"/>
      <c r="GF33" s="979"/>
      <c r="GG33" s="979"/>
      <c r="GH33" s="979"/>
      <c r="GI33" s="979"/>
      <c r="GJ33" s="979"/>
      <c r="GK33" s="979"/>
      <c r="GL33" s="979"/>
      <c r="GM33" s="979"/>
      <c r="GN33" s="979"/>
      <c r="GO33" s="979"/>
      <c r="GP33" s="979"/>
      <c r="GQ33" s="979"/>
      <c r="GR33" s="979"/>
      <c r="GS33" s="979"/>
      <c r="GT33" s="979"/>
      <c r="GU33" s="979"/>
      <c r="GV33" s="979"/>
      <c r="GW33" s="979"/>
    </row>
    <row r="34" spans="1:205" ht="23.25" customHeight="1" x14ac:dyDescent="0.3">
      <c r="B34" s="985"/>
      <c r="C34" s="985"/>
      <c r="D34" s="985"/>
      <c r="E34" s="985"/>
      <c r="F34" s="985"/>
      <c r="G34" s="985"/>
      <c r="H34" s="985"/>
      <c r="I34" s="985"/>
      <c r="J34" s="985"/>
      <c r="K34" s="985"/>
      <c r="L34" s="984"/>
      <c r="M34" s="984"/>
      <c r="N34" s="984"/>
      <c r="O34" s="984"/>
      <c r="P34" s="984"/>
      <c r="Q34" s="984"/>
      <c r="R34" s="984"/>
      <c r="S34" s="984"/>
      <c r="T34" s="984"/>
      <c r="U34" s="984"/>
      <c r="V34" s="984"/>
      <c r="W34" s="984"/>
      <c r="X34" s="984"/>
      <c r="Y34" s="984"/>
      <c r="Z34" s="984"/>
      <c r="AA34" s="984"/>
      <c r="AB34" s="984"/>
      <c r="AC34" s="984"/>
      <c r="AD34" s="984"/>
      <c r="AE34" s="984"/>
      <c r="AF34" s="984"/>
      <c r="AG34" s="984"/>
      <c r="AH34" s="984"/>
      <c r="AI34" s="984"/>
      <c r="AJ34" s="984"/>
      <c r="AK34" s="984"/>
      <c r="AL34" s="984"/>
      <c r="AM34" s="984"/>
      <c r="AN34" s="984"/>
      <c r="AO34" s="984"/>
      <c r="AP34" s="984"/>
      <c r="AQ34" s="975"/>
      <c r="AR34" s="975"/>
      <c r="AS34" s="975"/>
      <c r="AT34" s="975"/>
      <c r="AU34" s="975"/>
      <c r="AV34" s="975"/>
      <c r="AW34" s="975"/>
      <c r="AX34" s="975"/>
      <c r="AY34" s="648"/>
      <c r="AZ34" s="649"/>
      <c r="BA34" s="976" t="str">
        <f>MID(SUVAHAVUJ!AE30,1,1)</f>
        <v xml:space="preserve"> </v>
      </c>
      <c r="BB34" s="976"/>
      <c r="BC34" s="976"/>
      <c r="BD34" s="976"/>
      <c r="BE34" s="976"/>
      <c r="BF34" s="976"/>
      <c r="BG34" s="976" t="str">
        <f>MID(SUVAHAVUJ!AE30,2,1)</f>
        <v xml:space="preserve"> </v>
      </c>
      <c r="BH34" s="976"/>
      <c r="BI34" s="976"/>
      <c r="BJ34" s="976"/>
      <c r="BK34" s="976"/>
      <c r="BL34" s="976" t="str">
        <f>MID(SUVAHAVUJ!AE30,3,1)</f>
        <v xml:space="preserve"> </v>
      </c>
      <c r="BM34" s="976"/>
      <c r="BN34" s="976"/>
      <c r="BO34" s="976"/>
      <c r="BP34" s="976"/>
      <c r="BQ34" s="976"/>
      <c r="BR34" s="976" t="str">
        <f>MID(SUVAHAVUJ!AE30,4,1)</f>
        <v xml:space="preserve"> </v>
      </c>
      <c r="BS34" s="976"/>
      <c r="BT34" s="976"/>
      <c r="BU34" s="976"/>
      <c r="BV34" s="976"/>
      <c r="BW34" s="976" t="str">
        <f>MID(SUVAHAVUJ!AE30,5,1)</f>
        <v xml:space="preserve"> </v>
      </c>
      <c r="BX34" s="976"/>
      <c r="BY34" s="976"/>
      <c r="BZ34" s="976"/>
      <c r="CA34" s="976"/>
      <c r="CB34" s="976"/>
      <c r="CC34" s="976" t="str">
        <f>MID(SUVAHAVUJ!AE30,6,1)</f>
        <v xml:space="preserve"> </v>
      </c>
      <c r="CD34" s="976"/>
      <c r="CE34" s="976"/>
      <c r="CF34" s="976"/>
      <c r="CG34" s="976"/>
      <c r="CH34" s="976" t="str">
        <f>MID(SUVAHAVUJ!AE30,7,1)</f>
        <v xml:space="preserve"> </v>
      </c>
      <c r="CI34" s="976"/>
      <c r="CJ34" s="976"/>
      <c r="CK34" s="976"/>
      <c r="CL34" s="976"/>
      <c r="CM34" s="976"/>
      <c r="CN34" s="976" t="str">
        <f>MID(SUVAHAVUJ!AE30,8,1)</f>
        <v xml:space="preserve"> </v>
      </c>
      <c r="CO34" s="976"/>
      <c r="CP34" s="976"/>
      <c r="CQ34" s="976"/>
      <c r="CR34" s="976"/>
      <c r="CS34" s="976" t="str">
        <f>MID(SUVAHAVUJ!AE30,9,1)</f>
        <v xml:space="preserve"> </v>
      </c>
      <c r="CT34" s="976"/>
      <c r="CU34" s="976"/>
      <c r="CV34" s="976"/>
      <c r="CW34" s="976"/>
      <c r="CX34" s="976"/>
      <c r="CY34" s="976" t="str">
        <f>MID(SUVAHAVUJ!AE30,10,1)</f>
        <v xml:space="preserve"> </v>
      </c>
      <c r="CZ34" s="976"/>
      <c r="DA34" s="976"/>
      <c r="DB34" s="976"/>
      <c r="DC34" s="976"/>
      <c r="DD34" s="977" t="str">
        <f>MID(SUVAHAVUJ!AE30,11,1)</f>
        <v>0</v>
      </c>
      <c r="DE34" s="977"/>
      <c r="DF34" s="977"/>
      <c r="DG34" s="977"/>
      <c r="DH34" s="977"/>
      <c r="DI34" s="977"/>
      <c r="DJ34" s="980"/>
      <c r="DK34" s="980"/>
      <c r="DL34" s="980"/>
      <c r="DM34" s="980"/>
      <c r="DN34" s="980"/>
      <c r="DO34" s="980"/>
      <c r="DP34" s="980"/>
      <c r="DQ34" s="980"/>
      <c r="DR34" s="980"/>
      <c r="DS34" s="980"/>
      <c r="DT34" s="980"/>
      <c r="DU34" s="980"/>
      <c r="DV34" s="980"/>
      <c r="DW34" s="980"/>
      <c r="DX34" s="980"/>
      <c r="DY34" s="980"/>
      <c r="DZ34" s="980"/>
      <c r="EA34" s="980"/>
      <c r="EB34" s="980"/>
      <c r="EC34" s="980"/>
      <c r="ED34" s="980"/>
      <c r="EE34" s="980"/>
      <c r="EF34" s="980"/>
      <c r="EG34" s="980"/>
      <c r="EH34" s="980"/>
      <c r="EI34" s="980"/>
      <c r="EJ34" s="980"/>
      <c r="EK34" s="980"/>
      <c r="EL34" s="980"/>
      <c r="EM34" s="980"/>
      <c r="EN34" s="648"/>
      <c r="EO34" s="649"/>
      <c r="EP34" s="976" t="str">
        <f>MID(SUVAHAVUJ!AG30,1,1)</f>
        <v xml:space="preserve"> </v>
      </c>
      <c r="EQ34" s="976"/>
      <c r="ER34" s="976"/>
      <c r="ES34" s="976"/>
      <c r="ET34" s="976"/>
      <c r="EU34" s="976"/>
      <c r="EV34" s="976" t="str">
        <f>MID(SUVAHAVUJ!AG30,2,1)</f>
        <v xml:space="preserve"> </v>
      </c>
      <c r="EW34" s="976"/>
      <c r="EX34" s="976"/>
      <c r="EY34" s="976"/>
      <c r="EZ34" s="976"/>
      <c r="FA34" s="976" t="str">
        <f>MID(SUVAHAVUJ!AG30,3,1)</f>
        <v xml:space="preserve"> </v>
      </c>
      <c r="FB34" s="976"/>
      <c r="FC34" s="976"/>
      <c r="FD34" s="976"/>
      <c r="FE34" s="976"/>
      <c r="FF34" s="976"/>
      <c r="FG34" s="976" t="str">
        <f>MID(SUVAHAVUJ!AG30,4,1)</f>
        <v xml:space="preserve"> </v>
      </c>
      <c r="FH34" s="976"/>
      <c r="FI34" s="976"/>
      <c r="FJ34" s="976"/>
      <c r="FK34" s="976"/>
      <c r="FL34" s="976" t="str">
        <f>MID(SUVAHAVUJ!AG30,5,1)</f>
        <v xml:space="preserve"> </v>
      </c>
      <c r="FM34" s="976"/>
      <c r="FN34" s="976"/>
      <c r="FO34" s="976"/>
      <c r="FP34" s="976"/>
      <c r="FQ34" s="976"/>
      <c r="FR34" s="976" t="str">
        <f>MID(SUVAHAVUJ!AG30,6,1)</f>
        <v xml:space="preserve"> </v>
      </c>
      <c r="FS34" s="976"/>
      <c r="FT34" s="976"/>
      <c r="FU34" s="976"/>
      <c r="FV34" s="976"/>
      <c r="FW34" s="976" t="str">
        <f>MID(SUVAHAVUJ!AG30,7,1)</f>
        <v xml:space="preserve"> </v>
      </c>
      <c r="FX34" s="976"/>
      <c r="FY34" s="976"/>
      <c r="FZ34" s="976"/>
      <c r="GA34" s="976"/>
      <c r="GB34" s="976"/>
      <c r="GC34" s="976" t="str">
        <f>MID(SUVAHAVUJ!AG30,8,1)</f>
        <v xml:space="preserve"> </v>
      </c>
      <c r="GD34" s="976"/>
      <c r="GE34" s="976"/>
      <c r="GF34" s="976"/>
      <c r="GG34" s="976"/>
      <c r="GH34" s="976" t="str">
        <f>MID(SUVAHAVUJ!AG30,9,1)</f>
        <v xml:space="preserve"> </v>
      </c>
      <c r="GI34" s="976"/>
      <c r="GJ34" s="976"/>
      <c r="GK34" s="976"/>
      <c r="GL34" s="976"/>
      <c r="GM34" s="976"/>
      <c r="GN34" s="976" t="str">
        <f>MID(SUVAHAVUJ!AG30,10,1)</f>
        <v xml:space="preserve"> </v>
      </c>
      <c r="GO34" s="976"/>
      <c r="GP34" s="976"/>
      <c r="GQ34" s="976"/>
      <c r="GR34" s="976"/>
      <c r="GS34" s="978" t="str">
        <f>MID(SUVAHAVUJ!AG30,11,1)</f>
        <v>0</v>
      </c>
      <c r="GT34" s="978"/>
      <c r="GU34" s="978"/>
      <c r="GV34" s="978"/>
      <c r="GW34" s="978"/>
    </row>
    <row r="35" spans="1:205" ht="12" customHeight="1" x14ac:dyDescent="0.25">
      <c r="A35" s="650"/>
      <c r="B35" s="652"/>
      <c r="C35" s="653"/>
      <c r="D35" s="653"/>
      <c r="E35" s="653"/>
      <c r="F35" s="653"/>
      <c r="G35" s="653"/>
      <c r="H35" s="653"/>
      <c r="I35" s="653"/>
      <c r="J35" s="653"/>
      <c r="K35" s="653"/>
      <c r="L35" s="650"/>
      <c r="M35" s="650"/>
      <c r="N35" s="650"/>
      <c r="O35" s="650"/>
      <c r="P35" s="650"/>
      <c r="Q35" s="650"/>
      <c r="R35" s="650"/>
      <c r="S35" s="650"/>
      <c r="T35" s="650"/>
      <c r="U35" s="650"/>
      <c r="V35" s="650"/>
      <c r="W35" s="650"/>
      <c r="X35" s="650"/>
      <c r="Y35" s="650"/>
      <c r="Z35" s="650"/>
      <c r="AA35" s="650"/>
      <c r="AB35" s="650"/>
      <c r="AC35" s="650"/>
      <c r="AD35" s="650"/>
      <c r="AE35" s="650"/>
      <c r="AF35" s="650"/>
      <c r="AG35" s="650"/>
      <c r="AH35" s="650"/>
      <c r="AI35" s="650"/>
      <c r="AJ35" s="650"/>
      <c r="AK35" s="650"/>
      <c r="AL35" s="650"/>
      <c r="AM35" s="650"/>
      <c r="AN35" s="650"/>
      <c r="AO35" s="650"/>
      <c r="AP35" s="650"/>
      <c r="AQ35" s="650"/>
      <c r="AR35" s="650"/>
      <c r="AS35" s="650"/>
      <c r="AT35" s="650"/>
      <c r="AU35" s="650"/>
      <c r="AV35" s="650"/>
      <c r="AW35" s="650"/>
      <c r="AX35" s="650"/>
      <c r="AY35" s="650"/>
      <c r="AZ35" s="650"/>
      <c r="BA35" s="650"/>
      <c r="BB35" s="650"/>
      <c r="BC35" s="650"/>
      <c r="BD35" s="650"/>
      <c r="BE35" s="650"/>
      <c r="BF35" s="650"/>
      <c r="BG35" s="650"/>
      <c r="BH35" s="650"/>
      <c r="BI35" s="650"/>
      <c r="BJ35" s="650"/>
      <c r="BK35" s="650"/>
      <c r="BL35" s="650"/>
      <c r="BM35" s="650"/>
      <c r="BN35" s="650"/>
      <c r="BO35" s="650"/>
      <c r="BP35" s="650"/>
      <c r="BQ35" s="650"/>
      <c r="BR35" s="650"/>
      <c r="BS35" s="650"/>
      <c r="BT35" s="650"/>
      <c r="BU35" s="650"/>
      <c r="BV35" s="650"/>
      <c r="BW35" s="650"/>
      <c r="BX35" s="650"/>
      <c r="BY35" s="650"/>
      <c r="BZ35" s="650"/>
      <c r="CA35" s="650"/>
      <c r="CB35" s="650"/>
      <c r="CC35" s="650"/>
      <c r="CD35" s="650"/>
      <c r="CE35" s="650"/>
      <c r="CF35" s="650"/>
      <c r="CG35" s="650"/>
      <c r="CH35" s="650"/>
      <c r="CI35" s="650"/>
      <c r="CJ35" s="650"/>
      <c r="CK35" s="650"/>
      <c r="CL35" s="650"/>
      <c r="CM35" s="650"/>
      <c r="CN35" s="650"/>
      <c r="CO35" s="650"/>
      <c r="CP35" s="650"/>
      <c r="CQ35" s="650"/>
      <c r="CR35" s="650"/>
      <c r="CS35" s="650"/>
      <c r="CT35" s="650"/>
      <c r="CU35" s="650"/>
      <c r="CV35" s="650"/>
      <c r="CW35" s="650"/>
      <c r="CX35" s="650"/>
      <c r="CY35" s="650"/>
      <c r="CZ35" s="650"/>
      <c r="DA35" s="650"/>
      <c r="DB35" s="650"/>
      <c r="DC35" s="650"/>
      <c r="DD35" s="650"/>
      <c r="DE35" s="650"/>
      <c r="DF35" s="650"/>
      <c r="DG35" s="650"/>
      <c r="DH35" s="650"/>
      <c r="DI35" s="650"/>
      <c r="DJ35" s="650"/>
      <c r="DK35" s="650"/>
      <c r="DL35" s="650"/>
      <c r="DM35" s="650"/>
      <c r="DN35" s="650"/>
      <c r="DO35" s="650"/>
      <c r="DP35" s="650"/>
      <c r="DQ35" s="650"/>
      <c r="DR35" s="650"/>
      <c r="DS35" s="650"/>
      <c r="DT35" s="650"/>
      <c r="DU35" s="650"/>
      <c r="DV35" s="650"/>
      <c r="DW35" s="650"/>
      <c r="DX35" s="650"/>
      <c r="DY35" s="650"/>
      <c r="DZ35" s="650"/>
      <c r="EA35" s="650"/>
      <c r="EB35" s="650"/>
      <c r="EC35" s="650"/>
      <c r="ED35" s="650"/>
      <c r="EE35" s="650"/>
      <c r="EF35" s="650"/>
      <c r="EG35" s="650"/>
      <c r="EH35" s="650"/>
      <c r="EI35" s="650"/>
      <c r="EJ35" s="650"/>
      <c r="EK35" s="650"/>
      <c r="EL35" s="650"/>
      <c r="EM35" s="650"/>
      <c r="EN35" s="650"/>
      <c r="EO35" s="650"/>
      <c r="EP35" s="650"/>
      <c r="EQ35" s="650"/>
      <c r="ER35" s="650"/>
      <c r="ES35" s="650"/>
      <c r="ET35" s="650"/>
      <c r="EU35" s="650"/>
      <c r="EV35" s="650"/>
      <c r="EW35" s="650"/>
      <c r="EX35" s="650"/>
      <c r="EY35" s="650"/>
      <c r="EZ35" s="650"/>
      <c r="FA35" s="650"/>
      <c r="FB35" s="650"/>
      <c r="FC35" s="650"/>
      <c r="FD35" s="650"/>
      <c r="FE35" s="650"/>
      <c r="FF35" s="650"/>
      <c r="FG35" s="650"/>
      <c r="FH35" s="650"/>
      <c r="FI35" s="650"/>
      <c r="FJ35" s="650"/>
      <c r="FK35" s="650"/>
      <c r="FL35" s="650"/>
      <c r="FM35" s="650"/>
      <c r="FN35" s="650"/>
      <c r="FO35" s="650"/>
      <c r="FP35" s="650"/>
      <c r="FQ35" s="650"/>
      <c r="FR35" s="650"/>
      <c r="FS35" s="650"/>
      <c r="FT35" s="650"/>
      <c r="FU35" s="650"/>
      <c r="FV35" s="650"/>
      <c r="FW35" s="650"/>
      <c r="FX35" s="650"/>
      <c r="FY35" s="650"/>
      <c r="FZ35" s="650"/>
      <c r="GA35" s="650"/>
      <c r="GB35" s="650"/>
      <c r="GC35" s="650"/>
      <c r="GD35" s="650"/>
      <c r="GE35" s="650"/>
      <c r="GF35" s="650"/>
      <c r="GG35" s="650"/>
      <c r="GH35" s="650"/>
      <c r="GI35" s="650"/>
      <c r="GJ35" s="650"/>
      <c r="GK35" s="650"/>
      <c r="GL35" s="650"/>
      <c r="GM35" s="650"/>
      <c r="GN35" s="650"/>
      <c r="GO35" s="650"/>
      <c r="GP35" s="650"/>
      <c r="GQ35" s="653"/>
      <c r="GR35" s="653"/>
      <c r="GS35" s="653"/>
      <c r="GT35" s="653"/>
      <c r="GU35" s="653"/>
      <c r="GV35" s="653"/>
      <c r="GW35" s="654"/>
    </row>
    <row r="36" spans="1:205" ht="12.75" customHeight="1" x14ac:dyDescent="0.25">
      <c r="A36" s="650"/>
      <c r="B36" s="656"/>
      <c r="C36" s="657"/>
      <c r="D36" s="657"/>
      <c r="E36" s="657"/>
      <c r="F36" s="657"/>
      <c r="G36" s="657"/>
      <c r="H36" s="657"/>
      <c r="I36" s="657"/>
      <c r="J36" s="657"/>
      <c r="K36" s="657"/>
      <c r="L36" s="650"/>
      <c r="M36" s="650"/>
      <c r="N36" s="650"/>
      <c r="O36" s="650"/>
      <c r="P36" s="650"/>
      <c r="Q36" s="650"/>
      <c r="R36" s="650"/>
      <c r="S36" s="650"/>
      <c r="T36" s="650"/>
      <c r="U36" s="650"/>
      <c r="V36" s="650"/>
      <c r="W36" s="650"/>
      <c r="X36" s="650"/>
      <c r="Y36" s="650"/>
      <c r="Z36" s="650"/>
      <c r="AA36" s="650"/>
      <c r="AB36" s="650"/>
      <c r="AC36" s="650"/>
      <c r="AD36" s="650"/>
      <c r="AE36" s="650"/>
      <c r="AF36" s="650"/>
      <c r="AG36" s="650"/>
      <c r="AH36" s="650"/>
      <c r="AI36" s="650"/>
      <c r="AJ36" s="650"/>
      <c r="AK36" s="650"/>
      <c r="AL36" s="650"/>
      <c r="AM36" s="650"/>
      <c r="AN36" s="650"/>
      <c r="AO36" s="650"/>
      <c r="AP36" s="650"/>
      <c r="AQ36" s="650"/>
      <c r="AR36" s="650"/>
      <c r="AS36" s="650"/>
      <c r="AT36" s="650"/>
      <c r="AU36" s="650"/>
      <c r="AV36" s="650"/>
      <c r="AW36" s="650"/>
      <c r="AX36" s="650"/>
      <c r="AY36" s="650"/>
      <c r="AZ36" s="650"/>
      <c r="BA36" s="650"/>
      <c r="BB36" s="650"/>
      <c r="BC36" s="650"/>
      <c r="BD36" s="650"/>
      <c r="BE36" s="650"/>
      <c r="BF36" s="650"/>
      <c r="BG36" s="650"/>
      <c r="BH36" s="650"/>
      <c r="BI36" s="650"/>
      <c r="BJ36" s="650"/>
      <c r="BK36" s="650"/>
      <c r="BL36" s="650"/>
      <c r="BM36" s="650"/>
      <c r="BN36" s="650"/>
      <c r="BO36" s="650"/>
      <c r="BP36" s="650"/>
      <c r="BQ36" s="650"/>
      <c r="BR36" s="650"/>
      <c r="BS36" s="650"/>
      <c r="BT36" s="650"/>
      <c r="BU36" s="650"/>
      <c r="BV36" s="650"/>
      <c r="BW36" s="650"/>
      <c r="BX36" s="650"/>
      <c r="BY36" s="650"/>
      <c r="BZ36" s="650"/>
      <c r="CA36" s="650"/>
      <c r="CB36" s="650"/>
      <c r="CC36" s="650"/>
      <c r="CD36" s="650"/>
      <c r="CE36" s="650"/>
      <c r="CF36" s="650"/>
      <c r="CG36" s="650"/>
      <c r="CH36" s="650"/>
      <c r="CI36" s="650"/>
      <c r="CJ36" s="650"/>
      <c r="CK36" s="650"/>
      <c r="CL36" s="650"/>
      <c r="CM36" s="650"/>
      <c r="CN36" s="650"/>
      <c r="CO36" s="650"/>
      <c r="CP36" s="650"/>
      <c r="CQ36" s="650"/>
      <c r="CR36" s="650"/>
      <c r="CS36" s="650"/>
      <c r="CT36" s="650"/>
      <c r="CU36" s="650"/>
      <c r="CV36" s="650"/>
      <c r="CW36" s="650"/>
      <c r="CX36" s="650"/>
      <c r="CY36" s="650"/>
      <c r="CZ36" s="650"/>
      <c r="DA36" s="650"/>
      <c r="DB36" s="650"/>
      <c r="DC36" s="650"/>
      <c r="DD36" s="650"/>
      <c r="DE36" s="650"/>
      <c r="DF36" s="650"/>
      <c r="DG36" s="650"/>
      <c r="DH36" s="650"/>
      <c r="DI36" s="650"/>
      <c r="DJ36" s="650"/>
      <c r="DK36" s="650"/>
      <c r="DL36" s="650"/>
      <c r="DM36" s="650"/>
      <c r="DN36" s="650"/>
      <c r="DO36" s="650"/>
      <c r="DP36" s="650"/>
      <c r="DQ36" s="650"/>
      <c r="DR36" s="650"/>
      <c r="DS36" s="650"/>
      <c r="DT36" s="650"/>
      <c r="DU36" s="650"/>
      <c r="DV36" s="650"/>
      <c r="DW36" s="650"/>
      <c r="DX36" s="650"/>
      <c r="DY36" s="650"/>
      <c r="DZ36" s="650"/>
      <c r="EA36" s="650"/>
      <c r="EB36" s="650"/>
      <c r="EC36" s="650"/>
      <c r="ED36" s="650"/>
      <c r="EE36" s="650"/>
      <c r="EF36" s="650"/>
      <c r="EG36" s="650"/>
      <c r="EH36" s="650"/>
      <c r="EI36" s="650"/>
      <c r="EJ36" s="650"/>
      <c r="EK36" s="650"/>
      <c r="EL36" s="650"/>
      <c r="EM36" s="650"/>
      <c r="EN36" s="650"/>
      <c r="EO36" s="650"/>
      <c r="EP36" s="650"/>
      <c r="EQ36" s="650"/>
      <c r="ER36" s="650"/>
      <c r="ES36" s="650"/>
      <c r="ET36" s="650"/>
      <c r="EU36" s="650"/>
      <c r="EV36" s="650"/>
      <c r="EW36" s="650"/>
      <c r="EX36" s="650"/>
      <c r="EY36" s="650"/>
      <c r="EZ36" s="650"/>
      <c r="FA36" s="650"/>
      <c r="FB36" s="650"/>
      <c r="FC36" s="650"/>
      <c r="FD36" s="650"/>
      <c r="FE36" s="650"/>
      <c r="FF36" s="650"/>
      <c r="FG36" s="650"/>
      <c r="FH36" s="650"/>
      <c r="FI36" s="650"/>
      <c r="FJ36" s="650"/>
      <c r="FK36" s="650"/>
      <c r="FL36" s="650"/>
      <c r="FM36" s="650"/>
      <c r="FN36" s="650"/>
      <c r="FO36" s="650"/>
      <c r="FP36" s="650"/>
      <c r="FQ36" s="650"/>
      <c r="FR36" s="650"/>
      <c r="FS36" s="650"/>
      <c r="FT36" s="650"/>
      <c r="FU36" s="650"/>
      <c r="FV36" s="650"/>
      <c r="FW36" s="650"/>
      <c r="FX36" s="650"/>
      <c r="FY36" s="650"/>
      <c r="FZ36" s="650"/>
      <c r="GA36" s="650"/>
      <c r="GB36" s="650"/>
      <c r="GC36" s="650"/>
      <c r="GD36" s="650"/>
      <c r="GE36" s="650"/>
      <c r="GF36" s="650"/>
      <c r="GG36" s="650"/>
      <c r="GH36" s="650"/>
      <c r="GI36" s="650"/>
      <c r="GJ36" s="650"/>
      <c r="GK36" s="650"/>
      <c r="GL36" s="650"/>
      <c r="GM36" s="650"/>
      <c r="GN36" s="650"/>
      <c r="GO36" s="650"/>
      <c r="GP36" s="650"/>
      <c r="GQ36" s="657"/>
      <c r="GR36" s="657"/>
      <c r="GS36" s="657"/>
      <c r="GT36" s="657"/>
      <c r="GU36" s="657"/>
      <c r="GV36" s="657"/>
      <c r="GW36" s="658"/>
    </row>
    <row r="37" spans="1:205" ht="9" customHeight="1" x14ac:dyDescent="0.25">
      <c r="B37" s="650"/>
      <c r="C37" s="650"/>
      <c r="D37" s="650"/>
      <c r="E37" s="650"/>
      <c r="F37" s="650"/>
      <c r="G37" s="650"/>
      <c r="H37" s="650"/>
      <c r="I37" s="650"/>
      <c r="J37" s="650"/>
      <c r="K37" s="650"/>
      <c r="L37" s="650"/>
      <c r="M37" s="650"/>
      <c r="N37" s="650"/>
      <c r="O37" s="650"/>
      <c r="P37" s="650"/>
      <c r="Q37" s="650"/>
      <c r="R37" s="650"/>
      <c r="S37" s="650"/>
      <c r="T37" s="650"/>
      <c r="U37" s="650"/>
      <c r="V37" s="650"/>
      <c r="W37" s="650"/>
      <c r="X37" s="650"/>
      <c r="Y37" s="650"/>
      <c r="Z37" s="650"/>
      <c r="AA37" s="650"/>
      <c r="AB37" s="650"/>
      <c r="AC37" s="650"/>
      <c r="AD37" s="650"/>
      <c r="AE37" s="650"/>
      <c r="AF37" s="650"/>
      <c r="AG37" s="650"/>
      <c r="AH37" s="650"/>
      <c r="AI37" s="650"/>
      <c r="AJ37" s="650"/>
      <c r="AK37" s="650"/>
      <c r="AL37" s="650"/>
      <c r="AM37" s="650"/>
      <c r="AN37" s="650"/>
      <c r="AO37" s="650"/>
      <c r="AP37" s="650"/>
      <c r="AQ37" s="650"/>
      <c r="AR37" s="650"/>
      <c r="AS37" s="650"/>
      <c r="AT37" s="650"/>
      <c r="AU37" s="650"/>
      <c r="AV37" s="650"/>
      <c r="AW37" s="650"/>
      <c r="AX37" s="650"/>
      <c r="AY37" s="650"/>
      <c r="AZ37" s="650"/>
      <c r="BA37" s="650"/>
      <c r="BB37" s="650"/>
      <c r="BC37" s="650"/>
      <c r="BD37" s="650"/>
      <c r="BE37" s="650"/>
      <c r="BF37" s="650"/>
      <c r="BG37" s="650"/>
      <c r="BH37" s="650"/>
      <c r="BI37" s="650"/>
      <c r="BJ37" s="650"/>
      <c r="BK37" s="650"/>
      <c r="BL37" s="650"/>
      <c r="BM37" s="650"/>
      <c r="BN37" s="650"/>
      <c r="BO37" s="650"/>
      <c r="BP37" s="650"/>
      <c r="BQ37" s="650"/>
      <c r="BR37" s="650"/>
      <c r="BS37" s="650"/>
      <c r="BT37" s="650"/>
      <c r="BU37" s="650"/>
      <c r="BV37" s="650"/>
      <c r="BW37" s="650"/>
      <c r="BX37" s="650"/>
      <c r="BY37" s="650"/>
      <c r="BZ37" s="650"/>
      <c r="CA37" s="650"/>
      <c r="CB37" s="650"/>
      <c r="CC37" s="650"/>
      <c r="CD37" s="650"/>
      <c r="CE37" s="650"/>
      <c r="CF37" s="650"/>
      <c r="CG37" s="650"/>
      <c r="CH37" s="650"/>
      <c r="CI37" s="650"/>
      <c r="CJ37" s="650"/>
      <c r="CK37" s="650"/>
      <c r="CL37" s="650"/>
      <c r="CM37" s="650"/>
      <c r="CN37" s="650"/>
      <c r="CO37" s="650"/>
      <c r="CP37" s="650"/>
      <c r="CQ37" s="650"/>
      <c r="CR37" s="650"/>
      <c r="CS37" s="650"/>
      <c r="CT37" s="650"/>
      <c r="CU37" s="650"/>
      <c r="CV37" s="650"/>
      <c r="CW37" s="650"/>
      <c r="CX37" s="650"/>
      <c r="CY37" s="650"/>
      <c r="CZ37" s="650"/>
      <c r="DA37" s="650"/>
      <c r="DB37" s="650"/>
      <c r="DC37" s="650"/>
      <c r="DD37" s="650"/>
      <c r="DE37" s="650"/>
      <c r="DF37" s="650"/>
      <c r="DG37" s="650"/>
      <c r="DH37" s="650"/>
      <c r="DI37" s="650"/>
      <c r="DJ37" s="650"/>
      <c r="DK37" s="650"/>
      <c r="DL37" s="650"/>
      <c r="DM37" s="650"/>
      <c r="DN37" s="650"/>
      <c r="DO37" s="650"/>
      <c r="DP37" s="650"/>
      <c r="DQ37" s="650"/>
      <c r="DR37" s="650"/>
      <c r="DS37" s="650"/>
      <c r="DT37" s="650"/>
      <c r="DU37" s="650"/>
      <c r="DV37" s="650"/>
      <c r="DW37" s="650"/>
      <c r="DX37" s="650"/>
      <c r="DY37" s="650"/>
      <c r="DZ37" s="650"/>
      <c r="EA37" s="650"/>
      <c r="EB37" s="650"/>
      <c r="EC37" s="650"/>
      <c r="ED37" s="650"/>
      <c r="EE37" s="650"/>
      <c r="EF37" s="650"/>
      <c r="EG37" s="650"/>
      <c r="EH37" s="650"/>
      <c r="EI37" s="650"/>
      <c r="EJ37" s="650"/>
      <c r="EK37" s="650"/>
      <c r="EL37" s="650"/>
      <c r="EM37" s="650"/>
      <c r="EN37" s="650"/>
      <c r="EO37" s="650"/>
      <c r="EP37" s="650"/>
      <c r="EQ37" s="650"/>
      <c r="ER37" s="650"/>
      <c r="ES37" s="650"/>
      <c r="ET37" s="650"/>
      <c r="EU37" s="650"/>
      <c r="EV37" s="650"/>
      <c r="EW37" s="650"/>
      <c r="EX37" s="650"/>
      <c r="EY37" s="650"/>
      <c r="EZ37" s="650"/>
      <c r="FA37" s="650"/>
      <c r="FB37" s="650"/>
      <c r="FC37" s="650"/>
      <c r="FD37" s="650"/>
      <c r="FE37" s="650"/>
      <c r="FF37" s="650"/>
      <c r="FG37" s="650"/>
      <c r="FH37" s="650"/>
      <c r="FI37" s="650"/>
      <c r="FJ37" s="650"/>
      <c r="FK37" s="650"/>
      <c r="FL37" s="650"/>
      <c r="FM37" s="650"/>
      <c r="FN37" s="650"/>
      <c r="FO37" s="650"/>
      <c r="FP37" s="650"/>
      <c r="FQ37" s="650"/>
      <c r="FR37" s="650"/>
      <c r="FS37" s="650"/>
      <c r="FT37" s="650"/>
      <c r="FU37" s="650"/>
      <c r="FV37" s="650"/>
      <c r="FW37" s="650"/>
      <c r="FX37" s="650"/>
      <c r="FY37" s="650"/>
      <c r="FZ37" s="650"/>
      <c r="GA37" s="650"/>
      <c r="GB37" s="650"/>
      <c r="GC37" s="650"/>
      <c r="GD37" s="650"/>
      <c r="GE37" s="650"/>
      <c r="GF37" s="650"/>
      <c r="GG37" s="650"/>
      <c r="GH37" s="650"/>
      <c r="GI37" s="650"/>
      <c r="GJ37" s="650"/>
      <c r="GK37" s="650"/>
      <c r="GL37" s="650"/>
      <c r="GM37" s="650"/>
      <c r="GN37" s="650"/>
      <c r="GO37" s="650"/>
      <c r="GP37" s="650"/>
      <c r="GQ37" s="650"/>
      <c r="GR37" s="650"/>
      <c r="GS37" s="650"/>
      <c r="GT37" s="650"/>
      <c r="GU37" s="650"/>
    </row>
    <row r="38" spans="1:205" ht="3.75" customHeight="1" x14ac:dyDescent="0.25">
      <c r="B38" s="650"/>
      <c r="C38" s="650"/>
      <c r="D38" s="650"/>
      <c r="E38" s="650"/>
      <c r="F38" s="650"/>
      <c r="G38" s="650"/>
      <c r="H38" s="650"/>
      <c r="I38" s="650"/>
      <c r="J38" s="650"/>
      <c r="K38" s="650"/>
      <c r="L38" s="650"/>
      <c r="M38" s="650"/>
      <c r="N38" s="650"/>
      <c r="O38" s="650"/>
      <c r="P38" s="650"/>
      <c r="Q38" s="650"/>
      <c r="R38" s="650"/>
      <c r="S38" s="650"/>
      <c r="T38" s="650"/>
      <c r="U38" s="650"/>
      <c r="V38" s="650"/>
      <c r="W38" s="650"/>
      <c r="X38" s="650"/>
      <c r="Y38" s="650"/>
      <c r="Z38" s="650"/>
      <c r="AA38" s="650"/>
      <c r="AB38" s="650"/>
      <c r="AC38" s="650"/>
      <c r="AD38" s="650"/>
      <c r="AE38" s="650"/>
      <c r="AF38" s="650"/>
      <c r="AG38" s="650"/>
      <c r="AH38" s="650"/>
      <c r="AI38" s="650"/>
      <c r="AJ38" s="650"/>
      <c r="AK38" s="650"/>
      <c r="AL38" s="650"/>
      <c r="AM38" s="650"/>
      <c r="AN38" s="650"/>
      <c r="AO38" s="650"/>
      <c r="AP38" s="650"/>
      <c r="AQ38" s="650"/>
      <c r="AR38" s="650"/>
      <c r="AS38" s="650"/>
      <c r="AT38" s="650"/>
      <c r="AU38" s="650"/>
      <c r="AV38" s="650"/>
      <c r="AW38" s="650"/>
      <c r="AX38" s="650"/>
      <c r="AY38" s="650"/>
      <c r="AZ38" s="650"/>
      <c r="BA38" s="650"/>
      <c r="BB38" s="650"/>
      <c r="BC38" s="650"/>
      <c r="BD38" s="650"/>
      <c r="BE38" s="650"/>
      <c r="BF38" s="650"/>
      <c r="BG38" s="650"/>
      <c r="BH38" s="650"/>
      <c r="BI38" s="650"/>
      <c r="BJ38" s="650"/>
      <c r="BK38" s="650"/>
      <c r="BL38" s="650"/>
      <c r="BM38" s="650"/>
      <c r="BN38" s="650"/>
      <c r="BO38" s="650"/>
      <c r="BP38" s="650"/>
      <c r="BQ38" s="650"/>
      <c r="BR38" s="650"/>
      <c r="BS38" s="650"/>
      <c r="BT38" s="650"/>
      <c r="BU38" s="650"/>
      <c r="BV38" s="650"/>
      <c r="BW38" s="650"/>
      <c r="BX38" s="650"/>
      <c r="BY38" s="650"/>
      <c r="BZ38" s="650"/>
      <c r="CA38" s="650"/>
      <c r="CB38" s="650"/>
      <c r="CC38" s="650"/>
      <c r="CD38" s="650"/>
      <c r="CE38" s="650"/>
      <c r="CF38" s="650"/>
      <c r="CG38" s="650"/>
      <c r="CH38" s="650"/>
      <c r="CI38" s="650"/>
      <c r="CJ38" s="650"/>
      <c r="CK38" s="650"/>
      <c r="CL38" s="650"/>
      <c r="CM38" s="650"/>
      <c r="CN38" s="650"/>
      <c r="CO38" s="650"/>
      <c r="CP38" s="650"/>
      <c r="CQ38" s="650"/>
      <c r="CR38" s="650"/>
      <c r="CS38" s="650"/>
      <c r="CT38" s="650"/>
      <c r="CU38" s="650"/>
      <c r="CV38" s="650"/>
      <c r="CW38" s="650"/>
      <c r="CX38" s="650"/>
      <c r="CY38" s="650"/>
      <c r="CZ38" s="650"/>
      <c r="DA38" s="650"/>
      <c r="DB38" s="650"/>
      <c r="DC38" s="650"/>
      <c r="DD38" s="650"/>
      <c r="DE38" s="650"/>
      <c r="DF38" s="650"/>
      <c r="DG38" s="650"/>
      <c r="DH38" s="650"/>
      <c r="DI38" s="650"/>
      <c r="DJ38" s="650"/>
      <c r="DK38" s="650"/>
      <c r="DL38" s="650"/>
      <c r="DM38" s="650"/>
      <c r="DN38" s="650"/>
      <c r="DO38" s="650"/>
      <c r="DP38" s="650"/>
      <c r="DQ38" s="650"/>
      <c r="DR38" s="650"/>
      <c r="DS38" s="650"/>
      <c r="DT38" s="650"/>
      <c r="DU38" s="650"/>
      <c r="DV38" s="650"/>
      <c r="DW38" s="650"/>
      <c r="DX38" s="650"/>
      <c r="DY38" s="650"/>
      <c r="DZ38" s="650"/>
      <c r="EA38" s="650"/>
      <c r="EB38" s="650"/>
      <c r="EC38" s="650"/>
      <c r="ED38" s="650"/>
      <c r="EE38" s="650"/>
      <c r="EF38" s="650"/>
      <c r="EG38" s="650"/>
      <c r="EH38" s="650"/>
      <c r="EI38" s="650"/>
      <c r="EJ38" s="650"/>
      <c r="EK38" s="650"/>
      <c r="EL38" s="650"/>
      <c r="EM38" s="650"/>
      <c r="EN38" s="650"/>
      <c r="EO38" s="650"/>
      <c r="EP38" s="650"/>
      <c r="EQ38" s="650"/>
      <c r="ER38" s="650"/>
      <c r="ES38" s="650"/>
      <c r="ET38" s="650"/>
      <c r="EU38" s="650"/>
      <c r="EV38" s="650"/>
      <c r="EW38" s="650"/>
      <c r="EX38" s="650"/>
      <c r="EY38" s="650"/>
      <c r="EZ38" s="650"/>
      <c r="FA38" s="650"/>
      <c r="FB38" s="650"/>
      <c r="FC38" s="650"/>
      <c r="FD38" s="650"/>
      <c r="FE38" s="650"/>
      <c r="FF38" s="650"/>
      <c r="FG38" s="650"/>
      <c r="FH38" s="650"/>
      <c r="FI38" s="650"/>
      <c r="FJ38" s="650"/>
      <c r="FK38" s="650"/>
      <c r="FL38" s="650"/>
      <c r="FM38" s="650"/>
      <c r="FN38" s="650"/>
      <c r="FO38" s="650"/>
      <c r="FP38" s="650"/>
      <c r="FQ38" s="650"/>
      <c r="FR38" s="650"/>
      <c r="FS38" s="650"/>
      <c r="FT38" s="650"/>
      <c r="FU38" s="650"/>
      <c r="FV38" s="650"/>
      <c r="FW38" s="650"/>
      <c r="FX38" s="650"/>
      <c r="FY38" s="650"/>
      <c r="FZ38" s="650"/>
      <c r="GA38" s="650"/>
      <c r="GB38" s="650"/>
      <c r="GC38" s="650"/>
      <c r="GD38" s="650"/>
      <c r="GE38" s="650"/>
      <c r="GF38" s="650"/>
      <c r="GG38" s="650"/>
      <c r="GH38" s="650"/>
      <c r="GI38" s="650"/>
      <c r="GJ38" s="650"/>
      <c r="GK38" s="650"/>
      <c r="GL38" s="650"/>
      <c r="GM38" s="650"/>
      <c r="GN38" s="650"/>
      <c r="GO38" s="650"/>
      <c r="GP38" s="650"/>
      <c r="GQ38" s="650"/>
      <c r="GR38" s="650"/>
      <c r="GS38" s="650"/>
      <c r="GT38" s="650"/>
      <c r="GU38" s="650"/>
    </row>
    <row r="39" spans="1:205" ht="3.75" customHeight="1" x14ac:dyDescent="0.25"/>
    <row r="40" spans="1:205" ht="3.75" customHeight="1" x14ac:dyDescent="0.25"/>
    <row r="41" spans="1:205" ht="3.75" customHeight="1" x14ac:dyDescent="0.25"/>
    <row r="42" spans="1:205" ht="3.75" customHeight="1" x14ac:dyDescent="0.25"/>
    <row r="43" spans="1:205" ht="3.75" customHeight="1" x14ac:dyDescent="0.25"/>
    <row r="44" spans="1:205" ht="3.75" customHeight="1" x14ac:dyDescent="0.25"/>
    <row r="45" spans="1:205" ht="3.75" customHeight="1" x14ac:dyDescent="0.25"/>
    <row r="46" spans="1:205" ht="3.75" customHeight="1" x14ac:dyDescent="0.25"/>
    <row r="47" spans="1:205" ht="3.75" customHeight="1" x14ac:dyDescent="0.25"/>
    <row r="48" spans="1:205" ht="3.75" customHeight="1" x14ac:dyDescent="0.25"/>
    <row r="49" spans="43:43" ht="3.75" customHeight="1" x14ac:dyDescent="0.25"/>
    <row r="50" spans="43:43" ht="3.75" customHeight="1" x14ac:dyDescent="0.25"/>
    <row r="51" spans="43:43" ht="3.75" customHeight="1" x14ac:dyDescent="0.25"/>
    <row r="52" spans="43:43" ht="3.75" customHeight="1" x14ac:dyDescent="0.25">
      <c r="AQ52" s="659">
        <v>57</v>
      </c>
    </row>
    <row r="53" spans="43:43" ht="3.75" customHeight="1" x14ac:dyDescent="0.25"/>
    <row r="54" spans="43:43" ht="3.75" customHeight="1" x14ac:dyDescent="0.25"/>
    <row r="55" spans="43:43" ht="3.75" customHeight="1" x14ac:dyDescent="0.25"/>
    <row r="56" spans="43:43" ht="3.75" customHeight="1" x14ac:dyDescent="0.25"/>
    <row r="57" spans="43:43" ht="3.75" customHeight="1" x14ac:dyDescent="0.25"/>
    <row r="58" spans="43:43" ht="3.75" customHeight="1" x14ac:dyDescent="0.25"/>
    <row r="59" spans="43:43" ht="3.75" customHeight="1" x14ac:dyDescent="0.25"/>
    <row r="60" spans="43:43" ht="3.75" customHeight="1" x14ac:dyDescent="0.25"/>
    <row r="61" spans="43:43" ht="3.75" customHeight="1" x14ac:dyDescent="0.25"/>
    <row r="62" spans="43:43" ht="3.75" customHeight="1" x14ac:dyDescent="0.25"/>
    <row r="63" spans="43:43" ht="3.75" customHeight="1" x14ac:dyDescent="0.25"/>
    <row r="64" spans="43:43" ht="3.75" customHeight="1" x14ac:dyDescent="0.25"/>
    <row r="65" ht="3.75" customHeight="1" x14ac:dyDescent="0.25"/>
    <row r="66" ht="3.75" customHeight="1" x14ac:dyDescent="0.25"/>
    <row r="67" ht="3.75" customHeight="1" x14ac:dyDescent="0.25"/>
    <row r="68" ht="3.75" customHeight="1" x14ac:dyDescent="0.25"/>
    <row r="69" ht="3.75" customHeight="1" x14ac:dyDescent="0.25"/>
    <row r="70" ht="3.75" customHeight="1" x14ac:dyDescent="0.25"/>
    <row r="71" ht="3.75" customHeight="1" x14ac:dyDescent="0.25"/>
    <row r="72" ht="3.75" customHeight="1" x14ac:dyDescent="0.25"/>
    <row r="73" ht="3.75" customHeight="1" x14ac:dyDescent="0.25"/>
    <row r="74" ht="3.75" customHeight="1" x14ac:dyDescent="0.25"/>
    <row r="75" ht="3.75" customHeight="1" x14ac:dyDescent="0.25"/>
    <row r="76" ht="3.75" customHeight="1" x14ac:dyDescent="0.25"/>
    <row r="77" ht="3.75" customHeight="1" x14ac:dyDescent="0.25"/>
    <row r="78" ht="3.75" customHeight="1" x14ac:dyDescent="0.25"/>
    <row r="79" ht="3.75" customHeight="1" x14ac:dyDescent="0.25"/>
    <row r="80" ht="3.75" customHeight="1" x14ac:dyDescent="0.25"/>
    <row r="81" ht="3.75" customHeight="1" x14ac:dyDescent="0.25"/>
    <row r="82" ht="3.75" customHeight="1" x14ac:dyDescent="0.25"/>
    <row r="83" ht="3.75" customHeight="1" x14ac:dyDescent="0.25"/>
    <row r="84" ht="3.75" customHeight="1" x14ac:dyDescent="0.25"/>
    <row r="85" ht="3.75" customHeight="1" x14ac:dyDescent="0.25"/>
    <row r="86" ht="3.75" customHeight="1" x14ac:dyDescent="0.25"/>
    <row r="87" ht="3.75" customHeight="1" x14ac:dyDescent="0.25"/>
    <row r="88" ht="3.75" customHeight="1" x14ac:dyDescent="0.25"/>
    <row r="89" ht="3.75" customHeight="1" x14ac:dyDescent="0.25"/>
    <row r="90" ht="3.75" customHeight="1" x14ac:dyDescent="0.25"/>
    <row r="91" ht="3.75" customHeight="1" x14ac:dyDescent="0.25"/>
    <row r="92" ht="3.75" customHeight="1" x14ac:dyDescent="0.25"/>
    <row r="93" ht="3.75" customHeight="1" x14ac:dyDescent="0.25"/>
    <row r="94" ht="3.75" customHeight="1" x14ac:dyDescent="0.25"/>
    <row r="95" ht="3.75" customHeight="1" x14ac:dyDescent="0.25"/>
    <row r="96" ht="3.75" customHeight="1" x14ac:dyDescent="0.25"/>
    <row r="97" ht="3.75" customHeight="1" x14ac:dyDescent="0.25"/>
    <row r="98" ht="3.75" customHeight="1" x14ac:dyDescent="0.25"/>
    <row r="99" ht="3.75" customHeight="1" x14ac:dyDescent="0.25"/>
    <row r="100" ht="3.75" customHeight="1" x14ac:dyDescent="0.25"/>
    <row r="101" ht="3.75" customHeight="1" x14ac:dyDescent="0.25"/>
    <row r="102" ht="3.75" customHeight="1" x14ac:dyDescent="0.25"/>
    <row r="103" ht="3.75" customHeight="1" x14ac:dyDescent="0.25"/>
    <row r="104" ht="3.75" customHeight="1" x14ac:dyDescent="0.25"/>
    <row r="105" ht="3.75" customHeight="1" x14ac:dyDescent="0.25"/>
    <row r="106" ht="3.75" customHeight="1" x14ac:dyDescent="0.25"/>
    <row r="107" ht="3.75" customHeight="1" x14ac:dyDescent="0.25"/>
    <row r="108" ht="3.75" customHeight="1" x14ac:dyDescent="0.25"/>
    <row r="109" ht="3.75" customHeight="1" x14ac:dyDescent="0.25"/>
    <row r="110" ht="3.75" customHeight="1" x14ac:dyDescent="0.25"/>
    <row r="111" ht="3.75" customHeight="1" x14ac:dyDescent="0.25"/>
    <row r="112" ht="3.75" customHeight="1" x14ac:dyDescent="0.25"/>
    <row r="113" ht="3.75" customHeight="1" x14ac:dyDescent="0.25"/>
    <row r="114" ht="3.75" customHeight="1" x14ac:dyDescent="0.25"/>
    <row r="115" ht="3.75" customHeight="1" x14ac:dyDescent="0.25"/>
    <row r="116" ht="3.75" customHeight="1" x14ac:dyDescent="0.25"/>
    <row r="117" ht="3.75" customHeight="1" x14ac:dyDescent="0.25"/>
    <row r="118" ht="3.75" customHeight="1" x14ac:dyDescent="0.25"/>
    <row r="119" ht="3.75" customHeight="1" x14ac:dyDescent="0.25"/>
    <row r="120" ht="3.75" customHeight="1" x14ac:dyDescent="0.25"/>
    <row r="121" ht="3.75" customHeight="1" x14ac:dyDescent="0.25"/>
    <row r="122" ht="3.75" customHeight="1" x14ac:dyDescent="0.25"/>
    <row r="123" ht="3.75" customHeight="1" x14ac:dyDescent="0.25"/>
    <row r="124" ht="3.75" customHeight="1" x14ac:dyDescent="0.25"/>
    <row r="125" ht="3.75" customHeight="1" x14ac:dyDescent="0.25"/>
    <row r="126" ht="3.75" customHeight="1" x14ac:dyDescent="0.25"/>
    <row r="127" ht="3.75" customHeight="1" x14ac:dyDescent="0.25"/>
    <row r="128" ht="3.75" customHeight="1" x14ac:dyDescent="0.25"/>
    <row r="129" ht="3.75" customHeight="1" x14ac:dyDescent="0.25"/>
    <row r="130" ht="3.75" customHeight="1" x14ac:dyDescent="0.25"/>
    <row r="131" ht="3.75" customHeight="1" x14ac:dyDescent="0.25"/>
    <row r="132" ht="3.75" customHeight="1" x14ac:dyDescent="0.25"/>
    <row r="133" ht="3.75" customHeight="1" x14ac:dyDescent="0.25"/>
    <row r="134" ht="3.75" customHeight="1" x14ac:dyDescent="0.25"/>
    <row r="135" ht="3.75" customHeight="1" x14ac:dyDescent="0.25"/>
    <row r="136" ht="3.75" customHeight="1" x14ac:dyDescent="0.25"/>
    <row r="137" ht="3.75" customHeight="1" x14ac:dyDescent="0.25"/>
    <row r="138" ht="3.75" customHeight="1" x14ac:dyDescent="0.25"/>
    <row r="139" ht="3.75" customHeight="1" x14ac:dyDescent="0.25"/>
    <row r="140" ht="3.75" customHeight="1" x14ac:dyDescent="0.25"/>
    <row r="141" ht="3.75" customHeight="1" x14ac:dyDescent="0.25"/>
    <row r="142" ht="3.75" customHeight="1" x14ac:dyDescent="0.25"/>
    <row r="143" ht="3.75" customHeight="1" x14ac:dyDescent="0.25"/>
    <row r="144" ht="3.75" customHeight="1" x14ac:dyDescent="0.25"/>
    <row r="145" spans="10:10" ht="3.75" customHeight="1" x14ac:dyDescent="0.25"/>
    <row r="146" spans="10:10" ht="3.75" customHeight="1" x14ac:dyDescent="0.25"/>
    <row r="147" spans="10:10" ht="3.75" customHeight="1" x14ac:dyDescent="0.25">
      <c r="J147" s="659">
        <v>33</v>
      </c>
    </row>
  </sheetData>
  <mergeCells count="705">
    <mergeCell ref="FL34:FQ34"/>
    <mergeCell ref="FR34:FV34"/>
    <mergeCell ref="FW34:GB34"/>
    <mergeCell ref="GC34:GG34"/>
    <mergeCell ref="GH34:GM34"/>
    <mergeCell ref="GN34:GR34"/>
    <mergeCell ref="GS34:GW34"/>
    <mergeCell ref="EH33:EM33"/>
    <mergeCell ref="EN33:ER33"/>
    <mergeCell ref="ES33:EX33"/>
    <mergeCell ref="EY33:FC33"/>
    <mergeCell ref="FD33:FI33"/>
    <mergeCell ref="FJ33:FN33"/>
    <mergeCell ref="FO33:FS33"/>
    <mergeCell ref="FT33:GW33"/>
    <mergeCell ref="BA34:BF34"/>
    <mergeCell ref="BG34:BK34"/>
    <mergeCell ref="BL34:BQ34"/>
    <mergeCell ref="BR34:BV34"/>
    <mergeCell ref="BW34:CB34"/>
    <mergeCell ref="CC34:CG34"/>
    <mergeCell ref="CH34:CM34"/>
    <mergeCell ref="CN34:CR34"/>
    <mergeCell ref="CS34:CX34"/>
    <mergeCell ref="CY34:DC34"/>
    <mergeCell ref="DD34:DI34"/>
    <mergeCell ref="DJ34:EM34"/>
    <mergeCell ref="EP34:EU34"/>
    <mergeCell ref="EV34:EZ34"/>
    <mergeCell ref="FA34:FF34"/>
    <mergeCell ref="FG34:FK34"/>
    <mergeCell ref="FR32:FV32"/>
    <mergeCell ref="FW32:GB32"/>
    <mergeCell ref="GC32:GG32"/>
    <mergeCell ref="GH32:GM32"/>
    <mergeCell ref="GN32:GR32"/>
    <mergeCell ref="GS32:GW32"/>
    <mergeCell ref="B33:K34"/>
    <mergeCell ref="L33:AP34"/>
    <mergeCell ref="AQ33:AX34"/>
    <mergeCell ref="BA33:BF33"/>
    <mergeCell ref="BG33:BK33"/>
    <mergeCell ref="BL33:BQ33"/>
    <mergeCell ref="BR33:BV33"/>
    <mergeCell ref="BW33:CB33"/>
    <mergeCell ref="CC33:CG33"/>
    <mergeCell ref="CH33:CM33"/>
    <mergeCell ref="CN33:CR33"/>
    <mergeCell ref="CS33:CX33"/>
    <mergeCell ref="CY33:DC33"/>
    <mergeCell ref="DD33:DI33"/>
    <mergeCell ref="DL33:DQ33"/>
    <mergeCell ref="DR33:DV33"/>
    <mergeCell ref="DW33:EB33"/>
    <mergeCell ref="EC33:EG33"/>
    <mergeCell ref="EN31:ER31"/>
    <mergeCell ref="ES31:EX31"/>
    <mergeCell ref="EY31:FC31"/>
    <mergeCell ref="FD31:FI31"/>
    <mergeCell ref="FJ31:FN31"/>
    <mergeCell ref="FO31:FS31"/>
    <mergeCell ref="FT31:GW31"/>
    <mergeCell ref="BA32:BF32"/>
    <mergeCell ref="BG32:BK32"/>
    <mergeCell ref="BL32:BQ32"/>
    <mergeCell ref="BR32:BV32"/>
    <mergeCell ref="BW32:CB32"/>
    <mergeCell ref="CC32:CG32"/>
    <mergeCell ref="CH32:CM32"/>
    <mergeCell ref="CN32:CR32"/>
    <mergeCell ref="CS32:CX32"/>
    <mergeCell ref="CY32:DC32"/>
    <mergeCell ref="DD32:DI32"/>
    <mergeCell ref="DJ32:EM32"/>
    <mergeCell ref="EP32:EU32"/>
    <mergeCell ref="EV32:EZ32"/>
    <mergeCell ref="FA32:FF32"/>
    <mergeCell ref="FG32:FK32"/>
    <mergeCell ref="FL32:FQ32"/>
    <mergeCell ref="FW30:GB30"/>
    <mergeCell ref="GC30:GG30"/>
    <mergeCell ref="GH30:GM30"/>
    <mergeCell ref="GN30:GR30"/>
    <mergeCell ref="GS30:GW30"/>
    <mergeCell ref="B31:K32"/>
    <mergeCell ref="L31:AP32"/>
    <mergeCell ref="AQ31:AX32"/>
    <mergeCell ref="BA31:BF31"/>
    <mergeCell ref="BG31:BK31"/>
    <mergeCell ref="BL31:BQ31"/>
    <mergeCell ref="BR31:BV31"/>
    <mergeCell ref="BW31:CB31"/>
    <mergeCell ref="CC31:CG31"/>
    <mergeCell ref="CH31:CM31"/>
    <mergeCell ref="CN31:CR31"/>
    <mergeCell ref="CS31:CX31"/>
    <mergeCell ref="CY31:DC31"/>
    <mergeCell ref="DD31:DI31"/>
    <mergeCell ref="DL31:DQ31"/>
    <mergeCell ref="DR31:DV31"/>
    <mergeCell ref="DW31:EB31"/>
    <mergeCell ref="EC31:EG31"/>
    <mergeCell ref="EH31:EM31"/>
    <mergeCell ref="CY30:DC30"/>
    <mergeCell ref="DD30:DI30"/>
    <mergeCell ref="DJ30:EM30"/>
    <mergeCell ref="EP30:EU30"/>
    <mergeCell ref="EV30:EZ30"/>
    <mergeCell ref="FA30:FF30"/>
    <mergeCell ref="FG30:FK30"/>
    <mergeCell ref="FL30:FQ30"/>
    <mergeCell ref="FR30:FV30"/>
    <mergeCell ref="BA30:BF30"/>
    <mergeCell ref="BG30:BK30"/>
    <mergeCell ref="BL30:BQ30"/>
    <mergeCell ref="BR30:BV30"/>
    <mergeCell ref="BW30:CB30"/>
    <mergeCell ref="CC30:CG30"/>
    <mergeCell ref="CH30:CM30"/>
    <mergeCell ref="CN30:CR30"/>
    <mergeCell ref="CS30:CX30"/>
    <mergeCell ref="EC29:EG29"/>
    <mergeCell ref="EH29:EM29"/>
    <mergeCell ref="EN29:ER29"/>
    <mergeCell ref="ES29:EX29"/>
    <mergeCell ref="EY29:FC29"/>
    <mergeCell ref="FD29:FI29"/>
    <mergeCell ref="FJ29:FN29"/>
    <mergeCell ref="FO29:FS29"/>
    <mergeCell ref="FT29:GW29"/>
    <mergeCell ref="FL28:FQ28"/>
    <mergeCell ref="FR28:FV28"/>
    <mergeCell ref="FW28:GB28"/>
    <mergeCell ref="GC28:GG28"/>
    <mergeCell ref="GH28:GM28"/>
    <mergeCell ref="GN28:GR28"/>
    <mergeCell ref="GS28:GW28"/>
    <mergeCell ref="B29:K30"/>
    <mergeCell ref="L29:AP30"/>
    <mergeCell ref="AQ29:AX30"/>
    <mergeCell ref="BA29:BF29"/>
    <mergeCell ref="BG29:BK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EH27:EM27"/>
    <mergeCell ref="EN27:ER27"/>
    <mergeCell ref="ES27:EX27"/>
    <mergeCell ref="EY27:FC27"/>
    <mergeCell ref="FD27:FI27"/>
    <mergeCell ref="FJ27:FN27"/>
    <mergeCell ref="FO27:FS27"/>
    <mergeCell ref="FT27:GW27"/>
    <mergeCell ref="BA28:BF28"/>
    <mergeCell ref="BG28:BK28"/>
    <mergeCell ref="BL28:BQ28"/>
    <mergeCell ref="BR28:BV28"/>
    <mergeCell ref="BW28:CB28"/>
    <mergeCell ref="CC28:CG28"/>
    <mergeCell ref="CH28:CM28"/>
    <mergeCell ref="CN28:CR28"/>
    <mergeCell ref="CS28:CX28"/>
    <mergeCell ref="CY28:DC28"/>
    <mergeCell ref="DD28:DI28"/>
    <mergeCell ref="DJ28:EM28"/>
    <mergeCell ref="EP28:EU28"/>
    <mergeCell ref="EV28:EZ28"/>
    <mergeCell ref="FA28:FF28"/>
    <mergeCell ref="FG28:FK28"/>
    <mergeCell ref="FR26:FV26"/>
    <mergeCell ref="FW26:GB26"/>
    <mergeCell ref="GC26:GG26"/>
    <mergeCell ref="GH26:GM26"/>
    <mergeCell ref="GN26:GR26"/>
    <mergeCell ref="GS26:GW26"/>
    <mergeCell ref="B27:K28"/>
    <mergeCell ref="L27:AP28"/>
    <mergeCell ref="AQ27:AX28"/>
    <mergeCell ref="BA27:BF27"/>
    <mergeCell ref="BG27:BK27"/>
    <mergeCell ref="BL27:BQ27"/>
    <mergeCell ref="BR27:BV27"/>
    <mergeCell ref="BW27:CB27"/>
    <mergeCell ref="CC27:CG27"/>
    <mergeCell ref="CH27:CM27"/>
    <mergeCell ref="CN27:CR27"/>
    <mergeCell ref="CS27:CX27"/>
    <mergeCell ref="CY27:DC27"/>
    <mergeCell ref="DD27:DI27"/>
    <mergeCell ref="DL27:DQ27"/>
    <mergeCell ref="DR27:DV27"/>
    <mergeCell ref="DW27:EB27"/>
    <mergeCell ref="EC27:EG27"/>
    <mergeCell ref="EN25:ER25"/>
    <mergeCell ref="ES25:EX25"/>
    <mergeCell ref="EY25:FC25"/>
    <mergeCell ref="FD25:FI25"/>
    <mergeCell ref="FJ25:FN25"/>
    <mergeCell ref="FO25:FS25"/>
    <mergeCell ref="FT25:GW25"/>
    <mergeCell ref="BA26:BF26"/>
    <mergeCell ref="BG26:BK26"/>
    <mergeCell ref="BL26:BQ26"/>
    <mergeCell ref="BR26:BV26"/>
    <mergeCell ref="BW26:CB26"/>
    <mergeCell ref="CC26:CG26"/>
    <mergeCell ref="CH26:CM26"/>
    <mergeCell ref="CN26:CR26"/>
    <mergeCell ref="CS26:CX26"/>
    <mergeCell ref="CY26:DC26"/>
    <mergeCell ref="DD26:DI26"/>
    <mergeCell ref="DJ26:EM26"/>
    <mergeCell ref="EP26:EU26"/>
    <mergeCell ref="EV26:EZ26"/>
    <mergeCell ref="FA26:FF26"/>
    <mergeCell ref="FG26:FK26"/>
    <mergeCell ref="FL26:FQ26"/>
    <mergeCell ref="FW24:GB24"/>
    <mergeCell ref="GC24:GG24"/>
    <mergeCell ref="GH24:GM24"/>
    <mergeCell ref="GN24:GR24"/>
    <mergeCell ref="GS24:GW24"/>
    <mergeCell ref="B25:K26"/>
    <mergeCell ref="L25:AP26"/>
    <mergeCell ref="AQ25:AX26"/>
    <mergeCell ref="BA25:BF25"/>
    <mergeCell ref="BG25:BK25"/>
    <mergeCell ref="BL25:BQ25"/>
    <mergeCell ref="BR25:BV25"/>
    <mergeCell ref="BW25:CB25"/>
    <mergeCell ref="CC25:CG25"/>
    <mergeCell ref="CH25:CM25"/>
    <mergeCell ref="CN25:CR25"/>
    <mergeCell ref="CS25:CX25"/>
    <mergeCell ref="CY25:DC25"/>
    <mergeCell ref="DD25:DI25"/>
    <mergeCell ref="DL25:DQ25"/>
    <mergeCell ref="DR25:DV25"/>
    <mergeCell ref="DW25:EB25"/>
    <mergeCell ref="EC25:EG25"/>
    <mergeCell ref="EH25:EM25"/>
    <mergeCell ref="CY24:DC24"/>
    <mergeCell ref="DD24:DI24"/>
    <mergeCell ref="DJ24:EM24"/>
    <mergeCell ref="EP24:EU24"/>
    <mergeCell ref="EV24:EZ24"/>
    <mergeCell ref="FA24:FF24"/>
    <mergeCell ref="FG24:FK24"/>
    <mergeCell ref="FL24:FQ24"/>
    <mergeCell ref="FR24:FV24"/>
    <mergeCell ref="BA24:BF24"/>
    <mergeCell ref="BG24:BK24"/>
    <mergeCell ref="BL24:BQ24"/>
    <mergeCell ref="BR24:BV24"/>
    <mergeCell ref="BW24:CB24"/>
    <mergeCell ref="CC24:CG24"/>
    <mergeCell ref="CH24:CM24"/>
    <mergeCell ref="CN24:CR24"/>
    <mergeCell ref="CS24:CX24"/>
    <mergeCell ref="EC23:EG23"/>
    <mergeCell ref="EH23:EM23"/>
    <mergeCell ref="EN23:ER23"/>
    <mergeCell ref="ES23:EX23"/>
    <mergeCell ref="EY23:FC23"/>
    <mergeCell ref="FD23:FI23"/>
    <mergeCell ref="FJ23:FN23"/>
    <mergeCell ref="FO23:FS23"/>
    <mergeCell ref="FT23:GW23"/>
    <mergeCell ref="FL22:FQ22"/>
    <mergeCell ref="FR22:FV22"/>
    <mergeCell ref="FW22:GB22"/>
    <mergeCell ref="GC22:GG22"/>
    <mergeCell ref="GH22:GM22"/>
    <mergeCell ref="GN22:GR22"/>
    <mergeCell ref="GS22:GW22"/>
    <mergeCell ref="B23:K24"/>
    <mergeCell ref="L23:AP24"/>
    <mergeCell ref="AQ23:AX24"/>
    <mergeCell ref="BA23:BF23"/>
    <mergeCell ref="BG23:BK23"/>
    <mergeCell ref="BL23:BQ23"/>
    <mergeCell ref="BR23:BV23"/>
    <mergeCell ref="BW23:CB23"/>
    <mergeCell ref="CC23:CG23"/>
    <mergeCell ref="CH23:CM23"/>
    <mergeCell ref="CN23:CR23"/>
    <mergeCell ref="CS23:CX23"/>
    <mergeCell ref="CY23:DC23"/>
    <mergeCell ref="DD23:DI23"/>
    <mergeCell ref="DL23:DQ23"/>
    <mergeCell ref="DR23:DV23"/>
    <mergeCell ref="DW23:EB23"/>
    <mergeCell ref="EH21:EM21"/>
    <mergeCell ref="EN21:ER21"/>
    <mergeCell ref="ES21:EX21"/>
    <mergeCell ref="EY21:FC21"/>
    <mergeCell ref="FD21:FI21"/>
    <mergeCell ref="FJ21:FN21"/>
    <mergeCell ref="FO21:FS21"/>
    <mergeCell ref="FT21:GW21"/>
    <mergeCell ref="BA22:BF22"/>
    <mergeCell ref="BG22:BK22"/>
    <mergeCell ref="BL22:BQ22"/>
    <mergeCell ref="BR22:BV22"/>
    <mergeCell ref="BW22:CB22"/>
    <mergeCell ref="CC22:CG22"/>
    <mergeCell ref="CH22:CM22"/>
    <mergeCell ref="CN22:CR22"/>
    <mergeCell ref="CS22:CX22"/>
    <mergeCell ref="CY22:DC22"/>
    <mergeCell ref="DD22:DI22"/>
    <mergeCell ref="DJ22:EM22"/>
    <mergeCell ref="EP22:EU22"/>
    <mergeCell ref="EV22:EZ22"/>
    <mergeCell ref="FA22:FF22"/>
    <mergeCell ref="FG22:FK22"/>
    <mergeCell ref="FR20:FV20"/>
    <mergeCell ref="FW20:GB20"/>
    <mergeCell ref="GC20:GG20"/>
    <mergeCell ref="GH20:GM20"/>
    <mergeCell ref="GN20:GR20"/>
    <mergeCell ref="GS20:GW20"/>
    <mergeCell ref="B21:K22"/>
    <mergeCell ref="L21:AP22"/>
    <mergeCell ref="AQ21:AX22"/>
    <mergeCell ref="BA21:BF21"/>
    <mergeCell ref="BG21:BK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EC21:EG21"/>
    <mergeCell ref="EN19:ER19"/>
    <mergeCell ref="ES19:EX19"/>
    <mergeCell ref="EY19:FC19"/>
    <mergeCell ref="FD19:FI19"/>
    <mergeCell ref="FJ19:FN19"/>
    <mergeCell ref="FO19:FS19"/>
    <mergeCell ref="FT19:GW19"/>
    <mergeCell ref="BA20:BF20"/>
    <mergeCell ref="BG20:BK20"/>
    <mergeCell ref="BL20:BQ20"/>
    <mergeCell ref="BR20:BV20"/>
    <mergeCell ref="BW20:CB20"/>
    <mergeCell ref="CC20:CG20"/>
    <mergeCell ref="CH20:CM20"/>
    <mergeCell ref="CN20:CR20"/>
    <mergeCell ref="CS20:CX20"/>
    <mergeCell ref="CY20:DC20"/>
    <mergeCell ref="DD20:DI20"/>
    <mergeCell ref="DJ20:EM20"/>
    <mergeCell ref="EP20:EU20"/>
    <mergeCell ref="EV20:EZ20"/>
    <mergeCell ref="FA20:FF20"/>
    <mergeCell ref="FG20:FK20"/>
    <mergeCell ref="FL20:FQ20"/>
    <mergeCell ref="FW18:GB18"/>
    <mergeCell ref="GC18:GG18"/>
    <mergeCell ref="GH18:GM18"/>
    <mergeCell ref="GN18:GR18"/>
    <mergeCell ref="GS18:GW18"/>
    <mergeCell ref="B19:K20"/>
    <mergeCell ref="L19:AP20"/>
    <mergeCell ref="AQ19:AX20"/>
    <mergeCell ref="BA19:BF19"/>
    <mergeCell ref="BG19:BK19"/>
    <mergeCell ref="BL19:BQ19"/>
    <mergeCell ref="BR19:BV19"/>
    <mergeCell ref="BW19:CB19"/>
    <mergeCell ref="CC19:CG19"/>
    <mergeCell ref="CH19:CM19"/>
    <mergeCell ref="CN19:CR19"/>
    <mergeCell ref="CS19:CX19"/>
    <mergeCell ref="CY19:DC19"/>
    <mergeCell ref="DD19:DI19"/>
    <mergeCell ref="DL19:DQ19"/>
    <mergeCell ref="DR19:DV19"/>
    <mergeCell ref="DW19:EB19"/>
    <mergeCell ref="EC19:EG19"/>
    <mergeCell ref="EH19:EM19"/>
    <mergeCell ref="CY18:DC18"/>
    <mergeCell ref="DD18:DI18"/>
    <mergeCell ref="DJ18:EM18"/>
    <mergeCell ref="EP18:EU18"/>
    <mergeCell ref="EV18:EZ18"/>
    <mergeCell ref="FA18:FF18"/>
    <mergeCell ref="FG18:FK18"/>
    <mergeCell ref="FL18:FQ18"/>
    <mergeCell ref="FR18:FV18"/>
    <mergeCell ref="BA18:BF18"/>
    <mergeCell ref="BG18:BK18"/>
    <mergeCell ref="BL18:BQ18"/>
    <mergeCell ref="BR18:BV18"/>
    <mergeCell ref="BW18:CB18"/>
    <mergeCell ref="CC18:CG18"/>
    <mergeCell ref="CH18:CM18"/>
    <mergeCell ref="CN18:CR18"/>
    <mergeCell ref="CS18:CX18"/>
    <mergeCell ref="EC17:EG17"/>
    <mergeCell ref="EH17:EM17"/>
    <mergeCell ref="EN17:ER17"/>
    <mergeCell ref="ES17:EX17"/>
    <mergeCell ref="EY17:FC17"/>
    <mergeCell ref="FD17:FI17"/>
    <mergeCell ref="FJ17:FN17"/>
    <mergeCell ref="FO17:FS17"/>
    <mergeCell ref="FT17:GW17"/>
    <mergeCell ref="FL16:FQ16"/>
    <mergeCell ref="FR16:FV16"/>
    <mergeCell ref="FW16:GB16"/>
    <mergeCell ref="GC16:GG16"/>
    <mergeCell ref="GH16:GM16"/>
    <mergeCell ref="GN16:GR16"/>
    <mergeCell ref="GS16:GW16"/>
    <mergeCell ref="B17:K18"/>
    <mergeCell ref="L17:AP18"/>
    <mergeCell ref="AQ17:AX18"/>
    <mergeCell ref="BA17:BF17"/>
    <mergeCell ref="BG17:BK17"/>
    <mergeCell ref="BL17:BQ17"/>
    <mergeCell ref="BR17:BV17"/>
    <mergeCell ref="BW17:CB17"/>
    <mergeCell ref="CC17:CG17"/>
    <mergeCell ref="CH17:CM17"/>
    <mergeCell ref="CN17:CR17"/>
    <mergeCell ref="CS17:CX17"/>
    <mergeCell ref="CY17:DC17"/>
    <mergeCell ref="DD17:DI17"/>
    <mergeCell ref="DL17:DQ17"/>
    <mergeCell ref="DR17:DV17"/>
    <mergeCell ref="DW17:EB17"/>
    <mergeCell ref="EH15:EM15"/>
    <mergeCell ref="EN15:ER15"/>
    <mergeCell ref="ES15:EX15"/>
    <mergeCell ref="EY15:FC15"/>
    <mergeCell ref="FD15:FI15"/>
    <mergeCell ref="FJ15:FN15"/>
    <mergeCell ref="FO15:FS15"/>
    <mergeCell ref="FT15:GW15"/>
    <mergeCell ref="BA16:BF16"/>
    <mergeCell ref="BG16:BK16"/>
    <mergeCell ref="BL16:BQ16"/>
    <mergeCell ref="BR16:BV16"/>
    <mergeCell ref="BW16:CB16"/>
    <mergeCell ref="CC16:CG16"/>
    <mergeCell ref="CH16:CM16"/>
    <mergeCell ref="CN16:CR16"/>
    <mergeCell ref="CS16:CX16"/>
    <mergeCell ref="CY16:DC16"/>
    <mergeCell ref="DD16:DI16"/>
    <mergeCell ref="DJ16:EM16"/>
    <mergeCell ref="EP16:EU16"/>
    <mergeCell ref="EV16:EZ16"/>
    <mergeCell ref="FA16:FF16"/>
    <mergeCell ref="FG16:FK16"/>
    <mergeCell ref="FR14:FV14"/>
    <mergeCell ref="FW14:GB14"/>
    <mergeCell ref="GC14:GG14"/>
    <mergeCell ref="GH14:GM14"/>
    <mergeCell ref="GN14:GR14"/>
    <mergeCell ref="GS14:GW14"/>
    <mergeCell ref="B15:K16"/>
    <mergeCell ref="L15:AP16"/>
    <mergeCell ref="AQ15:AX16"/>
    <mergeCell ref="BA15:BF15"/>
    <mergeCell ref="BG15:BK15"/>
    <mergeCell ref="BL15:BQ15"/>
    <mergeCell ref="BR15:BV15"/>
    <mergeCell ref="BW15:CB15"/>
    <mergeCell ref="CC15:CG15"/>
    <mergeCell ref="CH15:CM15"/>
    <mergeCell ref="CN15:CR15"/>
    <mergeCell ref="CS15:CX15"/>
    <mergeCell ref="CY15:DC15"/>
    <mergeCell ref="DD15:DI15"/>
    <mergeCell ref="DL15:DQ15"/>
    <mergeCell ref="DR15:DV15"/>
    <mergeCell ref="DW15:EB15"/>
    <mergeCell ref="EC15:EG15"/>
    <mergeCell ref="EN13:ER13"/>
    <mergeCell ref="ES13:EX13"/>
    <mergeCell ref="EY13:FC13"/>
    <mergeCell ref="FD13:FI13"/>
    <mergeCell ref="FJ13:FN13"/>
    <mergeCell ref="FO13:FS13"/>
    <mergeCell ref="FT13:GW13"/>
    <mergeCell ref="BA14:BF14"/>
    <mergeCell ref="BG14:BK14"/>
    <mergeCell ref="BL14:BQ14"/>
    <mergeCell ref="BR14:BV14"/>
    <mergeCell ref="BW14:CB14"/>
    <mergeCell ref="CC14:CG14"/>
    <mergeCell ref="CH14:CM14"/>
    <mergeCell ref="CN14:CR14"/>
    <mergeCell ref="CS14:CX14"/>
    <mergeCell ref="CY14:DC14"/>
    <mergeCell ref="DD14:DI14"/>
    <mergeCell ref="DJ14:EM14"/>
    <mergeCell ref="EP14:EU14"/>
    <mergeCell ref="EV14:EZ14"/>
    <mergeCell ref="FA14:FF14"/>
    <mergeCell ref="FG14:FK14"/>
    <mergeCell ref="FL14:FQ14"/>
    <mergeCell ref="FW12:GB12"/>
    <mergeCell ref="GC12:GG12"/>
    <mergeCell ref="GH12:GM12"/>
    <mergeCell ref="GN12:GR12"/>
    <mergeCell ref="GS12:GW12"/>
    <mergeCell ref="B13:K14"/>
    <mergeCell ref="L13:AP14"/>
    <mergeCell ref="AQ13:AX14"/>
    <mergeCell ref="BA13:BF13"/>
    <mergeCell ref="BG13:BK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EC13:EG13"/>
    <mergeCell ref="EH13:EM13"/>
    <mergeCell ref="CY12:DC12"/>
    <mergeCell ref="DD12:DI12"/>
    <mergeCell ref="DJ12:EM12"/>
    <mergeCell ref="EP12:EU12"/>
    <mergeCell ref="EV12:EZ12"/>
    <mergeCell ref="FA12:FF12"/>
    <mergeCell ref="FG12:FK12"/>
    <mergeCell ref="FL12:FQ12"/>
    <mergeCell ref="FR12:FV12"/>
    <mergeCell ref="BA12:BF12"/>
    <mergeCell ref="BG12:BK12"/>
    <mergeCell ref="BL12:BQ12"/>
    <mergeCell ref="BR12:BV12"/>
    <mergeCell ref="BW12:CB12"/>
    <mergeCell ref="CC12:CG12"/>
    <mergeCell ref="CH12:CM12"/>
    <mergeCell ref="CN12:CR12"/>
    <mergeCell ref="CS12:CX12"/>
    <mergeCell ref="EC11:EG11"/>
    <mergeCell ref="EH11:EM11"/>
    <mergeCell ref="EN11:ER11"/>
    <mergeCell ref="ES11:EX11"/>
    <mergeCell ref="EY11:FC11"/>
    <mergeCell ref="FD11:FI11"/>
    <mergeCell ref="FJ11:FN11"/>
    <mergeCell ref="FO11:FS11"/>
    <mergeCell ref="FT11:GW11"/>
    <mergeCell ref="FL10:FQ10"/>
    <mergeCell ref="FR10:FV10"/>
    <mergeCell ref="FW10:GB10"/>
    <mergeCell ref="GC10:GG10"/>
    <mergeCell ref="GH10:GM10"/>
    <mergeCell ref="GN10:GR10"/>
    <mergeCell ref="GS10:GW10"/>
    <mergeCell ref="B11:K12"/>
    <mergeCell ref="L11:AP12"/>
    <mergeCell ref="AQ11:AX12"/>
    <mergeCell ref="BA11:BF11"/>
    <mergeCell ref="BG11:BK11"/>
    <mergeCell ref="BL11:BQ11"/>
    <mergeCell ref="BR11:BV11"/>
    <mergeCell ref="BW11:CB11"/>
    <mergeCell ref="CC11:CG11"/>
    <mergeCell ref="CH11:CM11"/>
    <mergeCell ref="CN11:CR11"/>
    <mergeCell ref="CS11:CX11"/>
    <mergeCell ref="CY11:DC11"/>
    <mergeCell ref="DD11:DI11"/>
    <mergeCell ref="DL11:DQ11"/>
    <mergeCell ref="DR11:DV11"/>
    <mergeCell ref="DW11:EB11"/>
    <mergeCell ref="EH9:EM9"/>
    <mergeCell ref="EN9:ER9"/>
    <mergeCell ref="ES9:EX9"/>
    <mergeCell ref="EY9:FC9"/>
    <mergeCell ref="FD9:FI9"/>
    <mergeCell ref="FJ9:FN9"/>
    <mergeCell ref="FO9:FS9"/>
    <mergeCell ref="FT9:GW9"/>
    <mergeCell ref="BA10:BF10"/>
    <mergeCell ref="BG10:BK10"/>
    <mergeCell ref="BL10:BQ10"/>
    <mergeCell ref="BR10:BV10"/>
    <mergeCell ref="BW10:CB10"/>
    <mergeCell ref="CC10:CG10"/>
    <mergeCell ref="CH10:CM10"/>
    <mergeCell ref="CN10:CR10"/>
    <mergeCell ref="CS10:CX10"/>
    <mergeCell ref="CY10:DC10"/>
    <mergeCell ref="DD10:DI10"/>
    <mergeCell ref="DJ10:EM10"/>
    <mergeCell ref="EP10:EU10"/>
    <mergeCell ref="EV10:EZ10"/>
    <mergeCell ref="FA10:FF10"/>
    <mergeCell ref="FG10:FK10"/>
    <mergeCell ref="CH9:CM9"/>
    <mergeCell ref="CN9:CR9"/>
    <mergeCell ref="CS9:CX9"/>
    <mergeCell ref="CY9:DC9"/>
    <mergeCell ref="DD9:DI9"/>
    <mergeCell ref="DL9:DQ9"/>
    <mergeCell ref="DR9:DV9"/>
    <mergeCell ref="DW9:EB9"/>
    <mergeCell ref="EC9:EG9"/>
    <mergeCell ref="B9:K10"/>
    <mergeCell ref="L9:AP10"/>
    <mergeCell ref="AQ9:AX10"/>
    <mergeCell ref="BA9:BF9"/>
    <mergeCell ref="BG9:BK9"/>
    <mergeCell ref="BL9:BQ9"/>
    <mergeCell ref="BR9:BV9"/>
    <mergeCell ref="BW9:CB9"/>
    <mergeCell ref="CC9:CG9"/>
    <mergeCell ref="FA8:FF8"/>
    <mergeCell ref="FG8:FK8"/>
    <mergeCell ref="FL8:FQ8"/>
    <mergeCell ref="FR8:FV8"/>
    <mergeCell ref="FW8:GB8"/>
    <mergeCell ref="GC8:GG8"/>
    <mergeCell ref="GH8:GM8"/>
    <mergeCell ref="GN8:GR8"/>
    <mergeCell ref="GS8:GW8"/>
    <mergeCell ref="CC8:CG8"/>
    <mergeCell ref="CH8:CM8"/>
    <mergeCell ref="CN8:CR8"/>
    <mergeCell ref="CS8:CX8"/>
    <mergeCell ref="CY8:DC8"/>
    <mergeCell ref="DD8:DI8"/>
    <mergeCell ref="DJ8:EM8"/>
    <mergeCell ref="EP8:EU8"/>
    <mergeCell ref="EV8:EZ8"/>
    <mergeCell ref="EC7:EG7"/>
    <mergeCell ref="EH7:EM7"/>
    <mergeCell ref="EN7:ER7"/>
    <mergeCell ref="ES7:EX7"/>
    <mergeCell ref="EY7:FC7"/>
    <mergeCell ref="FD7:FI7"/>
    <mergeCell ref="FJ7:FN7"/>
    <mergeCell ref="FO7:FS7"/>
    <mergeCell ref="FT7:GW7"/>
    <mergeCell ref="CC7:CG7"/>
    <mergeCell ref="CH7:CM7"/>
    <mergeCell ref="CN7:CR7"/>
    <mergeCell ref="CS7:CX7"/>
    <mergeCell ref="CY7:DC7"/>
    <mergeCell ref="DD7:DI7"/>
    <mergeCell ref="DL7:DQ7"/>
    <mergeCell ref="DR7:DV7"/>
    <mergeCell ref="DW7:EB7"/>
    <mergeCell ref="A7:A8"/>
    <mergeCell ref="B7:K8"/>
    <mergeCell ref="L7:AP8"/>
    <mergeCell ref="AQ7:AX8"/>
    <mergeCell ref="BA7:BF7"/>
    <mergeCell ref="BG7:BK7"/>
    <mergeCell ref="BL7:BQ7"/>
    <mergeCell ref="BR7:BV7"/>
    <mergeCell ref="BW7:CB7"/>
    <mergeCell ref="BA8:BF8"/>
    <mergeCell ref="BG8:BK8"/>
    <mergeCell ref="BL8:BQ8"/>
    <mergeCell ref="BR8:BV8"/>
    <mergeCell ref="BW8:CB8"/>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33333333333304" right="0.70833333333333304" top="0.78749999999999998" bottom="0.78749999999999998" header="0.51180555555555496" footer="0.51180555555555496"/>
  <pageSetup paperSize="9" firstPageNumber="0" orientation="portrait" horizontalDpi="300" verticalDpi="300"/>
  <rowBreaks count="1" manualBreakCount="1">
    <brk id="36" max="16383" man="1"/>
  </row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Normal="100" workbookViewId="0"/>
  </sheetViews>
  <sheetFormatPr defaultRowHeight="15" x14ac:dyDescent="0.25"/>
  <cols>
    <col min="1" max="1025" width="0.42578125" customWidth="1"/>
  </cols>
  <sheetData>
    <row r="1" spans="1:205" ht="3.75" customHeight="1" x14ac:dyDescent="0.25">
      <c r="A1" s="642"/>
    </row>
    <row r="2" spans="1:205" ht="25.5" customHeight="1" x14ac:dyDescent="0.25">
      <c r="B2" s="643"/>
      <c r="C2" s="644"/>
      <c r="D2" s="644"/>
      <c r="E2" s="644"/>
      <c r="F2" s="644"/>
      <c r="G2" s="644"/>
      <c r="H2" s="644"/>
      <c r="I2" s="957" t="s">
        <v>5345</v>
      </c>
      <c r="J2" s="957"/>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K2" s="958" t="s">
        <v>2327</v>
      </c>
      <c r="AL2" s="958"/>
      <c r="AM2" s="958"/>
      <c r="AN2" s="958"/>
      <c r="AO2" s="958"/>
      <c r="AP2" s="958"/>
      <c r="AQ2" s="958"/>
      <c r="AR2" s="958"/>
      <c r="AS2" s="645"/>
      <c r="AT2" s="986" t="str">
        <f>'S 002'!$AT$2</f>
        <v>2020473411</v>
      </c>
      <c r="AU2" s="986"/>
      <c r="AV2" s="986"/>
      <c r="AW2" s="986"/>
      <c r="AX2" s="986"/>
      <c r="AY2" s="986"/>
      <c r="AZ2" s="986"/>
      <c r="BA2" s="986"/>
      <c r="BB2" s="986"/>
      <c r="BC2" s="986"/>
      <c r="BD2" s="986"/>
      <c r="BE2" s="986"/>
      <c r="BF2" s="986"/>
      <c r="BG2" s="986"/>
      <c r="BH2" s="986"/>
      <c r="BI2" s="986"/>
      <c r="BJ2" s="986"/>
      <c r="BK2" s="986"/>
      <c r="BL2" s="986"/>
      <c r="BM2" s="986"/>
      <c r="BN2" s="986"/>
      <c r="BO2" s="986"/>
      <c r="BP2" s="986"/>
      <c r="BQ2" s="986"/>
      <c r="BR2" s="986"/>
      <c r="BS2" s="986"/>
      <c r="BT2" s="986"/>
      <c r="BU2" s="986"/>
      <c r="BV2" s="986"/>
      <c r="BW2" s="986"/>
      <c r="BX2" s="986"/>
      <c r="BY2" s="986"/>
      <c r="BZ2" s="986"/>
      <c r="CA2" s="986"/>
      <c r="CB2" s="986"/>
      <c r="CC2" s="986"/>
      <c r="CD2" s="986"/>
      <c r="CE2" s="986"/>
      <c r="CF2" s="986"/>
      <c r="CG2" s="986"/>
      <c r="CH2" s="986"/>
      <c r="CI2" s="986"/>
      <c r="CJ2" s="986"/>
      <c r="CK2" s="986"/>
      <c r="CL2" s="986"/>
      <c r="CM2" s="986"/>
      <c r="CN2" s="986"/>
      <c r="CO2" s="986"/>
      <c r="CP2" s="986"/>
      <c r="CQ2" s="986"/>
      <c r="CR2" s="986"/>
      <c r="CS2" s="986"/>
      <c r="CT2" s="645"/>
      <c r="CU2" s="646"/>
      <c r="CW2" s="958" t="s">
        <v>5</v>
      </c>
      <c r="CX2" s="958"/>
      <c r="CY2" s="958"/>
      <c r="CZ2" s="958"/>
      <c r="DA2" s="958"/>
      <c r="DB2" s="958"/>
      <c r="DC2" s="958"/>
      <c r="DD2" s="645"/>
      <c r="DE2" s="986" t="str">
        <f>'S 002'!$DE$2</f>
        <v>00651052</v>
      </c>
      <c r="DF2" s="986"/>
      <c r="DG2" s="986"/>
      <c r="DH2" s="986"/>
      <c r="DI2" s="986"/>
      <c r="DJ2" s="986"/>
      <c r="DK2" s="986"/>
      <c r="DL2" s="986"/>
      <c r="DM2" s="986"/>
      <c r="DN2" s="986"/>
      <c r="DO2" s="986"/>
      <c r="DP2" s="986"/>
      <c r="DQ2" s="986"/>
      <c r="DR2" s="986"/>
      <c r="DS2" s="986"/>
      <c r="DT2" s="986"/>
      <c r="DU2" s="986"/>
      <c r="DV2" s="986"/>
      <c r="DW2" s="986"/>
      <c r="DX2" s="986"/>
      <c r="DY2" s="986"/>
      <c r="DZ2" s="986"/>
      <c r="EA2" s="986"/>
      <c r="EB2" s="986"/>
      <c r="EC2" s="986"/>
      <c r="ED2" s="986"/>
      <c r="EE2" s="986"/>
      <c r="EF2" s="986"/>
      <c r="EG2" s="986"/>
      <c r="EH2" s="986"/>
      <c r="EI2" s="986"/>
      <c r="EJ2" s="986"/>
      <c r="EK2" s="986"/>
      <c r="EL2" s="986"/>
      <c r="EM2" s="986"/>
      <c r="EN2" s="986"/>
      <c r="EO2" s="986"/>
      <c r="EP2" s="986"/>
      <c r="EQ2" s="986"/>
      <c r="ER2" s="986"/>
      <c r="ES2" s="986"/>
      <c r="ET2" s="986"/>
      <c r="EU2" s="986"/>
      <c r="EV2" s="645"/>
      <c r="EW2" s="646"/>
      <c r="GQ2" s="644"/>
      <c r="GR2" s="644"/>
      <c r="GS2" s="644"/>
      <c r="GT2" s="644"/>
      <c r="GU2" s="644"/>
      <c r="GV2" s="644"/>
      <c r="GW2" s="647"/>
    </row>
    <row r="3" spans="1:205" ht="3" customHeight="1" x14ac:dyDescent="0.25"/>
    <row r="4" spans="1:205" ht="11.25" customHeight="1" x14ac:dyDescent="0.3">
      <c r="B4" s="960" t="s">
        <v>5340</v>
      </c>
      <c r="C4" s="960"/>
      <c r="D4" s="960"/>
      <c r="E4" s="960"/>
      <c r="F4" s="960"/>
      <c r="G4" s="960"/>
      <c r="H4" s="960"/>
      <c r="I4" s="960"/>
      <c r="J4" s="960"/>
      <c r="K4" s="960"/>
      <c r="L4" s="961" t="s">
        <v>5341</v>
      </c>
      <c r="M4" s="961"/>
      <c r="N4" s="961"/>
      <c r="O4" s="961"/>
      <c r="P4" s="961"/>
      <c r="Q4" s="961"/>
      <c r="R4" s="961"/>
      <c r="S4" s="961"/>
      <c r="T4" s="961"/>
      <c r="U4" s="961"/>
      <c r="V4" s="961"/>
      <c r="W4" s="961"/>
      <c r="X4" s="961"/>
      <c r="Y4" s="961"/>
      <c r="Z4" s="961"/>
      <c r="AA4" s="961"/>
      <c r="AB4" s="961"/>
      <c r="AC4" s="961"/>
      <c r="AD4" s="961"/>
      <c r="AE4" s="961"/>
      <c r="AF4" s="961"/>
      <c r="AG4" s="961"/>
      <c r="AH4" s="961"/>
      <c r="AI4" s="961"/>
      <c r="AJ4" s="961"/>
      <c r="AK4" s="961"/>
      <c r="AL4" s="961"/>
      <c r="AM4" s="961"/>
      <c r="AN4" s="961"/>
      <c r="AO4" s="961"/>
      <c r="AP4" s="961"/>
      <c r="AQ4" s="962" t="str">
        <f>'S 003'!AQ4</f>
        <v>Číslo riadku</v>
      </c>
      <c r="AR4" s="962"/>
      <c r="AS4" s="962"/>
      <c r="AT4" s="962"/>
      <c r="AU4" s="962"/>
      <c r="AV4" s="962"/>
      <c r="AW4" s="962"/>
      <c r="AX4" s="962"/>
      <c r="AY4" s="963" t="str">
        <f>'S 003'!AY4</f>
        <v>Bežné účtovné obdobie</v>
      </c>
      <c r="AZ4" s="963"/>
      <c r="BA4" s="963"/>
      <c r="BB4" s="963"/>
      <c r="BC4" s="963"/>
      <c r="BD4" s="963"/>
      <c r="BE4" s="963"/>
      <c r="BF4" s="963"/>
      <c r="BG4" s="963"/>
      <c r="BH4" s="963"/>
      <c r="BI4" s="963"/>
      <c r="BJ4" s="963"/>
      <c r="BK4" s="963"/>
      <c r="BL4" s="963"/>
      <c r="BM4" s="963"/>
      <c r="BN4" s="963"/>
      <c r="BO4" s="963"/>
      <c r="BP4" s="963"/>
      <c r="BQ4" s="963"/>
      <c r="BR4" s="963"/>
      <c r="BS4" s="963"/>
      <c r="BT4" s="963"/>
      <c r="BU4" s="963"/>
      <c r="BV4" s="963"/>
      <c r="BW4" s="963"/>
      <c r="BX4" s="963"/>
      <c r="BY4" s="963"/>
      <c r="BZ4" s="963"/>
      <c r="CA4" s="963"/>
      <c r="CB4" s="963"/>
      <c r="CC4" s="963"/>
      <c r="CD4" s="963"/>
      <c r="CE4" s="963"/>
      <c r="CF4" s="963"/>
      <c r="CG4" s="963"/>
      <c r="CH4" s="963"/>
      <c r="CI4" s="963"/>
      <c r="CJ4" s="963"/>
      <c r="CK4" s="963"/>
      <c r="CL4" s="963"/>
      <c r="CM4" s="963"/>
      <c r="CN4" s="963"/>
      <c r="CO4" s="963"/>
      <c r="CP4" s="963"/>
      <c r="CQ4" s="963"/>
      <c r="CR4" s="963"/>
      <c r="CS4" s="963"/>
      <c r="CT4" s="963"/>
      <c r="CU4" s="963"/>
      <c r="CV4" s="963"/>
      <c r="CW4" s="963"/>
      <c r="CX4" s="963"/>
      <c r="CY4" s="963"/>
      <c r="CZ4" s="963"/>
      <c r="DA4" s="963"/>
      <c r="DB4" s="963"/>
      <c r="DC4" s="963"/>
      <c r="DD4" s="963"/>
      <c r="DE4" s="963"/>
      <c r="DF4" s="963"/>
      <c r="DG4" s="963"/>
      <c r="DH4" s="963"/>
      <c r="DI4" s="963"/>
      <c r="DJ4" s="963"/>
      <c r="DK4" s="963"/>
      <c r="DL4" s="963"/>
      <c r="DM4" s="963"/>
      <c r="DN4" s="963"/>
      <c r="DO4" s="963"/>
      <c r="DP4" s="963"/>
      <c r="DQ4" s="963"/>
      <c r="DR4" s="963"/>
      <c r="DS4" s="963"/>
      <c r="DT4" s="963"/>
      <c r="DU4" s="963"/>
      <c r="DV4" s="963"/>
      <c r="DW4" s="963"/>
      <c r="DX4" s="963"/>
      <c r="DY4" s="963"/>
      <c r="DZ4" s="963"/>
      <c r="EA4" s="963"/>
      <c r="EB4" s="963"/>
      <c r="EC4" s="963"/>
      <c r="ED4" s="963"/>
      <c r="EE4" s="963"/>
      <c r="EF4" s="963"/>
      <c r="EG4" s="963"/>
      <c r="EH4" s="963"/>
      <c r="EI4" s="963"/>
      <c r="EJ4" s="963"/>
      <c r="EK4" s="963"/>
      <c r="EL4" s="963"/>
      <c r="EM4" s="963"/>
      <c r="EN4" s="963"/>
      <c r="EO4" s="963"/>
      <c r="EP4" s="963"/>
      <c r="EQ4" s="963"/>
      <c r="ER4" s="963"/>
      <c r="ES4" s="963"/>
      <c r="ET4" s="963"/>
      <c r="EU4" s="963"/>
      <c r="EV4" s="963"/>
      <c r="EW4" s="963"/>
      <c r="EX4" s="963"/>
      <c r="EY4" s="963"/>
      <c r="EZ4" s="963"/>
      <c r="FA4" s="963"/>
      <c r="FB4" s="963"/>
      <c r="FC4" s="987">
        <f>'S 003'!FC4</f>
        <v>0</v>
      </c>
      <c r="FD4" s="987"/>
      <c r="FE4" s="987"/>
      <c r="FF4" s="987"/>
      <c r="FG4" s="987"/>
      <c r="FH4" s="987"/>
      <c r="FI4" s="987"/>
      <c r="FJ4" s="987"/>
      <c r="FK4" s="987"/>
      <c r="FL4" s="987"/>
      <c r="FM4" s="987"/>
      <c r="FN4" s="987"/>
      <c r="FO4" s="987"/>
      <c r="FP4" s="987"/>
      <c r="FQ4" s="987"/>
      <c r="FR4" s="987"/>
      <c r="FS4" s="987"/>
      <c r="FT4" s="987"/>
      <c r="FU4" s="987"/>
      <c r="FV4" s="987"/>
      <c r="FW4" s="987"/>
      <c r="FX4" s="987"/>
      <c r="FY4" s="987"/>
      <c r="FZ4" s="987"/>
      <c r="GA4" s="987"/>
      <c r="GB4" s="987"/>
      <c r="GC4" s="987"/>
      <c r="GD4" s="987"/>
      <c r="GE4" s="987"/>
      <c r="GF4" s="987"/>
      <c r="GG4" s="987"/>
      <c r="GH4" s="987"/>
      <c r="GI4" s="987"/>
      <c r="GJ4" s="987"/>
      <c r="GK4" s="987"/>
      <c r="GL4" s="987"/>
      <c r="GM4" s="987"/>
      <c r="GN4" s="987"/>
      <c r="GO4" s="987"/>
      <c r="GP4" s="987"/>
      <c r="GQ4" s="987"/>
      <c r="GR4" s="987"/>
      <c r="GS4" s="987"/>
      <c r="GT4" s="987"/>
      <c r="GU4" s="987"/>
      <c r="GV4" s="987"/>
      <c r="GW4" s="987"/>
    </row>
    <row r="5" spans="1:205" ht="11.25" customHeight="1" x14ac:dyDescent="0.3">
      <c r="B5" s="965" t="s">
        <v>5342</v>
      </c>
      <c r="C5" s="965"/>
      <c r="D5" s="965"/>
      <c r="E5" s="965"/>
      <c r="F5" s="965"/>
      <c r="G5" s="965"/>
      <c r="H5" s="965"/>
      <c r="I5" s="965"/>
      <c r="J5" s="965"/>
      <c r="K5" s="965"/>
      <c r="L5" s="961"/>
      <c r="M5" s="961"/>
      <c r="N5" s="961"/>
      <c r="O5" s="961"/>
      <c r="P5" s="961"/>
      <c r="Q5" s="961"/>
      <c r="R5" s="961"/>
      <c r="S5" s="961"/>
      <c r="T5" s="961"/>
      <c r="U5" s="961"/>
      <c r="V5" s="961"/>
      <c r="W5" s="961"/>
      <c r="X5" s="961"/>
      <c r="Y5" s="961"/>
      <c r="Z5" s="961"/>
      <c r="AA5" s="961"/>
      <c r="AB5" s="961"/>
      <c r="AC5" s="961"/>
      <c r="AD5" s="961"/>
      <c r="AE5" s="961"/>
      <c r="AF5" s="961"/>
      <c r="AG5" s="961"/>
      <c r="AH5" s="961"/>
      <c r="AI5" s="961"/>
      <c r="AJ5" s="961"/>
      <c r="AK5" s="961"/>
      <c r="AL5" s="961"/>
      <c r="AM5" s="961"/>
      <c r="AN5" s="961"/>
      <c r="AO5" s="961"/>
      <c r="AP5" s="961"/>
      <c r="AQ5" s="962"/>
      <c r="AR5" s="962"/>
      <c r="AS5" s="962"/>
      <c r="AT5" s="962"/>
      <c r="AU5" s="962"/>
      <c r="AV5" s="962"/>
      <c r="AW5" s="962"/>
      <c r="AX5" s="962"/>
      <c r="AY5" s="966">
        <f>'S 003'!AY5</f>
        <v>0</v>
      </c>
      <c r="AZ5" s="966"/>
      <c r="BA5" s="966"/>
      <c r="BB5" s="966"/>
      <c r="BC5" s="966"/>
      <c r="BD5" s="966"/>
      <c r="BE5" s="967" t="str">
        <f>'S 003'!BE5</f>
        <v>Brutto-časť 1</v>
      </c>
      <c r="BF5" s="967"/>
      <c r="BG5" s="967"/>
      <c r="BH5" s="967"/>
      <c r="BI5" s="967"/>
      <c r="BJ5" s="967"/>
      <c r="BK5" s="967"/>
      <c r="BL5" s="967"/>
      <c r="BM5" s="967"/>
      <c r="BN5" s="967"/>
      <c r="BO5" s="967"/>
      <c r="BP5" s="967"/>
      <c r="BQ5" s="967"/>
      <c r="BR5" s="967"/>
      <c r="BS5" s="967"/>
      <c r="BT5" s="967"/>
      <c r="BU5" s="967"/>
      <c r="BV5" s="967"/>
      <c r="BW5" s="967"/>
      <c r="BX5" s="967"/>
      <c r="BY5" s="967"/>
      <c r="BZ5" s="967"/>
      <c r="CA5" s="967"/>
      <c r="CB5" s="967"/>
      <c r="CC5" s="967"/>
      <c r="CD5" s="967"/>
      <c r="CE5" s="967"/>
      <c r="CF5" s="967"/>
      <c r="CG5" s="967"/>
      <c r="CH5" s="967"/>
      <c r="CI5" s="967"/>
      <c r="CJ5" s="967"/>
      <c r="CK5" s="967"/>
      <c r="CL5" s="967"/>
      <c r="CM5" s="967"/>
      <c r="CN5" s="967"/>
      <c r="CO5" s="967"/>
      <c r="CP5" s="967"/>
      <c r="CQ5" s="967"/>
      <c r="CR5" s="967"/>
      <c r="CS5" s="967"/>
      <c r="CT5" s="967"/>
      <c r="CU5" s="967"/>
      <c r="CV5" s="967"/>
      <c r="CW5" s="967"/>
      <c r="CX5" s="967"/>
      <c r="CY5" s="967"/>
      <c r="CZ5" s="967"/>
      <c r="DA5" s="967"/>
      <c r="DB5" s="967"/>
      <c r="DC5" s="967"/>
      <c r="DD5" s="967"/>
      <c r="DE5" s="967"/>
      <c r="DF5" s="967"/>
      <c r="DG5" s="967"/>
      <c r="DH5" s="967"/>
      <c r="DI5" s="967"/>
      <c r="DJ5" s="963" t="str">
        <f>'S 003'!DJ5</f>
        <v>Netto</v>
      </c>
      <c r="DK5" s="963"/>
      <c r="DL5" s="963"/>
      <c r="DM5" s="963"/>
      <c r="DN5" s="963"/>
      <c r="DO5" s="963"/>
      <c r="DP5" s="963"/>
      <c r="DQ5" s="963"/>
      <c r="DR5" s="963"/>
      <c r="DS5" s="963"/>
      <c r="DT5" s="963"/>
      <c r="DU5" s="963"/>
      <c r="DV5" s="963"/>
      <c r="DW5" s="963"/>
      <c r="DX5" s="963"/>
      <c r="DY5" s="963"/>
      <c r="DZ5" s="963"/>
      <c r="EA5" s="963"/>
      <c r="EB5" s="963"/>
      <c r="EC5" s="963"/>
      <c r="ED5" s="963"/>
      <c r="EE5" s="963"/>
      <c r="EF5" s="963"/>
      <c r="EG5" s="963"/>
      <c r="EH5" s="963"/>
      <c r="EI5" s="963"/>
      <c r="EJ5" s="963"/>
      <c r="EK5" s="963"/>
      <c r="EL5" s="963"/>
      <c r="EM5" s="963"/>
      <c r="EN5" s="963"/>
      <c r="EO5" s="963"/>
      <c r="EP5" s="963"/>
      <c r="EQ5" s="963"/>
      <c r="ER5" s="963"/>
      <c r="ES5" s="963"/>
      <c r="ET5" s="963"/>
      <c r="EU5" s="963"/>
      <c r="EV5" s="963"/>
      <c r="EW5" s="963"/>
      <c r="EX5" s="963"/>
      <c r="EY5" s="963"/>
      <c r="EZ5" s="963"/>
      <c r="FA5" s="963"/>
      <c r="FB5" s="963"/>
      <c r="FC5" s="987"/>
      <c r="FD5" s="987"/>
      <c r="FE5" s="987"/>
      <c r="FF5" s="987"/>
      <c r="FG5" s="987"/>
      <c r="FH5" s="987"/>
      <c r="FI5" s="987"/>
      <c r="FJ5" s="987"/>
      <c r="FK5" s="987"/>
      <c r="FL5" s="987"/>
      <c r="FM5" s="987"/>
      <c r="FN5" s="987"/>
      <c r="FO5" s="987"/>
      <c r="FP5" s="987"/>
      <c r="FQ5" s="987"/>
      <c r="FR5" s="987"/>
      <c r="FS5" s="987"/>
      <c r="FT5" s="987"/>
      <c r="FU5" s="987"/>
      <c r="FV5" s="987"/>
      <c r="FW5" s="987"/>
      <c r="FX5" s="987"/>
      <c r="FY5" s="987"/>
      <c r="FZ5" s="987"/>
      <c r="GA5" s="987"/>
      <c r="GB5" s="987"/>
      <c r="GC5" s="987"/>
      <c r="GD5" s="987"/>
      <c r="GE5" s="987"/>
      <c r="GF5" s="987"/>
      <c r="GG5" s="987"/>
      <c r="GH5" s="987"/>
      <c r="GI5" s="987"/>
      <c r="GJ5" s="987"/>
      <c r="GK5" s="987"/>
      <c r="GL5" s="987"/>
      <c r="GM5" s="987"/>
      <c r="GN5" s="987"/>
      <c r="GO5" s="987"/>
      <c r="GP5" s="987"/>
      <c r="GQ5" s="987"/>
      <c r="GR5" s="987"/>
      <c r="GS5" s="987"/>
      <c r="GT5" s="987"/>
      <c r="GU5" s="987"/>
      <c r="GV5" s="987"/>
      <c r="GW5" s="987"/>
    </row>
    <row r="6" spans="1:205" ht="10.5" customHeight="1" x14ac:dyDescent="0.3">
      <c r="B6" s="969" t="s">
        <v>1323</v>
      </c>
      <c r="C6" s="969"/>
      <c r="D6" s="969"/>
      <c r="E6" s="969"/>
      <c r="F6" s="969"/>
      <c r="G6" s="969"/>
      <c r="H6" s="969"/>
      <c r="I6" s="969"/>
      <c r="J6" s="969"/>
      <c r="K6" s="969"/>
      <c r="L6" s="961"/>
      <c r="M6" s="961"/>
      <c r="N6" s="961"/>
      <c r="O6" s="961"/>
      <c r="P6" s="961"/>
      <c r="Q6" s="961"/>
      <c r="R6" s="961"/>
      <c r="S6" s="961"/>
      <c r="T6" s="961"/>
      <c r="U6" s="961"/>
      <c r="V6" s="961"/>
      <c r="W6" s="961"/>
      <c r="X6" s="961"/>
      <c r="Y6" s="961"/>
      <c r="Z6" s="961"/>
      <c r="AA6" s="961"/>
      <c r="AB6" s="961"/>
      <c r="AC6" s="961"/>
      <c r="AD6" s="961"/>
      <c r="AE6" s="961"/>
      <c r="AF6" s="961"/>
      <c r="AG6" s="961"/>
      <c r="AH6" s="961"/>
      <c r="AI6" s="961"/>
      <c r="AJ6" s="961"/>
      <c r="AK6" s="961"/>
      <c r="AL6" s="961"/>
      <c r="AM6" s="961"/>
      <c r="AN6" s="961"/>
      <c r="AO6" s="961"/>
      <c r="AP6" s="961"/>
      <c r="AQ6" s="962"/>
      <c r="AR6" s="962"/>
      <c r="AS6" s="962"/>
      <c r="AT6" s="962"/>
      <c r="AU6" s="962"/>
      <c r="AV6" s="962"/>
      <c r="AW6" s="962"/>
      <c r="AX6" s="962"/>
      <c r="AY6" s="966"/>
      <c r="AZ6" s="966"/>
      <c r="BA6" s="966"/>
      <c r="BB6" s="966"/>
      <c r="BC6" s="966"/>
      <c r="BD6" s="966"/>
      <c r="BE6" s="970" t="str">
        <f>'S 003'!BE6</f>
        <v>Oprávky</v>
      </c>
      <c r="BF6" s="970"/>
      <c r="BG6" s="970"/>
      <c r="BH6" s="970"/>
      <c r="BI6" s="970"/>
      <c r="BJ6" s="970"/>
      <c r="BK6" s="970"/>
      <c r="BL6" s="970"/>
      <c r="BM6" s="970"/>
      <c r="BN6" s="970"/>
      <c r="BO6" s="970"/>
      <c r="BP6" s="970"/>
      <c r="BQ6" s="970"/>
      <c r="BR6" s="970"/>
      <c r="BS6" s="970"/>
      <c r="BT6" s="970"/>
      <c r="BU6" s="970"/>
      <c r="BV6" s="970"/>
      <c r="BW6" s="970"/>
      <c r="BX6" s="970"/>
      <c r="BY6" s="970"/>
      <c r="BZ6" s="970"/>
      <c r="CA6" s="970"/>
      <c r="CB6" s="970"/>
      <c r="CC6" s="970"/>
      <c r="CD6" s="970"/>
      <c r="CE6" s="970"/>
      <c r="CF6" s="970"/>
      <c r="CG6" s="970"/>
      <c r="CH6" s="970"/>
      <c r="CI6" s="970"/>
      <c r="CJ6" s="970"/>
      <c r="CK6" s="970"/>
      <c r="CL6" s="970"/>
      <c r="CM6" s="970"/>
      <c r="CN6" s="970"/>
      <c r="CO6" s="970"/>
      <c r="CP6" s="970"/>
      <c r="CQ6" s="970"/>
      <c r="CR6" s="970"/>
      <c r="CS6" s="970"/>
      <c r="CT6" s="970"/>
      <c r="CU6" s="970"/>
      <c r="CV6" s="970"/>
      <c r="CW6" s="970"/>
      <c r="CX6" s="970"/>
      <c r="CY6" s="970"/>
      <c r="CZ6" s="970"/>
      <c r="DA6" s="970"/>
      <c r="DB6" s="970"/>
      <c r="DC6" s="970"/>
      <c r="DD6" s="970"/>
      <c r="DE6" s="970"/>
      <c r="DF6" s="970"/>
      <c r="DG6" s="970"/>
      <c r="DH6" s="970"/>
      <c r="DI6" s="970"/>
      <c r="DJ6" s="963">
        <f>'S 003'!DJ6</f>
        <v>0</v>
      </c>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963"/>
      <c r="EU6" s="963"/>
      <c r="EV6" s="963"/>
      <c r="EW6" s="963"/>
      <c r="EX6" s="963"/>
      <c r="EY6" s="963"/>
      <c r="EZ6" s="963"/>
      <c r="FA6" s="963"/>
      <c r="FB6" s="963"/>
      <c r="FC6" s="988" t="str">
        <f>'S 003'!FC6</f>
        <v>Netto</v>
      </c>
      <c r="FD6" s="988"/>
      <c r="FE6" s="988"/>
      <c r="FF6" s="988"/>
      <c r="FG6" s="988"/>
      <c r="FH6" s="988"/>
      <c r="FI6" s="988"/>
      <c r="FJ6" s="988"/>
      <c r="FK6" s="988"/>
      <c r="FL6" s="988"/>
      <c r="FM6" s="988"/>
      <c r="FN6" s="988"/>
      <c r="FO6" s="988"/>
      <c r="FP6" s="988"/>
      <c r="FQ6" s="988"/>
      <c r="FR6" s="988"/>
      <c r="FS6" s="988"/>
      <c r="FT6" s="988"/>
      <c r="FU6" s="988"/>
      <c r="FV6" s="988"/>
      <c r="FW6" s="988"/>
      <c r="FX6" s="988"/>
      <c r="FY6" s="988"/>
      <c r="FZ6" s="988"/>
      <c r="GA6" s="988"/>
      <c r="GB6" s="988"/>
      <c r="GC6" s="988"/>
      <c r="GD6" s="988"/>
      <c r="GE6" s="988"/>
      <c r="GF6" s="988"/>
      <c r="GG6" s="988"/>
      <c r="GH6" s="988"/>
      <c r="GI6" s="988"/>
      <c r="GJ6" s="988"/>
      <c r="GK6" s="988"/>
      <c r="GL6" s="988"/>
      <c r="GM6" s="988"/>
      <c r="GN6" s="988"/>
      <c r="GO6" s="988"/>
      <c r="GP6" s="988"/>
      <c r="GQ6" s="988"/>
      <c r="GR6" s="988"/>
      <c r="GS6" s="988"/>
      <c r="GT6" s="988"/>
      <c r="GU6" s="988"/>
      <c r="GV6" s="988"/>
      <c r="GW6" s="988"/>
    </row>
    <row r="7" spans="1:205" s="650" customFormat="1" ht="25.5" customHeight="1" x14ac:dyDescent="0.3">
      <c r="B7" s="985" t="s">
        <v>2177</v>
      </c>
      <c r="C7" s="985"/>
      <c r="D7" s="985"/>
      <c r="E7" s="985"/>
      <c r="F7" s="985"/>
      <c r="G7" s="985"/>
      <c r="H7" s="985"/>
      <c r="I7" s="985"/>
      <c r="J7" s="985"/>
      <c r="K7" s="985"/>
      <c r="L7" s="990" t="str">
        <f>SUVAHAVUJ!$D$31</f>
        <v>Pôžičky a ostatný dlhodobý finančný majetok so zostatkovou dobou splatnosti najviac jeden rok (066A, 067A, 069A, 06XA) - /096A/</v>
      </c>
      <c r="M7" s="990"/>
      <c r="N7" s="990"/>
      <c r="O7" s="990"/>
      <c r="P7" s="990"/>
      <c r="Q7" s="990"/>
      <c r="R7" s="990"/>
      <c r="S7" s="990"/>
      <c r="T7" s="990"/>
      <c r="U7" s="990"/>
      <c r="V7" s="990"/>
      <c r="W7" s="990"/>
      <c r="X7" s="990"/>
      <c r="Y7" s="990"/>
      <c r="Z7" s="990"/>
      <c r="AA7" s="990"/>
      <c r="AB7" s="990"/>
      <c r="AC7" s="990"/>
      <c r="AD7" s="990"/>
      <c r="AE7" s="990"/>
      <c r="AF7" s="990"/>
      <c r="AG7" s="990"/>
      <c r="AH7" s="990"/>
      <c r="AI7" s="990"/>
      <c r="AJ7" s="990"/>
      <c r="AK7" s="990"/>
      <c r="AL7" s="990"/>
      <c r="AM7" s="990"/>
      <c r="AN7" s="990"/>
      <c r="AO7" s="990"/>
      <c r="AP7" s="990"/>
      <c r="AQ7" s="975" t="s">
        <v>1227</v>
      </c>
      <c r="AR7" s="975"/>
      <c r="AS7" s="975"/>
      <c r="AT7" s="975"/>
      <c r="AU7" s="975"/>
      <c r="AV7" s="975"/>
      <c r="AW7" s="975"/>
      <c r="AX7" s="975"/>
      <c r="AY7" s="648"/>
      <c r="AZ7" s="649"/>
      <c r="BA7" s="976" t="str">
        <f>MID(SUVAHAVUJ!AD31,1,1)</f>
        <v xml:space="preserve"> </v>
      </c>
      <c r="BB7" s="976"/>
      <c r="BC7" s="976"/>
      <c r="BD7" s="976"/>
      <c r="BE7" s="976"/>
      <c r="BF7" s="976"/>
      <c r="BG7" s="976" t="str">
        <f>MID(SUVAHAVUJ!AD31,2,1)</f>
        <v xml:space="preserve"> </v>
      </c>
      <c r="BH7" s="976"/>
      <c r="BI7" s="976"/>
      <c r="BJ7" s="976"/>
      <c r="BK7" s="976"/>
      <c r="BL7" s="976" t="str">
        <f>MID(SUVAHAVUJ!AD31,3,1)</f>
        <v xml:space="preserve"> </v>
      </c>
      <c r="BM7" s="976"/>
      <c r="BN7" s="976"/>
      <c r="BO7" s="976"/>
      <c r="BP7" s="976"/>
      <c r="BQ7" s="976"/>
      <c r="BR7" s="976" t="str">
        <f>MID(SUVAHAVUJ!AD31,4,1)</f>
        <v xml:space="preserve"> </v>
      </c>
      <c r="BS7" s="976"/>
      <c r="BT7" s="976"/>
      <c r="BU7" s="976"/>
      <c r="BV7" s="976"/>
      <c r="BW7" s="976" t="str">
        <f>MID(SUVAHAVUJ!AD31,5,1)</f>
        <v xml:space="preserve"> </v>
      </c>
      <c r="BX7" s="976"/>
      <c r="BY7" s="976"/>
      <c r="BZ7" s="976"/>
      <c r="CA7" s="976"/>
      <c r="CB7" s="976"/>
      <c r="CC7" s="976" t="str">
        <f>MID(SUVAHAVUJ!AD31,6,1)</f>
        <v xml:space="preserve"> </v>
      </c>
      <c r="CD7" s="976"/>
      <c r="CE7" s="976"/>
      <c r="CF7" s="976"/>
      <c r="CG7" s="976"/>
      <c r="CH7" s="976" t="str">
        <f>MID(SUVAHAVUJ!AD31,7,1)</f>
        <v xml:space="preserve"> </v>
      </c>
      <c r="CI7" s="976"/>
      <c r="CJ7" s="976"/>
      <c r="CK7" s="976"/>
      <c r="CL7" s="976"/>
      <c r="CM7" s="976"/>
      <c r="CN7" s="976" t="str">
        <f>MID(SUVAHAVUJ!AD31,8,1)</f>
        <v xml:space="preserve"> </v>
      </c>
      <c r="CO7" s="976"/>
      <c r="CP7" s="976"/>
      <c r="CQ7" s="976"/>
      <c r="CR7" s="976"/>
      <c r="CS7" s="976" t="str">
        <f>MID(SUVAHAVUJ!AD31,9,1)</f>
        <v xml:space="preserve"> </v>
      </c>
      <c r="CT7" s="976"/>
      <c r="CU7" s="976"/>
      <c r="CV7" s="976"/>
      <c r="CW7" s="976"/>
      <c r="CX7" s="976"/>
      <c r="CY7" s="976" t="str">
        <f>MID(SUVAHAVUJ!AD31,10,1)</f>
        <v xml:space="preserve"> </v>
      </c>
      <c r="CZ7" s="976"/>
      <c r="DA7" s="976"/>
      <c r="DB7" s="976"/>
      <c r="DC7" s="976"/>
      <c r="DD7" s="977" t="str">
        <f>MID(SUVAHAVUJ!AD31,11,1)</f>
        <v>0</v>
      </c>
      <c r="DE7" s="977"/>
      <c r="DF7" s="977"/>
      <c r="DG7" s="977"/>
      <c r="DH7" s="977"/>
      <c r="DI7" s="977"/>
      <c r="DJ7" s="648"/>
      <c r="DK7" s="649"/>
      <c r="DL7" s="976" t="str">
        <f>MID(SUVAHAVUJ!AF31,1,1)</f>
        <v xml:space="preserve"> </v>
      </c>
      <c r="DM7" s="976"/>
      <c r="DN7" s="976"/>
      <c r="DO7" s="976"/>
      <c r="DP7" s="976"/>
      <c r="DQ7" s="976"/>
      <c r="DR7" s="976" t="str">
        <f>MID(SUVAHAVUJ!AF31,2,1)</f>
        <v xml:space="preserve"> </v>
      </c>
      <c r="DS7" s="976"/>
      <c r="DT7" s="976"/>
      <c r="DU7" s="976"/>
      <c r="DV7" s="976"/>
      <c r="DW7" s="976" t="str">
        <f>MID(SUVAHAVUJ!AF31,3,1)</f>
        <v xml:space="preserve"> </v>
      </c>
      <c r="DX7" s="976"/>
      <c r="DY7" s="976"/>
      <c r="DZ7" s="976"/>
      <c r="EA7" s="976"/>
      <c r="EB7" s="976"/>
      <c r="EC7" s="976" t="str">
        <f>MID(SUVAHAVUJ!AF31,4,1)</f>
        <v xml:space="preserve"> </v>
      </c>
      <c r="ED7" s="976"/>
      <c r="EE7" s="976"/>
      <c r="EF7" s="976"/>
      <c r="EG7" s="976"/>
      <c r="EH7" s="976" t="str">
        <f>MID(SUVAHAVUJ!AF31,5,1)</f>
        <v xml:space="preserve"> </v>
      </c>
      <c r="EI7" s="976"/>
      <c r="EJ7" s="976"/>
      <c r="EK7" s="976"/>
      <c r="EL7" s="976"/>
      <c r="EM7" s="976"/>
      <c r="EN7" s="976" t="str">
        <f>MID(SUVAHAVUJ!AF31,6,1)</f>
        <v xml:space="preserve"> </v>
      </c>
      <c r="EO7" s="976"/>
      <c r="EP7" s="976"/>
      <c r="EQ7" s="976"/>
      <c r="ER7" s="976"/>
      <c r="ES7" s="976" t="str">
        <f>MID(SUVAHAVUJ!AF31,7,1)</f>
        <v xml:space="preserve"> </v>
      </c>
      <c r="ET7" s="976"/>
      <c r="EU7" s="976"/>
      <c r="EV7" s="976"/>
      <c r="EW7" s="976"/>
      <c r="EX7" s="976"/>
      <c r="EY7" s="976" t="str">
        <f>MID(SUVAHAVUJ!AF31,8,1)</f>
        <v xml:space="preserve"> </v>
      </c>
      <c r="EZ7" s="976"/>
      <c r="FA7" s="976"/>
      <c r="FB7" s="976"/>
      <c r="FC7" s="976"/>
      <c r="FD7" s="976" t="str">
        <f>MID(SUVAHAVUJ!AF31,9,1)</f>
        <v xml:space="preserve"> </v>
      </c>
      <c r="FE7" s="976"/>
      <c r="FF7" s="976"/>
      <c r="FG7" s="976"/>
      <c r="FH7" s="976"/>
      <c r="FI7" s="976"/>
      <c r="FJ7" s="976" t="str">
        <f>MID(SUVAHAVUJ!AF31,10,1)</f>
        <v xml:space="preserve"> </v>
      </c>
      <c r="FK7" s="976"/>
      <c r="FL7" s="976"/>
      <c r="FM7" s="976"/>
      <c r="FN7" s="976"/>
      <c r="FO7" s="978" t="str">
        <f>MID(SUVAHAVUJ!AF31,11,1)</f>
        <v>0</v>
      </c>
      <c r="FP7" s="978"/>
      <c r="FQ7" s="978"/>
      <c r="FR7" s="978"/>
      <c r="FS7" s="978"/>
      <c r="FT7" s="979"/>
      <c r="FU7" s="979"/>
      <c r="FV7" s="979"/>
      <c r="FW7" s="979"/>
      <c r="FX7" s="979"/>
      <c r="FY7" s="979"/>
      <c r="FZ7" s="979"/>
      <c r="GA7" s="979"/>
      <c r="GB7" s="979"/>
      <c r="GC7" s="979"/>
      <c r="GD7" s="979"/>
      <c r="GE7" s="979"/>
      <c r="GF7" s="979"/>
      <c r="GG7" s="979"/>
      <c r="GH7" s="979"/>
      <c r="GI7" s="979"/>
      <c r="GJ7" s="979"/>
      <c r="GK7" s="979"/>
      <c r="GL7" s="979"/>
      <c r="GM7" s="979"/>
      <c r="GN7" s="979"/>
      <c r="GO7" s="979"/>
      <c r="GP7" s="979"/>
      <c r="GQ7" s="979"/>
      <c r="GR7" s="979"/>
      <c r="GS7" s="979"/>
      <c r="GT7" s="979"/>
      <c r="GU7" s="979"/>
      <c r="GV7" s="979"/>
      <c r="GW7" s="979"/>
    </row>
    <row r="8" spans="1:205" ht="22.5" customHeight="1" x14ac:dyDescent="0.3">
      <c r="B8" s="985"/>
      <c r="C8" s="985"/>
      <c r="D8" s="985"/>
      <c r="E8" s="985"/>
      <c r="F8" s="985"/>
      <c r="G8" s="985"/>
      <c r="H8" s="985"/>
      <c r="I8" s="985"/>
      <c r="J8" s="985"/>
      <c r="K8" s="985"/>
      <c r="L8" s="990"/>
      <c r="M8" s="990"/>
      <c r="N8" s="990"/>
      <c r="O8" s="990"/>
      <c r="P8" s="990"/>
      <c r="Q8" s="990"/>
      <c r="R8" s="990"/>
      <c r="S8" s="990"/>
      <c r="T8" s="990"/>
      <c r="U8" s="990"/>
      <c r="V8" s="990"/>
      <c r="W8" s="990"/>
      <c r="X8" s="990"/>
      <c r="Y8" s="990"/>
      <c r="Z8" s="990"/>
      <c r="AA8" s="990"/>
      <c r="AB8" s="990"/>
      <c r="AC8" s="990"/>
      <c r="AD8" s="990"/>
      <c r="AE8" s="990"/>
      <c r="AF8" s="990"/>
      <c r="AG8" s="990"/>
      <c r="AH8" s="990"/>
      <c r="AI8" s="990"/>
      <c r="AJ8" s="990"/>
      <c r="AK8" s="990"/>
      <c r="AL8" s="990"/>
      <c r="AM8" s="990"/>
      <c r="AN8" s="990"/>
      <c r="AO8" s="990"/>
      <c r="AP8" s="990"/>
      <c r="AQ8" s="975"/>
      <c r="AR8" s="975"/>
      <c r="AS8" s="975"/>
      <c r="AT8" s="975"/>
      <c r="AU8" s="975"/>
      <c r="AV8" s="975"/>
      <c r="AW8" s="975"/>
      <c r="AX8" s="975"/>
      <c r="AY8" s="648"/>
      <c r="AZ8" s="649"/>
      <c r="BA8" s="976" t="str">
        <f>MID(SUVAHAVUJ!AE31,1,1)</f>
        <v xml:space="preserve"> </v>
      </c>
      <c r="BB8" s="976"/>
      <c r="BC8" s="976"/>
      <c r="BD8" s="976"/>
      <c r="BE8" s="976"/>
      <c r="BF8" s="976"/>
      <c r="BG8" s="976" t="str">
        <f>MID(SUVAHAVUJ!AE31,2,1)</f>
        <v xml:space="preserve"> </v>
      </c>
      <c r="BH8" s="976"/>
      <c r="BI8" s="976"/>
      <c r="BJ8" s="976"/>
      <c r="BK8" s="976"/>
      <c r="BL8" s="976" t="str">
        <f>MID(SUVAHAVUJ!AE31,3,1)</f>
        <v xml:space="preserve"> </v>
      </c>
      <c r="BM8" s="976"/>
      <c r="BN8" s="976"/>
      <c r="BO8" s="976"/>
      <c r="BP8" s="976"/>
      <c r="BQ8" s="976"/>
      <c r="BR8" s="976" t="str">
        <f>MID(SUVAHAVUJ!AE31,4,1)</f>
        <v xml:space="preserve"> </v>
      </c>
      <c r="BS8" s="976"/>
      <c r="BT8" s="976"/>
      <c r="BU8" s="976"/>
      <c r="BV8" s="976"/>
      <c r="BW8" s="976" t="str">
        <f>MID(SUVAHAVUJ!AE31,5,1)</f>
        <v xml:space="preserve"> </v>
      </c>
      <c r="BX8" s="976"/>
      <c r="BY8" s="976"/>
      <c r="BZ8" s="976"/>
      <c r="CA8" s="976"/>
      <c r="CB8" s="976"/>
      <c r="CC8" s="976" t="str">
        <f>MID(SUVAHAVUJ!AE31,6,1)</f>
        <v xml:space="preserve"> </v>
      </c>
      <c r="CD8" s="976"/>
      <c r="CE8" s="976"/>
      <c r="CF8" s="976"/>
      <c r="CG8" s="976"/>
      <c r="CH8" s="976" t="str">
        <f>MID(SUVAHAVUJ!AE31,7,1)</f>
        <v xml:space="preserve"> </v>
      </c>
      <c r="CI8" s="976"/>
      <c r="CJ8" s="976"/>
      <c r="CK8" s="976"/>
      <c r="CL8" s="976"/>
      <c r="CM8" s="976"/>
      <c r="CN8" s="976" t="str">
        <f>MID(SUVAHAVUJ!AE31,8,1)</f>
        <v xml:space="preserve"> </v>
      </c>
      <c r="CO8" s="976"/>
      <c r="CP8" s="976"/>
      <c r="CQ8" s="976"/>
      <c r="CR8" s="976"/>
      <c r="CS8" s="976" t="str">
        <f>MID(SUVAHAVUJ!AE31,9,1)</f>
        <v xml:space="preserve"> </v>
      </c>
      <c r="CT8" s="976"/>
      <c r="CU8" s="976"/>
      <c r="CV8" s="976"/>
      <c r="CW8" s="976"/>
      <c r="CX8" s="976"/>
      <c r="CY8" s="976" t="str">
        <f>MID(SUVAHAVUJ!AE31,10,1)</f>
        <v xml:space="preserve"> </v>
      </c>
      <c r="CZ8" s="976"/>
      <c r="DA8" s="976"/>
      <c r="DB8" s="976"/>
      <c r="DC8" s="976"/>
      <c r="DD8" s="977" t="str">
        <f>MID(SUVAHAVUJ!AE31,11,1)</f>
        <v>0</v>
      </c>
      <c r="DE8" s="977"/>
      <c r="DF8" s="977"/>
      <c r="DG8" s="977"/>
      <c r="DH8" s="977"/>
      <c r="DI8" s="977"/>
      <c r="DJ8" s="980"/>
      <c r="DK8" s="980"/>
      <c r="DL8" s="980"/>
      <c r="DM8" s="980"/>
      <c r="DN8" s="980"/>
      <c r="DO8" s="980"/>
      <c r="DP8" s="980"/>
      <c r="DQ8" s="980"/>
      <c r="DR8" s="980"/>
      <c r="DS8" s="980"/>
      <c r="DT8" s="980"/>
      <c r="DU8" s="980"/>
      <c r="DV8" s="980"/>
      <c r="DW8" s="980"/>
      <c r="DX8" s="980"/>
      <c r="DY8" s="980"/>
      <c r="DZ8" s="980"/>
      <c r="EA8" s="980"/>
      <c r="EB8" s="980"/>
      <c r="EC8" s="980"/>
      <c r="ED8" s="980"/>
      <c r="EE8" s="980"/>
      <c r="EF8" s="980"/>
      <c r="EG8" s="980"/>
      <c r="EH8" s="980"/>
      <c r="EI8" s="980"/>
      <c r="EJ8" s="980"/>
      <c r="EK8" s="980"/>
      <c r="EL8" s="980"/>
      <c r="EM8" s="980"/>
      <c r="EN8" s="648"/>
      <c r="EO8" s="649"/>
      <c r="EP8" s="976" t="str">
        <f>MID(SUVAHAVUJ!AG31,1,1)</f>
        <v xml:space="preserve"> </v>
      </c>
      <c r="EQ8" s="976"/>
      <c r="ER8" s="976"/>
      <c r="ES8" s="976"/>
      <c r="ET8" s="976"/>
      <c r="EU8" s="976"/>
      <c r="EV8" s="976" t="str">
        <f>MID(SUVAHAVUJ!AG31,2,1)</f>
        <v xml:space="preserve"> </v>
      </c>
      <c r="EW8" s="976"/>
      <c r="EX8" s="976"/>
      <c r="EY8" s="976"/>
      <c r="EZ8" s="976"/>
      <c r="FA8" s="976" t="str">
        <f>MID(SUVAHAVUJ!AG31,3,1)</f>
        <v xml:space="preserve"> </v>
      </c>
      <c r="FB8" s="976"/>
      <c r="FC8" s="976"/>
      <c r="FD8" s="976"/>
      <c r="FE8" s="976"/>
      <c r="FF8" s="976"/>
      <c r="FG8" s="976" t="str">
        <f>MID(SUVAHAVUJ!AG31,4,1)</f>
        <v xml:space="preserve"> </v>
      </c>
      <c r="FH8" s="976"/>
      <c r="FI8" s="976"/>
      <c r="FJ8" s="976"/>
      <c r="FK8" s="976"/>
      <c r="FL8" s="976" t="str">
        <f>MID(SUVAHAVUJ!AG31,5,1)</f>
        <v xml:space="preserve"> </v>
      </c>
      <c r="FM8" s="976"/>
      <c r="FN8" s="976"/>
      <c r="FO8" s="976"/>
      <c r="FP8" s="976"/>
      <c r="FQ8" s="976"/>
      <c r="FR8" s="976" t="str">
        <f>MID(SUVAHAVUJ!AG31,6,1)</f>
        <v xml:space="preserve"> </v>
      </c>
      <c r="FS8" s="976"/>
      <c r="FT8" s="976"/>
      <c r="FU8" s="976"/>
      <c r="FV8" s="976"/>
      <c r="FW8" s="976" t="str">
        <f>MID(SUVAHAVUJ!AG31,7,1)</f>
        <v xml:space="preserve"> </v>
      </c>
      <c r="FX8" s="976"/>
      <c r="FY8" s="976"/>
      <c r="FZ8" s="976"/>
      <c r="GA8" s="976"/>
      <c r="GB8" s="976"/>
      <c r="GC8" s="976" t="str">
        <f>MID(SUVAHAVUJ!AG31,8,1)</f>
        <v xml:space="preserve"> </v>
      </c>
      <c r="GD8" s="976"/>
      <c r="GE8" s="976"/>
      <c r="GF8" s="976"/>
      <c r="GG8" s="976"/>
      <c r="GH8" s="976" t="str">
        <f>MID(SUVAHAVUJ!AG31,9,1)</f>
        <v xml:space="preserve"> </v>
      </c>
      <c r="GI8" s="976"/>
      <c r="GJ8" s="976"/>
      <c r="GK8" s="976"/>
      <c r="GL8" s="976"/>
      <c r="GM8" s="976"/>
      <c r="GN8" s="976" t="str">
        <f>MID(SUVAHAVUJ!AG31,10,1)</f>
        <v xml:space="preserve"> </v>
      </c>
      <c r="GO8" s="976"/>
      <c r="GP8" s="976"/>
      <c r="GQ8" s="976"/>
      <c r="GR8" s="976"/>
      <c r="GS8" s="978" t="str">
        <f>MID(SUVAHAVUJ!AG31,11,1)</f>
        <v>0</v>
      </c>
      <c r="GT8" s="978"/>
      <c r="GU8" s="978"/>
      <c r="GV8" s="978"/>
      <c r="GW8" s="978"/>
    </row>
    <row r="9" spans="1:205" s="650" customFormat="1" ht="25.5" customHeight="1" x14ac:dyDescent="0.3">
      <c r="B9" s="985" t="s">
        <v>2178</v>
      </c>
      <c r="C9" s="985"/>
      <c r="D9" s="985"/>
      <c r="E9" s="985"/>
      <c r="F9" s="985"/>
      <c r="G9" s="985"/>
      <c r="H9" s="985"/>
      <c r="I9" s="985"/>
      <c r="J9" s="985"/>
      <c r="K9" s="985"/>
      <c r="L9" s="990" t="str">
        <f>SUVAHAVUJ!$D$32</f>
        <v>Účty v bankách s dobou viazanosti dlhšou ako jeden rok (22XA)</v>
      </c>
      <c r="M9" s="990"/>
      <c r="N9" s="990"/>
      <c r="O9" s="990"/>
      <c r="P9" s="990"/>
      <c r="Q9" s="990"/>
      <c r="R9" s="990"/>
      <c r="S9" s="990"/>
      <c r="T9" s="990"/>
      <c r="U9" s="990"/>
      <c r="V9" s="990"/>
      <c r="W9" s="990"/>
      <c r="X9" s="990"/>
      <c r="Y9" s="990"/>
      <c r="Z9" s="990"/>
      <c r="AA9" s="990"/>
      <c r="AB9" s="990"/>
      <c r="AC9" s="990"/>
      <c r="AD9" s="990"/>
      <c r="AE9" s="990"/>
      <c r="AF9" s="990"/>
      <c r="AG9" s="990"/>
      <c r="AH9" s="990"/>
      <c r="AI9" s="990"/>
      <c r="AJ9" s="990"/>
      <c r="AK9" s="990"/>
      <c r="AL9" s="990"/>
      <c r="AM9" s="990"/>
      <c r="AN9" s="990"/>
      <c r="AO9" s="990"/>
      <c r="AP9" s="990"/>
      <c r="AQ9" s="975" t="s">
        <v>1260</v>
      </c>
      <c r="AR9" s="975"/>
      <c r="AS9" s="975"/>
      <c r="AT9" s="975"/>
      <c r="AU9" s="975"/>
      <c r="AV9" s="975"/>
      <c r="AW9" s="975"/>
      <c r="AX9" s="975"/>
      <c r="AY9" s="648"/>
      <c r="AZ9" s="649"/>
      <c r="BA9" s="976" t="str">
        <f>MID(SUVAHAVUJ!AD32,1,1)</f>
        <v xml:space="preserve"> </v>
      </c>
      <c r="BB9" s="976"/>
      <c r="BC9" s="976"/>
      <c r="BD9" s="976"/>
      <c r="BE9" s="976"/>
      <c r="BF9" s="976"/>
      <c r="BG9" s="976" t="str">
        <f>MID(SUVAHAVUJ!AD32,2,1)</f>
        <v xml:space="preserve"> </v>
      </c>
      <c r="BH9" s="976"/>
      <c r="BI9" s="976"/>
      <c r="BJ9" s="976"/>
      <c r="BK9" s="976"/>
      <c r="BL9" s="976" t="str">
        <f>MID(SUVAHAVUJ!AD32,3,1)</f>
        <v xml:space="preserve"> </v>
      </c>
      <c r="BM9" s="976"/>
      <c r="BN9" s="976"/>
      <c r="BO9" s="976"/>
      <c r="BP9" s="976"/>
      <c r="BQ9" s="976"/>
      <c r="BR9" s="976" t="str">
        <f>MID(SUVAHAVUJ!AD32,4,1)</f>
        <v xml:space="preserve"> </v>
      </c>
      <c r="BS9" s="976"/>
      <c r="BT9" s="976"/>
      <c r="BU9" s="976"/>
      <c r="BV9" s="976"/>
      <c r="BW9" s="976" t="str">
        <f>MID(SUVAHAVUJ!AD32,5,1)</f>
        <v xml:space="preserve"> </v>
      </c>
      <c r="BX9" s="976"/>
      <c r="BY9" s="976"/>
      <c r="BZ9" s="976"/>
      <c r="CA9" s="976"/>
      <c r="CB9" s="976"/>
      <c r="CC9" s="976" t="str">
        <f>MID(SUVAHAVUJ!AD32,6,1)</f>
        <v xml:space="preserve"> </v>
      </c>
      <c r="CD9" s="976"/>
      <c r="CE9" s="976"/>
      <c r="CF9" s="976"/>
      <c r="CG9" s="976"/>
      <c r="CH9" s="976" t="str">
        <f>MID(SUVAHAVUJ!AD32,7,1)</f>
        <v xml:space="preserve"> </v>
      </c>
      <c r="CI9" s="976"/>
      <c r="CJ9" s="976"/>
      <c r="CK9" s="976"/>
      <c r="CL9" s="976"/>
      <c r="CM9" s="976"/>
      <c r="CN9" s="976" t="str">
        <f>MID(SUVAHAVUJ!AD32,8,1)</f>
        <v xml:space="preserve"> </v>
      </c>
      <c r="CO9" s="976"/>
      <c r="CP9" s="976"/>
      <c r="CQ9" s="976"/>
      <c r="CR9" s="976"/>
      <c r="CS9" s="976" t="str">
        <f>MID(SUVAHAVUJ!AD32,9,1)</f>
        <v xml:space="preserve"> </v>
      </c>
      <c r="CT9" s="976"/>
      <c r="CU9" s="976"/>
      <c r="CV9" s="976"/>
      <c r="CW9" s="976"/>
      <c r="CX9" s="976"/>
      <c r="CY9" s="976" t="str">
        <f>MID(SUVAHAVUJ!AD32,10,1)</f>
        <v xml:space="preserve"> </v>
      </c>
      <c r="CZ9" s="976"/>
      <c r="DA9" s="976"/>
      <c r="DB9" s="976"/>
      <c r="DC9" s="976"/>
      <c r="DD9" s="977" t="str">
        <f>MID(SUVAHAVUJ!AD32,11,1)</f>
        <v>0</v>
      </c>
      <c r="DE9" s="977"/>
      <c r="DF9" s="977"/>
      <c r="DG9" s="977"/>
      <c r="DH9" s="977"/>
      <c r="DI9" s="977"/>
      <c r="DJ9" s="648"/>
      <c r="DK9" s="649"/>
      <c r="DL9" s="976" t="str">
        <f>MID(SUVAHAVUJ!AF32,1,1)</f>
        <v xml:space="preserve"> </v>
      </c>
      <c r="DM9" s="976"/>
      <c r="DN9" s="976"/>
      <c r="DO9" s="976"/>
      <c r="DP9" s="976"/>
      <c r="DQ9" s="976"/>
      <c r="DR9" s="976" t="str">
        <f>MID(SUVAHAVUJ!AF32,2,1)</f>
        <v xml:space="preserve"> </v>
      </c>
      <c r="DS9" s="976"/>
      <c r="DT9" s="976"/>
      <c r="DU9" s="976"/>
      <c r="DV9" s="976"/>
      <c r="DW9" s="976" t="str">
        <f>MID(SUVAHAVUJ!AF32,3,1)</f>
        <v xml:space="preserve"> </v>
      </c>
      <c r="DX9" s="976"/>
      <c r="DY9" s="976"/>
      <c r="DZ9" s="976"/>
      <c r="EA9" s="976"/>
      <c r="EB9" s="976"/>
      <c r="EC9" s="976" t="str">
        <f>MID(SUVAHAVUJ!AF32,4,1)</f>
        <v xml:space="preserve"> </v>
      </c>
      <c r="ED9" s="976"/>
      <c r="EE9" s="976"/>
      <c r="EF9" s="976"/>
      <c r="EG9" s="976"/>
      <c r="EH9" s="976" t="str">
        <f>MID(SUVAHAVUJ!AF32,5,1)</f>
        <v xml:space="preserve"> </v>
      </c>
      <c r="EI9" s="976"/>
      <c r="EJ9" s="976"/>
      <c r="EK9" s="976"/>
      <c r="EL9" s="976"/>
      <c r="EM9" s="976"/>
      <c r="EN9" s="976" t="str">
        <f>MID(SUVAHAVUJ!AF32,6,1)</f>
        <v xml:space="preserve"> </v>
      </c>
      <c r="EO9" s="976"/>
      <c r="EP9" s="976"/>
      <c r="EQ9" s="976"/>
      <c r="ER9" s="976"/>
      <c r="ES9" s="976" t="str">
        <f>MID(SUVAHAVUJ!AF32,7,1)</f>
        <v xml:space="preserve"> </v>
      </c>
      <c r="ET9" s="976"/>
      <c r="EU9" s="976"/>
      <c r="EV9" s="976"/>
      <c r="EW9" s="976"/>
      <c r="EX9" s="976"/>
      <c r="EY9" s="976" t="str">
        <f>MID(SUVAHAVUJ!AF32,8,1)</f>
        <v xml:space="preserve"> </v>
      </c>
      <c r="EZ9" s="976"/>
      <c r="FA9" s="976"/>
      <c r="FB9" s="976"/>
      <c r="FC9" s="976"/>
      <c r="FD9" s="976" t="str">
        <f>MID(SUVAHAVUJ!AF32,9,1)</f>
        <v xml:space="preserve"> </v>
      </c>
      <c r="FE9" s="976"/>
      <c r="FF9" s="976"/>
      <c r="FG9" s="976"/>
      <c r="FH9" s="976"/>
      <c r="FI9" s="976"/>
      <c r="FJ9" s="976" t="str">
        <f>MID(SUVAHAVUJ!AF32,10,1)</f>
        <v xml:space="preserve"> </v>
      </c>
      <c r="FK9" s="976"/>
      <c r="FL9" s="976"/>
      <c r="FM9" s="976"/>
      <c r="FN9" s="976"/>
      <c r="FO9" s="978" t="str">
        <f>MID(SUVAHAVUJ!AF32,11,1)</f>
        <v>0</v>
      </c>
      <c r="FP9" s="978"/>
      <c r="FQ9" s="978"/>
      <c r="FR9" s="978"/>
      <c r="FS9" s="978"/>
      <c r="FT9" s="979"/>
      <c r="FU9" s="979"/>
      <c r="FV9" s="979"/>
      <c r="FW9" s="979"/>
      <c r="FX9" s="979"/>
      <c r="FY9" s="979"/>
      <c r="FZ9" s="979"/>
      <c r="GA9" s="979"/>
      <c r="GB9" s="979"/>
      <c r="GC9" s="979"/>
      <c r="GD9" s="979"/>
      <c r="GE9" s="979"/>
      <c r="GF9" s="979"/>
      <c r="GG9" s="979"/>
      <c r="GH9" s="979"/>
      <c r="GI9" s="979"/>
      <c r="GJ9" s="979"/>
      <c r="GK9" s="979"/>
      <c r="GL9" s="979"/>
      <c r="GM9" s="979"/>
      <c r="GN9" s="979"/>
      <c r="GO9" s="979"/>
      <c r="GP9" s="979"/>
      <c r="GQ9" s="979"/>
      <c r="GR9" s="979"/>
      <c r="GS9" s="979"/>
      <c r="GT9" s="979"/>
      <c r="GU9" s="979"/>
      <c r="GV9" s="979"/>
      <c r="GW9" s="979"/>
    </row>
    <row r="10" spans="1:205" ht="21" customHeight="1" x14ac:dyDescent="0.3">
      <c r="B10" s="985"/>
      <c r="C10" s="985"/>
      <c r="D10" s="985"/>
      <c r="E10" s="985"/>
      <c r="F10" s="985"/>
      <c r="G10" s="985"/>
      <c r="H10" s="985"/>
      <c r="I10" s="985"/>
      <c r="J10" s="985"/>
      <c r="K10" s="985"/>
      <c r="L10" s="990"/>
      <c r="M10" s="990"/>
      <c r="N10" s="990"/>
      <c r="O10" s="990"/>
      <c r="P10" s="990"/>
      <c r="Q10" s="990"/>
      <c r="R10" s="990"/>
      <c r="S10" s="990"/>
      <c r="T10" s="990"/>
      <c r="U10" s="990"/>
      <c r="V10" s="990"/>
      <c r="W10" s="990"/>
      <c r="X10" s="990"/>
      <c r="Y10" s="990"/>
      <c r="Z10" s="990"/>
      <c r="AA10" s="990"/>
      <c r="AB10" s="990"/>
      <c r="AC10" s="990"/>
      <c r="AD10" s="990"/>
      <c r="AE10" s="990"/>
      <c r="AF10" s="990"/>
      <c r="AG10" s="990"/>
      <c r="AH10" s="990"/>
      <c r="AI10" s="990"/>
      <c r="AJ10" s="990"/>
      <c r="AK10" s="990"/>
      <c r="AL10" s="990"/>
      <c r="AM10" s="990"/>
      <c r="AN10" s="990"/>
      <c r="AO10" s="990"/>
      <c r="AP10" s="990"/>
      <c r="AQ10" s="975"/>
      <c r="AR10" s="975"/>
      <c r="AS10" s="975"/>
      <c r="AT10" s="975"/>
      <c r="AU10" s="975"/>
      <c r="AV10" s="975"/>
      <c r="AW10" s="975"/>
      <c r="AX10" s="975"/>
      <c r="AY10" s="648"/>
      <c r="AZ10" s="649"/>
      <c r="BA10" s="976" t="str">
        <f>MID(SUVAHAVUJ!AE32,1,1)</f>
        <v xml:space="preserve"> </v>
      </c>
      <c r="BB10" s="976"/>
      <c r="BC10" s="976"/>
      <c r="BD10" s="976"/>
      <c r="BE10" s="976"/>
      <c r="BF10" s="976"/>
      <c r="BG10" s="976" t="str">
        <f>MID(SUVAHAVUJ!AE32,2,1)</f>
        <v xml:space="preserve"> </v>
      </c>
      <c r="BH10" s="976"/>
      <c r="BI10" s="976"/>
      <c r="BJ10" s="976"/>
      <c r="BK10" s="976"/>
      <c r="BL10" s="976" t="str">
        <f>MID(SUVAHAVUJ!AE32,3,1)</f>
        <v xml:space="preserve"> </v>
      </c>
      <c r="BM10" s="976"/>
      <c r="BN10" s="976"/>
      <c r="BO10" s="976"/>
      <c r="BP10" s="976"/>
      <c r="BQ10" s="976"/>
      <c r="BR10" s="976" t="str">
        <f>MID(SUVAHAVUJ!AE32,4,1)</f>
        <v xml:space="preserve"> </v>
      </c>
      <c r="BS10" s="976"/>
      <c r="BT10" s="976"/>
      <c r="BU10" s="976"/>
      <c r="BV10" s="976"/>
      <c r="BW10" s="976" t="str">
        <f>MID(SUVAHAVUJ!AE32,5,1)</f>
        <v xml:space="preserve"> </v>
      </c>
      <c r="BX10" s="976"/>
      <c r="BY10" s="976"/>
      <c r="BZ10" s="976"/>
      <c r="CA10" s="976"/>
      <c r="CB10" s="976"/>
      <c r="CC10" s="976" t="str">
        <f>MID(SUVAHAVUJ!AE32,6,1)</f>
        <v xml:space="preserve"> </v>
      </c>
      <c r="CD10" s="976"/>
      <c r="CE10" s="976"/>
      <c r="CF10" s="976"/>
      <c r="CG10" s="976"/>
      <c r="CH10" s="976" t="str">
        <f>MID(SUVAHAVUJ!AE32,7,1)</f>
        <v xml:space="preserve"> </v>
      </c>
      <c r="CI10" s="976"/>
      <c r="CJ10" s="976"/>
      <c r="CK10" s="976"/>
      <c r="CL10" s="976"/>
      <c r="CM10" s="976"/>
      <c r="CN10" s="976" t="str">
        <f>MID(SUVAHAVUJ!AE32,8,1)</f>
        <v xml:space="preserve"> </v>
      </c>
      <c r="CO10" s="976"/>
      <c r="CP10" s="976"/>
      <c r="CQ10" s="976"/>
      <c r="CR10" s="976"/>
      <c r="CS10" s="976" t="str">
        <f>MID(SUVAHAVUJ!AE32,9,1)</f>
        <v xml:space="preserve"> </v>
      </c>
      <c r="CT10" s="976"/>
      <c r="CU10" s="976"/>
      <c r="CV10" s="976"/>
      <c r="CW10" s="976"/>
      <c r="CX10" s="976"/>
      <c r="CY10" s="976" t="str">
        <f>MID(SUVAHAVUJ!AE32,10,1)</f>
        <v xml:space="preserve"> </v>
      </c>
      <c r="CZ10" s="976"/>
      <c r="DA10" s="976"/>
      <c r="DB10" s="976"/>
      <c r="DC10" s="976"/>
      <c r="DD10" s="977" t="str">
        <f>MID(SUVAHAVUJ!AE32,11,1)</f>
        <v>0</v>
      </c>
      <c r="DE10" s="977"/>
      <c r="DF10" s="977"/>
      <c r="DG10" s="977"/>
      <c r="DH10" s="977"/>
      <c r="DI10" s="977"/>
      <c r="DJ10" s="980"/>
      <c r="DK10" s="980"/>
      <c r="DL10" s="980"/>
      <c r="DM10" s="980"/>
      <c r="DN10" s="980"/>
      <c r="DO10" s="980"/>
      <c r="DP10" s="980"/>
      <c r="DQ10" s="980"/>
      <c r="DR10" s="980"/>
      <c r="DS10" s="980"/>
      <c r="DT10" s="980"/>
      <c r="DU10" s="980"/>
      <c r="DV10" s="980"/>
      <c r="DW10" s="980"/>
      <c r="DX10" s="980"/>
      <c r="DY10" s="980"/>
      <c r="DZ10" s="980"/>
      <c r="EA10" s="980"/>
      <c r="EB10" s="980"/>
      <c r="EC10" s="980"/>
      <c r="ED10" s="980"/>
      <c r="EE10" s="980"/>
      <c r="EF10" s="980"/>
      <c r="EG10" s="980"/>
      <c r="EH10" s="980"/>
      <c r="EI10" s="980"/>
      <c r="EJ10" s="980"/>
      <c r="EK10" s="980"/>
      <c r="EL10" s="980"/>
      <c r="EM10" s="980"/>
      <c r="EN10" s="648"/>
      <c r="EO10" s="649"/>
      <c r="EP10" s="976" t="str">
        <f>MID(SUVAHAVUJ!AG32,1,1)</f>
        <v xml:space="preserve"> </v>
      </c>
      <c r="EQ10" s="976"/>
      <c r="ER10" s="976"/>
      <c r="ES10" s="976"/>
      <c r="ET10" s="976"/>
      <c r="EU10" s="976"/>
      <c r="EV10" s="976" t="str">
        <f>MID(SUVAHAVUJ!AG32,2,1)</f>
        <v xml:space="preserve"> </v>
      </c>
      <c r="EW10" s="976"/>
      <c r="EX10" s="976"/>
      <c r="EY10" s="976"/>
      <c r="EZ10" s="976"/>
      <c r="FA10" s="976" t="str">
        <f>MID(SUVAHAVUJ!AG32,3,1)</f>
        <v xml:space="preserve"> </v>
      </c>
      <c r="FB10" s="976"/>
      <c r="FC10" s="976"/>
      <c r="FD10" s="976"/>
      <c r="FE10" s="976"/>
      <c r="FF10" s="976"/>
      <c r="FG10" s="976" t="str">
        <f>MID(SUVAHAVUJ!AG32,4,1)</f>
        <v xml:space="preserve"> </v>
      </c>
      <c r="FH10" s="976"/>
      <c r="FI10" s="976"/>
      <c r="FJ10" s="976"/>
      <c r="FK10" s="976"/>
      <c r="FL10" s="976" t="str">
        <f>MID(SUVAHAVUJ!AG32,5,1)</f>
        <v xml:space="preserve"> </v>
      </c>
      <c r="FM10" s="976"/>
      <c r="FN10" s="976"/>
      <c r="FO10" s="976"/>
      <c r="FP10" s="976"/>
      <c r="FQ10" s="976"/>
      <c r="FR10" s="976" t="str">
        <f>MID(SUVAHAVUJ!AG32,6,1)</f>
        <v xml:space="preserve"> </v>
      </c>
      <c r="FS10" s="976"/>
      <c r="FT10" s="976"/>
      <c r="FU10" s="976"/>
      <c r="FV10" s="976"/>
      <c r="FW10" s="976" t="str">
        <f>MID(SUVAHAVUJ!AG32,7,1)</f>
        <v xml:space="preserve"> </v>
      </c>
      <c r="FX10" s="976"/>
      <c r="FY10" s="976"/>
      <c r="FZ10" s="976"/>
      <c r="GA10" s="976"/>
      <c r="GB10" s="976"/>
      <c r="GC10" s="976" t="str">
        <f>MID(SUVAHAVUJ!AG32,8,1)</f>
        <v xml:space="preserve"> </v>
      </c>
      <c r="GD10" s="976"/>
      <c r="GE10" s="976"/>
      <c r="GF10" s="976"/>
      <c r="GG10" s="976"/>
      <c r="GH10" s="976" t="str">
        <f>MID(SUVAHAVUJ!AG32,9,1)</f>
        <v xml:space="preserve"> </v>
      </c>
      <c r="GI10" s="976"/>
      <c r="GJ10" s="976"/>
      <c r="GK10" s="976"/>
      <c r="GL10" s="976"/>
      <c r="GM10" s="976"/>
      <c r="GN10" s="976" t="str">
        <f>MID(SUVAHAVUJ!AG32,10,1)</f>
        <v xml:space="preserve"> </v>
      </c>
      <c r="GO10" s="976"/>
      <c r="GP10" s="976"/>
      <c r="GQ10" s="976"/>
      <c r="GR10" s="976"/>
      <c r="GS10" s="978" t="str">
        <f>MID(SUVAHAVUJ!AG32,11,1)</f>
        <v>0</v>
      </c>
      <c r="GT10" s="978"/>
      <c r="GU10" s="978"/>
      <c r="GV10" s="978"/>
      <c r="GW10" s="978"/>
    </row>
    <row r="11" spans="1:205" s="650" customFormat="1" ht="23.25" customHeight="1" x14ac:dyDescent="0.3">
      <c r="B11" s="985" t="s">
        <v>2183</v>
      </c>
      <c r="C11" s="985"/>
      <c r="D11" s="985"/>
      <c r="E11" s="985"/>
      <c r="F11" s="985"/>
      <c r="G11" s="985"/>
      <c r="H11" s="985"/>
      <c r="I11" s="985"/>
      <c r="J11" s="985"/>
      <c r="K11" s="985"/>
      <c r="L11" s="990" t="str">
        <f>SUVAHAVUJ!$D$33</f>
        <v>Obstarávaný dlhodobý finančný majetok (043) - /096A/</v>
      </c>
      <c r="M11" s="990"/>
      <c r="N11" s="990"/>
      <c r="O11" s="990"/>
      <c r="P11" s="990"/>
      <c r="Q11" s="990"/>
      <c r="R11" s="990"/>
      <c r="S11" s="990"/>
      <c r="T11" s="990"/>
      <c r="U11" s="990"/>
      <c r="V11" s="990"/>
      <c r="W11" s="990"/>
      <c r="X11" s="990"/>
      <c r="Y11" s="990"/>
      <c r="Z11" s="990"/>
      <c r="AA11" s="990"/>
      <c r="AB11" s="990"/>
      <c r="AC11" s="990"/>
      <c r="AD11" s="990"/>
      <c r="AE11" s="990"/>
      <c r="AF11" s="990"/>
      <c r="AG11" s="990"/>
      <c r="AH11" s="990"/>
      <c r="AI11" s="990"/>
      <c r="AJ11" s="990"/>
      <c r="AK11" s="990"/>
      <c r="AL11" s="990"/>
      <c r="AM11" s="990"/>
      <c r="AN11" s="990"/>
      <c r="AO11" s="990"/>
      <c r="AP11" s="990"/>
      <c r="AQ11" s="975" t="s">
        <v>1248</v>
      </c>
      <c r="AR11" s="975"/>
      <c r="AS11" s="975"/>
      <c r="AT11" s="975"/>
      <c r="AU11" s="975"/>
      <c r="AV11" s="975"/>
      <c r="AW11" s="975"/>
      <c r="AX11" s="975"/>
      <c r="AY11" s="648"/>
      <c r="AZ11" s="649"/>
      <c r="BA11" s="976" t="str">
        <f>MID(SUVAHAVUJ!AD33,1,1)</f>
        <v xml:space="preserve"> </v>
      </c>
      <c r="BB11" s="976"/>
      <c r="BC11" s="976"/>
      <c r="BD11" s="976"/>
      <c r="BE11" s="976"/>
      <c r="BF11" s="976"/>
      <c r="BG11" s="976" t="str">
        <f>MID(SUVAHAVUJ!AD33,2,1)</f>
        <v xml:space="preserve"> </v>
      </c>
      <c r="BH11" s="976"/>
      <c r="BI11" s="976"/>
      <c r="BJ11" s="976"/>
      <c r="BK11" s="976"/>
      <c r="BL11" s="976" t="str">
        <f>MID(SUVAHAVUJ!AD33,3,1)</f>
        <v xml:space="preserve"> </v>
      </c>
      <c r="BM11" s="976"/>
      <c r="BN11" s="976"/>
      <c r="BO11" s="976"/>
      <c r="BP11" s="976"/>
      <c r="BQ11" s="976"/>
      <c r="BR11" s="976" t="str">
        <f>MID(SUVAHAVUJ!AD33,4,1)</f>
        <v xml:space="preserve"> </v>
      </c>
      <c r="BS11" s="976"/>
      <c r="BT11" s="976"/>
      <c r="BU11" s="976"/>
      <c r="BV11" s="976"/>
      <c r="BW11" s="976" t="str">
        <f>MID(SUVAHAVUJ!AD33,5,1)</f>
        <v xml:space="preserve"> </v>
      </c>
      <c r="BX11" s="976"/>
      <c r="BY11" s="976"/>
      <c r="BZ11" s="976"/>
      <c r="CA11" s="976"/>
      <c r="CB11" s="976"/>
      <c r="CC11" s="976" t="str">
        <f>MID(SUVAHAVUJ!AD33,6,1)</f>
        <v xml:space="preserve"> </v>
      </c>
      <c r="CD11" s="976"/>
      <c r="CE11" s="976"/>
      <c r="CF11" s="976"/>
      <c r="CG11" s="976"/>
      <c r="CH11" s="976" t="str">
        <f>MID(SUVAHAVUJ!AD33,7,1)</f>
        <v xml:space="preserve"> </v>
      </c>
      <c r="CI11" s="976"/>
      <c r="CJ11" s="976"/>
      <c r="CK11" s="976"/>
      <c r="CL11" s="976"/>
      <c r="CM11" s="976"/>
      <c r="CN11" s="976" t="str">
        <f>MID(SUVAHAVUJ!AD33,8,1)</f>
        <v xml:space="preserve"> </v>
      </c>
      <c r="CO11" s="976"/>
      <c r="CP11" s="976"/>
      <c r="CQ11" s="976"/>
      <c r="CR11" s="976"/>
      <c r="CS11" s="976" t="str">
        <f>MID(SUVAHAVUJ!AD33,9,1)</f>
        <v xml:space="preserve"> </v>
      </c>
      <c r="CT11" s="976"/>
      <c r="CU11" s="976"/>
      <c r="CV11" s="976"/>
      <c r="CW11" s="976"/>
      <c r="CX11" s="976"/>
      <c r="CY11" s="976" t="str">
        <f>MID(SUVAHAVUJ!AD33,10,1)</f>
        <v xml:space="preserve"> </v>
      </c>
      <c r="CZ11" s="976"/>
      <c r="DA11" s="976"/>
      <c r="DB11" s="976"/>
      <c r="DC11" s="976"/>
      <c r="DD11" s="977" t="str">
        <f>MID(SUVAHAVUJ!AD33,11,1)</f>
        <v>0</v>
      </c>
      <c r="DE11" s="977"/>
      <c r="DF11" s="977"/>
      <c r="DG11" s="977"/>
      <c r="DH11" s="977"/>
      <c r="DI11" s="977"/>
      <c r="DJ11" s="648"/>
      <c r="DK11" s="649"/>
      <c r="DL11" s="976" t="str">
        <f>MID(SUVAHAVUJ!AF33,1,1)</f>
        <v xml:space="preserve"> </v>
      </c>
      <c r="DM11" s="976"/>
      <c r="DN11" s="976"/>
      <c r="DO11" s="976"/>
      <c r="DP11" s="976"/>
      <c r="DQ11" s="976"/>
      <c r="DR11" s="976" t="str">
        <f>MID(SUVAHAVUJ!AF33,2,1)</f>
        <v xml:space="preserve"> </v>
      </c>
      <c r="DS11" s="976"/>
      <c r="DT11" s="976"/>
      <c r="DU11" s="976"/>
      <c r="DV11" s="976"/>
      <c r="DW11" s="976" t="str">
        <f>MID(SUVAHAVUJ!AF33,3,1)</f>
        <v xml:space="preserve"> </v>
      </c>
      <c r="DX11" s="976"/>
      <c r="DY11" s="976"/>
      <c r="DZ11" s="976"/>
      <c r="EA11" s="976"/>
      <c r="EB11" s="976"/>
      <c r="EC11" s="976" t="str">
        <f>MID(SUVAHAVUJ!AF33,4,1)</f>
        <v xml:space="preserve"> </v>
      </c>
      <c r="ED11" s="976"/>
      <c r="EE11" s="976"/>
      <c r="EF11" s="976"/>
      <c r="EG11" s="976"/>
      <c r="EH11" s="976" t="str">
        <f>MID(SUVAHAVUJ!AF33,5,1)</f>
        <v xml:space="preserve"> </v>
      </c>
      <c r="EI11" s="976"/>
      <c r="EJ11" s="976"/>
      <c r="EK11" s="976"/>
      <c r="EL11" s="976"/>
      <c r="EM11" s="976"/>
      <c r="EN11" s="976" t="str">
        <f>MID(SUVAHAVUJ!AF33,6,1)</f>
        <v xml:space="preserve"> </v>
      </c>
      <c r="EO11" s="976"/>
      <c r="EP11" s="976"/>
      <c r="EQ11" s="976"/>
      <c r="ER11" s="976"/>
      <c r="ES11" s="976" t="str">
        <f>MID(SUVAHAVUJ!AF33,7,1)</f>
        <v xml:space="preserve"> </v>
      </c>
      <c r="ET11" s="976"/>
      <c r="EU11" s="976"/>
      <c r="EV11" s="976"/>
      <c r="EW11" s="976"/>
      <c r="EX11" s="976"/>
      <c r="EY11" s="976" t="str">
        <f>MID(SUVAHAVUJ!AF33,8,1)</f>
        <v xml:space="preserve"> </v>
      </c>
      <c r="EZ11" s="976"/>
      <c r="FA11" s="976"/>
      <c r="FB11" s="976"/>
      <c r="FC11" s="976"/>
      <c r="FD11" s="976" t="str">
        <f>MID(SUVAHAVUJ!AF33,9,1)</f>
        <v xml:space="preserve"> </v>
      </c>
      <c r="FE11" s="976"/>
      <c r="FF11" s="976"/>
      <c r="FG11" s="976"/>
      <c r="FH11" s="976"/>
      <c r="FI11" s="976"/>
      <c r="FJ11" s="976" t="str">
        <f>MID(SUVAHAVUJ!AF33,10,1)</f>
        <v xml:space="preserve"> </v>
      </c>
      <c r="FK11" s="976"/>
      <c r="FL11" s="976"/>
      <c r="FM11" s="976"/>
      <c r="FN11" s="976"/>
      <c r="FO11" s="978" t="str">
        <f>MID(SUVAHAVUJ!AF33,11,1)</f>
        <v>0</v>
      </c>
      <c r="FP11" s="978"/>
      <c r="FQ11" s="978"/>
      <c r="FR11" s="978"/>
      <c r="FS11" s="978"/>
      <c r="FT11" s="979"/>
      <c r="FU11" s="979"/>
      <c r="FV11" s="979"/>
      <c r="FW11" s="979"/>
      <c r="FX11" s="979"/>
      <c r="FY11" s="979"/>
      <c r="FZ11" s="979"/>
      <c r="GA11" s="979"/>
      <c r="GB11" s="979"/>
      <c r="GC11" s="979"/>
      <c r="GD11" s="979"/>
      <c r="GE11" s="979"/>
      <c r="GF11" s="979"/>
      <c r="GG11" s="979"/>
      <c r="GH11" s="979"/>
      <c r="GI11" s="979"/>
      <c r="GJ11" s="979"/>
      <c r="GK11" s="979"/>
      <c r="GL11" s="979"/>
      <c r="GM11" s="979"/>
      <c r="GN11" s="979"/>
      <c r="GO11" s="979"/>
      <c r="GP11" s="979"/>
      <c r="GQ11" s="979"/>
      <c r="GR11" s="979"/>
      <c r="GS11" s="979"/>
      <c r="GT11" s="979"/>
      <c r="GU11" s="979"/>
      <c r="GV11" s="979"/>
      <c r="GW11" s="979"/>
    </row>
    <row r="12" spans="1:205" ht="23.25" customHeight="1" x14ac:dyDescent="0.3">
      <c r="B12" s="985"/>
      <c r="C12" s="985"/>
      <c r="D12" s="985"/>
      <c r="E12" s="985"/>
      <c r="F12" s="985"/>
      <c r="G12" s="985"/>
      <c r="H12" s="985"/>
      <c r="I12" s="985"/>
      <c r="J12" s="985"/>
      <c r="K12" s="985"/>
      <c r="L12" s="990"/>
      <c r="M12" s="990"/>
      <c r="N12" s="990"/>
      <c r="O12" s="990"/>
      <c r="P12" s="990"/>
      <c r="Q12" s="990"/>
      <c r="R12" s="990"/>
      <c r="S12" s="990"/>
      <c r="T12" s="990"/>
      <c r="U12" s="990"/>
      <c r="V12" s="990"/>
      <c r="W12" s="990"/>
      <c r="X12" s="990"/>
      <c r="Y12" s="990"/>
      <c r="Z12" s="990"/>
      <c r="AA12" s="990"/>
      <c r="AB12" s="990"/>
      <c r="AC12" s="990"/>
      <c r="AD12" s="990"/>
      <c r="AE12" s="990"/>
      <c r="AF12" s="990"/>
      <c r="AG12" s="990"/>
      <c r="AH12" s="990"/>
      <c r="AI12" s="990"/>
      <c r="AJ12" s="990"/>
      <c r="AK12" s="990"/>
      <c r="AL12" s="990"/>
      <c r="AM12" s="990"/>
      <c r="AN12" s="990"/>
      <c r="AO12" s="990"/>
      <c r="AP12" s="990"/>
      <c r="AQ12" s="975"/>
      <c r="AR12" s="975"/>
      <c r="AS12" s="975"/>
      <c r="AT12" s="975"/>
      <c r="AU12" s="975"/>
      <c r="AV12" s="975"/>
      <c r="AW12" s="975"/>
      <c r="AX12" s="975"/>
      <c r="AY12" s="648"/>
      <c r="AZ12" s="649"/>
      <c r="BA12" s="976" t="str">
        <f>MID(SUVAHAVUJ!AE33,1,1)</f>
        <v xml:space="preserve"> </v>
      </c>
      <c r="BB12" s="976"/>
      <c r="BC12" s="976"/>
      <c r="BD12" s="976"/>
      <c r="BE12" s="976"/>
      <c r="BF12" s="976"/>
      <c r="BG12" s="976" t="str">
        <f>MID(SUVAHAVUJ!AE33,2,1)</f>
        <v xml:space="preserve"> </v>
      </c>
      <c r="BH12" s="976"/>
      <c r="BI12" s="976"/>
      <c r="BJ12" s="976"/>
      <c r="BK12" s="976"/>
      <c r="BL12" s="976" t="str">
        <f>MID(SUVAHAVUJ!AE33,3,1)</f>
        <v xml:space="preserve"> </v>
      </c>
      <c r="BM12" s="976"/>
      <c r="BN12" s="976"/>
      <c r="BO12" s="976"/>
      <c r="BP12" s="976"/>
      <c r="BQ12" s="976"/>
      <c r="BR12" s="976" t="str">
        <f>MID(SUVAHAVUJ!AE33,4,1)</f>
        <v xml:space="preserve"> </v>
      </c>
      <c r="BS12" s="976"/>
      <c r="BT12" s="976"/>
      <c r="BU12" s="976"/>
      <c r="BV12" s="976"/>
      <c r="BW12" s="976" t="str">
        <f>MID(SUVAHAVUJ!AE33,5,1)</f>
        <v xml:space="preserve"> </v>
      </c>
      <c r="BX12" s="976"/>
      <c r="BY12" s="976"/>
      <c r="BZ12" s="976"/>
      <c r="CA12" s="976"/>
      <c r="CB12" s="976"/>
      <c r="CC12" s="976" t="str">
        <f>MID(SUVAHAVUJ!AE33,6,1)</f>
        <v xml:space="preserve"> </v>
      </c>
      <c r="CD12" s="976"/>
      <c r="CE12" s="976"/>
      <c r="CF12" s="976"/>
      <c r="CG12" s="976"/>
      <c r="CH12" s="976" t="str">
        <f>MID(SUVAHAVUJ!AE33,7,1)</f>
        <v xml:space="preserve"> </v>
      </c>
      <c r="CI12" s="976"/>
      <c r="CJ12" s="976"/>
      <c r="CK12" s="976"/>
      <c r="CL12" s="976"/>
      <c r="CM12" s="976"/>
      <c r="CN12" s="976" t="str">
        <f>MID(SUVAHAVUJ!AE33,8,1)</f>
        <v xml:space="preserve"> </v>
      </c>
      <c r="CO12" s="976"/>
      <c r="CP12" s="976"/>
      <c r="CQ12" s="976"/>
      <c r="CR12" s="976"/>
      <c r="CS12" s="976" t="str">
        <f>MID(SUVAHAVUJ!AE33,9,1)</f>
        <v xml:space="preserve"> </v>
      </c>
      <c r="CT12" s="976"/>
      <c r="CU12" s="976"/>
      <c r="CV12" s="976"/>
      <c r="CW12" s="976"/>
      <c r="CX12" s="976"/>
      <c r="CY12" s="976" t="str">
        <f>MID(SUVAHAVUJ!AE33,10,1)</f>
        <v xml:space="preserve"> </v>
      </c>
      <c r="CZ12" s="976"/>
      <c r="DA12" s="976"/>
      <c r="DB12" s="976"/>
      <c r="DC12" s="976"/>
      <c r="DD12" s="977" t="str">
        <f>MID(SUVAHAVUJ!AE33,11,1)</f>
        <v>0</v>
      </c>
      <c r="DE12" s="977"/>
      <c r="DF12" s="977"/>
      <c r="DG12" s="977"/>
      <c r="DH12" s="977"/>
      <c r="DI12" s="977"/>
      <c r="DJ12" s="980"/>
      <c r="DK12" s="980"/>
      <c r="DL12" s="980"/>
      <c r="DM12" s="980"/>
      <c r="DN12" s="980"/>
      <c r="DO12" s="980"/>
      <c r="DP12" s="980"/>
      <c r="DQ12" s="980"/>
      <c r="DR12" s="980"/>
      <c r="DS12" s="980"/>
      <c r="DT12" s="980"/>
      <c r="DU12" s="980"/>
      <c r="DV12" s="980"/>
      <c r="DW12" s="980"/>
      <c r="DX12" s="980"/>
      <c r="DY12" s="980"/>
      <c r="DZ12" s="980"/>
      <c r="EA12" s="980"/>
      <c r="EB12" s="980"/>
      <c r="EC12" s="980"/>
      <c r="ED12" s="980"/>
      <c r="EE12" s="980"/>
      <c r="EF12" s="980"/>
      <c r="EG12" s="980"/>
      <c r="EH12" s="980"/>
      <c r="EI12" s="980"/>
      <c r="EJ12" s="980"/>
      <c r="EK12" s="980"/>
      <c r="EL12" s="980"/>
      <c r="EM12" s="980"/>
      <c r="EN12" s="648"/>
      <c r="EO12" s="649"/>
      <c r="EP12" s="976" t="str">
        <f>MID(SUVAHAVUJ!AG33,1,1)</f>
        <v xml:space="preserve"> </v>
      </c>
      <c r="EQ12" s="976"/>
      <c r="ER12" s="976"/>
      <c r="ES12" s="976"/>
      <c r="ET12" s="976"/>
      <c r="EU12" s="976"/>
      <c r="EV12" s="976" t="str">
        <f>MID(SUVAHAVUJ!AG33,2,1)</f>
        <v xml:space="preserve"> </v>
      </c>
      <c r="EW12" s="976"/>
      <c r="EX12" s="976"/>
      <c r="EY12" s="976"/>
      <c r="EZ12" s="976"/>
      <c r="FA12" s="976" t="str">
        <f>MID(SUVAHAVUJ!AG33,3,1)</f>
        <v xml:space="preserve"> </v>
      </c>
      <c r="FB12" s="976"/>
      <c r="FC12" s="976"/>
      <c r="FD12" s="976"/>
      <c r="FE12" s="976"/>
      <c r="FF12" s="976"/>
      <c r="FG12" s="976" t="str">
        <f>MID(SUVAHAVUJ!AG33,4,1)</f>
        <v xml:space="preserve"> </v>
      </c>
      <c r="FH12" s="976"/>
      <c r="FI12" s="976"/>
      <c r="FJ12" s="976"/>
      <c r="FK12" s="976"/>
      <c r="FL12" s="976" t="str">
        <f>MID(SUVAHAVUJ!AG33,5,1)</f>
        <v xml:space="preserve"> </v>
      </c>
      <c r="FM12" s="976"/>
      <c r="FN12" s="976"/>
      <c r="FO12" s="976"/>
      <c r="FP12" s="976"/>
      <c r="FQ12" s="976"/>
      <c r="FR12" s="976" t="str">
        <f>MID(SUVAHAVUJ!AG33,6,1)</f>
        <v xml:space="preserve"> </v>
      </c>
      <c r="FS12" s="976"/>
      <c r="FT12" s="976"/>
      <c r="FU12" s="976"/>
      <c r="FV12" s="976"/>
      <c r="FW12" s="976" t="str">
        <f>MID(SUVAHAVUJ!AG33,7,1)</f>
        <v xml:space="preserve"> </v>
      </c>
      <c r="FX12" s="976"/>
      <c r="FY12" s="976"/>
      <c r="FZ12" s="976"/>
      <c r="GA12" s="976"/>
      <c r="GB12" s="976"/>
      <c r="GC12" s="976" t="str">
        <f>MID(SUVAHAVUJ!AG33,8,1)</f>
        <v xml:space="preserve"> </v>
      </c>
      <c r="GD12" s="976"/>
      <c r="GE12" s="976"/>
      <c r="GF12" s="976"/>
      <c r="GG12" s="976"/>
      <c r="GH12" s="976" t="str">
        <f>MID(SUVAHAVUJ!AG33,9,1)</f>
        <v xml:space="preserve"> </v>
      </c>
      <c r="GI12" s="976"/>
      <c r="GJ12" s="976"/>
      <c r="GK12" s="976"/>
      <c r="GL12" s="976"/>
      <c r="GM12" s="976"/>
      <c r="GN12" s="976" t="str">
        <f>MID(SUVAHAVUJ!AG33,10,1)</f>
        <v xml:space="preserve"> </v>
      </c>
      <c r="GO12" s="976"/>
      <c r="GP12" s="976"/>
      <c r="GQ12" s="976"/>
      <c r="GR12" s="976"/>
      <c r="GS12" s="978" t="str">
        <f>MID(SUVAHAVUJ!AG33,11,1)</f>
        <v>0</v>
      </c>
      <c r="GT12" s="978"/>
      <c r="GU12" s="978"/>
      <c r="GV12" s="978"/>
      <c r="GW12" s="978"/>
    </row>
    <row r="13" spans="1:205" s="650" customFormat="1" ht="23.25" customHeight="1" x14ac:dyDescent="0.3">
      <c r="B13" s="985" t="s">
        <v>2184</v>
      </c>
      <c r="C13" s="985"/>
      <c r="D13" s="985"/>
      <c r="E13" s="985"/>
      <c r="F13" s="985"/>
      <c r="G13" s="985"/>
      <c r="H13" s="985"/>
      <c r="I13" s="985"/>
      <c r="J13" s="985"/>
      <c r="K13" s="985"/>
      <c r="L13" s="990" t="str">
        <f>SUVAHAVUJ!$D$34</f>
        <v>Poskytnuté preddavky na dlhodobý finančný majetok (053) - /095A/</v>
      </c>
      <c r="M13" s="990"/>
      <c r="N13" s="990"/>
      <c r="O13" s="990"/>
      <c r="P13" s="990"/>
      <c r="Q13" s="990"/>
      <c r="R13" s="990"/>
      <c r="S13" s="990"/>
      <c r="T13" s="990"/>
      <c r="U13" s="990"/>
      <c r="V13" s="990"/>
      <c r="W13" s="990"/>
      <c r="X13" s="990"/>
      <c r="Y13" s="990"/>
      <c r="Z13" s="990"/>
      <c r="AA13" s="990"/>
      <c r="AB13" s="990"/>
      <c r="AC13" s="990"/>
      <c r="AD13" s="990"/>
      <c r="AE13" s="990"/>
      <c r="AF13" s="990"/>
      <c r="AG13" s="990"/>
      <c r="AH13" s="990"/>
      <c r="AI13" s="990"/>
      <c r="AJ13" s="990"/>
      <c r="AK13" s="990"/>
      <c r="AL13" s="990"/>
      <c r="AM13" s="990"/>
      <c r="AN13" s="990"/>
      <c r="AO13" s="990"/>
      <c r="AP13" s="990"/>
      <c r="AQ13" s="975" t="s">
        <v>1247</v>
      </c>
      <c r="AR13" s="975"/>
      <c r="AS13" s="975"/>
      <c r="AT13" s="975"/>
      <c r="AU13" s="975"/>
      <c r="AV13" s="975"/>
      <c r="AW13" s="975"/>
      <c r="AX13" s="975"/>
      <c r="AY13" s="648"/>
      <c r="AZ13" s="649"/>
      <c r="BA13" s="976" t="str">
        <f>MID(SUVAHAVUJ!AD34,1,1)</f>
        <v xml:space="preserve"> </v>
      </c>
      <c r="BB13" s="976"/>
      <c r="BC13" s="976"/>
      <c r="BD13" s="976"/>
      <c r="BE13" s="976"/>
      <c r="BF13" s="976"/>
      <c r="BG13" s="976" t="str">
        <f>MID(SUVAHAVUJ!AD34,2,1)</f>
        <v xml:space="preserve"> </v>
      </c>
      <c r="BH13" s="976"/>
      <c r="BI13" s="976"/>
      <c r="BJ13" s="976"/>
      <c r="BK13" s="976"/>
      <c r="BL13" s="976" t="str">
        <f>MID(SUVAHAVUJ!AD34,3,1)</f>
        <v xml:space="preserve"> </v>
      </c>
      <c r="BM13" s="976"/>
      <c r="BN13" s="976"/>
      <c r="BO13" s="976"/>
      <c r="BP13" s="976"/>
      <c r="BQ13" s="976"/>
      <c r="BR13" s="976" t="str">
        <f>MID(SUVAHAVUJ!AD34,4,1)</f>
        <v xml:space="preserve"> </v>
      </c>
      <c r="BS13" s="976"/>
      <c r="BT13" s="976"/>
      <c r="BU13" s="976"/>
      <c r="BV13" s="976"/>
      <c r="BW13" s="976" t="str">
        <f>MID(SUVAHAVUJ!AD34,5,1)</f>
        <v xml:space="preserve"> </v>
      </c>
      <c r="BX13" s="976"/>
      <c r="BY13" s="976"/>
      <c r="BZ13" s="976"/>
      <c r="CA13" s="976"/>
      <c r="CB13" s="976"/>
      <c r="CC13" s="976" t="str">
        <f>MID(SUVAHAVUJ!AD34,6,1)</f>
        <v xml:space="preserve"> </v>
      </c>
      <c r="CD13" s="976"/>
      <c r="CE13" s="976"/>
      <c r="CF13" s="976"/>
      <c r="CG13" s="976"/>
      <c r="CH13" s="976" t="str">
        <f>MID(SUVAHAVUJ!AD34,7,1)</f>
        <v xml:space="preserve"> </v>
      </c>
      <c r="CI13" s="976"/>
      <c r="CJ13" s="976"/>
      <c r="CK13" s="976"/>
      <c r="CL13" s="976"/>
      <c r="CM13" s="976"/>
      <c r="CN13" s="976" t="str">
        <f>MID(SUVAHAVUJ!AD34,8,1)</f>
        <v xml:space="preserve"> </v>
      </c>
      <c r="CO13" s="976"/>
      <c r="CP13" s="976"/>
      <c r="CQ13" s="976"/>
      <c r="CR13" s="976"/>
      <c r="CS13" s="976" t="str">
        <f>MID(SUVAHAVUJ!AD34,9,1)</f>
        <v xml:space="preserve"> </v>
      </c>
      <c r="CT13" s="976"/>
      <c r="CU13" s="976"/>
      <c r="CV13" s="976"/>
      <c r="CW13" s="976"/>
      <c r="CX13" s="976"/>
      <c r="CY13" s="976" t="str">
        <f>MID(SUVAHAVUJ!AD34,10,1)</f>
        <v xml:space="preserve"> </v>
      </c>
      <c r="CZ13" s="976"/>
      <c r="DA13" s="976"/>
      <c r="DB13" s="976"/>
      <c r="DC13" s="976"/>
      <c r="DD13" s="977" t="str">
        <f>MID(SUVAHAVUJ!AD34,11,1)</f>
        <v>0</v>
      </c>
      <c r="DE13" s="977"/>
      <c r="DF13" s="977"/>
      <c r="DG13" s="977"/>
      <c r="DH13" s="977"/>
      <c r="DI13" s="977"/>
      <c r="DJ13" s="648"/>
      <c r="DK13" s="649"/>
      <c r="DL13" s="976" t="str">
        <f>MID(SUVAHAVUJ!AF34,1,1)</f>
        <v xml:space="preserve"> </v>
      </c>
      <c r="DM13" s="976"/>
      <c r="DN13" s="976"/>
      <c r="DO13" s="976"/>
      <c r="DP13" s="976"/>
      <c r="DQ13" s="976"/>
      <c r="DR13" s="976" t="str">
        <f>MID(SUVAHAVUJ!AF34,2,1)</f>
        <v xml:space="preserve"> </v>
      </c>
      <c r="DS13" s="976"/>
      <c r="DT13" s="976"/>
      <c r="DU13" s="976"/>
      <c r="DV13" s="976"/>
      <c r="DW13" s="976" t="str">
        <f>MID(SUVAHAVUJ!AF34,3,1)</f>
        <v xml:space="preserve"> </v>
      </c>
      <c r="DX13" s="976"/>
      <c r="DY13" s="976"/>
      <c r="DZ13" s="976"/>
      <c r="EA13" s="976"/>
      <c r="EB13" s="976"/>
      <c r="EC13" s="976" t="str">
        <f>MID(SUVAHAVUJ!AF34,4,1)</f>
        <v xml:space="preserve"> </v>
      </c>
      <c r="ED13" s="976"/>
      <c r="EE13" s="976"/>
      <c r="EF13" s="976"/>
      <c r="EG13" s="976"/>
      <c r="EH13" s="976" t="str">
        <f>MID(SUVAHAVUJ!AF34,5,1)</f>
        <v xml:space="preserve"> </v>
      </c>
      <c r="EI13" s="976"/>
      <c r="EJ13" s="976"/>
      <c r="EK13" s="976"/>
      <c r="EL13" s="976"/>
      <c r="EM13" s="976"/>
      <c r="EN13" s="976" t="str">
        <f>MID(SUVAHAVUJ!AF34,6,1)</f>
        <v xml:space="preserve"> </v>
      </c>
      <c r="EO13" s="976"/>
      <c r="EP13" s="976"/>
      <c r="EQ13" s="976"/>
      <c r="ER13" s="976"/>
      <c r="ES13" s="976" t="str">
        <f>MID(SUVAHAVUJ!AF34,7,1)</f>
        <v xml:space="preserve"> </v>
      </c>
      <c r="ET13" s="976"/>
      <c r="EU13" s="976"/>
      <c r="EV13" s="976"/>
      <c r="EW13" s="976"/>
      <c r="EX13" s="976"/>
      <c r="EY13" s="976" t="str">
        <f>MID(SUVAHAVUJ!AF34,8,1)</f>
        <v xml:space="preserve"> </v>
      </c>
      <c r="EZ13" s="976"/>
      <c r="FA13" s="976"/>
      <c r="FB13" s="976"/>
      <c r="FC13" s="976"/>
      <c r="FD13" s="976" t="str">
        <f>MID(SUVAHAVUJ!AF34,9,1)</f>
        <v xml:space="preserve"> </v>
      </c>
      <c r="FE13" s="976"/>
      <c r="FF13" s="976"/>
      <c r="FG13" s="976"/>
      <c r="FH13" s="976"/>
      <c r="FI13" s="976"/>
      <c r="FJ13" s="976" t="str">
        <f>MID(SUVAHAVUJ!AF34,10,1)</f>
        <v xml:space="preserve"> </v>
      </c>
      <c r="FK13" s="976"/>
      <c r="FL13" s="976"/>
      <c r="FM13" s="976"/>
      <c r="FN13" s="976"/>
      <c r="FO13" s="978" t="str">
        <f>MID(SUVAHAVUJ!AF34,11,1)</f>
        <v>0</v>
      </c>
      <c r="FP13" s="978"/>
      <c r="FQ13" s="978"/>
      <c r="FR13" s="978"/>
      <c r="FS13" s="978"/>
      <c r="FT13" s="979"/>
      <c r="FU13" s="979"/>
      <c r="FV13" s="979"/>
      <c r="FW13" s="979"/>
      <c r="FX13" s="979"/>
      <c r="FY13" s="979"/>
      <c r="FZ13" s="979"/>
      <c r="GA13" s="979"/>
      <c r="GB13" s="979"/>
      <c r="GC13" s="979"/>
      <c r="GD13" s="979"/>
      <c r="GE13" s="979"/>
      <c r="GF13" s="979"/>
      <c r="GG13" s="979"/>
      <c r="GH13" s="979"/>
      <c r="GI13" s="979"/>
      <c r="GJ13" s="979"/>
      <c r="GK13" s="979"/>
      <c r="GL13" s="979"/>
      <c r="GM13" s="979"/>
      <c r="GN13" s="979"/>
      <c r="GO13" s="979"/>
      <c r="GP13" s="979"/>
      <c r="GQ13" s="979"/>
      <c r="GR13" s="979"/>
      <c r="GS13" s="979"/>
      <c r="GT13" s="979"/>
      <c r="GU13" s="979"/>
      <c r="GV13" s="979"/>
      <c r="GW13" s="979"/>
    </row>
    <row r="14" spans="1:205" ht="23.25" customHeight="1" x14ac:dyDescent="0.3">
      <c r="B14" s="985"/>
      <c r="C14" s="985"/>
      <c r="D14" s="985"/>
      <c r="E14" s="985"/>
      <c r="F14" s="985"/>
      <c r="G14" s="985"/>
      <c r="H14" s="985"/>
      <c r="I14" s="985"/>
      <c r="J14" s="985"/>
      <c r="K14" s="985"/>
      <c r="L14" s="990"/>
      <c r="M14" s="990"/>
      <c r="N14" s="990"/>
      <c r="O14" s="990"/>
      <c r="P14" s="990"/>
      <c r="Q14" s="990"/>
      <c r="R14" s="990"/>
      <c r="S14" s="990"/>
      <c r="T14" s="990"/>
      <c r="U14" s="990"/>
      <c r="V14" s="990"/>
      <c r="W14" s="990"/>
      <c r="X14" s="990"/>
      <c r="Y14" s="990"/>
      <c r="Z14" s="990"/>
      <c r="AA14" s="990"/>
      <c r="AB14" s="990"/>
      <c r="AC14" s="990"/>
      <c r="AD14" s="990"/>
      <c r="AE14" s="990"/>
      <c r="AF14" s="990"/>
      <c r="AG14" s="990"/>
      <c r="AH14" s="990"/>
      <c r="AI14" s="990"/>
      <c r="AJ14" s="990"/>
      <c r="AK14" s="990"/>
      <c r="AL14" s="990"/>
      <c r="AM14" s="990"/>
      <c r="AN14" s="990"/>
      <c r="AO14" s="990"/>
      <c r="AP14" s="990"/>
      <c r="AQ14" s="975"/>
      <c r="AR14" s="975"/>
      <c r="AS14" s="975"/>
      <c r="AT14" s="975"/>
      <c r="AU14" s="975"/>
      <c r="AV14" s="975"/>
      <c r="AW14" s="975"/>
      <c r="AX14" s="975"/>
      <c r="AY14" s="648"/>
      <c r="AZ14" s="649"/>
      <c r="BA14" s="976" t="str">
        <f>MID(SUVAHAVUJ!AE34,1,1)</f>
        <v xml:space="preserve"> </v>
      </c>
      <c r="BB14" s="976"/>
      <c r="BC14" s="976"/>
      <c r="BD14" s="976"/>
      <c r="BE14" s="976"/>
      <c r="BF14" s="976"/>
      <c r="BG14" s="976" t="str">
        <f>MID(SUVAHAVUJ!AE34,2,1)</f>
        <v xml:space="preserve"> </v>
      </c>
      <c r="BH14" s="976"/>
      <c r="BI14" s="976"/>
      <c r="BJ14" s="976"/>
      <c r="BK14" s="976"/>
      <c r="BL14" s="976" t="str">
        <f>MID(SUVAHAVUJ!AE34,3,1)</f>
        <v xml:space="preserve"> </v>
      </c>
      <c r="BM14" s="976"/>
      <c r="BN14" s="976"/>
      <c r="BO14" s="976"/>
      <c r="BP14" s="976"/>
      <c r="BQ14" s="976"/>
      <c r="BR14" s="976" t="str">
        <f>MID(SUVAHAVUJ!AE34,4,1)</f>
        <v xml:space="preserve"> </v>
      </c>
      <c r="BS14" s="976"/>
      <c r="BT14" s="976"/>
      <c r="BU14" s="976"/>
      <c r="BV14" s="976"/>
      <c r="BW14" s="976" t="str">
        <f>MID(SUVAHAVUJ!AE34,5,1)</f>
        <v xml:space="preserve"> </v>
      </c>
      <c r="BX14" s="976"/>
      <c r="BY14" s="976"/>
      <c r="BZ14" s="976"/>
      <c r="CA14" s="976"/>
      <c r="CB14" s="976"/>
      <c r="CC14" s="976" t="str">
        <f>MID(SUVAHAVUJ!AE34,6,1)</f>
        <v xml:space="preserve"> </v>
      </c>
      <c r="CD14" s="976"/>
      <c r="CE14" s="976"/>
      <c r="CF14" s="976"/>
      <c r="CG14" s="976"/>
      <c r="CH14" s="976" t="str">
        <f>MID(SUVAHAVUJ!AE34,7,1)</f>
        <v xml:space="preserve"> </v>
      </c>
      <c r="CI14" s="976"/>
      <c r="CJ14" s="976"/>
      <c r="CK14" s="976"/>
      <c r="CL14" s="976"/>
      <c r="CM14" s="976"/>
      <c r="CN14" s="976" t="str">
        <f>MID(SUVAHAVUJ!AE34,8,1)</f>
        <v xml:space="preserve"> </v>
      </c>
      <c r="CO14" s="976"/>
      <c r="CP14" s="976"/>
      <c r="CQ14" s="976"/>
      <c r="CR14" s="976"/>
      <c r="CS14" s="976" t="str">
        <f>MID(SUVAHAVUJ!AE34,9,1)</f>
        <v xml:space="preserve"> </v>
      </c>
      <c r="CT14" s="976"/>
      <c r="CU14" s="976"/>
      <c r="CV14" s="976"/>
      <c r="CW14" s="976"/>
      <c r="CX14" s="976"/>
      <c r="CY14" s="976" t="str">
        <f>MID(SUVAHAVUJ!AE34,10,1)</f>
        <v xml:space="preserve"> </v>
      </c>
      <c r="CZ14" s="976"/>
      <c r="DA14" s="976"/>
      <c r="DB14" s="976"/>
      <c r="DC14" s="976"/>
      <c r="DD14" s="977" t="str">
        <f>MID(SUVAHAVUJ!AE34,11,1)</f>
        <v>0</v>
      </c>
      <c r="DE14" s="977"/>
      <c r="DF14" s="977"/>
      <c r="DG14" s="977"/>
      <c r="DH14" s="977"/>
      <c r="DI14" s="977"/>
      <c r="DJ14" s="980"/>
      <c r="DK14" s="980"/>
      <c r="DL14" s="980"/>
      <c r="DM14" s="980"/>
      <c r="DN14" s="980"/>
      <c r="DO14" s="980"/>
      <c r="DP14" s="980"/>
      <c r="DQ14" s="980"/>
      <c r="DR14" s="980"/>
      <c r="DS14" s="980"/>
      <c r="DT14" s="980"/>
      <c r="DU14" s="980"/>
      <c r="DV14" s="980"/>
      <c r="DW14" s="980"/>
      <c r="DX14" s="980"/>
      <c r="DY14" s="980"/>
      <c r="DZ14" s="980"/>
      <c r="EA14" s="980"/>
      <c r="EB14" s="980"/>
      <c r="EC14" s="980"/>
      <c r="ED14" s="980"/>
      <c r="EE14" s="980"/>
      <c r="EF14" s="980"/>
      <c r="EG14" s="980"/>
      <c r="EH14" s="980"/>
      <c r="EI14" s="980"/>
      <c r="EJ14" s="980"/>
      <c r="EK14" s="980"/>
      <c r="EL14" s="980"/>
      <c r="EM14" s="980"/>
      <c r="EN14" s="648"/>
      <c r="EO14" s="649"/>
      <c r="EP14" s="976" t="str">
        <f>MID(SUVAHAVUJ!AG34,1,1)</f>
        <v xml:space="preserve"> </v>
      </c>
      <c r="EQ14" s="976"/>
      <c r="ER14" s="976"/>
      <c r="ES14" s="976"/>
      <c r="ET14" s="976"/>
      <c r="EU14" s="976"/>
      <c r="EV14" s="976" t="str">
        <f>MID(SUVAHAVUJ!AG34,2,1)</f>
        <v xml:space="preserve"> </v>
      </c>
      <c r="EW14" s="976"/>
      <c r="EX14" s="976"/>
      <c r="EY14" s="976"/>
      <c r="EZ14" s="976"/>
      <c r="FA14" s="976" t="str">
        <f>MID(SUVAHAVUJ!AG34,3,1)</f>
        <v xml:space="preserve"> </v>
      </c>
      <c r="FB14" s="976"/>
      <c r="FC14" s="976"/>
      <c r="FD14" s="976"/>
      <c r="FE14" s="976"/>
      <c r="FF14" s="976"/>
      <c r="FG14" s="976" t="str">
        <f>MID(SUVAHAVUJ!AG34,4,1)</f>
        <v xml:space="preserve"> </v>
      </c>
      <c r="FH14" s="976"/>
      <c r="FI14" s="976"/>
      <c r="FJ14" s="976"/>
      <c r="FK14" s="976"/>
      <c r="FL14" s="976" t="str">
        <f>MID(SUVAHAVUJ!AG34,5,1)</f>
        <v xml:space="preserve"> </v>
      </c>
      <c r="FM14" s="976"/>
      <c r="FN14" s="976"/>
      <c r="FO14" s="976"/>
      <c r="FP14" s="976"/>
      <c r="FQ14" s="976"/>
      <c r="FR14" s="976" t="str">
        <f>MID(SUVAHAVUJ!AG34,6,1)</f>
        <v xml:space="preserve"> </v>
      </c>
      <c r="FS14" s="976"/>
      <c r="FT14" s="976"/>
      <c r="FU14" s="976"/>
      <c r="FV14" s="976"/>
      <c r="FW14" s="976" t="str">
        <f>MID(SUVAHAVUJ!AG34,7,1)</f>
        <v xml:space="preserve"> </v>
      </c>
      <c r="FX14" s="976"/>
      <c r="FY14" s="976"/>
      <c r="FZ14" s="976"/>
      <c r="GA14" s="976"/>
      <c r="GB14" s="976"/>
      <c r="GC14" s="976" t="str">
        <f>MID(SUVAHAVUJ!AG34,8,1)</f>
        <v xml:space="preserve"> </v>
      </c>
      <c r="GD14" s="976"/>
      <c r="GE14" s="976"/>
      <c r="GF14" s="976"/>
      <c r="GG14" s="976"/>
      <c r="GH14" s="976" t="str">
        <f>MID(SUVAHAVUJ!AG34,9,1)</f>
        <v xml:space="preserve"> </v>
      </c>
      <c r="GI14" s="976"/>
      <c r="GJ14" s="976"/>
      <c r="GK14" s="976"/>
      <c r="GL14" s="976"/>
      <c r="GM14" s="976"/>
      <c r="GN14" s="976" t="str">
        <f>MID(SUVAHAVUJ!AG34,10,1)</f>
        <v xml:space="preserve"> </v>
      </c>
      <c r="GO14" s="976"/>
      <c r="GP14" s="976"/>
      <c r="GQ14" s="976"/>
      <c r="GR14" s="976"/>
      <c r="GS14" s="978" t="str">
        <f>MID(SUVAHAVUJ!AG34,11,1)</f>
        <v>0</v>
      </c>
      <c r="GT14" s="978"/>
      <c r="GU14" s="978"/>
      <c r="GV14" s="978"/>
      <c r="GW14" s="978"/>
    </row>
    <row r="15" spans="1:205" s="650" customFormat="1" ht="24" customHeight="1" x14ac:dyDescent="0.3">
      <c r="B15" s="981" t="s">
        <v>2186</v>
      </c>
      <c r="C15" s="981"/>
      <c r="D15" s="981"/>
      <c r="E15" s="981"/>
      <c r="F15" s="981"/>
      <c r="G15" s="981"/>
      <c r="H15" s="981"/>
      <c r="I15" s="981"/>
      <c r="J15" s="981"/>
      <c r="K15" s="981"/>
      <c r="L15" s="991" t="str">
        <f>SUVAHAVUJ!$D$35</f>
        <v>Obežný majetok r. 34 + r. 41 + r. 53 + r. 66 + r. 71</v>
      </c>
      <c r="M15" s="991"/>
      <c r="N15" s="991"/>
      <c r="O15" s="991"/>
      <c r="P15" s="991"/>
      <c r="Q15" s="991"/>
      <c r="R15" s="991"/>
      <c r="S15" s="991"/>
      <c r="T15" s="991"/>
      <c r="U15" s="991"/>
      <c r="V15" s="991"/>
      <c r="W15" s="991"/>
      <c r="X15" s="991"/>
      <c r="Y15" s="991"/>
      <c r="Z15" s="991"/>
      <c r="AA15" s="991"/>
      <c r="AB15" s="991"/>
      <c r="AC15" s="991"/>
      <c r="AD15" s="991"/>
      <c r="AE15" s="991"/>
      <c r="AF15" s="991"/>
      <c r="AG15" s="991"/>
      <c r="AH15" s="991"/>
      <c r="AI15" s="991"/>
      <c r="AJ15" s="991"/>
      <c r="AK15" s="991"/>
      <c r="AL15" s="991"/>
      <c r="AM15" s="991"/>
      <c r="AN15" s="991"/>
      <c r="AO15" s="991"/>
      <c r="AP15" s="991"/>
      <c r="AQ15" s="975" t="s">
        <v>2185</v>
      </c>
      <c r="AR15" s="975"/>
      <c r="AS15" s="975"/>
      <c r="AT15" s="975"/>
      <c r="AU15" s="975"/>
      <c r="AV15" s="975"/>
      <c r="AW15" s="975"/>
      <c r="AX15" s="975"/>
      <c r="AY15" s="648"/>
      <c r="AZ15" s="649"/>
      <c r="BA15" s="976" t="str">
        <f>MID(SUVAHAVUJ!AD35,1,1)</f>
        <v xml:space="preserve"> </v>
      </c>
      <c r="BB15" s="976"/>
      <c r="BC15" s="976"/>
      <c r="BD15" s="976"/>
      <c r="BE15" s="976"/>
      <c r="BF15" s="976"/>
      <c r="BG15" s="976" t="str">
        <f>MID(SUVAHAVUJ!AD35,2,1)</f>
        <v xml:space="preserve"> </v>
      </c>
      <c r="BH15" s="976"/>
      <c r="BI15" s="976"/>
      <c r="BJ15" s="976"/>
      <c r="BK15" s="976"/>
      <c r="BL15" s="976" t="str">
        <f>MID(SUVAHAVUJ!AD35,3,1)</f>
        <v xml:space="preserve"> </v>
      </c>
      <c r="BM15" s="976"/>
      <c r="BN15" s="976"/>
      <c r="BO15" s="976"/>
      <c r="BP15" s="976"/>
      <c r="BQ15" s="976"/>
      <c r="BR15" s="976" t="str">
        <f>MID(SUVAHAVUJ!AD35,4,1)</f>
        <v xml:space="preserve"> </v>
      </c>
      <c r="BS15" s="976"/>
      <c r="BT15" s="976"/>
      <c r="BU15" s="976"/>
      <c r="BV15" s="976"/>
      <c r="BW15" s="976" t="str">
        <f>MID(SUVAHAVUJ!AD35,5,1)</f>
        <v xml:space="preserve"> </v>
      </c>
      <c r="BX15" s="976"/>
      <c r="BY15" s="976"/>
      <c r="BZ15" s="976"/>
      <c r="CA15" s="976"/>
      <c r="CB15" s="976"/>
      <c r="CC15" s="976" t="str">
        <f>MID(SUVAHAVUJ!AD35,6,1)</f>
        <v xml:space="preserve"> </v>
      </c>
      <c r="CD15" s="976"/>
      <c r="CE15" s="976"/>
      <c r="CF15" s="976"/>
      <c r="CG15" s="976"/>
      <c r="CH15" s="976" t="str">
        <f>MID(SUVAHAVUJ!AD35,7,1)</f>
        <v>9</v>
      </c>
      <c r="CI15" s="976"/>
      <c r="CJ15" s="976"/>
      <c r="CK15" s="976"/>
      <c r="CL15" s="976"/>
      <c r="CM15" s="976"/>
      <c r="CN15" s="976" t="str">
        <f>MID(SUVAHAVUJ!AD35,8,1)</f>
        <v>5</v>
      </c>
      <c r="CO15" s="976"/>
      <c r="CP15" s="976"/>
      <c r="CQ15" s="976"/>
      <c r="CR15" s="976"/>
      <c r="CS15" s="976" t="str">
        <f>MID(SUVAHAVUJ!AD35,9,1)</f>
        <v>3</v>
      </c>
      <c r="CT15" s="976"/>
      <c r="CU15" s="976"/>
      <c r="CV15" s="976"/>
      <c r="CW15" s="976"/>
      <c r="CX15" s="976"/>
      <c r="CY15" s="976" t="str">
        <f>MID(SUVAHAVUJ!AD35,10,1)</f>
        <v>3</v>
      </c>
      <c r="CZ15" s="976"/>
      <c r="DA15" s="976"/>
      <c r="DB15" s="976"/>
      <c r="DC15" s="976"/>
      <c r="DD15" s="977" t="str">
        <f>MID(SUVAHAVUJ!AD35,11,1)</f>
        <v>6</v>
      </c>
      <c r="DE15" s="977"/>
      <c r="DF15" s="977"/>
      <c r="DG15" s="977"/>
      <c r="DH15" s="977"/>
      <c r="DI15" s="977"/>
      <c r="DJ15" s="648"/>
      <c r="DK15" s="649"/>
      <c r="DL15" s="976" t="str">
        <f>MID(SUVAHAVUJ!AF35,1,1)</f>
        <v xml:space="preserve"> </v>
      </c>
      <c r="DM15" s="976"/>
      <c r="DN15" s="976"/>
      <c r="DO15" s="976"/>
      <c r="DP15" s="976"/>
      <c r="DQ15" s="976"/>
      <c r="DR15" s="976" t="str">
        <f>MID(SUVAHAVUJ!AF35,2,1)</f>
        <v xml:space="preserve"> </v>
      </c>
      <c r="DS15" s="976"/>
      <c r="DT15" s="976"/>
      <c r="DU15" s="976"/>
      <c r="DV15" s="976"/>
      <c r="DW15" s="976" t="str">
        <f>MID(SUVAHAVUJ!AF35,3,1)</f>
        <v xml:space="preserve"> </v>
      </c>
      <c r="DX15" s="976"/>
      <c r="DY15" s="976"/>
      <c r="DZ15" s="976"/>
      <c r="EA15" s="976"/>
      <c r="EB15" s="976"/>
      <c r="EC15" s="976" t="str">
        <f>MID(SUVAHAVUJ!AF35,4,1)</f>
        <v xml:space="preserve"> </v>
      </c>
      <c r="ED15" s="976"/>
      <c r="EE15" s="976"/>
      <c r="EF15" s="976"/>
      <c r="EG15" s="976"/>
      <c r="EH15" s="976" t="str">
        <f>MID(SUVAHAVUJ!AF35,5,1)</f>
        <v xml:space="preserve"> </v>
      </c>
      <c r="EI15" s="976"/>
      <c r="EJ15" s="976"/>
      <c r="EK15" s="976"/>
      <c r="EL15" s="976"/>
      <c r="EM15" s="976"/>
      <c r="EN15" s="976" t="str">
        <f>MID(SUVAHAVUJ!AF35,6,1)</f>
        <v xml:space="preserve"> </v>
      </c>
      <c r="EO15" s="976"/>
      <c r="EP15" s="976"/>
      <c r="EQ15" s="976"/>
      <c r="ER15" s="976"/>
      <c r="ES15" s="976" t="str">
        <f>MID(SUVAHAVUJ!AF35,7,1)</f>
        <v>9</v>
      </c>
      <c r="ET15" s="976"/>
      <c r="EU15" s="976"/>
      <c r="EV15" s="976"/>
      <c r="EW15" s="976"/>
      <c r="EX15" s="976"/>
      <c r="EY15" s="976" t="str">
        <f>MID(SUVAHAVUJ!AF35,8,1)</f>
        <v>5</v>
      </c>
      <c r="EZ15" s="976"/>
      <c r="FA15" s="976"/>
      <c r="FB15" s="976"/>
      <c r="FC15" s="976"/>
      <c r="FD15" s="976" t="str">
        <f>MID(SUVAHAVUJ!AF35,9,1)</f>
        <v>3</v>
      </c>
      <c r="FE15" s="976"/>
      <c r="FF15" s="976"/>
      <c r="FG15" s="976"/>
      <c r="FH15" s="976"/>
      <c r="FI15" s="976"/>
      <c r="FJ15" s="976" t="str">
        <f>MID(SUVAHAVUJ!AF35,10,1)</f>
        <v>3</v>
      </c>
      <c r="FK15" s="976"/>
      <c r="FL15" s="976"/>
      <c r="FM15" s="976"/>
      <c r="FN15" s="976"/>
      <c r="FO15" s="978" t="str">
        <f>MID(SUVAHAVUJ!AF35,11,1)</f>
        <v>6</v>
      </c>
      <c r="FP15" s="978"/>
      <c r="FQ15" s="978"/>
      <c r="FR15" s="978"/>
      <c r="FS15" s="978"/>
      <c r="FT15" s="979"/>
      <c r="FU15" s="979"/>
      <c r="FV15" s="979"/>
      <c r="FW15" s="979"/>
      <c r="FX15" s="979"/>
      <c r="FY15" s="979"/>
      <c r="FZ15" s="979"/>
      <c r="GA15" s="979"/>
      <c r="GB15" s="979"/>
      <c r="GC15" s="979"/>
      <c r="GD15" s="979"/>
      <c r="GE15" s="979"/>
      <c r="GF15" s="979"/>
      <c r="GG15" s="979"/>
      <c r="GH15" s="979"/>
      <c r="GI15" s="979"/>
      <c r="GJ15" s="979"/>
      <c r="GK15" s="979"/>
      <c r="GL15" s="979"/>
      <c r="GM15" s="979"/>
      <c r="GN15" s="979"/>
      <c r="GO15" s="979"/>
      <c r="GP15" s="979"/>
      <c r="GQ15" s="979"/>
      <c r="GR15" s="979"/>
      <c r="GS15" s="979"/>
      <c r="GT15" s="979"/>
      <c r="GU15" s="979"/>
      <c r="GV15" s="979"/>
      <c r="GW15" s="979"/>
    </row>
    <row r="16" spans="1:205" ht="24.75" customHeight="1" x14ac:dyDescent="0.3">
      <c r="B16" s="981"/>
      <c r="C16" s="981"/>
      <c r="D16" s="981"/>
      <c r="E16" s="981"/>
      <c r="F16" s="981"/>
      <c r="G16" s="981"/>
      <c r="H16" s="981"/>
      <c r="I16" s="981"/>
      <c r="J16" s="981"/>
      <c r="K16" s="981"/>
      <c r="L16" s="991"/>
      <c r="M16" s="991"/>
      <c r="N16" s="991"/>
      <c r="O16" s="991"/>
      <c r="P16" s="991"/>
      <c r="Q16" s="991"/>
      <c r="R16" s="991"/>
      <c r="S16" s="991"/>
      <c r="T16" s="991"/>
      <c r="U16" s="991"/>
      <c r="V16" s="991"/>
      <c r="W16" s="991"/>
      <c r="X16" s="991"/>
      <c r="Y16" s="991"/>
      <c r="Z16" s="991"/>
      <c r="AA16" s="991"/>
      <c r="AB16" s="991"/>
      <c r="AC16" s="991"/>
      <c r="AD16" s="991"/>
      <c r="AE16" s="991"/>
      <c r="AF16" s="991"/>
      <c r="AG16" s="991"/>
      <c r="AH16" s="991"/>
      <c r="AI16" s="991"/>
      <c r="AJ16" s="991"/>
      <c r="AK16" s="991"/>
      <c r="AL16" s="991"/>
      <c r="AM16" s="991"/>
      <c r="AN16" s="991"/>
      <c r="AO16" s="991"/>
      <c r="AP16" s="991"/>
      <c r="AQ16" s="975"/>
      <c r="AR16" s="975"/>
      <c r="AS16" s="975"/>
      <c r="AT16" s="975"/>
      <c r="AU16" s="975"/>
      <c r="AV16" s="975"/>
      <c r="AW16" s="975"/>
      <c r="AX16" s="975"/>
      <c r="AY16" s="648"/>
      <c r="AZ16" s="649"/>
      <c r="BA16" s="976" t="str">
        <f>MID(SUVAHAVUJ!AE35,1,1)</f>
        <v xml:space="preserve"> </v>
      </c>
      <c r="BB16" s="976"/>
      <c r="BC16" s="976"/>
      <c r="BD16" s="976"/>
      <c r="BE16" s="976"/>
      <c r="BF16" s="976"/>
      <c r="BG16" s="976" t="str">
        <f>MID(SUVAHAVUJ!AE35,2,1)</f>
        <v xml:space="preserve"> </v>
      </c>
      <c r="BH16" s="976"/>
      <c r="BI16" s="976"/>
      <c r="BJ16" s="976"/>
      <c r="BK16" s="976"/>
      <c r="BL16" s="976" t="str">
        <f>MID(SUVAHAVUJ!AE35,3,1)</f>
        <v xml:space="preserve"> </v>
      </c>
      <c r="BM16" s="976"/>
      <c r="BN16" s="976"/>
      <c r="BO16" s="976"/>
      <c r="BP16" s="976"/>
      <c r="BQ16" s="976"/>
      <c r="BR16" s="976" t="str">
        <f>MID(SUVAHAVUJ!AE35,4,1)</f>
        <v xml:space="preserve"> </v>
      </c>
      <c r="BS16" s="976"/>
      <c r="BT16" s="976"/>
      <c r="BU16" s="976"/>
      <c r="BV16" s="976"/>
      <c r="BW16" s="976" t="str">
        <f>MID(SUVAHAVUJ!AE35,5,1)</f>
        <v xml:space="preserve"> </v>
      </c>
      <c r="BX16" s="976"/>
      <c r="BY16" s="976"/>
      <c r="BZ16" s="976"/>
      <c r="CA16" s="976"/>
      <c r="CB16" s="976"/>
      <c r="CC16" s="976" t="str">
        <f>MID(SUVAHAVUJ!AE35,6,1)</f>
        <v xml:space="preserve"> </v>
      </c>
      <c r="CD16" s="976"/>
      <c r="CE16" s="976"/>
      <c r="CF16" s="976"/>
      <c r="CG16" s="976"/>
      <c r="CH16" s="976" t="str">
        <f>MID(SUVAHAVUJ!AE35,7,1)</f>
        <v xml:space="preserve"> </v>
      </c>
      <c r="CI16" s="976"/>
      <c r="CJ16" s="976"/>
      <c r="CK16" s="976"/>
      <c r="CL16" s="976"/>
      <c r="CM16" s="976"/>
      <c r="CN16" s="976" t="str">
        <f>MID(SUVAHAVUJ!AE35,8,1)</f>
        <v xml:space="preserve"> </v>
      </c>
      <c r="CO16" s="976"/>
      <c r="CP16" s="976"/>
      <c r="CQ16" s="976"/>
      <c r="CR16" s="976"/>
      <c r="CS16" s="976" t="str">
        <f>MID(SUVAHAVUJ!AE35,9,1)</f>
        <v xml:space="preserve"> </v>
      </c>
      <c r="CT16" s="976"/>
      <c r="CU16" s="976"/>
      <c r="CV16" s="976"/>
      <c r="CW16" s="976"/>
      <c r="CX16" s="976"/>
      <c r="CY16" s="976" t="str">
        <f>MID(SUVAHAVUJ!AE35,10,1)</f>
        <v xml:space="preserve"> </v>
      </c>
      <c r="CZ16" s="976"/>
      <c r="DA16" s="976"/>
      <c r="DB16" s="976"/>
      <c r="DC16" s="976"/>
      <c r="DD16" s="977" t="str">
        <f>MID(SUVAHAVUJ!AE35,11,1)</f>
        <v>0</v>
      </c>
      <c r="DE16" s="977"/>
      <c r="DF16" s="977"/>
      <c r="DG16" s="977"/>
      <c r="DH16" s="977"/>
      <c r="DI16" s="977"/>
      <c r="DJ16" s="980"/>
      <c r="DK16" s="980"/>
      <c r="DL16" s="980"/>
      <c r="DM16" s="980"/>
      <c r="DN16" s="980"/>
      <c r="DO16" s="980"/>
      <c r="DP16" s="980"/>
      <c r="DQ16" s="980"/>
      <c r="DR16" s="980"/>
      <c r="DS16" s="980"/>
      <c r="DT16" s="980"/>
      <c r="DU16" s="980"/>
      <c r="DV16" s="980"/>
      <c r="DW16" s="980"/>
      <c r="DX16" s="980"/>
      <c r="DY16" s="980"/>
      <c r="DZ16" s="980"/>
      <c r="EA16" s="980"/>
      <c r="EB16" s="980"/>
      <c r="EC16" s="980"/>
      <c r="ED16" s="980"/>
      <c r="EE16" s="980"/>
      <c r="EF16" s="980"/>
      <c r="EG16" s="980"/>
      <c r="EH16" s="980"/>
      <c r="EI16" s="980"/>
      <c r="EJ16" s="980"/>
      <c r="EK16" s="980"/>
      <c r="EL16" s="980"/>
      <c r="EM16" s="980"/>
      <c r="EN16" s="648"/>
      <c r="EO16" s="649"/>
      <c r="EP16" s="976" t="str">
        <f>MID(SUVAHAVUJ!AG35,1,1)</f>
        <v xml:space="preserve"> </v>
      </c>
      <c r="EQ16" s="976"/>
      <c r="ER16" s="976"/>
      <c r="ES16" s="976"/>
      <c r="ET16" s="976"/>
      <c r="EU16" s="976"/>
      <c r="EV16" s="976" t="str">
        <f>MID(SUVAHAVUJ!AG35,2,1)</f>
        <v xml:space="preserve"> </v>
      </c>
      <c r="EW16" s="976"/>
      <c r="EX16" s="976"/>
      <c r="EY16" s="976"/>
      <c r="EZ16" s="976"/>
      <c r="FA16" s="976" t="str">
        <f>MID(SUVAHAVUJ!AG35,3,1)</f>
        <v xml:space="preserve"> </v>
      </c>
      <c r="FB16" s="976"/>
      <c r="FC16" s="976"/>
      <c r="FD16" s="976"/>
      <c r="FE16" s="976"/>
      <c r="FF16" s="976"/>
      <c r="FG16" s="976" t="str">
        <f>MID(SUVAHAVUJ!AG35,4,1)</f>
        <v xml:space="preserve"> </v>
      </c>
      <c r="FH16" s="976"/>
      <c r="FI16" s="976"/>
      <c r="FJ16" s="976"/>
      <c r="FK16" s="976"/>
      <c r="FL16" s="976" t="str">
        <f>MID(SUVAHAVUJ!AG35,5,1)</f>
        <v xml:space="preserve"> </v>
      </c>
      <c r="FM16" s="976"/>
      <c r="FN16" s="976"/>
      <c r="FO16" s="976"/>
      <c r="FP16" s="976"/>
      <c r="FQ16" s="976"/>
      <c r="FR16" s="976" t="str">
        <f>MID(SUVAHAVUJ!AG35,6,1)</f>
        <v xml:space="preserve"> </v>
      </c>
      <c r="FS16" s="976"/>
      <c r="FT16" s="976"/>
      <c r="FU16" s="976"/>
      <c r="FV16" s="976"/>
      <c r="FW16" s="976" t="str">
        <f>MID(SUVAHAVUJ!AG35,7,1)</f>
        <v>8</v>
      </c>
      <c r="FX16" s="976"/>
      <c r="FY16" s="976"/>
      <c r="FZ16" s="976"/>
      <c r="GA16" s="976"/>
      <c r="GB16" s="976"/>
      <c r="GC16" s="976" t="str">
        <f>MID(SUVAHAVUJ!AG35,8,1)</f>
        <v>8</v>
      </c>
      <c r="GD16" s="976"/>
      <c r="GE16" s="976"/>
      <c r="GF16" s="976"/>
      <c r="GG16" s="976"/>
      <c r="GH16" s="976" t="str">
        <f>MID(SUVAHAVUJ!AG35,9,1)</f>
        <v>5</v>
      </c>
      <c r="GI16" s="976"/>
      <c r="GJ16" s="976"/>
      <c r="GK16" s="976"/>
      <c r="GL16" s="976"/>
      <c r="GM16" s="976"/>
      <c r="GN16" s="976" t="str">
        <f>MID(SUVAHAVUJ!AG35,10,1)</f>
        <v>0</v>
      </c>
      <c r="GO16" s="976"/>
      <c r="GP16" s="976"/>
      <c r="GQ16" s="976"/>
      <c r="GR16" s="976"/>
      <c r="GS16" s="978" t="str">
        <f>MID(SUVAHAVUJ!AG35,11,1)</f>
        <v>0</v>
      </c>
      <c r="GT16" s="978"/>
      <c r="GU16" s="978"/>
      <c r="GV16" s="978"/>
      <c r="GW16" s="978"/>
    </row>
    <row r="17" spans="2:205" s="650" customFormat="1" ht="23.25" customHeight="1" x14ac:dyDescent="0.3">
      <c r="B17" s="981" t="s">
        <v>2188</v>
      </c>
      <c r="C17" s="981"/>
      <c r="D17" s="981"/>
      <c r="E17" s="981"/>
      <c r="F17" s="981"/>
      <c r="G17" s="981"/>
      <c r="H17" s="981"/>
      <c r="I17" s="981"/>
      <c r="J17" s="981"/>
      <c r="K17" s="981"/>
      <c r="L17" s="991" t="str">
        <f>SUVAHAVUJ!$D$36</f>
        <v>Zásoby súčet (r. 35 až r. 40)</v>
      </c>
      <c r="M17" s="991"/>
      <c r="N17" s="991"/>
      <c r="O17" s="991"/>
      <c r="P17" s="991"/>
      <c r="Q17" s="991"/>
      <c r="R17" s="991"/>
      <c r="S17" s="991"/>
      <c r="T17" s="991"/>
      <c r="U17" s="991"/>
      <c r="V17" s="991"/>
      <c r="W17" s="991"/>
      <c r="X17" s="991"/>
      <c r="Y17" s="991"/>
      <c r="Z17" s="991"/>
      <c r="AA17" s="991"/>
      <c r="AB17" s="991"/>
      <c r="AC17" s="991"/>
      <c r="AD17" s="991"/>
      <c r="AE17" s="991"/>
      <c r="AF17" s="991"/>
      <c r="AG17" s="991"/>
      <c r="AH17" s="991"/>
      <c r="AI17" s="991"/>
      <c r="AJ17" s="991"/>
      <c r="AK17" s="991"/>
      <c r="AL17" s="991"/>
      <c r="AM17" s="991"/>
      <c r="AN17" s="991"/>
      <c r="AO17" s="991"/>
      <c r="AP17" s="991"/>
      <c r="AQ17" s="975" t="s">
        <v>2187</v>
      </c>
      <c r="AR17" s="975"/>
      <c r="AS17" s="975"/>
      <c r="AT17" s="975"/>
      <c r="AU17" s="975"/>
      <c r="AV17" s="975"/>
      <c r="AW17" s="975"/>
      <c r="AX17" s="975"/>
      <c r="AY17" s="648"/>
      <c r="AZ17" s="649"/>
      <c r="BA17" s="976" t="str">
        <f>MID(SUVAHAVUJ!AD36,1,1)</f>
        <v xml:space="preserve"> </v>
      </c>
      <c r="BB17" s="976"/>
      <c r="BC17" s="976"/>
      <c r="BD17" s="976"/>
      <c r="BE17" s="976"/>
      <c r="BF17" s="976"/>
      <c r="BG17" s="976" t="str">
        <f>MID(SUVAHAVUJ!AD36,2,1)</f>
        <v xml:space="preserve"> </v>
      </c>
      <c r="BH17" s="976"/>
      <c r="BI17" s="976"/>
      <c r="BJ17" s="976"/>
      <c r="BK17" s="976"/>
      <c r="BL17" s="976" t="str">
        <f>MID(SUVAHAVUJ!AD36,3,1)</f>
        <v xml:space="preserve"> </v>
      </c>
      <c r="BM17" s="976"/>
      <c r="BN17" s="976"/>
      <c r="BO17" s="976"/>
      <c r="BP17" s="976"/>
      <c r="BQ17" s="976"/>
      <c r="BR17" s="976" t="str">
        <f>MID(SUVAHAVUJ!AD36,4,1)</f>
        <v xml:space="preserve"> </v>
      </c>
      <c r="BS17" s="976"/>
      <c r="BT17" s="976"/>
      <c r="BU17" s="976"/>
      <c r="BV17" s="976"/>
      <c r="BW17" s="976" t="str">
        <f>MID(SUVAHAVUJ!AD36,5,1)</f>
        <v xml:space="preserve"> </v>
      </c>
      <c r="BX17" s="976"/>
      <c r="BY17" s="976"/>
      <c r="BZ17" s="976"/>
      <c r="CA17" s="976"/>
      <c r="CB17" s="976"/>
      <c r="CC17" s="976" t="str">
        <f>MID(SUVAHAVUJ!AD36,6,1)</f>
        <v xml:space="preserve"> </v>
      </c>
      <c r="CD17" s="976"/>
      <c r="CE17" s="976"/>
      <c r="CF17" s="976"/>
      <c r="CG17" s="976"/>
      <c r="CH17" s="976" t="str">
        <f>MID(SUVAHAVUJ!AD36,7,1)</f>
        <v>5</v>
      </c>
      <c r="CI17" s="976"/>
      <c r="CJ17" s="976"/>
      <c r="CK17" s="976"/>
      <c r="CL17" s="976"/>
      <c r="CM17" s="976"/>
      <c r="CN17" s="976" t="str">
        <f>MID(SUVAHAVUJ!AD36,8,1)</f>
        <v>2</v>
      </c>
      <c r="CO17" s="976"/>
      <c r="CP17" s="976"/>
      <c r="CQ17" s="976"/>
      <c r="CR17" s="976"/>
      <c r="CS17" s="976" t="str">
        <f>MID(SUVAHAVUJ!AD36,9,1)</f>
        <v>1</v>
      </c>
      <c r="CT17" s="976"/>
      <c r="CU17" s="976"/>
      <c r="CV17" s="976"/>
      <c r="CW17" s="976"/>
      <c r="CX17" s="976"/>
      <c r="CY17" s="976" t="str">
        <f>MID(SUVAHAVUJ!AD36,10,1)</f>
        <v>3</v>
      </c>
      <c r="CZ17" s="976"/>
      <c r="DA17" s="976"/>
      <c r="DB17" s="976"/>
      <c r="DC17" s="976"/>
      <c r="DD17" s="977" t="str">
        <f>MID(SUVAHAVUJ!AD36,11,1)</f>
        <v>0</v>
      </c>
      <c r="DE17" s="977"/>
      <c r="DF17" s="977"/>
      <c r="DG17" s="977"/>
      <c r="DH17" s="977"/>
      <c r="DI17" s="977"/>
      <c r="DJ17" s="648"/>
      <c r="DK17" s="649"/>
      <c r="DL17" s="976" t="str">
        <f>MID(SUVAHAVUJ!AF36,1,1)</f>
        <v xml:space="preserve"> </v>
      </c>
      <c r="DM17" s="976"/>
      <c r="DN17" s="976"/>
      <c r="DO17" s="976"/>
      <c r="DP17" s="976"/>
      <c r="DQ17" s="976"/>
      <c r="DR17" s="976" t="str">
        <f>MID(SUVAHAVUJ!AF36,2,1)</f>
        <v xml:space="preserve"> </v>
      </c>
      <c r="DS17" s="976"/>
      <c r="DT17" s="976"/>
      <c r="DU17" s="976"/>
      <c r="DV17" s="976"/>
      <c r="DW17" s="976" t="str">
        <f>MID(SUVAHAVUJ!AF36,3,1)</f>
        <v xml:space="preserve"> </v>
      </c>
      <c r="DX17" s="976"/>
      <c r="DY17" s="976"/>
      <c r="DZ17" s="976"/>
      <c r="EA17" s="976"/>
      <c r="EB17" s="976"/>
      <c r="EC17" s="976" t="str">
        <f>MID(SUVAHAVUJ!AF36,4,1)</f>
        <v xml:space="preserve"> </v>
      </c>
      <c r="ED17" s="976"/>
      <c r="EE17" s="976"/>
      <c r="EF17" s="976"/>
      <c r="EG17" s="976"/>
      <c r="EH17" s="976" t="str">
        <f>MID(SUVAHAVUJ!AF36,5,1)</f>
        <v xml:space="preserve"> </v>
      </c>
      <c r="EI17" s="976"/>
      <c r="EJ17" s="976"/>
      <c r="EK17" s="976"/>
      <c r="EL17" s="976"/>
      <c r="EM17" s="976"/>
      <c r="EN17" s="976" t="str">
        <f>MID(SUVAHAVUJ!AF36,6,1)</f>
        <v xml:space="preserve"> </v>
      </c>
      <c r="EO17" s="976"/>
      <c r="EP17" s="976"/>
      <c r="EQ17" s="976"/>
      <c r="ER17" s="976"/>
      <c r="ES17" s="976" t="str">
        <f>MID(SUVAHAVUJ!AF36,7,1)</f>
        <v>5</v>
      </c>
      <c r="ET17" s="976"/>
      <c r="EU17" s="976"/>
      <c r="EV17" s="976"/>
      <c r="EW17" s="976"/>
      <c r="EX17" s="976"/>
      <c r="EY17" s="976" t="str">
        <f>MID(SUVAHAVUJ!AF36,8,1)</f>
        <v>2</v>
      </c>
      <c r="EZ17" s="976"/>
      <c r="FA17" s="976"/>
      <c r="FB17" s="976"/>
      <c r="FC17" s="976"/>
      <c r="FD17" s="976" t="str">
        <f>MID(SUVAHAVUJ!AF36,9,1)</f>
        <v>1</v>
      </c>
      <c r="FE17" s="976"/>
      <c r="FF17" s="976"/>
      <c r="FG17" s="976"/>
      <c r="FH17" s="976"/>
      <c r="FI17" s="976"/>
      <c r="FJ17" s="976" t="str">
        <f>MID(SUVAHAVUJ!AF36,10,1)</f>
        <v>3</v>
      </c>
      <c r="FK17" s="976"/>
      <c r="FL17" s="976"/>
      <c r="FM17" s="976"/>
      <c r="FN17" s="976"/>
      <c r="FO17" s="978" t="str">
        <f>MID(SUVAHAVUJ!AF36,11,1)</f>
        <v>0</v>
      </c>
      <c r="FP17" s="978"/>
      <c r="FQ17" s="978"/>
      <c r="FR17" s="978"/>
      <c r="FS17" s="978"/>
      <c r="FT17" s="979"/>
      <c r="FU17" s="979"/>
      <c r="FV17" s="979"/>
      <c r="FW17" s="979"/>
      <c r="FX17" s="979"/>
      <c r="FY17" s="979"/>
      <c r="FZ17" s="979"/>
      <c r="GA17" s="979"/>
      <c r="GB17" s="979"/>
      <c r="GC17" s="979"/>
      <c r="GD17" s="979"/>
      <c r="GE17" s="979"/>
      <c r="GF17" s="979"/>
      <c r="GG17" s="979"/>
      <c r="GH17" s="979"/>
      <c r="GI17" s="979"/>
      <c r="GJ17" s="979"/>
      <c r="GK17" s="979"/>
      <c r="GL17" s="979"/>
      <c r="GM17" s="979"/>
      <c r="GN17" s="979"/>
      <c r="GO17" s="979"/>
      <c r="GP17" s="979"/>
      <c r="GQ17" s="979"/>
      <c r="GR17" s="979"/>
      <c r="GS17" s="979"/>
      <c r="GT17" s="979"/>
      <c r="GU17" s="979"/>
      <c r="GV17" s="979"/>
      <c r="GW17" s="979"/>
    </row>
    <row r="18" spans="2:205" ht="23.25" customHeight="1" x14ac:dyDescent="0.3">
      <c r="B18" s="981"/>
      <c r="C18" s="981"/>
      <c r="D18" s="981"/>
      <c r="E18" s="981"/>
      <c r="F18" s="981"/>
      <c r="G18" s="981"/>
      <c r="H18" s="981"/>
      <c r="I18" s="981"/>
      <c r="J18" s="981"/>
      <c r="K18" s="981"/>
      <c r="L18" s="991"/>
      <c r="M18" s="991"/>
      <c r="N18" s="991"/>
      <c r="O18" s="991"/>
      <c r="P18" s="991"/>
      <c r="Q18" s="991"/>
      <c r="R18" s="991"/>
      <c r="S18" s="991"/>
      <c r="T18" s="991"/>
      <c r="U18" s="991"/>
      <c r="V18" s="991"/>
      <c r="W18" s="991"/>
      <c r="X18" s="991"/>
      <c r="Y18" s="991"/>
      <c r="Z18" s="991"/>
      <c r="AA18" s="991"/>
      <c r="AB18" s="991"/>
      <c r="AC18" s="991"/>
      <c r="AD18" s="991"/>
      <c r="AE18" s="991"/>
      <c r="AF18" s="991"/>
      <c r="AG18" s="991"/>
      <c r="AH18" s="991"/>
      <c r="AI18" s="991"/>
      <c r="AJ18" s="991"/>
      <c r="AK18" s="991"/>
      <c r="AL18" s="991"/>
      <c r="AM18" s="991"/>
      <c r="AN18" s="991"/>
      <c r="AO18" s="991"/>
      <c r="AP18" s="991"/>
      <c r="AQ18" s="975"/>
      <c r="AR18" s="975"/>
      <c r="AS18" s="975"/>
      <c r="AT18" s="975"/>
      <c r="AU18" s="975"/>
      <c r="AV18" s="975"/>
      <c r="AW18" s="975"/>
      <c r="AX18" s="975"/>
      <c r="AY18" s="648"/>
      <c r="AZ18" s="649"/>
      <c r="BA18" s="976" t="str">
        <f>MID(SUVAHAVUJ!AE36,1,1)</f>
        <v xml:space="preserve"> </v>
      </c>
      <c r="BB18" s="976"/>
      <c r="BC18" s="976"/>
      <c r="BD18" s="976"/>
      <c r="BE18" s="976"/>
      <c r="BF18" s="976"/>
      <c r="BG18" s="976" t="str">
        <f>MID(SUVAHAVUJ!AE36,2,1)</f>
        <v xml:space="preserve"> </v>
      </c>
      <c r="BH18" s="976"/>
      <c r="BI18" s="976"/>
      <c r="BJ18" s="976"/>
      <c r="BK18" s="976"/>
      <c r="BL18" s="976" t="str">
        <f>MID(SUVAHAVUJ!AE36,3,1)</f>
        <v xml:space="preserve"> </v>
      </c>
      <c r="BM18" s="976"/>
      <c r="BN18" s="976"/>
      <c r="BO18" s="976"/>
      <c r="BP18" s="976"/>
      <c r="BQ18" s="976"/>
      <c r="BR18" s="976" t="str">
        <f>MID(SUVAHAVUJ!AE36,4,1)</f>
        <v xml:space="preserve"> </v>
      </c>
      <c r="BS18" s="976"/>
      <c r="BT18" s="976"/>
      <c r="BU18" s="976"/>
      <c r="BV18" s="976"/>
      <c r="BW18" s="976" t="str">
        <f>MID(SUVAHAVUJ!AE36,5,1)</f>
        <v xml:space="preserve"> </v>
      </c>
      <c r="BX18" s="976"/>
      <c r="BY18" s="976"/>
      <c r="BZ18" s="976"/>
      <c r="CA18" s="976"/>
      <c r="CB18" s="976"/>
      <c r="CC18" s="976" t="str">
        <f>MID(SUVAHAVUJ!AE36,6,1)</f>
        <v xml:space="preserve"> </v>
      </c>
      <c r="CD18" s="976"/>
      <c r="CE18" s="976"/>
      <c r="CF18" s="976"/>
      <c r="CG18" s="976"/>
      <c r="CH18" s="976" t="str">
        <f>MID(SUVAHAVUJ!AE36,7,1)</f>
        <v xml:space="preserve"> </v>
      </c>
      <c r="CI18" s="976"/>
      <c r="CJ18" s="976"/>
      <c r="CK18" s="976"/>
      <c r="CL18" s="976"/>
      <c r="CM18" s="976"/>
      <c r="CN18" s="976" t="str">
        <f>MID(SUVAHAVUJ!AE36,8,1)</f>
        <v xml:space="preserve"> </v>
      </c>
      <c r="CO18" s="976"/>
      <c r="CP18" s="976"/>
      <c r="CQ18" s="976"/>
      <c r="CR18" s="976"/>
      <c r="CS18" s="976" t="str">
        <f>MID(SUVAHAVUJ!AE36,9,1)</f>
        <v xml:space="preserve"> </v>
      </c>
      <c r="CT18" s="976"/>
      <c r="CU18" s="976"/>
      <c r="CV18" s="976"/>
      <c r="CW18" s="976"/>
      <c r="CX18" s="976"/>
      <c r="CY18" s="976" t="str">
        <f>MID(SUVAHAVUJ!AE36,10,1)</f>
        <v xml:space="preserve"> </v>
      </c>
      <c r="CZ18" s="976"/>
      <c r="DA18" s="976"/>
      <c r="DB18" s="976"/>
      <c r="DC18" s="976"/>
      <c r="DD18" s="977" t="str">
        <f>MID(SUVAHAVUJ!AE36,11,1)</f>
        <v>0</v>
      </c>
      <c r="DE18" s="977"/>
      <c r="DF18" s="977"/>
      <c r="DG18" s="977"/>
      <c r="DH18" s="977"/>
      <c r="DI18" s="977"/>
      <c r="DJ18" s="980"/>
      <c r="DK18" s="980"/>
      <c r="DL18" s="980"/>
      <c r="DM18" s="980"/>
      <c r="DN18" s="980"/>
      <c r="DO18" s="980"/>
      <c r="DP18" s="980"/>
      <c r="DQ18" s="980"/>
      <c r="DR18" s="980"/>
      <c r="DS18" s="980"/>
      <c r="DT18" s="980"/>
      <c r="DU18" s="980"/>
      <c r="DV18" s="980"/>
      <c r="DW18" s="980"/>
      <c r="DX18" s="980"/>
      <c r="DY18" s="980"/>
      <c r="DZ18" s="980"/>
      <c r="EA18" s="980"/>
      <c r="EB18" s="980"/>
      <c r="EC18" s="980"/>
      <c r="ED18" s="980"/>
      <c r="EE18" s="980"/>
      <c r="EF18" s="980"/>
      <c r="EG18" s="980"/>
      <c r="EH18" s="980"/>
      <c r="EI18" s="980"/>
      <c r="EJ18" s="980"/>
      <c r="EK18" s="980"/>
      <c r="EL18" s="980"/>
      <c r="EM18" s="980"/>
      <c r="EN18" s="648"/>
      <c r="EO18" s="649"/>
      <c r="EP18" s="976" t="str">
        <f>MID(SUVAHAVUJ!AG36,1,1)</f>
        <v xml:space="preserve"> </v>
      </c>
      <c r="EQ18" s="976"/>
      <c r="ER18" s="976"/>
      <c r="ES18" s="976"/>
      <c r="ET18" s="976"/>
      <c r="EU18" s="976"/>
      <c r="EV18" s="976" t="str">
        <f>MID(SUVAHAVUJ!AG36,2,1)</f>
        <v xml:space="preserve"> </v>
      </c>
      <c r="EW18" s="976"/>
      <c r="EX18" s="976"/>
      <c r="EY18" s="976"/>
      <c r="EZ18" s="976"/>
      <c r="FA18" s="976" t="str">
        <f>MID(SUVAHAVUJ!AG36,3,1)</f>
        <v xml:space="preserve"> </v>
      </c>
      <c r="FB18" s="976"/>
      <c r="FC18" s="976"/>
      <c r="FD18" s="976"/>
      <c r="FE18" s="976"/>
      <c r="FF18" s="976"/>
      <c r="FG18" s="976" t="str">
        <f>MID(SUVAHAVUJ!AG36,4,1)</f>
        <v xml:space="preserve"> </v>
      </c>
      <c r="FH18" s="976"/>
      <c r="FI18" s="976"/>
      <c r="FJ18" s="976"/>
      <c r="FK18" s="976"/>
      <c r="FL18" s="976" t="str">
        <f>MID(SUVAHAVUJ!AG36,5,1)</f>
        <v xml:space="preserve"> </v>
      </c>
      <c r="FM18" s="976"/>
      <c r="FN18" s="976"/>
      <c r="FO18" s="976"/>
      <c r="FP18" s="976"/>
      <c r="FQ18" s="976"/>
      <c r="FR18" s="976" t="str">
        <f>MID(SUVAHAVUJ!AG36,6,1)</f>
        <v xml:space="preserve"> </v>
      </c>
      <c r="FS18" s="976"/>
      <c r="FT18" s="976"/>
      <c r="FU18" s="976"/>
      <c r="FV18" s="976"/>
      <c r="FW18" s="976" t="str">
        <f>MID(SUVAHAVUJ!AG36,7,1)</f>
        <v>4</v>
      </c>
      <c r="FX18" s="976"/>
      <c r="FY18" s="976"/>
      <c r="FZ18" s="976"/>
      <c r="GA18" s="976"/>
      <c r="GB18" s="976"/>
      <c r="GC18" s="976" t="str">
        <f>MID(SUVAHAVUJ!AG36,8,1)</f>
        <v>9</v>
      </c>
      <c r="GD18" s="976"/>
      <c r="GE18" s="976"/>
      <c r="GF18" s="976"/>
      <c r="GG18" s="976"/>
      <c r="GH18" s="976" t="str">
        <f>MID(SUVAHAVUJ!AG36,9,1)</f>
        <v>1</v>
      </c>
      <c r="GI18" s="976"/>
      <c r="GJ18" s="976"/>
      <c r="GK18" s="976"/>
      <c r="GL18" s="976"/>
      <c r="GM18" s="976"/>
      <c r="GN18" s="976" t="str">
        <f>MID(SUVAHAVUJ!AG36,10,1)</f>
        <v>2</v>
      </c>
      <c r="GO18" s="976"/>
      <c r="GP18" s="976"/>
      <c r="GQ18" s="976"/>
      <c r="GR18" s="976"/>
      <c r="GS18" s="978" t="str">
        <f>MID(SUVAHAVUJ!AG36,11,1)</f>
        <v>9</v>
      </c>
      <c r="GT18" s="978"/>
      <c r="GU18" s="978"/>
      <c r="GV18" s="978"/>
      <c r="GW18" s="978"/>
    </row>
    <row r="19" spans="2:205" s="650" customFormat="1" ht="23.25" customHeight="1" x14ac:dyDescent="0.3">
      <c r="B19" s="989" t="s">
        <v>2190</v>
      </c>
      <c r="C19" s="989"/>
      <c r="D19" s="989"/>
      <c r="E19" s="989"/>
      <c r="F19" s="989"/>
      <c r="G19" s="989"/>
      <c r="H19" s="989"/>
      <c r="I19" s="989"/>
      <c r="J19" s="989"/>
      <c r="K19" s="989"/>
      <c r="L19" s="990" t="str">
        <f>SUVAHAVUJ!$D$37</f>
        <v>Materiál (112, 119, 11X) - /191, 19X/</v>
      </c>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c r="AM19" s="990"/>
      <c r="AN19" s="990"/>
      <c r="AO19" s="990"/>
      <c r="AP19" s="990"/>
      <c r="AQ19" s="975" t="s">
        <v>2189</v>
      </c>
      <c r="AR19" s="975"/>
      <c r="AS19" s="975"/>
      <c r="AT19" s="975"/>
      <c r="AU19" s="975"/>
      <c r="AV19" s="975"/>
      <c r="AW19" s="975"/>
      <c r="AX19" s="975"/>
      <c r="AY19" s="648"/>
      <c r="AZ19" s="649"/>
      <c r="BA19" s="976" t="str">
        <f>MID(SUVAHAVUJ!AD37,1,1)</f>
        <v xml:space="preserve"> </v>
      </c>
      <c r="BB19" s="976"/>
      <c r="BC19" s="976"/>
      <c r="BD19" s="976"/>
      <c r="BE19" s="976"/>
      <c r="BF19" s="976"/>
      <c r="BG19" s="976" t="str">
        <f>MID(SUVAHAVUJ!AD37,2,1)</f>
        <v xml:space="preserve"> </v>
      </c>
      <c r="BH19" s="976"/>
      <c r="BI19" s="976"/>
      <c r="BJ19" s="976"/>
      <c r="BK19" s="976"/>
      <c r="BL19" s="976" t="str">
        <f>MID(SUVAHAVUJ!AD37,3,1)</f>
        <v xml:space="preserve"> </v>
      </c>
      <c r="BM19" s="976"/>
      <c r="BN19" s="976"/>
      <c r="BO19" s="976"/>
      <c r="BP19" s="976"/>
      <c r="BQ19" s="976"/>
      <c r="BR19" s="976" t="str">
        <f>MID(SUVAHAVUJ!AD37,4,1)</f>
        <v xml:space="preserve"> </v>
      </c>
      <c r="BS19" s="976"/>
      <c r="BT19" s="976"/>
      <c r="BU19" s="976"/>
      <c r="BV19" s="976"/>
      <c r="BW19" s="976" t="str">
        <f>MID(SUVAHAVUJ!AD37,5,1)</f>
        <v xml:space="preserve"> </v>
      </c>
      <c r="BX19" s="976"/>
      <c r="BY19" s="976"/>
      <c r="BZ19" s="976"/>
      <c r="CA19" s="976"/>
      <c r="CB19" s="976"/>
      <c r="CC19" s="976" t="str">
        <f>MID(SUVAHAVUJ!AD37,6,1)</f>
        <v xml:space="preserve"> </v>
      </c>
      <c r="CD19" s="976"/>
      <c r="CE19" s="976"/>
      <c r="CF19" s="976"/>
      <c r="CG19" s="976"/>
      <c r="CH19" s="976" t="str">
        <f>MID(SUVAHAVUJ!AD37,7,1)</f>
        <v xml:space="preserve"> </v>
      </c>
      <c r="CI19" s="976"/>
      <c r="CJ19" s="976"/>
      <c r="CK19" s="976"/>
      <c r="CL19" s="976"/>
      <c r="CM19" s="976"/>
      <c r="CN19" s="976" t="str">
        <f>MID(SUVAHAVUJ!AD37,8,1)</f>
        <v>4</v>
      </c>
      <c r="CO19" s="976"/>
      <c r="CP19" s="976"/>
      <c r="CQ19" s="976"/>
      <c r="CR19" s="976"/>
      <c r="CS19" s="976" t="str">
        <f>MID(SUVAHAVUJ!AD37,9,1)</f>
        <v>0</v>
      </c>
      <c r="CT19" s="976"/>
      <c r="CU19" s="976"/>
      <c r="CV19" s="976"/>
      <c r="CW19" s="976"/>
      <c r="CX19" s="976"/>
      <c r="CY19" s="976" t="str">
        <f>MID(SUVAHAVUJ!AD37,10,1)</f>
        <v>4</v>
      </c>
      <c r="CZ19" s="976"/>
      <c r="DA19" s="976"/>
      <c r="DB19" s="976"/>
      <c r="DC19" s="976"/>
      <c r="DD19" s="977" t="str">
        <f>MID(SUVAHAVUJ!AD37,11,1)</f>
        <v>6</v>
      </c>
      <c r="DE19" s="977"/>
      <c r="DF19" s="977"/>
      <c r="DG19" s="977"/>
      <c r="DH19" s="977"/>
      <c r="DI19" s="977"/>
      <c r="DJ19" s="648"/>
      <c r="DK19" s="649"/>
      <c r="DL19" s="976" t="str">
        <f>MID(SUVAHAVUJ!AF37,1,1)</f>
        <v xml:space="preserve"> </v>
      </c>
      <c r="DM19" s="976"/>
      <c r="DN19" s="976"/>
      <c r="DO19" s="976"/>
      <c r="DP19" s="976"/>
      <c r="DQ19" s="976"/>
      <c r="DR19" s="976" t="str">
        <f>MID(SUVAHAVUJ!AF37,2,1)</f>
        <v xml:space="preserve"> </v>
      </c>
      <c r="DS19" s="976"/>
      <c r="DT19" s="976"/>
      <c r="DU19" s="976"/>
      <c r="DV19" s="976"/>
      <c r="DW19" s="976" t="str">
        <f>MID(SUVAHAVUJ!AF37,3,1)</f>
        <v xml:space="preserve"> </v>
      </c>
      <c r="DX19" s="976"/>
      <c r="DY19" s="976"/>
      <c r="DZ19" s="976"/>
      <c r="EA19" s="976"/>
      <c r="EB19" s="976"/>
      <c r="EC19" s="976" t="str">
        <f>MID(SUVAHAVUJ!AF37,4,1)</f>
        <v xml:space="preserve"> </v>
      </c>
      <c r="ED19" s="976"/>
      <c r="EE19" s="976"/>
      <c r="EF19" s="976"/>
      <c r="EG19" s="976"/>
      <c r="EH19" s="976" t="str">
        <f>MID(SUVAHAVUJ!AF37,5,1)</f>
        <v xml:space="preserve"> </v>
      </c>
      <c r="EI19" s="976"/>
      <c r="EJ19" s="976"/>
      <c r="EK19" s="976"/>
      <c r="EL19" s="976"/>
      <c r="EM19" s="976"/>
      <c r="EN19" s="976" t="str">
        <f>MID(SUVAHAVUJ!AF37,6,1)</f>
        <v xml:space="preserve"> </v>
      </c>
      <c r="EO19" s="976"/>
      <c r="EP19" s="976"/>
      <c r="EQ19" s="976"/>
      <c r="ER19" s="976"/>
      <c r="ES19" s="976" t="str">
        <f>MID(SUVAHAVUJ!AF37,7,1)</f>
        <v xml:space="preserve"> </v>
      </c>
      <c r="ET19" s="976"/>
      <c r="EU19" s="976"/>
      <c r="EV19" s="976"/>
      <c r="EW19" s="976"/>
      <c r="EX19" s="976"/>
      <c r="EY19" s="976" t="str">
        <f>MID(SUVAHAVUJ!AF37,8,1)</f>
        <v>4</v>
      </c>
      <c r="EZ19" s="976"/>
      <c r="FA19" s="976"/>
      <c r="FB19" s="976"/>
      <c r="FC19" s="976"/>
      <c r="FD19" s="976" t="str">
        <f>MID(SUVAHAVUJ!AF37,9,1)</f>
        <v>0</v>
      </c>
      <c r="FE19" s="976"/>
      <c r="FF19" s="976"/>
      <c r="FG19" s="976"/>
      <c r="FH19" s="976"/>
      <c r="FI19" s="976"/>
      <c r="FJ19" s="976" t="str">
        <f>MID(SUVAHAVUJ!AF37,10,1)</f>
        <v>4</v>
      </c>
      <c r="FK19" s="976"/>
      <c r="FL19" s="976"/>
      <c r="FM19" s="976"/>
      <c r="FN19" s="976"/>
      <c r="FO19" s="978" t="str">
        <f>MID(SUVAHAVUJ!AF37,11,1)</f>
        <v>6</v>
      </c>
      <c r="FP19" s="978"/>
      <c r="FQ19" s="978"/>
      <c r="FR19" s="978"/>
      <c r="FS19" s="978"/>
      <c r="FT19" s="979"/>
      <c r="FU19" s="979"/>
      <c r="FV19" s="979"/>
      <c r="FW19" s="979"/>
      <c r="FX19" s="979"/>
      <c r="FY19" s="979"/>
      <c r="FZ19" s="979"/>
      <c r="GA19" s="979"/>
      <c r="GB19" s="979"/>
      <c r="GC19" s="979"/>
      <c r="GD19" s="979"/>
      <c r="GE19" s="979"/>
      <c r="GF19" s="979"/>
      <c r="GG19" s="979"/>
      <c r="GH19" s="979"/>
      <c r="GI19" s="979"/>
      <c r="GJ19" s="979"/>
      <c r="GK19" s="979"/>
      <c r="GL19" s="979"/>
      <c r="GM19" s="979"/>
      <c r="GN19" s="979"/>
      <c r="GO19" s="979"/>
      <c r="GP19" s="979"/>
      <c r="GQ19" s="979"/>
      <c r="GR19" s="979"/>
      <c r="GS19" s="979"/>
      <c r="GT19" s="979"/>
      <c r="GU19" s="979"/>
      <c r="GV19" s="979"/>
      <c r="GW19" s="979"/>
    </row>
    <row r="20" spans="2:205" ht="24" customHeight="1" x14ac:dyDescent="0.3">
      <c r="B20" s="989"/>
      <c r="C20" s="989"/>
      <c r="D20" s="989"/>
      <c r="E20" s="989"/>
      <c r="F20" s="989"/>
      <c r="G20" s="989"/>
      <c r="H20" s="989"/>
      <c r="I20" s="989"/>
      <c r="J20" s="989"/>
      <c r="K20" s="989"/>
      <c r="L20" s="990"/>
      <c r="M20" s="990"/>
      <c r="N20" s="990"/>
      <c r="O20" s="990"/>
      <c r="P20" s="990"/>
      <c r="Q20" s="990"/>
      <c r="R20" s="990"/>
      <c r="S20" s="990"/>
      <c r="T20" s="990"/>
      <c r="U20" s="990"/>
      <c r="V20" s="990"/>
      <c r="W20" s="990"/>
      <c r="X20" s="990"/>
      <c r="Y20" s="990"/>
      <c r="Z20" s="990"/>
      <c r="AA20" s="990"/>
      <c r="AB20" s="990"/>
      <c r="AC20" s="990"/>
      <c r="AD20" s="990"/>
      <c r="AE20" s="990"/>
      <c r="AF20" s="990"/>
      <c r="AG20" s="990"/>
      <c r="AH20" s="990"/>
      <c r="AI20" s="990"/>
      <c r="AJ20" s="990"/>
      <c r="AK20" s="990"/>
      <c r="AL20" s="990"/>
      <c r="AM20" s="990"/>
      <c r="AN20" s="990"/>
      <c r="AO20" s="990"/>
      <c r="AP20" s="990"/>
      <c r="AQ20" s="975"/>
      <c r="AR20" s="975"/>
      <c r="AS20" s="975"/>
      <c r="AT20" s="975"/>
      <c r="AU20" s="975"/>
      <c r="AV20" s="975"/>
      <c r="AW20" s="975"/>
      <c r="AX20" s="975"/>
      <c r="AY20" s="648"/>
      <c r="AZ20" s="649"/>
      <c r="BA20" s="976" t="str">
        <f>MID(SUVAHAVUJ!AE37,1,1)</f>
        <v xml:space="preserve"> </v>
      </c>
      <c r="BB20" s="976"/>
      <c r="BC20" s="976"/>
      <c r="BD20" s="976"/>
      <c r="BE20" s="976"/>
      <c r="BF20" s="976"/>
      <c r="BG20" s="976" t="str">
        <f>MID(SUVAHAVUJ!AE37,2,1)</f>
        <v xml:space="preserve"> </v>
      </c>
      <c r="BH20" s="976"/>
      <c r="BI20" s="976"/>
      <c r="BJ20" s="976"/>
      <c r="BK20" s="976"/>
      <c r="BL20" s="976" t="str">
        <f>MID(SUVAHAVUJ!AE37,3,1)</f>
        <v xml:space="preserve"> </v>
      </c>
      <c r="BM20" s="976"/>
      <c r="BN20" s="976"/>
      <c r="BO20" s="976"/>
      <c r="BP20" s="976"/>
      <c r="BQ20" s="976"/>
      <c r="BR20" s="976" t="str">
        <f>MID(SUVAHAVUJ!AE37,4,1)</f>
        <v xml:space="preserve"> </v>
      </c>
      <c r="BS20" s="976"/>
      <c r="BT20" s="976"/>
      <c r="BU20" s="976"/>
      <c r="BV20" s="976"/>
      <c r="BW20" s="976" t="str">
        <f>MID(SUVAHAVUJ!AE37,5,1)</f>
        <v xml:space="preserve"> </v>
      </c>
      <c r="BX20" s="976"/>
      <c r="BY20" s="976"/>
      <c r="BZ20" s="976"/>
      <c r="CA20" s="976"/>
      <c r="CB20" s="976"/>
      <c r="CC20" s="976" t="str">
        <f>MID(SUVAHAVUJ!AE37,6,1)</f>
        <v xml:space="preserve"> </v>
      </c>
      <c r="CD20" s="976"/>
      <c r="CE20" s="976"/>
      <c r="CF20" s="976"/>
      <c r="CG20" s="976"/>
      <c r="CH20" s="976" t="str">
        <f>MID(SUVAHAVUJ!AE37,7,1)</f>
        <v xml:space="preserve"> </v>
      </c>
      <c r="CI20" s="976"/>
      <c r="CJ20" s="976"/>
      <c r="CK20" s="976"/>
      <c r="CL20" s="976"/>
      <c r="CM20" s="976"/>
      <c r="CN20" s="976" t="str">
        <f>MID(SUVAHAVUJ!AE37,8,1)</f>
        <v xml:space="preserve"> </v>
      </c>
      <c r="CO20" s="976"/>
      <c r="CP20" s="976"/>
      <c r="CQ20" s="976"/>
      <c r="CR20" s="976"/>
      <c r="CS20" s="976" t="str">
        <f>MID(SUVAHAVUJ!AE37,9,1)</f>
        <v xml:space="preserve"> </v>
      </c>
      <c r="CT20" s="976"/>
      <c r="CU20" s="976"/>
      <c r="CV20" s="976"/>
      <c r="CW20" s="976"/>
      <c r="CX20" s="976"/>
      <c r="CY20" s="976" t="str">
        <f>MID(SUVAHAVUJ!AE37,10,1)</f>
        <v xml:space="preserve"> </v>
      </c>
      <c r="CZ20" s="976"/>
      <c r="DA20" s="976"/>
      <c r="DB20" s="976"/>
      <c r="DC20" s="976"/>
      <c r="DD20" s="977" t="str">
        <f>MID(SUVAHAVUJ!AE37,11,1)</f>
        <v>0</v>
      </c>
      <c r="DE20" s="977"/>
      <c r="DF20" s="977"/>
      <c r="DG20" s="977"/>
      <c r="DH20" s="977"/>
      <c r="DI20" s="977"/>
      <c r="DJ20" s="980"/>
      <c r="DK20" s="980"/>
      <c r="DL20" s="980"/>
      <c r="DM20" s="980"/>
      <c r="DN20" s="980"/>
      <c r="DO20" s="980"/>
      <c r="DP20" s="980"/>
      <c r="DQ20" s="980"/>
      <c r="DR20" s="980"/>
      <c r="DS20" s="980"/>
      <c r="DT20" s="980"/>
      <c r="DU20" s="980"/>
      <c r="DV20" s="980"/>
      <c r="DW20" s="980"/>
      <c r="DX20" s="980"/>
      <c r="DY20" s="980"/>
      <c r="DZ20" s="980"/>
      <c r="EA20" s="980"/>
      <c r="EB20" s="980"/>
      <c r="EC20" s="980"/>
      <c r="ED20" s="980"/>
      <c r="EE20" s="980"/>
      <c r="EF20" s="980"/>
      <c r="EG20" s="980"/>
      <c r="EH20" s="980"/>
      <c r="EI20" s="980"/>
      <c r="EJ20" s="980"/>
      <c r="EK20" s="980"/>
      <c r="EL20" s="980"/>
      <c r="EM20" s="980"/>
      <c r="EN20" s="648"/>
      <c r="EO20" s="649"/>
      <c r="EP20" s="976" t="str">
        <f>MID(SUVAHAVUJ!AG37,1,1)</f>
        <v xml:space="preserve"> </v>
      </c>
      <c r="EQ20" s="976"/>
      <c r="ER20" s="976"/>
      <c r="ES20" s="976"/>
      <c r="ET20" s="976"/>
      <c r="EU20" s="976"/>
      <c r="EV20" s="976" t="str">
        <f>MID(SUVAHAVUJ!AG37,2,1)</f>
        <v xml:space="preserve"> </v>
      </c>
      <c r="EW20" s="976"/>
      <c r="EX20" s="976"/>
      <c r="EY20" s="976"/>
      <c r="EZ20" s="976"/>
      <c r="FA20" s="976" t="str">
        <f>MID(SUVAHAVUJ!AG37,3,1)</f>
        <v xml:space="preserve"> </v>
      </c>
      <c r="FB20" s="976"/>
      <c r="FC20" s="976"/>
      <c r="FD20" s="976"/>
      <c r="FE20" s="976"/>
      <c r="FF20" s="976"/>
      <c r="FG20" s="976" t="str">
        <f>MID(SUVAHAVUJ!AG37,4,1)</f>
        <v xml:space="preserve"> </v>
      </c>
      <c r="FH20" s="976"/>
      <c r="FI20" s="976"/>
      <c r="FJ20" s="976"/>
      <c r="FK20" s="976"/>
      <c r="FL20" s="976" t="str">
        <f>MID(SUVAHAVUJ!AG37,5,1)</f>
        <v xml:space="preserve"> </v>
      </c>
      <c r="FM20" s="976"/>
      <c r="FN20" s="976"/>
      <c r="FO20" s="976"/>
      <c r="FP20" s="976"/>
      <c r="FQ20" s="976"/>
      <c r="FR20" s="976" t="str">
        <f>MID(SUVAHAVUJ!AG37,6,1)</f>
        <v xml:space="preserve"> </v>
      </c>
      <c r="FS20" s="976"/>
      <c r="FT20" s="976"/>
      <c r="FU20" s="976"/>
      <c r="FV20" s="976"/>
      <c r="FW20" s="976" t="str">
        <f>MID(SUVAHAVUJ!AG37,7,1)</f>
        <v xml:space="preserve"> </v>
      </c>
      <c r="FX20" s="976"/>
      <c r="FY20" s="976"/>
      <c r="FZ20" s="976"/>
      <c r="GA20" s="976"/>
      <c r="GB20" s="976"/>
      <c r="GC20" s="976" t="str">
        <f>MID(SUVAHAVUJ!AG37,8,1)</f>
        <v>5</v>
      </c>
      <c r="GD20" s="976"/>
      <c r="GE20" s="976"/>
      <c r="GF20" s="976"/>
      <c r="GG20" s="976"/>
      <c r="GH20" s="976" t="str">
        <f>MID(SUVAHAVUJ!AG37,9,1)</f>
        <v>5</v>
      </c>
      <c r="GI20" s="976"/>
      <c r="GJ20" s="976"/>
      <c r="GK20" s="976"/>
      <c r="GL20" s="976"/>
      <c r="GM20" s="976"/>
      <c r="GN20" s="976" t="str">
        <f>MID(SUVAHAVUJ!AG37,10,1)</f>
        <v>4</v>
      </c>
      <c r="GO20" s="976"/>
      <c r="GP20" s="976"/>
      <c r="GQ20" s="976"/>
      <c r="GR20" s="976"/>
      <c r="GS20" s="978" t="str">
        <f>MID(SUVAHAVUJ!AG37,11,1)</f>
        <v>5</v>
      </c>
      <c r="GT20" s="978"/>
      <c r="GU20" s="978"/>
      <c r="GV20" s="978"/>
      <c r="GW20" s="978"/>
    </row>
    <row r="21" spans="2:205" s="650" customFormat="1" ht="23.25" customHeight="1" x14ac:dyDescent="0.3">
      <c r="B21" s="985" t="s">
        <v>2166</v>
      </c>
      <c r="C21" s="985"/>
      <c r="D21" s="985"/>
      <c r="E21" s="985"/>
      <c r="F21" s="985"/>
      <c r="G21" s="985"/>
      <c r="H21" s="985"/>
      <c r="I21" s="985"/>
      <c r="J21" s="985"/>
      <c r="K21" s="985"/>
      <c r="L21" s="990" t="str">
        <f>SUVAHAVUJ!$D$38</f>
        <v>Nedokončená výroba a polotovary vlastnej výroby  (121, 122, 12X) - /192, 193, 19X/</v>
      </c>
      <c r="M21" s="990"/>
      <c r="N21" s="990"/>
      <c r="O21" s="990"/>
      <c r="P21" s="990"/>
      <c r="Q21" s="990"/>
      <c r="R21" s="990"/>
      <c r="S21" s="990"/>
      <c r="T21" s="990"/>
      <c r="U21" s="990"/>
      <c r="V21" s="990"/>
      <c r="W21" s="990"/>
      <c r="X21" s="990"/>
      <c r="Y21" s="990"/>
      <c r="Z21" s="990"/>
      <c r="AA21" s="990"/>
      <c r="AB21" s="990"/>
      <c r="AC21" s="990"/>
      <c r="AD21" s="990"/>
      <c r="AE21" s="990"/>
      <c r="AF21" s="990"/>
      <c r="AG21" s="990"/>
      <c r="AH21" s="990"/>
      <c r="AI21" s="990"/>
      <c r="AJ21" s="990"/>
      <c r="AK21" s="990"/>
      <c r="AL21" s="990"/>
      <c r="AM21" s="990"/>
      <c r="AN21" s="990"/>
      <c r="AO21" s="990"/>
      <c r="AP21" s="990"/>
      <c r="AQ21" s="975" t="s">
        <v>2191</v>
      </c>
      <c r="AR21" s="975"/>
      <c r="AS21" s="975"/>
      <c r="AT21" s="975"/>
      <c r="AU21" s="975"/>
      <c r="AV21" s="975"/>
      <c r="AW21" s="975"/>
      <c r="AX21" s="975"/>
      <c r="AY21" s="648"/>
      <c r="AZ21" s="649"/>
      <c r="BA21" s="976" t="str">
        <f>MID(SUVAHAVUJ!AD38,1,1)</f>
        <v xml:space="preserve"> </v>
      </c>
      <c r="BB21" s="976"/>
      <c r="BC21" s="976"/>
      <c r="BD21" s="976"/>
      <c r="BE21" s="976"/>
      <c r="BF21" s="976"/>
      <c r="BG21" s="976" t="str">
        <f>MID(SUVAHAVUJ!AD38,2,1)</f>
        <v xml:space="preserve"> </v>
      </c>
      <c r="BH21" s="976"/>
      <c r="BI21" s="976"/>
      <c r="BJ21" s="976"/>
      <c r="BK21" s="976"/>
      <c r="BL21" s="976" t="str">
        <f>MID(SUVAHAVUJ!AD38,3,1)</f>
        <v xml:space="preserve"> </v>
      </c>
      <c r="BM21" s="976"/>
      <c r="BN21" s="976"/>
      <c r="BO21" s="976"/>
      <c r="BP21" s="976"/>
      <c r="BQ21" s="976"/>
      <c r="BR21" s="976" t="str">
        <f>MID(SUVAHAVUJ!AD38,4,1)</f>
        <v xml:space="preserve"> </v>
      </c>
      <c r="BS21" s="976"/>
      <c r="BT21" s="976"/>
      <c r="BU21" s="976"/>
      <c r="BV21" s="976"/>
      <c r="BW21" s="976" t="str">
        <f>MID(SUVAHAVUJ!AD38,5,1)</f>
        <v xml:space="preserve"> </v>
      </c>
      <c r="BX21" s="976"/>
      <c r="BY21" s="976"/>
      <c r="BZ21" s="976"/>
      <c r="CA21" s="976"/>
      <c r="CB21" s="976"/>
      <c r="CC21" s="976" t="str">
        <f>MID(SUVAHAVUJ!AD38,6,1)</f>
        <v xml:space="preserve"> </v>
      </c>
      <c r="CD21" s="976"/>
      <c r="CE21" s="976"/>
      <c r="CF21" s="976"/>
      <c r="CG21" s="976"/>
      <c r="CH21" s="976" t="str">
        <f>MID(SUVAHAVUJ!AD38,7,1)</f>
        <v>1</v>
      </c>
      <c r="CI21" s="976"/>
      <c r="CJ21" s="976"/>
      <c r="CK21" s="976"/>
      <c r="CL21" s="976"/>
      <c r="CM21" s="976"/>
      <c r="CN21" s="976" t="str">
        <f>MID(SUVAHAVUJ!AD38,8,1)</f>
        <v>2</v>
      </c>
      <c r="CO21" s="976"/>
      <c r="CP21" s="976"/>
      <c r="CQ21" s="976"/>
      <c r="CR21" s="976"/>
      <c r="CS21" s="976" t="str">
        <f>MID(SUVAHAVUJ!AD38,9,1)</f>
        <v>8</v>
      </c>
      <c r="CT21" s="976"/>
      <c r="CU21" s="976"/>
      <c r="CV21" s="976"/>
      <c r="CW21" s="976"/>
      <c r="CX21" s="976"/>
      <c r="CY21" s="976" t="str">
        <f>MID(SUVAHAVUJ!AD38,10,1)</f>
        <v>8</v>
      </c>
      <c r="CZ21" s="976"/>
      <c r="DA21" s="976"/>
      <c r="DB21" s="976"/>
      <c r="DC21" s="976"/>
      <c r="DD21" s="977" t="str">
        <f>MID(SUVAHAVUJ!AD38,11,1)</f>
        <v>4</v>
      </c>
      <c r="DE21" s="977"/>
      <c r="DF21" s="977"/>
      <c r="DG21" s="977"/>
      <c r="DH21" s="977"/>
      <c r="DI21" s="977"/>
      <c r="DJ21" s="648"/>
      <c r="DK21" s="649"/>
      <c r="DL21" s="976" t="str">
        <f>MID(SUVAHAVUJ!AF38,1,1)</f>
        <v xml:space="preserve"> </v>
      </c>
      <c r="DM21" s="976"/>
      <c r="DN21" s="976"/>
      <c r="DO21" s="976"/>
      <c r="DP21" s="976"/>
      <c r="DQ21" s="976"/>
      <c r="DR21" s="976" t="str">
        <f>MID(SUVAHAVUJ!AF38,2,1)</f>
        <v xml:space="preserve"> </v>
      </c>
      <c r="DS21" s="976"/>
      <c r="DT21" s="976"/>
      <c r="DU21" s="976"/>
      <c r="DV21" s="976"/>
      <c r="DW21" s="976" t="str">
        <f>MID(SUVAHAVUJ!AF38,3,1)</f>
        <v xml:space="preserve"> </v>
      </c>
      <c r="DX21" s="976"/>
      <c r="DY21" s="976"/>
      <c r="DZ21" s="976"/>
      <c r="EA21" s="976"/>
      <c r="EB21" s="976"/>
      <c r="EC21" s="976" t="str">
        <f>MID(SUVAHAVUJ!AF38,4,1)</f>
        <v xml:space="preserve"> </v>
      </c>
      <c r="ED21" s="976"/>
      <c r="EE21" s="976"/>
      <c r="EF21" s="976"/>
      <c r="EG21" s="976"/>
      <c r="EH21" s="976" t="str">
        <f>MID(SUVAHAVUJ!AF38,5,1)</f>
        <v xml:space="preserve"> </v>
      </c>
      <c r="EI21" s="976"/>
      <c r="EJ21" s="976"/>
      <c r="EK21" s="976"/>
      <c r="EL21" s="976"/>
      <c r="EM21" s="976"/>
      <c r="EN21" s="976" t="str">
        <f>MID(SUVAHAVUJ!AF38,6,1)</f>
        <v xml:space="preserve"> </v>
      </c>
      <c r="EO21" s="976"/>
      <c r="EP21" s="976"/>
      <c r="EQ21" s="976"/>
      <c r="ER21" s="976"/>
      <c r="ES21" s="976" t="str">
        <f>MID(SUVAHAVUJ!AF38,7,1)</f>
        <v>1</v>
      </c>
      <c r="ET21" s="976"/>
      <c r="EU21" s="976"/>
      <c r="EV21" s="976"/>
      <c r="EW21" s="976"/>
      <c r="EX21" s="976"/>
      <c r="EY21" s="976" t="str">
        <f>MID(SUVAHAVUJ!AF38,8,1)</f>
        <v>2</v>
      </c>
      <c r="EZ21" s="976"/>
      <c r="FA21" s="976"/>
      <c r="FB21" s="976"/>
      <c r="FC21" s="976"/>
      <c r="FD21" s="976" t="str">
        <f>MID(SUVAHAVUJ!AF38,9,1)</f>
        <v>8</v>
      </c>
      <c r="FE21" s="976"/>
      <c r="FF21" s="976"/>
      <c r="FG21" s="976"/>
      <c r="FH21" s="976"/>
      <c r="FI21" s="976"/>
      <c r="FJ21" s="976" t="str">
        <f>MID(SUVAHAVUJ!AF38,10,1)</f>
        <v>8</v>
      </c>
      <c r="FK21" s="976"/>
      <c r="FL21" s="976"/>
      <c r="FM21" s="976"/>
      <c r="FN21" s="976"/>
      <c r="FO21" s="978" t="str">
        <f>MID(SUVAHAVUJ!AF38,11,1)</f>
        <v>4</v>
      </c>
      <c r="FP21" s="978"/>
      <c r="FQ21" s="978"/>
      <c r="FR21" s="978"/>
      <c r="FS21" s="978"/>
      <c r="FT21" s="979"/>
      <c r="FU21" s="979"/>
      <c r="FV21" s="979"/>
      <c r="FW21" s="979"/>
      <c r="FX21" s="979"/>
      <c r="FY21" s="979"/>
      <c r="FZ21" s="979"/>
      <c r="GA21" s="979"/>
      <c r="GB21" s="979"/>
      <c r="GC21" s="979"/>
      <c r="GD21" s="979"/>
      <c r="GE21" s="979"/>
      <c r="GF21" s="979"/>
      <c r="GG21" s="979"/>
      <c r="GH21" s="979"/>
      <c r="GI21" s="979"/>
      <c r="GJ21" s="979"/>
      <c r="GK21" s="979"/>
      <c r="GL21" s="979"/>
      <c r="GM21" s="979"/>
      <c r="GN21" s="979"/>
      <c r="GO21" s="979"/>
      <c r="GP21" s="979"/>
      <c r="GQ21" s="979"/>
      <c r="GR21" s="979"/>
      <c r="GS21" s="979"/>
      <c r="GT21" s="979"/>
      <c r="GU21" s="979"/>
      <c r="GV21" s="979"/>
      <c r="GW21" s="979"/>
    </row>
    <row r="22" spans="2:205" ht="23.25" customHeight="1" x14ac:dyDescent="0.3">
      <c r="B22" s="985"/>
      <c r="C22" s="985"/>
      <c r="D22" s="985"/>
      <c r="E22" s="985"/>
      <c r="F22" s="985"/>
      <c r="G22" s="985"/>
      <c r="H22" s="985"/>
      <c r="I22" s="985"/>
      <c r="J22" s="985"/>
      <c r="K22" s="985"/>
      <c r="L22" s="990"/>
      <c r="M22" s="990"/>
      <c r="N22" s="990"/>
      <c r="O22" s="990"/>
      <c r="P22" s="990"/>
      <c r="Q22" s="990"/>
      <c r="R22" s="990"/>
      <c r="S22" s="990"/>
      <c r="T22" s="990"/>
      <c r="U22" s="990"/>
      <c r="V22" s="990"/>
      <c r="W22" s="990"/>
      <c r="X22" s="990"/>
      <c r="Y22" s="990"/>
      <c r="Z22" s="990"/>
      <c r="AA22" s="990"/>
      <c r="AB22" s="990"/>
      <c r="AC22" s="990"/>
      <c r="AD22" s="990"/>
      <c r="AE22" s="990"/>
      <c r="AF22" s="990"/>
      <c r="AG22" s="990"/>
      <c r="AH22" s="990"/>
      <c r="AI22" s="990"/>
      <c r="AJ22" s="990"/>
      <c r="AK22" s="990"/>
      <c r="AL22" s="990"/>
      <c r="AM22" s="990"/>
      <c r="AN22" s="990"/>
      <c r="AO22" s="990"/>
      <c r="AP22" s="990"/>
      <c r="AQ22" s="975"/>
      <c r="AR22" s="975"/>
      <c r="AS22" s="975"/>
      <c r="AT22" s="975"/>
      <c r="AU22" s="975"/>
      <c r="AV22" s="975"/>
      <c r="AW22" s="975"/>
      <c r="AX22" s="975"/>
      <c r="AY22" s="648"/>
      <c r="AZ22" s="649"/>
      <c r="BA22" s="976" t="str">
        <f>MID(SUVAHAVUJ!AE38,1,1)</f>
        <v xml:space="preserve"> </v>
      </c>
      <c r="BB22" s="976"/>
      <c r="BC22" s="976"/>
      <c r="BD22" s="976"/>
      <c r="BE22" s="976"/>
      <c r="BF22" s="976"/>
      <c r="BG22" s="976" t="str">
        <f>MID(SUVAHAVUJ!AE38,2,1)</f>
        <v xml:space="preserve"> </v>
      </c>
      <c r="BH22" s="976"/>
      <c r="BI22" s="976"/>
      <c r="BJ22" s="976"/>
      <c r="BK22" s="976"/>
      <c r="BL22" s="976" t="str">
        <f>MID(SUVAHAVUJ!AE38,3,1)</f>
        <v xml:space="preserve"> </v>
      </c>
      <c r="BM22" s="976"/>
      <c r="BN22" s="976"/>
      <c r="BO22" s="976"/>
      <c r="BP22" s="976"/>
      <c r="BQ22" s="976"/>
      <c r="BR22" s="976" t="str">
        <f>MID(SUVAHAVUJ!AE38,4,1)</f>
        <v xml:space="preserve"> </v>
      </c>
      <c r="BS22" s="976"/>
      <c r="BT22" s="976"/>
      <c r="BU22" s="976"/>
      <c r="BV22" s="976"/>
      <c r="BW22" s="976" t="str">
        <f>MID(SUVAHAVUJ!AE38,5,1)</f>
        <v xml:space="preserve"> </v>
      </c>
      <c r="BX22" s="976"/>
      <c r="BY22" s="976"/>
      <c r="BZ22" s="976"/>
      <c r="CA22" s="976"/>
      <c r="CB22" s="976"/>
      <c r="CC22" s="976" t="str">
        <f>MID(SUVAHAVUJ!AE38,6,1)</f>
        <v xml:space="preserve"> </v>
      </c>
      <c r="CD22" s="976"/>
      <c r="CE22" s="976"/>
      <c r="CF22" s="976"/>
      <c r="CG22" s="976"/>
      <c r="CH22" s="976" t="str">
        <f>MID(SUVAHAVUJ!AE38,7,1)</f>
        <v xml:space="preserve"> </v>
      </c>
      <c r="CI22" s="976"/>
      <c r="CJ22" s="976"/>
      <c r="CK22" s="976"/>
      <c r="CL22" s="976"/>
      <c r="CM22" s="976"/>
      <c r="CN22" s="976" t="str">
        <f>MID(SUVAHAVUJ!AE38,8,1)</f>
        <v xml:space="preserve"> </v>
      </c>
      <c r="CO22" s="976"/>
      <c r="CP22" s="976"/>
      <c r="CQ22" s="976"/>
      <c r="CR22" s="976"/>
      <c r="CS22" s="976" t="str">
        <f>MID(SUVAHAVUJ!AE38,9,1)</f>
        <v xml:space="preserve"> </v>
      </c>
      <c r="CT22" s="976"/>
      <c r="CU22" s="976"/>
      <c r="CV22" s="976"/>
      <c r="CW22" s="976"/>
      <c r="CX22" s="976"/>
      <c r="CY22" s="976" t="str">
        <f>MID(SUVAHAVUJ!AE38,10,1)</f>
        <v xml:space="preserve"> </v>
      </c>
      <c r="CZ22" s="976"/>
      <c r="DA22" s="976"/>
      <c r="DB22" s="976"/>
      <c r="DC22" s="976"/>
      <c r="DD22" s="977" t="str">
        <f>MID(SUVAHAVUJ!AE38,11,1)</f>
        <v>0</v>
      </c>
      <c r="DE22" s="977"/>
      <c r="DF22" s="977"/>
      <c r="DG22" s="977"/>
      <c r="DH22" s="977"/>
      <c r="DI22" s="977"/>
      <c r="DJ22" s="980"/>
      <c r="DK22" s="980"/>
      <c r="DL22" s="980"/>
      <c r="DM22" s="980"/>
      <c r="DN22" s="980"/>
      <c r="DO22" s="980"/>
      <c r="DP22" s="980"/>
      <c r="DQ22" s="980"/>
      <c r="DR22" s="980"/>
      <c r="DS22" s="980"/>
      <c r="DT22" s="980"/>
      <c r="DU22" s="980"/>
      <c r="DV22" s="980"/>
      <c r="DW22" s="980"/>
      <c r="DX22" s="980"/>
      <c r="DY22" s="980"/>
      <c r="DZ22" s="980"/>
      <c r="EA22" s="980"/>
      <c r="EB22" s="980"/>
      <c r="EC22" s="980"/>
      <c r="ED22" s="980"/>
      <c r="EE22" s="980"/>
      <c r="EF22" s="980"/>
      <c r="EG22" s="980"/>
      <c r="EH22" s="980"/>
      <c r="EI22" s="980"/>
      <c r="EJ22" s="980"/>
      <c r="EK22" s="980"/>
      <c r="EL22" s="980"/>
      <c r="EM22" s="980"/>
      <c r="EN22" s="648"/>
      <c r="EO22" s="649"/>
      <c r="EP22" s="976" t="str">
        <f>MID(SUVAHAVUJ!AG38,1,1)</f>
        <v xml:space="preserve"> </v>
      </c>
      <c r="EQ22" s="976"/>
      <c r="ER22" s="976"/>
      <c r="ES22" s="976"/>
      <c r="ET22" s="976"/>
      <c r="EU22" s="976"/>
      <c r="EV22" s="976" t="str">
        <f>MID(SUVAHAVUJ!AG38,2,1)</f>
        <v xml:space="preserve"> </v>
      </c>
      <c r="EW22" s="976"/>
      <c r="EX22" s="976"/>
      <c r="EY22" s="976"/>
      <c r="EZ22" s="976"/>
      <c r="FA22" s="976" t="str">
        <f>MID(SUVAHAVUJ!AG38,3,1)</f>
        <v xml:space="preserve"> </v>
      </c>
      <c r="FB22" s="976"/>
      <c r="FC22" s="976"/>
      <c r="FD22" s="976"/>
      <c r="FE22" s="976"/>
      <c r="FF22" s="976"/>
      <c r="FG22" s="976" t="str">
        <f>MID(SUVAHAVUJ!AG38,4,1)</f>
        <v xml:space="preserve"> </v>
      </c>
      <c r="FH22" s="976"/>
      <c r="FI22" s="976"/>
      <c r="FJ22" s="976"/>
      <c r="FK22" s="976"/>
      <c r="FL22" s="976" t="str">
        <f>MID(SUVAHAVUJ!AG38,5,1)</f>
        <v xml:space="preserve"> </v>
      </c>
      <c r="FM22" s="976"/>
      <c r="FN22" s="976"/>
      <c r="FO22" s="976"/>
      <c r="FP22" s="976"/>
      <c r="FQ22" s="976"/>
      <c r="FR22" s="976" t="str">
        <f>MID(SUVAHAVUJ!AG38,6,1)</f>
        <v xml:space="preserve"> </v>
      </c>
      <c r="FS22" s="976"/>
      <c r="FT22" s="976"/>
      <c r="FU22" s="976"/>
      <c r="FV22" s="976"/>
      <c r="FW22" s="976" t="str">
        <f>MID(SUVAHAVUJ!AG38,7,1)</f>
        <v xml:space="preserve"> </v>
      </c>
      <c r="FX22" s="976"/>
      <c r="FY22" s="976"/>
      <c r="FZ22" s="976"/>
      <c r="GA22" s="976"/>
      <c r="GB22" s="976"/>
      <c r="GC22" s="976" t="str">
        <f>MID(SUVAHAVUJ!AG38,8,1)</f>
        <v>2</v>
      </c>
      <c r="GD22" s="976"/>
      <c r="GE22" s="976"/>
      <c r="GF22" s="976"/>
      <c r="GG22" s="976"/>
      <c r="GH22" s="976" t="str">
        <f>MID(SUVAHAVUJ!AG38,9,1)</f>
        <v>3</v>
      </c>
      <c r="GI22" s="976"/>
      <c r="GJ22" s="976"/>
      <c r="GK22" s="976"/>
      <c r="GL22" s="976"/>
      <c r="GM22" s="976"/>
      <c r="GN22" s="976" t="str">
        <f>MID(SUVAHAVUJ!AG38,10,1)</f>
        <v>9</v>
      </c>
      <c r="GO22" s="976"/>
      <c r="GP22" s="976"/>
      <c r="GQ22" s="976"/>
      <c r="GR22" s="976"/>
      <c r="GS22" s="978" t="str">
        <f>MID(SUVAHAVUJ!AG38,11,1)</f>
        <v>7</v>
      </c>
      <c r="GT22" s="978"/>
      <c r="GU22" s="978"/>
      <c r="GV22" s="978"/>
      <c r="GW22" s="978"/>
    </row>
    <row r="23" spans="2:205" s="650" customFormat="1" ht="23.25" customHeight="1" x14ac:dyDescent="0.3">
      <c r="B23" s="985" t="s">
        <v>2167</v>
      </c>
      <c r="C23" s="985"/>
      <c r="D23" s="985"/>
      <c r="E23" s="985"/>
      <c r="F23" s="985"/>
      <c r="G23" s="985"/>
      <c r="H23" s="985"/>
      <c r="I23" s="985"/>
      <c r="J23" s="985"/>
      <c r="K23" s="985"/>
      <c r="L23" s="990" t="str">
        <f>SUVAHAVUJ!$D$39</f>
        <v>Výrobky (123) - /194/</v>
      </c>
      <c r="M23" s="990"/>
      <c r="N23" s="990"/>
      <c r="O23" s="990"/>
      <c r="P23" s="990"/>
      <c r="Q23" s="990"/>
      <c r="R23" s="990"/>
      <c r="S23" s="990"/>
      <c r="T23" s="990"/>
      <c r="U23" s="990"/>
      <c r="V23" s="990"/>
      <c r="W23" s="990"/>
      <c r="X23" s="990"/>
      <c r="Y23" s="990"/>
      <c r="Z23" s="990"/>
      <c r="AA23" s="990"/>
      <c r="AB23" s="990"/>
      <c r="AC23" s="990"/>
      <c r="AD23" s="990"/>
      <c r="AE23" s="990"/>
      <c r="AF23" s="990"/>
      <c r="AG23" s="990"/>
      <c r="AH23" s="990"/>
      <c r="AI23" s="990"/>
      <c r="AJ23" s="990"/>
      <c r="AK23" s="990"/>
      <c r="AL23" s="990"/>
      <c r="AM23" s="990"/>
      <c r="AN23" s="990"/>
      <c r="AO23" s="990"/>
      <c r="AP23" s="990"/>
      <c r="AQ23" s="975" t="s">
        <v>2192</v>
      </c>
      <c r="AR23" s="975"/>
      <c r="AS23" s="975"/>
      <c r="AT23" s="975"/>
      <c r="AU23" s="975"/>
      <c r="AV23" s="975"/>
      <c r="AW23" s="975"/>
      <c r="AX23" s="975"/>
      <c r="AY23" s="648"/>
      <c r="AZ23" s="649"/>
      <c r="BA23" s="976" t="str">
        <f>MID(SUVAHAVUJ!AD39,1,1)</f>
        <v xml:space="preserve"> </v>
      </c>
      <c r="BB23" s="976"/>
      <c r="BC23" s="976"/>
      <c r="BD23" s="976"/>
      <c r="BE23" s="976"/>
      <c r="BF23" s="976"/>
      <c r="BG23" s="976" t="str">
        <f>MID(SUVAHAVUJ!AD39,2,1)</f>
        <v xml:space="preserve"> </v>
      </c>
      <c r="BH23" s="976"/>
      <c r="BI23" s="976"/>
      <c r="BJ23" s="976"/>
      <c r="BK23" s="976"/>
      <c r="BL23" s="976" t="str">
        <f>MID(SUVAHAVUJ!AD39,3,1)</f>
        <v xml:space="preserve"> </v>
      </c>
      <c r="BM23" s="976"/>
      <c r="BN23" s="976"/>
      <c r="BO23" s="976"/>
      <c r="BP23" s="976"/>
      <c r="BQ23" s="976"/>
      <c r="BR23" s="976" t="str">
        <f>MID(SUVAHAVUJ!AD39,4,1)</f>
        <v xml:space="preserve"> </v>
      </c>
      <c r="BS23" s="976"/>
      <c r="BT23" s="976"/>
      <c r="BU23" s="976"/>
      <c r="BV23" s="976"/>
      <c r="BW23" s="976" t="str">
        <f>MID(SUVAHAVUJ!AD39,5,1)</f>
        <v xml:space="preserve"> </v>
      </c>
      <c r="BX23" s="976"/>
      <c r="BY23" s="976"/>
      <c r="BZ23" s="976"/>
      <c r="CA23" s="976"/>
      <c r="CB23" s="976"/>
      <c r="CC23" s="976" t="str">
        <f>MID(SUVAHAVUJ!AD39,6,1)</f>
        <v xml:space="preserve"> </v>
      </c>
      <c r="CD23" s="976"/>
      <c r="CE23" s="976"/>
      <c r="CF23" s="976"/>
      <c r="CG23" s="976"/>
      <c r="CH23" s="976" t="str">
        <f>MID(SUVAHAVUJ!AD39,7,1)</f>
        <v>3</v>
      </c>
      <c r="CI23" s="976"/>
      <c r="CJ23" s="976"/>
      <c r="CK23" s="976"/>
      <c r="CL23" s="976"/>
      <c r="CM23" s="976"/>
      <c r="CN23" s="976" t="str">
        <f>MID(SUVAHAVUJ!AD39,8,1)</f>
        <v>1</v>
      </c>
      <c r="CO23" s="976"/>
      <c r="CP23" s="976"/>
      <c r="CQ23" s="976"/>
      <c r="CR23" s="976"/>
      <c r="CS23" s="976" t="str">
        <f>MID(SUVAHAVUJ!AD39,9,1)</f>
        <v>8</v>
      </c>
      <c r="CT23" s="976"/>
      <c r="CU23" s="976"/>
      <c r="CV23" s="976"/>
      <c r="CW23" s="976"/>
      <c r="CX23" s="976"/>
      <c r="CY23" s="976" t="str">
        <f>MID(SUVAHAVUJ!AD39,10,1)</f>
        <v>2</v>
      </c>
      <c r="CZ23" s="976"/>
      <c r="DA23" s="976"/>
      <c r="DB23" s="976"/>
      <c r="DC23" s="976"/>
      <c r="DD23" s="977" t="str">
        <f>MID(SUVAHAVUJ!AD39,11,1)</f>
        <v>1</v>
      </c>
      <c r="DE23" s="977"/>
      <c r="DF23" s="977"/>
      <c r="DG23" s="977"/>
      <c r="DH23" s="977"/>
      <c r="DI23" s="977"/>
      <c r="DJ23" s="648"/>
      <c r="DK23" s="649"/>
      <c r="DL23" s="976" t="str">
        <f>MID(SUVAHAVUJ!AF39,1,1)</f>
        <v xml:space="preserve"> </v>
      </c>
      <c r="DM23" s="976"/>
      <c r="DN23" s="976"/>
      <c r="DO23" s="976"/>
      <c r="DP23" s="976"/>
      <c r="DQ23" s="976"/>
      <c r="DR23" s="976" t="str">
        <f>MID(SUVAHAVUJ!AF39,2,1)</f>
        <v xml:space="preserve"> </v>
      </c>
      <c r="DS23" s="976"/>
      <c r="DT23" s="976"/>
      <c r="DU23" s="976"/>
      <c r="DV23" s="976"/>
      <c r="DW23" s="976" t="str">
        <f>MID(SUVAHAVUJ!AF39,3,1)</f>
        <v xml:space="preserve"> </v>
      </c>
      <c r="DX23" s="976"/>
      <c r="DY23" s="976"/>
      <c r="DZ23" s="976"/>
      <c r="EA23" s="976"/>
      <c r="EB23" s="976"/>
      <c r="EC23" s="976" t="str">
        <f>MID(SUVAHAVUJ!AF39,4,1)</f>
        <v xml:space="preserve"> </v>
      </c>
      <c r="ED23" s="976"/>
      <c r="EE23" s="976"/>
      <c r="EF23" s="976"/>
      <c r="EG23" s="976"/>
      <c r="EH23" s="976" t="str">
        <f>MID(SUVAHAVUJ!AF39,5,1)</f>
        <v xml:space="preserve"> </v>
      </c>
      <c r="EI23" s="976"/>
      <c r="EJ23" s="976"/>
      <c r="EK23" s="976"/>
      <c r="EL23" s="976"/>
      <c r="EM23" s="976"/>
      <c r="EN23" s="976" t="str">
        <f>MID(SUVAHAVUJ!AF39,6,1)</f>
        <v xml:space="preserve"> </v>
      </c>
      <c r="EO23" s="976"/>
      <c r="EP23" s="976"/>
      <c r="EQ23" s="976"/>
      <c r="ER23" s="976"/>
      <c r="ES23" s="976" t="str">
        <f>MID(SUVAHAVUJ!AF39,7,1)</f>
        <v>3</v>
      </c>
      <c r="ET23" s="976"/>
      <c r="EU23" s="976"/>
      <c r="EV23" s="976"/>
      <c r="EW23" s="976"/>
      <c r="EX23" s="976"/>
      <c r="EY23" s="976" t="str">
        <f>MID(SUVAHAVUJ!AF39,8,1)</f>
        <v>1</v>
      </c>
      <c r="EZ23" s="976"/>
      <c r="FA23" s="976"/>
      <c r="FB23" s="976"/>
      <c r="FC23" s="976"/>
      <c r="FD23" s="976" t="str">
        <f>MID(SUVAHAVUJ!AF39,9,1)</f>
        <v>8</v>
      </c>
      <c r="FE23" s="976"/>
      <c r="FF23" s="976"/>
      <c r="FG23" s="976"/>
      <c r="FH23" s="976"/>
      <c r="FI23" s="976"/>
      <c r="FJ23" s="976" t="str">
        <f>MID(SUVAHAVUJ!AF39,10,1)</f>
        <v>2</v>
      </c>
      <c r="FK23" s="976"/>
      <c r="FL23" s="976"/>
      <c r="FM23" s="976"/>
      <c r="FN23" s="976"/>
      <c r="FO23" s="978" t="str">
        <f>MID(SUVAHAVUJ!AF39,11,1)</f>
        <v>1</v>
      </c>
      <c r="FP23" s="978"/>
      <c r="FQ23" s="978"/>
      <c r="FR23" s="978"/>
      <c r="FS23" s="978"/>
      <c r="FT23" s="979"/>
      <c r="FU23" s="979"/>
      <c r="FV23" s="979"/>
      <c r="FW23" s="979"/>
      <c r="FX23" s="979"/>
      <c r="FY23" s="979"/>
      <c r="FZ23" s="979"/>
      <c r="GA23" s="979"/>
      <c r="GB23" s="979"/>
      <c r="GC23" s="979"/>
      <c r="GD23" s="979"/>
      <c r="GE23" s="979"/>
      <c r="GF23" s="979"/>
      <c r="GG23" s="979"/>
      <c r="GH23" s="979"/>
      <c r="GI23" s="979"/>
      <c r="GJ23" s="979"/>
      <c r="GK23" s="979"/>
      <c r="GL23" s="979"/>
      <c r="GM23" s="979"/>
      <c r="GN23" s="979"/>
      <c r="GO23" s="979"/>
      <c r="GP23" s="979"/>
      <c r="GQ23" s="979"/>
      <c r="GR23" s="979"/>
      <c r="GS23" s="979"/>
      <c r="GT23" s="979"/>
      <c r="GU23" s="979"/>
      <c r="GV23" s="979"/>
      <c r="GW23" s="979"/>
    </row>
    <row r="24" spans="2:205" ht="23.25" customHeight="1" x14ac:dyDescent="0.3">
      <c r="B24" s="985"/>
      <c r="C24" s="985"/>
      <c r="D24" s="985"/>
      <c r="E24" s="985"/>
      <c r="F24" s="985"/>
      <c r="G24" s="985"/>
      <c r="H24" s="985"/>
      <c r="I24" s="985"/>
      <c r="J24" s="985"/>
      <c r="K24" s="985"/>
      <c r="L24" s="990"/>
      <c r="M24" s="990"/>
      <c r="N24" s="990"/>
      <c r="O24" s="990"/>
      <c r="P24" s="990"/>
      <c r="Q24" s="990"/>
      <c r="R24" s="990"/>
      <c r="S24" s="990"/>
      <c r="T24" s="990"/>
      <c r="U24" s="990"/>
      <c r="V24" s="990"/>
      <c r="W24" s="990"/>
      <c r="X24" s="990"/>
      <c r="Y24" s="990"/>
      <c r="Z24" s="990"/>
      <c r="AA24" s="990"/>
      <c r="AB24" s="990"/>
      <c r="AC24" s="990"/>
      <c r="AD24" s="990"/>
      <c r="AE24" s="990"/>
      <c r="AF24" s="990"/>
      <c r="AG24" s="990"/>
      <c r="AH24" s="990"/>
      <c r="AI24" s="990"/>
      <c r="AJ24" s="990"/>
      <c r="AK24" s="990"/>
      <c r="AL24" s="990"/>
      <c r="AM24" s="990"/>
      <c r="AN24" s="990"/>
      <c r="AO24" s="990"/>
      <c r="AP24" s="990"/>
      <c r="AQ24" s="975"/>
      <c r="AR24" s="975"/>
      <c r="AS24" s="975"/>
      <c r="AT24" s="975"/>
      <c r="AU24" s="975"/>
      <c r="AV24" s="975"/>
      <c r="AW24" s="975"/>
      <c r="AX24" s="975"/>
      <c r="AY24" s="648"/>
      <c r="AZ24" s="649"/>
      <c r="BA24" s="976" t="str">
        <f>MID(SUVAHAVUJ!AE39,1,1)</f>
        <v xml:space="preserve"> </v>
      </c>
      <c r="BB24" s="976"/>
      <c r="BC24" s="976"/>
      <c r="BD24" s="976"/>
      <c r="BE24" s="976"/>
      <c r="BF24" s="976"/>
      <c r="BG24" s="976" t="str">
        <f>MID(SUVAHAVUJ!AE39,2,1)</f>
        <v xml:space="preserve"> </v>
      </c>
      <c r="BH24" s="976"/>
      <c r="BI24" s="976"/>
      <c r="BJ24" s="976"/>
      <c r="BK24" s="976"/>
      <c r="BL24" s="976" t="str">
        <f>MID(SUVAHAVUJ!AE39,3,1)</f>
        <v xml:space="preserve"> </v>
      </c>
      <c r="BM24" s="976"/>
      <c r="BN24" s="976"/>
      <c r="BO24" s="976"/>
      <c r="BP24" s="976"/>
      <c r="BQ24" s="976"/>
      <c r="BR24" s="976" t="str">
        <f>MID(SUVAHAVUJ!AE39,4,1)</f>
        <v xml:space="preserve"> </v>
      </c>
      <c r="BS24" s="976"/>
      <c r="BT24" s="976"/>
      <c r="BU24" s="976"/>
      <c r="BV24" s="976"/>
      <c r="BW24" s="976" t="str">
        <f>MID(SUVAHAVUJ!AE39,5,1)</f>
        <v xml:space="preserve"> </v>
      </c>
      <c r="BX24" s="976"/>
      <c r="BY24" s="976"/>
      <c r="BZ24" s="976"/>
      <c r="CA24" s="976"/>
      <c r="CB24" s="976"/>
      <c r="CC24" s="976" t="str">
        <f>MID(SUVAHAVUJ!AE39,6,1)</f>
        <v xml:space="preserve"> </v>
      </c>
      <c r="CD24" s="976"/>
      <c r="CE24" s="976"/>
      <c r="CF24" s="976"/>
      <c r="CG24" s="976"/>
      <c r="CH24" s="976" t="str">
        <f>MID(SUVAHAVUJ!AE39,7,1)</f>
        <v xml:space="preserve"> </v>
      </c>
      <c r="CI24" s="976"/>
      <c r="CJ24" s="976"/>
      <c r="CK24" s="976"/>
      <c r="CL24" s="976"/>
      <c r="CM24" s="976"/>
      <c r="CN24" s="976" t="str">
        <f>MID(SUVAHAVUJ!AE39,8,1)</f>
        <v xml:space="preserve"> </v>
      </c>
      <c r="CO24" s="976"/>
      <c r="CP24" s="976"/>
      <c r="CQ24" s="976"/>
      <c r="CR24" s="976"/>
      <c r="CS24" s="976" t="str">
        <f>MID(SUVAHAVUJ!AE39,9,1)</f>
        <v xml:space="preserve"> </v>
      </c>
      <c r="CT24" s="976"/>
      <c r="CU24" s="976"/>
      <c r="CV24" s="976"/>
      <c r="CW24" s="976"/>
      <c r="CX24" s="976"/>
      <c r="CY24" s="976" t="str">
        <f>MID(SUVAHAVUJ!AE39,10,1)</f>
        <v xml:space="preserve"> </v>
      </c>
      <c r="CZ24" s="976"/>
      <c r="DA24" s="976"/>
      <c r="DB24" s="976"/>
      <c r="DC24" s="976"/>
      <c r="DD24" s="977" t="str">
        <f>MID(SUVAHAVUJ!AE39,11,1)</f>
        <v>0</v>
      </c>
      <c r="DE24" s="977"/>
      <c r="DF24" s="977"/>
      <c r="DG24" s="977"/>
      <c r="DH24" s="977"/>
      <c r="DI24" s="977"/>
      <c r="DJ24" s="980"/>
      <c r="DK24" s="980"/>
      <c r="DL24" s="980"/>
      <c r="DM24" s="980"/>
      <c r="DN24" s="980"/>
      <c r="DO24" s="980"/>
      <c r="DP24" s="980"/>
      <c r="DQ24" s="980"/>
      <c r="DR24" s="980"/>
      <c r="DS24" s="980"/>
      <c r="DT24" s="980"/>
      <c r="DU24" s="980"/>
      <c r="DV24" s="980"/>
      <c r="DW24" s="980"/>
      <c r="DX24" s="980"/>
      <c r="DY24" s="980"/>
      <c r="DZ24" s="980"/>
      <c r="EA24" s="980"/>
      <c r="EB24" s="980"/>
      <c r="EC24" s="980"/>
      <c r="ED24" s="980"/>
      <c r="EE24" s="980"/>
      <c r="EF24" s="980"/>
      <c r="EG24" s="980"/>
      <c r="EH24" s="980"/>
      <c r="EI24" s="980"/>
      <c r="EJ24" s="980"/>
      <c r="EK24" s="980"/>
      <c r="EL24" s="980"/>
      <c r="EM24" s="980"/>
      <c r="EN24" s="648"/>
      <c r="EO24" s="649"/>
      <c r="EP24" s="976" t="str">
        <f>MID(SUVAHAVUJ!AG39,1,1)</f>
        <v xml:space="preserve"> </v>
      </c>
      <c r="EQ24" s="976"/>
      <c r="ER24" s="976"/>
      <c r="ES24" s="976"/>
      <c r="ET24" s="976"/>
      <c r="EU24" s="976"/>
      <c r="EV24" s="976" t="str">
        <f>MID(SUVAHAVUJ!AG39,2,1)</f>
        <v xml:space="preserve"> </v>
      </c>
      <c r="EW24" s="976"/>
      <c r="EX24" s="976"/>
      <c r="EY24" s="976"/>
      <c r="EZ24" s="976"/>
      <c r="FA24" s="976" t="str">
        <f>MID(SUVAHAVUJ!AG39,3,1)</f>
        <v xml:space="preserve"> </v>
      </c>
      <c r="FB24" s="976"/>
      <c r="FC24" s="976"/>
      <c r="FD24" s="976"/>
      <c r="FE24" s="976"/>
      <c r="FF24" s="976"/>
      <c r="FG24" s="976" t="str">
        <f>MID(SUVAHAVUJ!AG39,4,1)</f>
        <v xml:space="preserve"> </v>
      </c>
      <c r="FH24" s="976"/>
      <c r="FI24" s="976"/>
      <c r="FJ24" s="976"/>
      <c r="FK24" s="976"/>
      <c r="FL24" s="976" t="str">
        <f>MID(SUVAHAVUJ!AG39,5,1)</f>
        <v xml:space="preserve"> </v>
      </c>
      <c r="FM24" s="976"/>
      <c r="FN24" s="976"/>
      <c r="FO24" s="976"/>
      <c r="FP24" s="976"/>
      <c r="FQ24" s="976"/>
      <c r="FR24" s="976" t="str">
        <f>MID(SUVAHAVUJ!AG39,6,1)</f>
        <v xml:space="preserve"> </v>
      </c>
      <c r="FS24" s="976"/>
      <c r="FT24" s="976"/>
      <c r="FU24" s="976"/>
      <c r="FV24" s="976"/>
      <c r="FW24" s="976" t="str">
        <f>MID(SUVAHAVUJ!AG39,7,1)</f>
        <v>3</v>
      </c>
      <c r="FX24" s="976"/>
      <c r="FY24" s="976"/>
      <c r="FZ24" s="976"/>
      <c r="GA24" s="976"/>
      <c r="GB24" s="976"/>
      <c r="GC24" s="976" t="str">
        <f>MID(SUVAHAVUJ!AG39,8,1)</f>
        <v>8</v>
      </c>
      <c r="GD24" s="976"/>
      <c r="GE24" s="976"/>
      <c r="GF24" s="976"/>
      <c r="GG24" s="976"/>
      <c r="GH24" s="976" t="str">
        <f>MID(SUVAHAVUJ!AG39,9,1)</f>
        <v>8</v>
      </c>
      <c r="GI24" s="976"/>
      <c r="GJ24" s="976"/>
      <c r="GK24" s="976"/>
      <c r="GL24" s="976"/>
      <c r="GM24" s="976"/>
      <c r="GN24" s="976" t="str">
        <f>MID(SUVAHAVUJ!AG39,10,1)</f>
        <v>4</v>
      </c>
      <c r="GO24" s="976"/>
      <c r="GP24" s="976"/>
      <c r="GQ24" s="976"/>
      <c r="GR24" s="976"/>
      <c r="GS24" s="978" t="str">
        <f>MID(SUVAHAVUJ!AG39,11,1)</f>
        <v>7</v>
      </c>
      <c r="GT24" s="978"/>
      <c r="GU24" s="978"/>
      <c r="GV24" s="978"/>
      <c r="GW24" s="978"/>
    </row>
    <row r="25" spans="2:205" s="650" customFormat="1" ht="23.25" customHeight="1" x14ac:dyDescent="0.3">
      <c r="B25" s="985" t="s">
        <v>2168</v>
      </c>
      <c r="C25" s="985"/>
      <c r="D25" s="985"/>
      <c r="E25" s="985"/>
      <c r="F25" s="985"/>
      <c r="G25" s="985"/>
      <c r="H25" s="985"/>
      <c r="I25" s="985"/>
      <c r="J25" s="985"/>
      <c r="K25" s="985"/>
      <c r="L25" s="990" t="str">
        <f>SUVAHAVUJ!$D$40</f>
        <v>Zvieratá (124) - /195/</v>
      </c>
      <c r="M25" s="990"/>
      <c r="N25" s="990"/>
      <c r="O25" s="990"/>
      <c r="P25" s="990"/>
      <c r="Q25" s="990"/>
      <c r="R25" s="990"/>
      <c r="S25" s="990"/>
      <c r="T25" s="990"/>
      <c r="U25" s="990"/>
      <c r="V25" s="990"/>
      <c r="W25" s="990"/>
      <c r="X25" s="990"/>
      <c r="Y25" s="990"/>
      <c r="Z25" s="990"/>
      <c r="AA25" s="990"/>
      <c r="AB25" s="990"/>
      <c r="AC25" s="990"/>
      <c r="AD25" s="990"/>
      <c r="AE25" s="990"/>
      <c r="AF25" s="990"/>
      <c r="AG25" s="990"/>
      <c r="AH25" s="990"/>
      <c r="AI25" s="990"/>
      <c r="AJ25" s="990"/>
      <c r="AK25" s="990"/>
      <c r="AL25" s="990"/>
      <c r="AM25" s="990"/>
      <c r="AN25" s="990"/>
      <c r="AO25" s="990"/>
      <c r="AP25" s="990"/>
      <c r="AQ25" s="975" t="s">
        <v>2193</v>
      </c>
      <c r="AR25" s="975"/>
      <c r="AS25" s="975"/>
      <c r="AT25" s="975"/>
      <c r="AU25" s="975"/>
      <c r="AV25" s="975"/>
      <c r="AW25" s="975"/>
      <c r="AX25" s="975"/>
      <c r="AY25" s="648"/>
      <c r="AZ25" s="649"/>
      <c r="BA25" s="976" t="str">
        <f>MID(SUVAHAVUJ!AD40,1,1)</f>
        <v xml:space="preserve"> </v>
      </c>
      <c r="BB25" s="976"/>
      <c r="BC25" s="976"/>
      <c r="BD25" s="976"/>
      <c r="BE25" s="976"/>
      <c r="BF25" s="976"/>
      <c r="BG25" s="976" t="str">
        <f>MID(SUVAHAVUJ!AD40,2,1)</f>
        <v xml:space="preserve"> </v>
      </c>
      <c r="BH25" s="976"/>
      <c r="BI25" s="976"/>
      <c r="BJ25" s="976"/>
      <c r="BK25" s="976"/>
      <c r="BL25" s="976" t="str">
        <f>MID(SUVAHAVUJ!AD40,3,1)</f>
        <v xml:space="preserve"> </v>
      </c>
      <c r="BM25" s="976"/>
      <c r="BN25" s="976"/>
      <c r="BO25" s="976"/>
      <c r="BP25" s="976"/>
      <c r="BQ25" s="976"/>
      <c r="BR25" s="976" t="str">
        <f>MID(SUVAHAVUJ!AD40,4,1)</f>
        <v xml:space="preserve"> </v>
      </c>
      <c r="BS25" s="976"/>
      <c r="BT25" s="976"/>
      <c r="BU25" s="976"/>
      <c r="BV25" s="976"/>
      <c r="BW25" s="976" t="str">
        <f>MID(SUVAHAVUJ!AD40,5,1)</f>
        <v xml:space="preserve"> </v>
      </c>
      <c r="BX25" s="976"/>
      <c r="BY25" s="976"/>
      <c r="BZ25" s="976"/>
      <c r="CA25" s="976"/>
      <c r="CB25" s="976"/>
      <c r="CC25" s="976" t="str">
        <f>MID(SUVAHAVUJ!AD40,6,1)</f>
        <v xml:space="preserve"> </v>
      </c>
      <c r="CD25" s="976"/>
      <c r="CE25" s="976"/>
      <c r="CF25" s="976"/>
      <c r="CG25" s="976"/>
      <c r="CH25" s="976" t="str">
        <f>MID(SUVAHAVUJ!AD40,7,1)</f>
        <v xml:space="preserve"> </v>
      </c>
      <c r="CI25" s="976"/>
      <c r="CJ25" s="976"/>
      <c r="CK25" s="976"/>
      <c r="CL25" s="976"/>
      <c r="CM25" s="976"/>
      <c r="CN25" s="976" t="str">
        <f>MID(SUVAHAVUJ!AD40,8,1)</f>
        <v>3</v>
      </c>
      <c r="CO25" s="976"/>
      <c r="CP25" s="976"/>
      <c r="CQ25" s="976"/>
      <c r="CR25" s="976"/>
      <c r="CS25" s="976" t="str">
        <f>MID(SUVAHAVUJ!AD40,9,1)</f>
        <v>3</v>
      </c>
      <c r="CT25" s="976"/>
      <c r="CU25" s="976"/>
      <c r="CV25" s="976"/>
      <c r="CW25" s="976"/>
      <c r="CX25" s="976"/>
      <c r="CY25" s="976" t="str">
        <f>MID(SUVAHAVUJ!AD40,10,1)</f>
        <v>7</v>
      </c>
      <c r="CZ25" s="976"/>
      <c r="DA25" s="976"/>
      <c r="DB25" s="976"/>
      <c r="DC25" s="976"/>
      <c r="DD25" s="977" t="str">
        <f>MID(SUVAHAVUJ!AD40,11,1)</f>
        <v>9</v>
      </c>
      <c r="DE25" s="977"/>
      <c r="DF25" s="977"/>
      <c r="DG25" s="977"/>
      <c r="DH25" s="977"/>
      <c r="DI25" s="977"/>
      <c r="DJ25" s="648"/>
      <c r="DK25" s="649"/>
      <c r="DL25" s="976" t="str">
        <f>MID(SUVAHAVUJ!AF40,1,1)</f>
        <v xml:space="preserve"> </v>
      </c>
      <c r="DM25" s="976"/>
      <c r="DN25" s="976"/>
      <c r="DO25" s="976"/>
      <c r="DP25" s="976"/>
      <c r="DQ25" s="976"/>
      <c r="DR25" s="976" t="str">
        <f>MID(SUVAHAVUJ!AF40,2,1)</f>
        <v xml:space="preserve"> </v>
      </c>
      <c r="DS25" s="976"/>
      <c r="DT25" s="976"/>
      <c r="DU25" s="976"/>
      <c r="DV25" s="976"/>
      <c r="DW25" s="976" t="str">
        <f>MID(SUVAHAVUJ!AF40,3,1)</f>
        <v xml:space="preserve"> </v>
      </c>
      <c r="DX25" s="976"/>
      <c r="DY25" s="976"/>
      <c r="DZ25" s="976"/>
      <c r="EA25" s="976"/>
      <c r="EB25" s="976"/>
      <c r="EC25" s="976" t="str">
        <f>MID(SUVAHAVUJ!AF40,4,1)</f>
        <v xml:space="preserve"> </v>
      </c>
      <c r="ED25" s="976"/>
      <c r="EE25" s="976"/>
      <c r="EF25" s="976"/>
      <c r="EG25" s="976"/>
      <c r="EH25" s="976" t="str">
        <f>MID(SUVAHAVUJ!AF40,5,1)</f>
        <v xml:space="preserve"> </v>
      </c>
      <c r="EI25" s="976"/>
      <c r="EJ25" s="976"/>
      <c r="EK25" s="976"/>
      <c r="EL25" s="976"/>
      <c r="EM25" s="976"/>
      <c r="EN25" s="976" t="str">
        <f>MID(SUVAHAVUJ!AF40,6,1)</f>
        <v xml:space="preserve"> </v>
      </c>
      <c r="EO25" s="976"/>
      <c r="EP25" s="976"/>
      <c r="EQ25" s="976"/>
      <c r="ER25" s="976"/>
      <c r="ES25" s="976" t="str">
        <f>MID(SUVAHAVUJ!AF40,7,1)</f>
        <v xml:space="preserve"> </v>
      </c>
      <c r="ET25" s="976"/>
      <c r="EU25" s="976"/>
      <c r="EV25" s="976"/>
      <c r="EW25" s="976"/>
      <c r="EX25" s="976"/>
      <c r="EY25" s="976" t="str">
        <f>MID(SUVAHAVUJ!AF40,8,1)</f>
        <v>3</v>
      </c>
      <c r="EZ25" s="976"/>
      <c r="FA25" s="976"/>
      <c r="FB25" s="976"/>
      <c r="FC25" s="976"/>
      <c r="FD25" s="976" t="str">
        <f>MID(SUVAHAVUJ!AF40,9,1)</f>
        <v>3</v>
      </c>
      <c r="FE25" s="976"/>
      <c r="FF25" s="976"/>
      <c r="FG25" s="976"/>
      <c r="FH25" s="976"/>
      <c r="FI25" s="976"/>
      <c r="FJ25" s="976" t="str">
        <f>MID(SUVAHAVUJ!AF40,10,1)</f>
        <v>7</v>
      </c>
      <c r="FK25" s="976"/>
      <c r="FL25" s="976"/>
      <c r="FM25" s="976"/>
      <c r="FN25" s="976"/>
      <c r="FO25" s="978" t="str">
        <f>MID(SUVAHAVUJ!AF40,11,1)</f>
        <v>9</v>
      </c>
      <c r="FP25" s="978"/>
      <c r="FQ25" s="978"/>
      <c r="FR25" s="978"/>
      <c r="FS25" s="978"/>
      <c r="FT25" s="979"/>
      <c r="FU25" s="979"/>
      <c r="FV25" s="979"/>
      <c r="FW25" s="979"/>
      <c r="FX25" s="979"/>
      <c r="FY25" s="979"/>
      <c r="FZ25" s="979"/>
      <c r="GA25" s="979"/>
      <c r="GB25" s="979"/>
      <c r="GC25" s="979"/>
      <c r="GD25" s="979"/>
      <c r="GE25" s="979"/>
      <c r="GF25" s="979"/>
      <c r="GG25" s="979"/>
      <c r="GH25" s="979"/>
      <c r="GI25" s="979"/>
      <c r="GJ25" s="979"/>
      <c r="GK25" s="979"/>
      <c r="GL25" s="979"/>
      <c r="GM25" s="979"/>
      <c r="GN25" s="979"/>
      <c r="GO25" s="979"/>
      <c r="GP25" s="979"/>
      <c r="GQ25" s="979"/>
      <c r="GR25" s="979"/>
      <c r="GS25" s="979"/>
      <c r="GT25" s="979"/>
      <c r="GU25" s="979"/>
      <c r="GV25" s="979"/>
      <c r="GW25" s="979"/>
    </row>
    <row r="26" spans="2:205" ht="25.5" customHeight="1" x14ac:dyDescent="0.3">
      <c r="B26" s="985"/>
      <c r="C26" s="985"/>
      <c r="D26" s="985"/>
      <c r="E26" s="985"/>
      <c r="F26" s="985"/>
      <c r="G26" s="985"/>
      <c r="H26" s="985"/>
      <c r="I26" s="985"/>
      <c r="J26" s="985"/>
      <c r="K26" s="985"/>
      <c r="L26" s="990"/>
      <c r="M26" s="990"/>
      <c r="N26" s="990"/>
      <c r="O26" s="990"/>
      <c r="P26" s="990"/>
      <c r="Q26" s="990"/>
      <c r="R26" s="990"/>
      <c r="S26" s="990"/>
      <c r="T26" s="990"/>
      <c r="U26" s="990"/>
      <c r="V26" s="990"/>
      <c r="W26" s="990"/>
      <c r="X26" s="990"/>
      <c r="Y26" s="990"/>
      <c r="Z26" s="990"/>
      <c r="AA26" s="990"/>
      <c r="AB26" s="990"/>
      <c r="AC26" s="990"/>
      <c r="AD26" s="990"/>
      <c r="AE26" s="990"/>
      <c r="AF26" s="990"/>
      <c r="AG26" s="990"/>
      <c r="AH26" s="990"/>
      <c r="AI26" s="990"/>
      <c r="AJ26" s="990"/>
      <c r="AK26" s="990"/>
      <c r="AL26" s="990"/>
      <c r="AM26" s="990"/>
      <c r="AN26" s="990"/>
      <c r="AO26" s="990"/>
      <c r="AP26" s="990"/>
      <c r="AQ26" s="975"/>
      <c r="AR26" s="975"/>
      <c r="AS26" s="975"/>
      <c r="AT26" s="975"/>
      <c r="AU26" s="975"/>
      <c r="AV26" s="975"/>
      <c r="AW26" s="975"/>
      <c r="AX26" s="975"/>
      <c r="AY26" s="648"/>
      <c r="AZ26" s="649"/>
      <c r="BA26" s="976" t="str">
        <f>MID(SUVAHAVUJ!AE40,1,1)</f>
        <v xml:space="preserve"> </v>
      </c>
      <c r="BB26" s="976"/>
      <c r="BC26" s="976"/>
      <c r="BD26" s="976"/>
      <c r="BE26" s="976"/>
      <c r="BF26" s="976"/>
      <c r="BG26" s="976" t="str">
        <f>MID(SUVAHAVUJ!AE40,2,1)</f>
        <v xml:space="preserve"> </v>
      </c>
      <c r="BH26" s="976"/>
      <c r="BI26" s="976"/>
      <c r="BJ26" s="976"/>
      <c r="BK26" s="976"/>
      <c r="BL26" s="976" t="str">
        <f>MID(SUVAHAVUJ!AE40,3,1)</f>
        <v xml:space="preserve"> </v>
      </c>
      <c r="BM26" s="976"/>
      <c r="BN26" s="976"/>
      <c r="BO26" s="976"/>
      <c r="BP26" s="976"/>
      <c r="BQ26" s="976"/>
      <c r="BR26" s="976" t="str">
        <f>MID(SUVAHAVUJ!AE40,4,1)</f>
        <v xml:space="preserve"> </v>
      </c>
      <c r="BS26" s="976"/>
      <c r="BT26" s="976"/>
      <c r="BU26" s="976"/>
      <c r="BV26" s="976"/>
      <c r="BW26" s="976" t="str">
        <f>MID(SUVAHAVUJ!AE40,5,1)</f>
        <v xml:space="preserve"> </v>
      </c>
      <c r="BX26" s="976"/>
      <c r="BY26" s="976"/>
      <c r="BZ26" s="976"/>
      <c r="CA26" s="976"/>
      <c r="CB26" s="976"/>
      <c r="CC26" s="976" t="str">
        <f>MID(SUVAHAVUJ!AE40,6,1)</f>
        <v xml:space="preserve"> </v>
      </c>
      <c r="CD26" s="976"/>
      <c r="CE26" s="976"/>
      <c r="CF26" s="976"/>
      <c r="CG26" s="976"/>
      <c r="CH26" s="976" t="str">
        <f>MID(SUVAHAVUJ!AE40,7,1)</f>
        <v xml:space="preserve"> </v>
      </c>
      <c r="CI26" s="976"/>
      <c r="CJ26" s="976"/>
      <c r="CK26" s="976"/>
      <c r="CL26" s="976"/>
      <c r="CM26" s="976"/>
      <c r="CN26" s="976" t="str">
        <f>MID(SUVAHAVUJ!AE40,8,1)</f>
        <v xml:space="preserve"> </v>
      </c>
      <c r="CO26" s="976"/>
      <c r="CP26" s="976"/>
      <c r="CQ26" s="976"/>
      <c r="CR26" s="976"/>
      <c r="CS26" s="976" t="str">
        <f>MID(SUVAHAVUJ!AE40,9,1)</f>
        <v xml:space="preserve"> </v>
      </c>
      <c r="CT26" s="976"/>
      <c r="CU26" s="976"/>
      <c r="CV26" s="976"/>
      <c r="CW26" s="976"/>
      <c r="CX26" s="976"/>
      <c r="CY26" s="976" t="str">
        <f>MID(SUVAHAVUJ!AE40,10,1)</f>
        <v xml:space="preserve"> </v>
      </c>
      <c r="CZ26" s="976"/>
      <c r="DA26" s="976"/>
      <c r="DB26" s="976"/>
      <c r="DC26" s="976"/>
      <c r="DD26" s="977" t="str">
        <f>MID(SUVAHAVUJ!AE40,11,1)</f>
        <v>0</v>
      </c>
      <c r="DE26" s="977"/>
      <c r="DF26" s="977"/>
      <c r="DG26" s="977"/>
      <c r="DH26" s="977"/>
      <c r="DI26" s="977"/>
      <c r="DJ26" s="980"/>
      <c r="DK26" s="980"/>
      <c r="DL26" s="980"/>
      <c r="DM26" s="980"/>
      <c r="DN26" s="980"/>
      <c r="DO26" s="980"/>
      <c r="DP26" s="980"/>
      <c r="DQ26" s="980"/>
      <c r="DR26" s="980"/>
      <c r="DS26" s="980"/>
      <c r="DT26" s="980"/>
      <c r="DU26" s="980"/>
      <c r="DV26" s="980"/>
      <c r="DW26" s="980"/>
      <c r="DX26" s="980"/>
      <c r="DY26" s="980"/>
      <c r="DZ26" s="980"/>
      <c r="EA26" s="980"/>
      <c r="EB26" s="980"/>
      <c r="EC26" s="980"/>
      <c r="ED26" s="980"/>
      <c r="EE26" s="980"/>
      <c r="EF26" s="980"/>
      <c r="EG26" s="980"/>
      <c r="EH26" s="980"/>
      <c r="EI26" s="980"/>
      <c r="EJ26" s="980"/>
      <c r="EK26" s="980"/>
      <c r="EL26" s="980"/>
      <c r="EM26" s="980"/>
      <c r="EN26" s="648"/>
      <c r="EO26" s="649"/>
      <c r="EP26" s="976" t="str">
        <f>MID(SUVAHAVUJ!AG40,1,1)</f>
        <v xml:space="preserve"> </v>
      </c>
      <c r="EQ26" s="976"/>
      <c r="ER26" s="976"/>
      <c r="ES26" s="976"/>
      <c r="ET26" s="976"/>
      <c r="EU26" s="976"/>
      <c r="EV26" s="976" t="str">
        <f>MID(SUVAHAVUJ!AG40,2,1)</f>
        <v xml:space="preserve"> </v>
      </c>
      <c r="EW26" s="976"/>
      <c r="EX26" s="976"/>
      <c r="EY26" s="976"/>
      <c r="EZ26" s="976"/>
      <c r="FA26" s="976" t="str">
        <f>MID(SUVAHAVUJ!AG40,3,1)</f>
        <v xml:space="preserve"> </v>
      </c>
      <c r="FB26" s="976"/>
      <c r="FC26" s="976"/>
      <c r="FD26" s="976"/>
      <c r="FE26" s="976"/>
      <c r="FF26" s="976"/>
      <c r="FG26" s="976" t="str">
        <f>MID(SUVAHAVUJ!AG40,4,1)</f>
        <v xml:space="preserve"> </v>
      </c>
      <c r="FH26" s="976"/>
      <c r="FI26" s="976"/>
      <c r="FJ26" s="976"/>
      <c r="FK26" s="976"/>
      <c r="FL26" s="976" t="str">
        <f>MID(SUVAHAVUJ!AG40,5,1)</f>
        <v xml:space="preserve"> </v>
      </c>
      <c r="FM26" s="976"/>
      <c r="FN26" s="976"/>
      <c r="FO26" s="976"/>
      <c r="FP26" s="976"/>
      <c r="FQ26" s="976"/>
      <c r="FR26" s="976" t="str">
        <f>MID(SUVAHAVUJ!AG40,6,1)</f>
        <v xml:space="preserve"> </v>
      </c>
      <c r="FS26" s="976"/>
      <c r="FT26" s="976"/>
      <c r="FU26" s="976"/>
      <c r="FV26" s="976"/>
      <c r="FW26" s="976" t="str">
        <f>MID(SUVAHAVUJ!AG40,7,1)</f>
        <v xml:space="preserve"> </v>
      </c>
      <c r="FX26" s="976"/>
      <c r="FY26" s="976"/>
      <c r="FZ26" s="976"/>
      <c r="GA26" s="976"/>
      <c r="GB26" s="976"/>
      <c r="GC26" s="976" t="str">
        <f>MID(SUVAHAVUJ!AG40,8,1)</f>
        <v>2</v>
      </c>
      <c r="GD26" s="976"/>
      <c r="GE26" s="976"/>
      <c r="GF26" s="976"/>
      <c r="GG26" s="976"/>
      <c r="GH26" s="976" t="str">
        <f>MID(SUVAHAVUJ!AG40,9,1)</f>
        <v>3</v>
      </c>
      <c r="GI26" s="976"/>
      <c r="GJ26" s="976"/>
      <c r="GK26" s="976"/>
      <c r="GL26" s="976"/>
      <c r="GM26" s="976"/>
      <c r="GN26" s="976" t="str">
        <f>MID(SUVAHAVUJ!AG40,10,1)</f>
        <v>4</v>
      </c>
      <c r="GO26" s="976"/>
      <c r="GP26" s="976"/>
      <c r="GQ26" s="976"/>
      <c r="GR26" s="976"/>
      <c r="GS26" s="978" t="str">
        <f>MID(SUVAHAVUJ!AG40,11,1)</f>
        <v>0</v>
      </c>
      <c r="GT26" s="978"/>
      <c r="GU26" s="978"/>
      <c r="GV26" s="978"/>
      <c r="GW26" s="978"/>
    </row>
    <row r="27" spans="2:205" s="650" customFormat="1" ht="23.25" customHeight="1" x14ac:dyDescent="0.3">
      <c r="B27" s="985" t="s">
        <v>2169</v>
      </c>
      <c r="C27" s="985"/>
      <c r="D27" s="985"/>
      <c r="E27" s="985"/>
      <c r="F27" s="985"/>
      <c r="G27" s="985"/>
      <c r="H27" s="985"/>
      <c r="I27" s="985"/>
      <c r="J27" s="985"/>
      <c r="K27" s="985"/>
      <c r="L27" s="990" t="str">
        <f>SUVAHAVUJ!$D$41</f>
        <v>Tovar (132, 133, 13X, 139) - /196, 19X/</v>
      </c>
      <c r="M27" s="990"/>
      <c r="N27" s="990"/>
      <c r="O27" s="990"/>
      <c r="P27" s="990"/>
      <c r="Q27" s="990"/>
      <c r="R27" s="990"/>
      <c r="S27" s="990"/>
      <c r="T27" s="990"/>
      <c r="U27" s="990"/>
      <c r="V27" s="990"/>
      <c r="W27" s="990"/>
      <c r="X27" s="990"/>
      <c r="Y27" s="990"/>
      <c r="Z27" s="990"/>
      <c r="AA27" s="990"/>
      <c r="AB27" s="990"/>
      <c r="AC27" s="990"/>
      <c r="AD27" s="990"/>
      <c r="AE27" s="990"/>
      <c r="AF27" s="990"/>
      <c r="AG27" s="990"/>
      <c r="AH27" s="990"/>
      <c r="AI27" s="990"/>
      <c r="AJ27" s="990"/>
      <c r="AK27" s="990"/>
      <c r="AL27" s="990"/>
      <c r="AM27" s="990"/>
      <c r="AN27" s="990"/>
      <c r="AO27" s="990"/>
      <c r="AP27" s="990"/>
      <c r="AQ27" s="975" t="s">
        <v>2194</v>
      </c>
      <c r="AR27" s="975"/>
      <c r="AS27" s="975"/>
      <c r="AT27" s="975"/>
      <c r="AU27" s="975"/>
      <c r="AV27" s="975"/>
      <c r="AW27" s="975"/>
      <c r="AX27" s="975"/>
      <c r="AY27" s="648"/>
      <c r="AZ27" s="649"/>
      <c r="BA27" s="976" t="str">
        <f>MID(SUVAHAVUJ!AD41,1,1)</f>
        <v xml:space="preserve"> </v>
      </c>
      <c r="BB27" s="976"/>
      <c r="BC27" s="976"/>
      <c r="BD27" s="976"/>
      <c r="BE27" s="976"/>
      <c r="BF27" s="976"/>
      <c r="BG27" s="976" t="str">
        <f>MID(SUVAHAVUJ!AD41,2,1)</f>
        <v xml:space="preserve"> </v>
      </c>
      <c r="BH27" s="976"/>
      <c r="BI27" s="976"/>
      <c r="BJ27" s="976"/>
      <c r="BK27" s="976"/>
      <c r="BL27" s="976" t="str">
        <f>MID(SUVAHAVUJ!AD41,3,1)</f>
        <v xml:space="preserve"> </v>
      </c>
      <c r="BM27" s="976"/>
      <c r="BN27" s="976"/>
      <c r="BO27" s="976"/>
      <c r="BP27" s="976"/>
      <c r="BQ27" s="976"/>
      <c r="BR27" s="976" t="str">
        <f>MID(SUVAHAVUJ!AD41,4,1)</f>
        <v xml:space="preserve"> </v>
      </c>
      <c r="BS27" s="976"/>
      <c r="BT27" s="976"/>
      <c r="BU27" s="976"/>
      <c r="BV27" s="976"/>
      <c r="BW27" s="976" t="str">
        <f>MID(SUVAHAVUJ!AD41,5,1)</f>
        <v xml:space="preserve"> </v>
      </c>
      <c r="BX27" s="976"/>
      <c r="BY27" s="976"/>
      <c r="BZ27" s="976"/>
      <c r="CA27" s="976"/>
      <c r="CB27" s="976"/>
      <c r="CC27" s="976" t="str">
        <f>MID(SUVAHAVUJ!AD41,6,1)</f>
        <v xml:space="preserve"> </v>
      </c>
      <c r="CD27" s="976"/>
      <c r="CE27" s="976"/>
      <c r="CF27" s="976"/>
      <c r="CG27" s="976"/>
      <c r="CH27" s="976" t="str">
        <f>MID(SUVAHAVUJ!AD41,7,1)</f>
        <v xml:space="preserve"> </v>
      </c>
      <c r="CI27" s="976"/>
      <c r="CJ27" s="976"/>
      <c r="CK27" s="976"/>
      <c r="CL27" s="976"/>
      <c r="CM27" s="976"/>
      <c r="CN27" s="976" t="str">
        <f>MID(SUVAHAVUJ!AD41,8,1)</f>
        <v xml:space="preserve"> </v>
      </c>
      <c r="CO27" s="976"/>
      <c r="CP27" s="976"/>
      <c r="CQ27" s="976"/>
      <c r="CR27" s="976"/>
      <c r="CS27" s="976" t="str">
        <f>MID(SUVAHAVUJ!AD41,9,1)</f>
        <v xml:space="preserve"> </v>
      </c>
      <c r="CT27" s="976"/>
      <c r="CU27" s="976"/>
      <c r="CV27" s="976"/>
      <c r="CW27" s="976"/>
      <c r="CX27" s="976"/>
      <c r="CY27" s="976" t="str">
        <f>MID(SUVAHAVUJ!AD41,10,1)</f>
        <v xml:space="preserve"> </v>
      </c>
      <c r="CZ27" s="976"/>
      <c r="DA27" s="976"/>
      <c r="DB27" s="976"/>
      <c r="DC27" s="976"/>
      <c r="DD27" s="977" t="str">
        <f>MID(SUVAHAVUJ!AD41,11,1)</f>
        <v>0</v>
      </c>
      <c r="DE27" s="977"/>
      <c r="DF27" s="977"/>
      <c r="DG27" s="977"/>
      <c r="DH27" s="977"/>
      <c r="DI27" s="977"/>
      <c r="DJ27" s="648"/>
      <c r="DK27" s="649"/>
      <c r="DL27" s="976" t="str">
        <f>MID(SUVAHAVUJ!AF41,1,1)</f>
        <v xml:space="preserve"> </v>
      </c>
      <c r="DM27" s="976"/>
      <c r="DN27" s="976"/>
      <c r="DO27" s="976"/>
      <c r="DP27" s="976"/>
      <c r="DQ27" s="976"/>
      <c r="DR27" s="976" t="str">
        <f>MID(SUVAHAVUJ!AF41,2,1)</f>
        <v xml:space="preserve"> </v>
      </c>
      <c r="DS27" s="976"/>
      <c r="DT27" s="976"/>
      <c r="DU27" s="976"/>
      <c r="DV27" s="976"/>
      <c r="DW27" s="976" t="str">
        <f>MID(SUVAHAVUJ!AF41,3,1)</f>
        <v xml:space="preserve"> </v>
      </c>
      <c r="DX27" s="976"/>
      <c r="DY27" s="976"/>
      <c r="DZ27" s="976"/>
      <c r="EA27" s="976"/>
      <c r="EB27" s="976"/>
      <c r="EC27" s="976" t="str">
        <f>MID(SUVAHAVUJ!AF41,4,1)</f>
        <v xml:space="preserve"> </v>
      </c>
      <c r="ED27" s="976"/>
      <c r="EE27" s="976"/>
      <c r="EF27" s="976"/>
      <c r="EG27" s="976"/>
      <c r="EH27" s="976" t="str">
        <f>MID(SUVAHAVUJ!AF41,5,1)</f>
        <v xml:space="preserve"> </v>
      </c>
      <c r="EI27" s="976"/>
      <c r="EJ27" s="976"/>
      <c r="EK27" s="976"/>
      <c r="EL27" s="976"/>
      <c r="EM27" s="976"/>
      <c r="EN27" s="976" t="str">
        <f>MID(SUVAHAVUJ!AF41,6,1)</f>
        <v xml:space="preserve"> </v>
      </c>
      <c r="EO27" s="976"/>
      <c r="EP27" s="976"/>
      <c r="EQ27" s="976"/>
      <c r="ER27" s="976"/>
      <c r="ES27" s="976" t="str">
        <f>MID(SUVAHAVUJ!AF41,7,1)</f>
        <v xml:space="preserve"> </v>
      </c>
      <c r="ET27" s="976"/>
      <c r="EU27" s="976"/>
      <c r="EV27" s="976"/>
      <c r="EW27" s="976"/>
      <c r="EX27" s="976"/>
      <c r="EY27" s="976" t="str">
        <f>MID(SUVAHAVUJ!AF41,8,1)</f>
        <v xml:space="preserve"> </v>
      </c>
      <c r="EZ27" s="976"/>
      <c r="FA27" s="976"/>
      <c r="FB27" s="976"/>
      <c r="FC27" s="976"/>
      <c r="FD27" s="976" t="str">
        <f>MID(SUVAHAVUJ!AF41,9,1)</f>
        <v xml:space="preserve"> </v>
      </c>
      <c r="FE27" s="976"/>
      <c r="FF27" s="976"/>
      <c r="FG27" s="976"/>
      <c r="FH27" s="976"/>
      <c r="FI27" s="976"/>
      <c r="FJ27" s="976" t="str">
        <f>MID(SUVAHAVUJ!AF41,10,1)</f>
        <v xml:space="preserve"> </v>
      </c>
      <c r="FK27" s="976"/>
      <c r="FL27" s="976"/>
      <c r="FM27" s="976"/>
      <c r="FN27" s="976"/>
      <c r="FO27" s="978" t="str">
        <f>MID(SUVAHAVUJ!AF41,11,1)</f>
        <v>0</v>
      </c>
      <c r="FP27" s="978"/>
      <c r="FQ27" s="978"/>
      <c r="FR27" s="978"/>
      <c r="FS27" s="978"/>
      <c r="FT27" s="979"/>
      <c r="FU27" s="979"/>
      <c r="FV27" s="979"/>
      <c r="FW27" s="979"/>
      <c r="FX27" s="979"/>
      <c r="FY27" s="979"/>
      <c r="FZ27" s="979"/>
      <c r="GA27" s="979"/>
      <c r="GB27" s="979"/>
      <c r="GC27" s="979"/>
      <c r="GD27" s="979"/>
      <c r="GE27" s="979"/>
      <c r="GF27" s="979"/>
      <c r="GG27" s="979"/>
      <c r="GH27" s="979"/>
      <c r="GI27" s="979"/>
      <c r="GJ27" s="979"/>
      <c r="GK27" s="979"/>
      <c r="GL27" s="979"/>
      <c r="GM27" s="979"/>
      <c r="GN27" s="979"/>
      <c r="GO27" s="979"/>
      <c r="GP27" s="979"/>
      <c r="GQ27" s="979"/>
      <c r="GR27" s="979"/>
      <c r="GS27" s="979"/>
      <c r="GT27" s="979"/>
      <c r="GU27" s="979"/>
      <c r="GV27" s="979"/>
      <c r="GW27" s="979"/>
    </row>
    <row r="28" spans="2:205" ht="23.25" customHeight="1" x14ac:dyDescent="0.3">
      <c r="B28" s="985"/>
      <c r="C28" s="985"/>
      <c r="D28" s="985"/>
      <c r="E28" s="985"/>
      <c r="F28" s="985"/>
      <c r="G28" s="985"/>
      <c r="H28" s="985"/>
      <c r="I28" s="985"/>
      <c r="J28" s="985"/>
      <c r="K28" s="985"/>
      <c r="L28" s="990"/>
      <c r="M28" s="990"/>
      <c r="N28" s="990"/>
      <c r="O28" s="990"/>
      <c r="P28" s="990"/>
      <c r="Q28" s="990"/>
      <c r="R28" s="990"/>
      <c r="S28" s="990"/>
      <c r="T28" s="990"/>
      <c r="U28" s="990"/>
      <c r="V28" s="990"/>
      <c r="W28" s="990"/>
      <c r="X28" s="990"/>
      <c r="Y28" s="990"/>
      <c r="Z28" s="990"/>
      <c r="AA28" s="990"/>
      <c r="AB28" s="990"/>
      <c r="AC28" s="990"/>
      <c r="AD28" s="990"/>
      <c r="AE28" s="990"/>
      <c r="AF28" s="990"/>
      <c r="AG28" s="990"/>
      <c r="AH28" s="990"/>
      <c r="AI28" s="990"/>
      <c r="AJ28" s="990"/>
      <c r="AK28" s="990"/>
      <c r="AL28" s="990"/>
      <c r="AM28" s="990"/>
      <c r="AN28" s="990"/>
      <c r="AO28" s="990"/>
      <c r="AP28" s="990"/>
      <c r="AQ28" s="975"/>
      <c r="AR28" s="975"/>
      <c r="AS28" s="975"/>
      <c r="AT28" s="975"/>
      <c r="AU28" s="975"/>
      <c r="AV28" s="975"/>
      <c r="AW28" s="975"/>
      <c r="AX28" s="975"/>
      <c r="AY28" s="648"/>
      <c r="AZ28" s="649"/>
      <c r="BA28" s="976" t="str">
        <f>MID(SUVAHAVUJ!AE41,1,1)</f>
        <v xml:space="preserve"> </v>
      </c>
      <c r="BB28" s="976"/>
      <c r="BC28" s="976"/>
      <c r="BD28" s="976"/>
      <c r="BE28" s="976"/>
      <c r="BF28" s="976"/>
      <c r="BG28" s="976" t="str">
        <f>MID(SUVAHAVUJ!AE41,2,1)</f>
        <v xml:space="preserve"> </v>
      </c>
      <c r="BH28" s="976"/>
      <c r="BI28" s="976"/>
      <c r="BJ28" s="976"/>
      <c r="BK28" s="976"/>
      <c r="BL28" s="976" t="str">
        <f>MID(SUVAHAVUJ!AE41,3,1)</f>
        <v xml:space="preserve"> </v>
      </c>
      <c r="BM28" s="976"/>
      <c r="BN28" s="976"/>
      <c r="BO28" s="976"/>
      <c r="BP28" s="976"/>
      <c r="BQ28" s="976"/>
      <c r="BR28" s="976" t="str">
        <f>MID(SUVAHAVUJ!AE41,4,1)</f>
        <v xml:space="preserve"> </v>
      </c>
      <c r="BS28" s="976"/>
      <c r="BT28" s="976"/>
      <c r="BU28" s="976"/>
      <c r="BV28" s="976"/>
      <c r="BW28" s="976" t="str">
        <f>MID(SUVAHAVUJ!AE41,5,1)</f>
        <v xml:space="preserve"> </v>
      </c>
      <c r="BX28" s="976"/>
      <c r="BY28" s="976"/>
      <c r="BZ28" s="976"/>
      <c r="CA28" s="976"/>
      <c r="CB28" s="976"/>
      <c r="CC28" s="976" t="str">
        <f>MID(SUVAHAVUJ!AE41,6,1)</f>
        <v xml:space="preserve"> </v>
      </c>
      <c r="CD28" s="976"/>
      <c r="CE28" s="976"/>
      <c r="CF28" s="976"/>
      <c r="CG28" s="976"/>
      <c r="CH28" s="976" t="str">
        <f>MID(SUVAHAVUJ!AE41,7,1)</f>
        <v xml:space="preserve"> </v>
      </c>
      <c r="CI28" s="976"/>
      <c r="CJ28" s="976"/>
      <c r="CK28" s="976"/>
      <c r="CL28" s="976"/>
      <c r="CM28" s="976"/>
      <c r="CN28" s="976" t="str">
        <f>MID(SUVAHAVUJ!AE41,8,1)</f>
        <v xml:space="preserve"> </v>
      </c>
      <c r="CO28" s="976"/>
      <c r="CP28" s="976"/>
      <c r="CQ28" s="976"/>
      <c r="CR28" s="976"/>
      <c r="CS28" s="976" t="str">
        <f>MID(SUVAHAVUJ!AE41,9,1)</f>
        <v xml:space="preserve"> </v>
      </c>
      <c r="CT28" s="976"/>
      <c r="CU28" s="976"/>
      <c r="CV28" s="976"/>
      <c r="CW28" s="976"/>
      <c r="CX28" s="976"/>
      <c r="CY28" s="976" t="str">
        <f>MID(SUVAHAVUJ!AE41,10,1)</f>
        <v xml:space="preserve"> </v>
      </c>
      <c r="CZ28" s="976"/>
      <c r="DA28" s="976"/>
      <c r="DB28" s="976"/>
      <c r="DC28" s="976"/>
      <c r="DD28" s="977" t="str">
        <f>MID(SUVAHAVUJ!AE41,11,1)</f>
        <v>0</v>
      </c>
      <c r="DE28" s="977"/>
      <c r="DF28" s="977"/>
      <c r="DG28" s="977"/>
      <c r="DH28" s="977"/>
      <c r="DI28" s="977"/>
      <c r="DJ28" s="980"/>
      <c r="DK28" s="980"/>
      <c r="DL28" s="980"/>
      <c r="DM28" s="980"/>
      <c r="DN28" s="980"/>
      <c r="DO28" s="980"/>
      <c r="DP28" s="980"/>
      <c r="DQ28" s="980"/>
      <c r="DR28" s="980"/>
      <c r="DS28" s="980"/>
      <c r="DT28" s="980"/>
      <c r="DU28" s="980"/>
      <c r="DV28" s="980"/>
      <c r="DW28" s="980"/>
      <c r="DX28" s="980"/>
      <c r="DY28" s="980"/>
      <c r="DZ28" s="980"/>
      <c r="EA28" s="980"/>
      <c r="EB28" s="980"/>
      <c r="EC28" s="980"/>
      <c r="ED28" s="980"/>
      <c r="EE28" s="980"/>
      <c r="EF28" s="980"/>
      <c r="EG28" s="980"/>
      <c r="EH28" s="980"/>
      <c r="EI28" s="980"/>
      <c r="EJ28" s="980"/>
      <c r="EK28" s="980"/>
      <c r="EL28" s="980"/>
      <c r="EM28" s="980"/>
      <c r="EN28" s="648"/>
      <c r="EO28" s="649"/>
      <c r="EP28" s="976" t="str">
        <f>MID(SUVAHAVUJ!AG41,1,1)</f>
        <v xml:space="preserve"> </v>
      </c>
      <c r="EQ28" s="976"/>
      <c r="ER28" s="976"/>
      <c r="ES28" s="976"/>
      <c r="ET28" s="976"/>
      <c r="EU28" s="976"/>
      <c r="EV28" s="976" t="str">
        <f>MID(SUVAHAVUJ!AG41,2,1)</f>
        <v xml:space="preserve"> </v>
      </c>
      <c r="EW28" s="976"/>
      <c r="EX28" s="976"/>
      <c r="EY28" s="976"/>
      <c r="EZ28" s="976"/>
      <c r="FA28" s="976" t="str">
        <f>MID(SUVAHAVUJ!AG41,3,1)</f>
        <v xml:space="preserve"> </v>
      </c>
      <c r="FB28" s="976"/>
      <c r="FC28" s="976"/>
      <c r="FD28" s="976"/>
      <c r="FE28" s="976"/>
      <c r="FF28" s="976"/>
      <c r="FG28" s="976" t="str">
        <f>MID(SUVAHAVUJ!AG41,4,1)</f>
        <v xml:space="preserve"> </v>
      </c>
      <c r="FH28" s="976"/>
      <c r="FI28" s="976"/>
      <c r="FJ28" s="976"/>
      <c r="FK28" s="976"/>
      <c r="FL28" s="976" t="str">
        <f>MID(SUVAHAVUJ!AG41,5,1)</f>
        <v xml:space="preserve"> </v>
      </c>
      <c r="FM28" s="976"/>
      <c r="FN28" s="976"/>
      <c r="FO28" s="976"/>
      <c r="FP28" s="976"/>
      <c r="FQ28" s="976"/>
      <c r="FR28" s="976" t="str">
        <f>MID(SUVAHAVUJ!AG41,6,1)</f>
        <v xml:space="preserve"> </v>
      </c>
      <c r="FS28" s="976"/>
      <c r="FT28" s="976"/>
      <c r="FU28" s="976"/>
      <c r="FV28" s="976"/>
      <c r="FW28" s="976" t="str">
        <f>MID(SUVAHAVUJ!AG41,7,1)</f>
        <v xml:space="preserve"> </v>
      </c>
      <c r="FX28" s="976"/>
      <c r="FY28" s="976"/>
      <c r="FZ28" s="976"/>
      <c r="GA28" s="976"/>
      <c r="GB28" s="976"/>
      <c r="GC28" s="976" t="str">
        <f>MID(SUVAHAVUJ!AG41,8,1)</f>
        <v xml:space="preserve"> </v>
      </c>
      <c r="GD28" s="976"/>
      <c r="GE28" s="976"/>
      <c r="GF28" s="976"/>
      <c r="GG28" s="976"/>
      <c r="GH28" s="976" t="str">
        <f>MID(SUVAHAVUJ!AG41,9,1)</f>
        <v xml:space="preserve"> </v>
      </c>
      <c r="GI28" s="976"/>
      <c r="GJ28" s="976"/>
      <c r="GK28" s="976"/>
      <c r="GL28" s="976"/>
      <c r="GM28" s="976"/>
      <c r="GN28" s="976" t="str">
        <f>MID(SUVAHAVUJ!AG41,10,1)</f>
        <v xml:space="preserve"> </v>
      </c>
      <c r="GO28" s="976"/>
      <c r="GP28" s="976"/>
      <c r="GQ28" s="976"/>
      <c r="GR28" s="976"/>
      <c r="GS28" s="978" t="str">
        <f>MID(SUVAHAVUJ!AG41,11,1)</f>
        <v>0</v>
      </c>
      <c r="GT28" s="978"/>
      <c r="GU28" s="978"/>
      <c r="GV28" s="978"/>
      <c r="GW28" s="978"/>
    </row>
    <row r="29" spans="2:205" s="650" customFormat="1" ht="24" customHeight="1" x14ac:dyDescent="0.3">
      <c r="B29" s="985" t="s">
        <v>2171</v>
      </c>
      <c r="C29" s="985"/>
      <c r="D29" s="985"/>
      <c r="E29" s="985"/>
      <c r="F29" s="985"/>
      <c r="G29" s="985"/>
      <c r="H29" s="985"/>
      <c r="I29" s="985"/>
      <c r="J29" s="985"/>
      <c r="K29" s="985"/>
      <c r="L29" s="990" t="str">
        <f>SUVAHAVUJ!$D$42</f>
        <v>Poskytnuté preddavky na zásoby (314A) - /391A/</v>
      </c>
      <c r="M29" s="990"/>
      <c r="N29" s="990"/>
      <c r="O29" s="990"/>
      <c r="P29" s="990"/>
      <c r="Q29" s="990"/>
      <c r="R29" s="990"/>
      <c r="S29" s="990"/>
      <c r="T29" s="990"/>
      <c r="U29" s="990"/>
      <c r="V29" s="990"/>
      <c r="W29" s="990"/>
      <c r="X29" s="990"/>
      <c r="Y29" s="990"/>
      <c r="Z29" s="990"/>
      <c r="AA29" s="990"/>
      <c r="AB29" s="990"/>
      <c r="AC29" s="990"/>
      <c r="AD29" s="990"/>
      <c r="AE29" s="990"/>
      <c r="AF29" s="990"/>
      <c r="AG29" s="990"/>
      <c r="AH29" s="990"/>
      <c r="AI29" s="990"/>
      <c r="AJ29" s="990"/>
      <c r="AK29" s="990"/>
      <c r="AL29" s="990"/>
      <c r="AM29" s="990"/>
      <c r="AN29" s="990"/>
      <c r="AO29" s="990"/>
      <c r="AP29" s="990"/>
      <c r="AQ29" s="975" t="s">
        <v>1249</v>
      </c>
      <c r="AR29" s="975"/>
      <c r="AS29" s="975"/>
      <c r="AT29" s="975"/>
      <c r="AU29" s="975"/>
      <c r="AV29" s="975"/>
      <c r="AW29" s="975"/>
      <c r="AX29" s="975"/>
      <c r="AY29" s="648"/>
      <c r="AZ29" s="649"/>
      <c r="BA29" s="976" t="str">
        <f>MID(SUVAHAVUJ!AD42,1,1)</f>
        <v xml:space="preserve"> </v>
      </c>
      <c r="BB29" s="976"/>
      <c r="BC29" s="976"/>
      <c r="BD29" s="976"/>
      <c r="BE29" s="976"/>
      <c r="BF29" s="976"/>
      <c r="BG29" s="976" t="str">
        <f>MID(SUVAHAVUJ!AD42,2,1)</f>
        <v xml:space="preserve"> </v>
      </c>
      <c r="BH29" s="976"/>
      <c r="BI29" s="976"/>
      <c r="BJ29" s="976"/>
      <c r="BK29" s="976"/>
      <c r="BL29" s="976" t="str">
        <f>MID(SUVAHAVUJ!AD42,3,1)</f>
        <v xml:space="preserve"> </v>
      </c>
      <c r="BM29" s="976"/>
      <c r="BN29" s="976"/>
      <c r="BO29" s="976"/>
      <c r="BP29" s="976"/>
      <c r="BQ29" s="976"/>
      <c r="BR29" s="976" t="str">
        <f>MID(SUVAHAVUJ!AD42,4,1)</f>
        <v xml:space="preserve"> </v>
      </c>
      <c r="BS29" s="976"/>
      <c r="BT29" s="976"/>
      <c r="BU29" s="976"/>
      <c r="BV29" s="976"/>
      <c r="BW29" s="976" t="str">
        <f>MID(SUVAHAVUJ!AD42,5,1)</f>
        <v xml:space="preserve"> </v>
      </c>
      <c r="BX29" s="976"/>
      <c r="BY29" s="976"/>
      <c r="BZ29" s="976"/>
      <c r="CA29" s="976"/>
      <c r="CB29" s="976"/>
      <c r="CC29" s="976" t="str">
        <f>MID(SUVAHAVUJ!AD42,6,1)</f>
        <v xml:space="preserve"> </v>
      </c>
      <c r="CD29" s="976"/>
      <c r="CE29" s="976"/>
      <c r="CF29" s="976"/>
      <c r="CG29" s="976"/>
      <c r="CH29" s="976" t="str">
        <f>MID(SUVAHAVUJ!AD42,7,1)</f>
        <v xml:space="preserve"> </v>
      </c>
      <c r="CI29" s="976"/>
      <c r="CJ29" s="976"/>
      <c r="CK29" s="976"/>
      <c r="CL29" s="976"/>
      <c r="CM29" s="976"/>
      <c r="CN29" s="976" t="str">
        <f>MID(SUVAHAVUJ!AD42,8,1)</f>
        <v xml:space="preserve"> </v>
      </c>
      <c r="CO29" s="976"/>
      <c r="CP29" s="976"/>
      <c r="CQ29" s="976"/>
      <c r="CR29" s="976"/>
      <c r="CS29" s="976" t="str">
        <f>MID(SUVAHAVUJ!AD42,9,1)</f>
        <v xml:space="preserve"> </v>
      </c>
      <c r="CT29" s="976"/>
      <c r="CU29" s="976"/>
      <c r="CV29" s="976"/>
      <c r="CW29" s="976"/>
      <c r="CX29" s="976"/>
      <c r="CY29" s="976" t="str">
        <f>MID(SUVAHAVUJ!AD42,10,1)</f>
        <v xml:space="preserve"> </v>
      </c>
      <c r="CZ29" s="976"/>
      <c r="DA29" s="976"/>
      <c r="DB29" s="976"/>
      <c r="DC29" s="976"/>
      <c r="DD29" s="977" t="str">
        <f>MID(SUVAHAVUJ!AD42,11,1)</f>
        <v>0</v>
      </c>
      <c r="DE29" s="977"/>
      <c r="DF29" s="977"/>
      <c r="DG29" s="977"/>
      <c r="DH29" s="977"/>
      <c r="DI29" s="977"/>
      <c r="DJ29" s="648"/>
      <c r="DK29" s="649"/>
      <c r="DL29" s="976" t="str">
        <f>MID(SUVAHAVUJ!AF42,1,1)</f>
        <v xml:space="preserve"> </v>
      </c>
      <c r="DM29" s="976"/>
      <c r="DN29" s="976"/>
      <c r="DO29" s="976"/>
      <c r="DP29" s="976"/>
      <c r="DQ29" s="976"/>
      <c r="DR29" s="976" t="str">
        <f>MID(SUVAHAVUJ!AF42,2,1)</f>
        <v xml:space="preserve"> </v>
      </c>
      <c r="DS29" s="976"/>
      <c r="DT29" s="976"/>
      <c r="DU29" s="976"/>
      <c r="DV29" s="976"/>
      <c r="DW29" s="976" t="str">
        <f>MID(SUVAHAVUJ!AF42,3,1)</f>
        <v xml:space="preserve"> </v>
      </c>
      <c r="DX29" s="976"/>
      <c r="DY29" s="976"/>
      <c r="DZ29" s="976"/>
      <c r="EA29" s="976"/>
      <c r="EB29" s="976"/>
      <c r="EC29" s="976" t="str">
        <f>MID(SUVAHAVUJ!AF42,4,1)</f>
        <v xml:space="preserve"> </v>
      </c>
      <c r="ED29" s="976"/>
      <c r="EE29" s="976"/>
      <c r="EF29" s="976"/>
      <c r="EG29" s="976"/>
      <c r="EH29" s="976" t="str">
        <f>MID(SUVAHAVUJ!AF42,5,1)</f>
        <v xml:space="preserve"> </v>
      </c>
      <c r="EI29" s="976"/>
      <c r="EJ29" s="976"/>
      <c r="EK29" s="976"/>
      <c r="EL29" s="976"/>
      <c r="EM29" s="976"/>
      <c r="EN29" s="976" t="str">
        <f>MID(SUVAHAVUJ!AF42,6,1)</f>
        <v xml:space="preserve"> </v>
      </c>
      <c r="EO29" s="976"/>
      <c r="EP29" s="976"/>
      <c r="EQ29" s="976"/>
      <c r="ER29" s="976"/>
      <c r="ES29" s="976" t="str">
        <f>MID(SUVAHAVUJ!AF42,7,1)</f>
        <v xml:space="preserve"> </v>
      </c>
      <c r="ET29" s="976"/>
      <c r="EU29" s="976"/>
      <c r="EV29" s="976"/>
      <c r="EW29" s="976"/>
      <c r="EX29" s="976"/>
      <c r="EY29" s="976" t="str">
        <f>MID(SUVAHAVUJ!AF42,8,1)</f>
        <v xml:space="preserve"> </v>
      </c>
      <c r="EZ29" s="976"/>
      <c r="FA29" s="976"/>
      <c r="FB29" s="976"/>
      <c r="FC29" s="976"/>
      <c r="FD29" s="976" t="str">
        <f>MID(SUVAHAVUJ!AF42,9,1)</f>
        <v xml:space="preserve"> </v>
      </c>
      <c r="FE29" s="976"/>
      <c r="FF29" s="976"/>
      <c r="FG29" s="976"/>
      <c r="FH29" s="976"/>
      <c r="FI29" s="976"/>
      <c r="FJ29" s="976" t="str">
        <f>MID(SUVAHAVUJ!AF42,10,1)</f>
        <v xml:space="preserve"> </v>
      </c>
      <c r="FK29" s="976"/>
      <c r="FL29" s="976"/>
      <c r="FM29" s="976"/>
      <c r="FN29" s="976"/>
      <c r="FO29" s="978" t="str">
        <f>MID(SUVAHAVUJ!AF42,11,1)</f>
        <v>0</v>
      </c>
      <c r="FP29" s="978"/>
      <c r="FQ29" s="978"/>
      <c r="FR29" s="978"/>
      <c r="FS29" s="978"/>
      <c r="FT29" s="979"/>
      <c r="FU29" s="979"/>
      <c r="FV29" s="979"/>
      <c r="FW29" s="979"/>
      <c r="FX29" s="979"/>
      <c r="FY29" s="979"/>
      <c r="FZ29" s="979"/>
      <c r="GA29" s="979"/>
      <c r="GB29" s="979"/>
      <c r="GC29" s="979"/>
      <c r="GD29" s="979"/>
      <c r="GE29" s="979"/>
      <c r="GF29" s="979"/>
      <c r="GG29" s="979"/>
      <c r="GH29" s="979"/>
      <c r="GI29" s="979"/>
      <c r="GJ29" s="979"/>
      <c r="GK29" s="979"/>
      <c r="GL29" s="979"/>
      <c r="GM29" s="979"/>
      <c r="GN29" s="979"/>
      <c r="GO29" s="979"/>
      <c r="GP29" s="979"/>
      <c r="GQ29" s="979"/>
      <c r="GR29" s="979"/>
      <c r="GS29" s="979"/>
      <c r="GT29" s="979"/>
      <c r="GU29" s="979"/>
      <c r="GV29" s="979"/>
      <c r="GW29" s="979"/>
    </row>
    <row r="30" spans="2:205" ht="23.25" customHeight="1" x14ac:dyDescent="0.3">
      <c r="B30" s="985"/>
      <c r="C30" s="985"/>
      <c r="D30" s="985"/>
      <c r="E30" s="985"/>
      <c r="F30" s="985"/>
      <c r="G30" s="985"/>
      <c r="H30" s="985"/>
      <c r="I30" s="985"/>
      <c r="J30" s="985"/>
      <c r="K30" s="985"/>
      <c r="L30" s="990"/>
      <c r="M30" s="990"/>
      <c r="N30" s="990"/>
      <c r="O30" s="990"/>
      <c r="P30" s="990"/>
      <c r="Q30" s="990"/>
      <c r="R30" s="990"/>
      <c r="S30" s="990"/>
      <c r="T30" s="990"/>
      <c r="U30" s="990"/>
      <c r="V30" s="990"/>
      <c r="W30" s="990"/>
      <c r="X30" s="990"/>
      <c r="Y30" s="990"/>
      <c r="Z30" s="990"/>
      <c r="AA30" s="990"/>
      <c r="AB30" s="990"/>
      <c r="AC30" s="990"/>
      <c r="AD30" s="990"/>
      <c r="AE30" s="990"/>
      <c r="AF30" s="990"/>
      <c r="AG30" s="990"/>
      <c r="AH30" s="990"/>
      <c r="AI30" s="990"/>
      <c r="AJ30" s="990"/>
      <c r="AK30" s="990"/>
      <c r="AL30" s="990"/>
      <c r="AM30" s="990"/>
      <c r="AN30" s="990"/>
      <c r="AO30" s="990"/>
      <c r="AP30" s="990"/>
      <c r="AQ30" s="975"/>
      <c r="AR30" s="975"/>
      <c r="AS30" s="975"/>
      <c r="AT30" s="975"/>
      <c r="AU30" s="975"/>
      <c r="AV30" s="975"/>
      <c r="AW30" s="975"/>
      <c r="AX30" s="975"/>
      <c r="AY30" s="648"/>
      <c r="AZ30" s="649"/>
      <c r="BA30" s="976" t="str">
        <f>MID(SUVAHAVUJ!AE42,1,1)</f>
        <v xml:space="preserve"> </v>
      </c>
      <c r="BB30" s="976"/>
      <c r="BC30" s="976"/>
      <c r="BD30" s="976"/>
      <c r="BE30" s="976"/>
      <c r="BF30" s="976"/>
      <c r="BG30" s="976" t="str">
        <f>MID(SUVAHAVUJ!AE42,2,1)</f>
        <v xml:space="preserve"> </v>
      </c>
      <c r="BH30" s="976"/>
      <c r="BI30" s="976"/>
      <c r="BJ30" s="976"/>
      <c r="BK30" s="976"/>
      <c r="BL30" s="976" t="str">
        <f>MID(SUVAHAVUJ!AE42,3,1)</f>
        <v xml:space="preserve"> </v>
      </c>
      <c r="BM30" s="976"/>
      <c r="BN30" s="976"/>
      <c r="BO30" s="976"/>
      <c r="BP30" s="976"/>
      <c r="BQ30" s="976"/>
      <c r="BR30" s="976" t="str">
        <f>MID(SUVAHAVUJ!AE42,4,1)</f>
        <v xml:space="preserve"> </v>
      </c>
      <c r="BS30" s="976"/>
      <c r="BT30" s="976"/>
      <c r="BU30" s="976"/>
      <c r="BV30" s="976"/>
      <c r="BW30" s="976" t="str">
        <f>MID(SUVAHAVUJ!AE42,5,1)</f>
        <v xml:space="preserve"> </v>
      </c>
      <c r="BX30" s="976"/>
      <c r="BY30" s="976"/>
      <c r="BZ30" s="976"/>
      <c r="CA30" s="976"/>
      <c r="CB30" s="976"/>
      <c r="CC30" s="976" t="str">
        <f>MID(SUVAHAVUJ!AE42,6,1)</f>
        <v xml:space="preserve"> </v>
      </c>
      <c r="CD30" s="976"/>
      <c r="CE30" s="976"/>
      <c r="CF30" s="976"/>
      <c r="CG30" s="976"/>
      <c r="CH30" s="976" t="str">
        <f>MID(SUVAHAVUJ!AE42,7,1)</f>
        <v xml:space="preserve"> </v>
      </c>
      <c r="CI30" s="976"/>
      <c r="CJ30" s="976"/>
      <c r="CK30" s="976"/>
      <c r="CL30" s="976"/>
      <c r="CM30" s="976"/>
      <c r="CN30" s="976" t="str">
        <f>MID(SUVAHAVUJ!AE42,8,1)</f>
        <v xml:space="preserve"> </v>
      </c>
      <c r="CO30" s="976"/>
      <c r="CP30" s="976"/>
      <c r="CQ30" s="976"/>
      <c r="CR30" s="976"/>
      <c r="CS30" s="976" t="str">
        <f>MID(SUVAHAVUJ!AE42,9,1)</f>
        <v xml:space="preserve"> </v>
      </c>
      <c r="CT30" s="976"/>
      <c r="CU30" s="976"/>
      <c r="CV30" s="976"/>
      <c r="CW30" s="976"/>
      <c r="CX30" s="976"/>
      <c r="CY30" s="976" t="str">
        <f>MID(SUVAHAVUJ!AE42,10,1)</f>
        <v xml:space="preserve"> </v>
      </c>
      <c r="CZ30" s="976"/>
      <c r="DA30" s="976"/>
      <c r="DB30" s="976"/>
      <c r="DC30" s="976"/>
      <c r="DD30" s="977" t="str">
        <f>MID(SUVAHAVUJ!AE42,11,1)</f>
        <v>0</v>
      </c>
      <c r="DE30" s="977"/>
      <c r="DF30" s="977"/>
      <c r="DG30" s="977"/>
      <c r="DH30" s="977"/>
      <c r="DI30" s="977"/>
      <c r="DJ30" s="980"/>
      <c r="DK30" s="980"/>
      <c r="DL30" s="980"/>
      <c r="DM30" s="980"/>
      <c r="DN30" s="980"/>
      <c r="DO30" s="980"/>
      <c r="DP30" s="980"/>
      <c r="DQ30" s="980"/>
      <c r="DR30" s="980"/>
      <c r="DS30" s="980"/>
      <c r="DT30" s="980"/>
      <c r="DU30" s="980"/>
      <c r="DV30" s="980"/>
      <c r="DW30" s="980"/>
      <c r="DX30" s="980"/>
      <c r="DY30" s="980"/>
      <c r="DZ30" s="980"/>
      <c r="EA30" s="980"/>
      <c r="EB30" s="980"/>
      <c r="EC30" s="980"/>
      <c r="ED30" s="980"/>
      <c r="EE30" s="980"/>
      <c r="EF30" s="980"/>
      <c r="EG30" s="980"/>
      <c r="EH30" s="980"/>
      <c r="EI30" s="980"/>
      <c r="EJ30" s="980"/>
      <c r="EK30" s="980"/>
      <c r="EL30" s="980"/>
      <c r="EM30" s="980"/>
      <c r="EN30" s="648"/>
      <c r="EO30" s="649"/>
      <c r="EP30" s="976" t="str">
        <f>MID(SUVAHAVUJ!AG42,1,1)</f>
        <v xml:space="preserve"> </v>
      </c>
      <c r="EQ30" s="976"/>
      <c r="ER30" s="976"/>
      <c r="ES30" s="976"/>
      <c r="ET30" s="976"/>
      <c r="EU30" s="976"/>
      <c r="EV30" s="976" t="str">
        <f>MID(SUVAHAVUJ!AG42,2,1)</f>
        <v xml:space="preserve"> </v>
      </c>
      <c r="EW30" s="976"/>
      <c r="EX30" s="976"/>
      <c r="EY30" s="976"/>
      <c r="EZ30" s="976"/>
      <c r="FA30" s="976" t="str">
        <f>MID(SUVAHAVUJ!AG42,3,1)</f>
        <v xml:space="preserve"> </v>
      </c>
      <c r="FB30" s="976"/>
      <c r="FC30" s="976"/>
      <c r="FD30" s="976"/>
      <c r="FE30" s="976"/>
      <c r="FF30" s="976"/>
      <c r="FG30" s="976" t="str">
        <f>MID(SUVAHAVUJ!AG42,4,1)</f>
        <v xml:space="preserve"> </v>
      </c>
      <c r="FH30" s="976"/>
      <c r="FI30" s="976"/>
      <c r="FJ30" s="976"/>
      <c r="FK30" s="976"/>
      <c r="FL30" s="976" t="str">
        <f>MID(SUVAHAVUJ!AG42,5,1)</f>
        <v xml:space="preserve"> </v>
      </c>
      <c r="FM30" s="976"/>
      <c r="FN30" s="976"/>
      <c r="FO30" s="976"/>
      <c r="FP30" s="976"/>
      <c r="FQ30" s="976"/>
      <c r="FR30" s="976" t="str">
        <f>MID(SUVAHAVUJ!AG42,6,1)</f>
        <v xml:space="preserve"> </v>
      </c>
      <c r="FS30" s="976"/>
      <c r="FT30" s="976"/>
      <c r="FU30" s="976"/>
      <c r="FV30" s="976"/>
      <c r="FW30" s="976" t="str">
        <f>MID(SUVAHAVUJ!AG42,7,1)</f>
        <v xml:space="preserve"> </v>
      </c>
      <c r="FX30" s="976"/>
      <c r="FY30" s="976"/>
      <c r="FZ30" s="976"/>
      <c r="GA30" s="976"/>
      <c r="GB30" s="976"/>
      <c r="GC30" s="976" t="str">
        <f>MID(SUVAHAVUJ!AG42,8,1)</f>
        <v xml:space="preserve"> </v>
      </c>
      <c r="GD30" s="976"/>
      <c r="GE30" s="976"/>
      <c r="GF30" s="976"/>
      <c r="GG30" s="976"/>
      <c r="GH30" s="976" t="str">
        <f>MID(SUVAHAVUJ!AG42,9,1)</f>
        <v xml:space="preserve"> </v>
      </c>
      <c r="GI30" s="976"/>
      <c r="GJ30" s="976"/>
      <c r="GK30" s="976"/>
      <c r="GL30" s="976"/>
      <c r="GM30" s="976"/>
      <c r="GN30" s="976" t="str">
        <f>MID(SUVAHAVUJ!AG42,10,1)</f>
        <v xml:space="preserve"> </v>
      </c>
      <c r="GO30" s="976"/>
      <c r="GP30" s="976"/>
      <c r="GQ30" s="976"/>
      <c r="GR30" s="976"/>
      <c r="GS30" s="978" t="str">
        <f>MID(SUVAHAVUJ!AG42,11,1)</f>
        <v>0</v>
      </c>
      <c r="GT30" s="978"/>
      <c r="GU30" s="978"/>
      <c r="GV30" s="978"/>
      <c r="GW30" s="978"/>
    </row>
    <row r="31" spans="2:205" s="650" customFormat="1" ht="23.25" customHeight="1" x14ac:dyDescent="0.3">
      <c r="B31" s="981" t="s">
        <v>2196</v>
      </c>
      <c r="C31" s="981"/>
      <c r="D31" s="981"/>
      <c r="E31" s="981"/>
      <c r="F31" s="981"/>
      <c r="G31" s="981"/>
      <c r="H31" s="981"/>
      <c r="I31" s="981"/>
      <c r="J31" s="981"/>
      <c r="K31" s="981"/>
      <c r="L31" s="991" t="str">
        <f>SUVAHAVUJ!$D$43</f>
        <v>Dlhodobé pohľadávky súčet (r. 42 + r. 46 až r. 52)</v>
      </c>
      <c r="M31" s="991"/>
      <c r="N31" s="991"/>
      <c r="O31" s="991"/>
      <c r="P31" s="991"/>
      <c r="Q31" s="991"/>
      <c r="R31" s="991"/>
      <c r="S31" s="991"/>
      <c r="T31" s="991"/>
      <c r="U31" s="991"/>
      <c r="V31" s="991"/>
      <c r="W31" s="991"/>
      <c r="X31" s="991"/>
      <c r="Y31" s="991"/>
      <c r="Z31" s="991"/>
      <c r="AA31" s="991"/>
      <c r="AB31" s="991"/>
      <c r="AC31" s="991"/>
      <c r="AD31" s="991"/>
      <c r="AE31" s="991"/>
      <c r="AF31" s="991"/>
      <c r="AG31" s="991"/>
      <c r="AH31" s="991"/>
      <c r="AI31" s="991"/>
      <c r="AJ31" s="991"/>
      <c r="AK31" s="991"/>
      <c r="AL31" s="991"/>
      <c r="AM31" s="991"/>
      <c r="AN31" s="991"/>
      <c r="AO31" s="991"/>
      <c r="AP31" s="991"/>
      <c r="AQ31" s="975" t="s">
        <v>2195</v>
      </c>
      <c r="AR31" s="975"/>
      <c r="AS31" s="975"/>
      <c r="AT31" s="975"/>
      <c r="AU31" s="975"/>
      <c r="AV31" s="975"/>
      <c r="AW31" s="975"/>
      <c r="AX31" s="975"/>
      <c r="AY31" s="648"/>
      <c r="AZ31" s="649"/>
      <c r="BA31" s="976" t="str">
        <f>MID(SUVAHAVUJ!AD43,1,1)</f>
        <v xml:space="preserve"> </v>
      </c>
      <c r="BB31" s="976"/>
      <c r="BC31" s="976"/>
      <c r="BD31" s="976"/>
      <c r="BE31" s="976"/>
      <c r="BF31" s="976"/>
      <c r="BG31" s="976" t="str">
        <f>MID(SUVAHAVUJ!AD43,2,1)</f>
        <v xml:space="preserve"> </v>
      </c>
      <c r="BH31" s="976"/>
      <c r="BI31" s="976"/>
      <c r="BJ31" s="976"/>
      <c r="BK31" s="976"/>
      <c r="BL31" s="976" t="str">
        <f>MID(SUVAHAVUJ!AD43,3,1)</f>
        <v xml:space="preserve"> </v>
      </c>
      <c r="BM31" s="976"/>
      <c r="BN31" s="976"/>
      <c r="BO31" s="976"/>
      <c r="BP31" s="976"/>
      <c r="BQ31" s="976"/>
      <c r="BR31" s="976" t="str">
        <f>MID(SUVAHAVUJ!AD43,4,1)</f>
        <v xml:space="preserve"> </v>
      </c>
      <c r="BS31" s="976"/>
      <c r="BT31" s="976"/>
      <c r="BU31" s="976"/>
      <c r="BV31" s="976"/>
      <c r="BW31" s="976" t="str">
        <f>MID(SUVAHAVUJ!AD43,5,1)</f>
        <v xml:space="preserve"> </v>
      </c>
      <c r="BX31" s="976"/>
      <c r="BY31" s="976"/>
      <c r="BZ31" s="976"/>
      <c r="CA31" s="976"/>
      <c r="CB31" s="976"/>
      <c r="CC31" s="976" t="str">
        <f>MID(SUVAHAVUJ!AD43,6,1)</f>
        <v xml:space="preserve"> </v>
      </c>
      <c r="CD31" s="976"/>
      <c r="CE31" s="976"/>
      <c r="CF31" s="976"/>
      <c r="CG31" s="976"/>
      <c r="CH31" s="976" t="str">
        <f>MID(SUVAHAVUJ!AD43,7,1)</f>
        <v xml:space="preserve"> </v>
      </c>
      <c r="CI31" s="976"/>
      <c r="CJ31" s="976"/>
      <c r="CK31" s="976"/>
      <c r="CL31" s="976"/>
      <c r="CM31" s="976"/>
      <c r="CN31" s="976" t="str">
        <f>MID(SUVAHAVUJ!AD43,8,1)</f>
        <v xml:space="preserve"> </v>
      </c>
      <c r="CO31" s="976"/>
      <c r="CP31" s="976"/>
      <c r="CQ31" s="976"/>
      <c r="CR31" s="976"/>
      <c r="CS31" s="976" t="str">
        <f>MID(SUVAHAVUJ!AD43,9,1)</f>
        <v xml:space="preserve"> </v>
      </c>
      <c r="CT31" s="976"/>
      <c r="CU31" s="976"/>
      <c r="CV31" s="976"/>
      <c r="CW31" s="976"/>
      <c r="CX31" s="976"/>
      <c r="CY31" s="976" t="str">
        <f>MID(SUVAHAVUJ!AD43,10,1)</f>
        <v xml:space="preserve"> </v>
      </c>
      <c r="CZ31" s="976"/>
      <c r="DA31" s="976"/>
      <c r="DB31" s="976"/>
      <c r="DC31" s="976"/>
      <c r="DD31" s="977" t="str">
        <f>MID(SUVAHAVUJ!AD43,11,1)</f>
        <v>0</v>
      </c>
      <c r="DE31" s="977"/>
      <c r="DF31" s="977"/>
      <c r="DG31" s="977"/>
      <c r="DH31" s="977"/>
      <c r="DI31" s="977"/>
      <c r="DJ31" s="648"/>
      <c r="DK31" s="649"/>
      <c r="DL31" s="976" t="str">
        <f>MID(SUVAHAVUJ!AF43,1,1)</f>
        <v xml:space="preserve"> </v>
      </c>
      <c r="DM31" s="976"/>
      <c r="DN31" s="976"/>
      <c r="DO31" s="976"/>
      <c r="DP31" s="976"/>
      <c r="DQ31" s="976"/>
      <c r="DR31" s="976" t="str">
        <f>MID(SUVAHAVUJ!AF43,2,1)</f>
        <v xml:space="preserve"> </v>
      </c>
      <c r="DS31" s="976"/>
      <c r="DT31" s="976"/>
      <c r="DU31" s="976"/>
      <c r="DV31" s="976"/>
      <c r="DW31" s="976" t="str">
        <f>MID(SUVAHAVUJ!AF43,3,1)</f>
        <v xml:space="preserve"> </v>
      </c>
      <c r="DX31" s="976"/>
      <c r="DY31" s="976"/>
      <c r="DZ31" s="976"/>
      <c r="EA31" s="976"/>
      <c r="EB31" s="976"/>
      <c r="EC31" s="976" t="str">
        <f>MID(SUVAHAVUJ!AF43,4,1)</f>
        <v xml:space="preserve"> </v>
      </c>
      <c r="ED31" s="976"/>
      <c r="EE31" s="976"/>
      <c r="EF31" s="976"/>
      <c r="EG31" s="976"/>
      <c r="EH31" s="976" t="str">
        <f>MID(SUVAHAVUJ!AF43,5,1)</f>
        <v xml:space="preserve"> </v>
      </c>
      <c r="EI31" s="976"/>
      <c r="EJ31" s="976"/>
      <c r="EK31" s="976"/>
      <c r="EL31" s="976"/>
      <c r="EM31" s="976"/>
      <c r="EN31" s="976" t="str">
        <f>MID(SUVAHAVUJ!AF43,6,1)</f>
        <v xml:space="preserve"> </v>
      </c>
      <c r="EO31" s="976"/>
      <c r="EP31" s="976"/>
      <c r="EQ31" s="976"/>
      <c r="ER31" s="976"/>
      <c r="ES31" s="976" t="str">
        <f>MID(SUVAHAVUJ!AF43,7,1)</f>
        <v xml:space="preserve"> </v>
      </c>
      <c r="ET31" s="976"/>
      <c r="EU31" s="976"/>
      <c r="EV31" s="976"/>
      <c r="EW31" s="976"/>
      <c r="EX31" s="976"/>
      <c r="EY31" s="976" t="str">
        <f>MID(SUVAHAVUJ!AF43,8,1)</f>
        <v xml:space="preserve"> </v>
      </c>
      <c r="EZ31" s="976"/>
      <c r="FA31" s="976"/>
      <c r="FB31" s="976"/>
      <c r="FC31" s="976"/>
      <c r="FD31" s="976" t="str">
        <f>MID(SUVAHAVUJ!AF43,9,1)</f>
        <v xml:space="preserve"> </v>
      </c>
      <c r="FE31" s="976"/>
      <c r="FF31" s="976"/>
      <c r="FG31" s="976"/>
      <c r="FH31" s="976"/>
      <c r="FI31" s="976"/>
      <c r="FJ31" s="976" t="str">
        <f>MID(SUVAHAVUJ!AF43,10,1)</f>
        <v xml:space="preserve"> </v>
      </c>
      <c r="FK31" s="976"/>
      <c r="FL31" s="976"/>
      <c r="FM31" s="976"/>
      <c r="FN31" s="976"/>
      <c r="FO31" s="978" t="str">
        <f>MID(SUVAHAVUJ!AF43,11,1)</f>
        <v>0</v>
      </c>
      <c r="FP31" s="978"/>
      <c r="FQ31" s="978"/>
      <c r="FR31" s="978"/>
      <c r="FS31" s="978"/>
      <c r="FT31" s="979"/>
      <c r="FU31" s="979"/>
      <c r="FV31" s="979"/>
      <c r="FW31" s="979"/>
      <c r="FX31" s="979"/>
      <c r="FY31" s="979"/>
      <c r="FZ31" s="979"/>
      <c r="GA31" s="979"/>
      <c r="GB31" s="979"/>
      <c r="GC31" s="979"/>
      <c r="GD31" s="979"/>
      <c r="GE31" s="979"/>
      <c r="GF31" s="979"/>
      <c r="GG31" s="979"/>
      <c r="GH31" s="979"/>
      <c r="GI31" s="979"/>
      <c r="GJ31" s="979"/>
      <c r="GK31" s="979"/>
      <c r="GL31" s="979"/>
      <c r="GM31" s="979"/>
      <c r="GN31" s="979"/>
      <c r="GO31" s="979"/>
      <c r="GP31" s="979"/>
      <c r="GQ31" s="979"/>
      <c r="GR31" s="979"/>
      <c r="GS31" s="979"/>
      <c r="GT31" s="979"/>
      <c r="GU31" s="979"/>
      <c r="GV31" s="979"/>
      <c r="GW31" s="979"/>
    </row>
    <row r="32" spans="2:205" ht="23.25" customHeight="1" x14ac:dyDescent="0.3">
      <c r="B32" s="981"/>
      <c r="C32" s="981"/>
      <c r="D32" s="981"/>
      <c r="E32" s="981"/>
      <c r="F32" s="981"/>
      <c r="G32" s="981"/>
      <c r="H32" s="981"/>
      <c r="I32" s="981"/>
      <c r="J32" s="981"/>
      <c r="K32" s="981"/>
      <c r="L32" s="991"/>
      <c r="M32" s="991"/>
      <c r="N32" s="991"/>
      <c r="O32" s="991"/>
      <c r="P32" s="991"/>
      <c r="Q32" s="991"/>
      <c r="R32" s="991"/>
      <c r="S32" s="991"/>
      <c r="T32" s="991"/>
      <c r="U32" s="991"/>
      <c r="V32" s="991"/>
      <c r="W32" s="991"/>
      <c r="X32" s="991"/>
      <c r="Y32" s="991"/>
      <c r="Z32" s="991"/>
      <c r="AA32" s="991"/>
      <c r="AB32" s="991"/>
      <c r="AC32" s="991"/>
      <c r="AD32" s="991"/>
      <c r="AE32" s="991"/>
      <c r="AF32" s="991"/>
      <c r="AG32" s="991"/>
      <c r="AH32" s="991"/>
      <c r="AI32" s="991"/>
      <c r="AJ32" s="991"/>
      <c r="AK32" s="991"/>
      <c r="AL32" s="991"/>
      <c r="AM32" s="991"/>
      <c r="AN32" s="991"/>
      <c r="AO32" s="991"/>
      <c r="AP32" s="991"/>
      <c r="AQ32" s="975"/>
      <c r="AR32" s="975"/>
      <c r="AS32" s="975"/>
      <c r="AT32" s="975"/>
      <c r="AU32" s="975"/>
      <c r="AV32" s="975"/>
      <c r="AW32" s="975"/>
      <c r="AX32" s="975"/>
      <c r="AY32" s="648"/>
      <c r="AZ32" s="649"/>
      <c r="BA32" s="976" t="str">
        <f>MID(SUVAHAVUJ!AE43,1,1)</f>
        <v xml:space="preserve"> </v>
      </c>
      <c r="BB32" s="976"/>
      <c r="BC32" s="976"/>
      <c r="BD32" s="976"/>
      <c r="BE32" s="976"/>
      <c r="BF32" s="976"/>
      <c r="BG32" s="976" t="str">
        <f>MID(SUVAHAVUJ!AE43,2,1)</f>
        <v xml:space="preserve"> </v>
      </c>
      <c r="BH32" s="976"/>
      <c r="BI32" s="976"/>
      <c r="BJ32" s="976"/>
      <c r="BK32" s="976"/>
      <c r="BL32" s="976" t="str">
        <f>MID(SUVAHAVUJ!AE43,3,1)</f>
        <v xml:space="preserve"> </v>
      </c>
      <c r="BM32" s="976"/>
      <c r="BN32" s="976"/>
      <c r="BO32" s="976"/>
      <c r="BP32" s="976"/>
      <c r="BQ32" s="976"/>
      <c r="BR32" s="976" t="str">
        <f>MID(SUVAHAVUJ!AE43,4,1)</f>
        <v xml:space="preserve"> </v>
      </c>
      <c r="BS32" s="976"/>
      <c r="BT32" s="976"/>
      <c r="BU32" s="976"/>
      <c r="BV32" s="976"/>
      <c r="BW32" s="976" t="str">
        <f>MID(SUVAHAVUJ!AE43,5,1)</f>
        <v xml:space="preserve"> </v>
      </c>
      <c r="BX32" s="976"/>
      <c r="BY32" s="976"/>
      <c r="BZ32" s="976"/>
      <c r="CA32" s="976"/>
      <c r="CB32" s="976"/>
      <c r="CC32" s="976" t="str">
        <f>MID(SUVAHAVUJ!AE43,6,1)</f>
        <v xml:space="preserve"> </v>
      </c>
      <c r="CD32" s="976"/>
      <c r="CE32" s="976"/>
      <c r="CF32" s="976"/>
      <c r="CG32" s="976"/>
      <c r="CH32" s="976" t="str">
        <f>MID(SUVAHAVUJ!AE43,7,1)</f>
        <v xml:space="preserve"> </v>
      </c>
      <c r="CI32" s="976"/>
      <c r="CJ32" s="976"/>
      <c r="CK32" s="976"/>
      <c r="CL32" s="976"/>
      <c r="CM32" s="976"/>
      <c r="CN32" s="976" t="str">
        <f>MID(SUVAHAVUJ!AE43,8,1)</f>
        <v xml:space="preserve"> </v>
      </c>
      <c r="CO32" s="976"/>
      <c r="CP32" s="976"/>
      <c r="CQ32" s="976"/>
      <c r="CR32" s="976"/>
      <c r="CS32" s="976" t="str">
        <f>MID(SUVAHAVUJ!AE43,9,1)</f>
        <v xml:space="preserve"> </v>
      </c>
      <c r="CT32" s="976"/>
      <c r="CU32" s="976"/>
      <c r="CV32" s="976"/>
      <c r="CW32" s="976"/>
      <c r="CX32" s="976"/>
      <c r="CY32" s="976" t="str">
        <f>MID(SUVAHAVUJ!AE43,10,1)</f>
        <v xml:space="preserve"> </v>
      </c>
      <c r="CZ32" s="976"/>
      <c r="DA32" s="976"/>
      <c r="DB32" s="976"/>
      <c r="DC32" s="976"/>
      <c r="DD32" s="977" t="str">
        <f>MID(SUVAHAVUJ!AE43,11,1)</f>
        <v>0</v>
      </c>
      <c r="DE32" s="977"/>
      <c r="DF32" s="977"/>
      <c r="DG32" s="977"/>
      <c r="DH32" s="977"/>
      <c r="DI32" s="977"/>
      <c r="DJ32" s="980"/>
      <c r="DK32" s="980"/>
      <c r="DL32" s="980"/>
      <c r="DM32" s="980"/>
      <c r="DN32" s="980"/>
      <c r="DO32" s="980"/>
      <c r="DP32" s="980"/>
      <c r="DQ32" s="980"/>
      <c r="DR32" s="980"/>
      <c r="DS32" s="980"/>
      <c r="DT32" s="980"/>
      <c r="DU32" s="980"/>
      <c r="DV32" s="980"/>
      <c r="DW32" s="980"/>
      <c r="DX32" s="980"/>
      <c r="DY32" s="980"/>
      <c r="DZ32" s="980"/>
      <c r="EA32" s="980"/>
      <c r="EB32" s="980"/>
      <c r="EC32" s="980"/>
      <c r="ED32" s="980"/>
      <c r="EE32" s="980"/>
      <c r="EF32" s="980"/>
      <c r="EG32" s="980"/>
      <c r="EH32" s="980"/>
      <c r="EI32" s="980"/>
      <c r="EJ32" s="980"/>
      <c r="EK32" s="980"/>
      <c r="EL32" s="980"/>
      <c r="EM32" s="980"/>
      <c r="EN32" s="648"/>
      <c r="EO32" s="649"/>
      <c r="EP32" s="976" t="str">
        <f>MID(SUVAHAVUJ!AG43,1,1)</f>
        <v xml:space="preserve"> </v>
      </c>
      <c r="EQ32" s="976"/>
      <c r="ER32" s="976"/>
      <c r="ES32" s="976"/>
      <c r="ET32" s="976"/>
      <c r="EU32" s="976"/>
      <c r="EV32" s="976" t="str">
        <f>MID(SUVAHAVUJ!AG43,2,1)</f>
        <v xml:space="preserve"> </v>
      </c>
      <c r="EW32" s="976"/>
      <c r="EX32" s="976"/>
      <c r="EY32" s="976"/>
      <c r="EZ32" s="976"/>
      <c r="FA32" s="976" t="str">
        <f>MID(SUVAHAVUJ!AG43,3,1)</f>
        <v xml:space="preserve"> </v>
      </c>
      <c r="FB32" s="976"/>
      <c r="FC32" s="976"/>
      <c r="FD32" s="976"/>
      <c r="FE32" s="976"/>
      <c r="FF32" s="976"/>
      <c r="FG32" s="976" t="str">
        <f>MID(SUVAHAVUJ!AG43,4,1)</f>
        <v xml:space="preserve"> </v>
      </c>
      <c r="FH32" s="976"/>
      <c r="FI32" s="976"/>
      <c r="FJ32" s="976"/>
      <c r="FK32" s="976"/>
      <c r="FL32" s="976" t="str">
        <f>MID(SUVAHAVUJ!AG43,5,1)</f>
        <v xml:space="preserve"> </v>
      </c>
      <c r="FM32" s="976"/>
      <c r="FN32" s="976"/>
      <c r="FO32" s="976"/>
      <c r="FP32" s="976"/>
      <c r="FQ32" s="976"/>
      <c r="FR32" s="976" t="str">
        <f>MID(SUVAHAVUJ!AG43,6,1)</f>
        <v xml:space="preserve"> </v>
      </c>
      <c r="FS32" s="976"/>
      <c r="FT32" s="976"/>
      <c r="FU32" s="976"/>
      <c r="FV32" s="976"/>
      <c r="FW32" s="976" t="str">
        <f>MID(SUVAHAVUJ!AG43,7,1)</f>
        <v xml:space="preserve"> </v>
      </c>
      <c r="FX32" s="976"/>
      <c r="FY32" s="976"/>
      <c r="FZ32" s="976"/>
      <c r="GA32" s="976"/>
      <c r="GB32" s="976"/>
      <c r="GC32" s="976" t="str">
        <f>MID(SUVAHAVUJ!AG43,8,1)</f>
        <v xml:space="preserve"> </v>
      </c>
      <c r="GD32" s="976"/>
      <c r="GE32" s="976"/>
      <c r="GF32" s="976"/>
      <c r="GG32" s="976"/>
      <c r="GH32" s="976" t="str">
        <f>MID(SUVAHAVUJ!AG43,9,1)</f>
        <v xml:space="preserve"> </v>
      </c>
      <c r="GI32" s="976"/>
      <c r="GJ32" s="976"/>
      <c r="GK32" s="976"/>
      <c r="GL32" s="976"/>
      <c r="GM32" s="976"/>
      <c r="GN32" s="976" t="str">
        <f>MID(SUVAHAVUJ!AG43,10,1)</f>
        <v xml:space="preserve"> </v>
      </c>
      <c r="GO32" s="976"/>
      <c r="GP32" s="976"/>
      <c r="GQ32" s="976"/>
      <c r="GR32" s="976"/>
      <c r="GS32" s="978" t="str">
        <f>MID(SUVAHAVUJ!AG43,11,1)</f>
        <v>0</v>
      </c>
      <c r="GT32" s="978"/>
      <c r="GU32" s="978"/>
      <c r="GV32" s="978"/>
      <c r="GW32" s="978"/>
    </row>
    <row r="33" spans="1:205" s="650" customFormat="1" ht="23.25" customHeight="1" x14ac:dyDescent="0.3">
      <c r="B33" s="981" t="s">
        <v>2198</v>
      </c>
      <c r="C33" s="981"/>
      <c r="D33" s="981"/>
      <c r="E33" s="981"/>
      <c r="F33" s="981"/>
      <c r="G33" s="981"/>
      <c r="H33" s="981"/>
      <c r="I33" s="981"/>
      <c r="J33" s="981"/>
      <c r="K33" s="981"/>
      <c r="L33" s="991" t="str">
        <f>SUVAHAVUJ!$D$44</f>
        <v>Pohľadávky z obchodného styku súčet (r. 43 až r. 45)</v>
      </c>
      <c r="M33" s="991"/>
      <c r="N33" s="991"/>
      <c r="O33" s="991"/>
      <c r="P33" s="991"/>
      <c r="Q33" s="991"/>
      <c r="R33" s="991"/>
      <c r="S33" s="991"/>
      <c r="T33" s="991"/>
      <c r="U33" s="991"/>
      <c r="V33" s="991"/>
      <c r="W33" s="991"/>
      <c r="X33" s="991"/>
      <c r="Y33" s="991"/>
      <c r="Z33" s="991"/>
      <c r="AA33" s="991"/>
      <c r="AB33" s="991"/>
      <c r="AC33" s="991"/>
      <c r="AD33" s="991"/>
      <c r="AE33" s="991"/>
      <c r="AF33" s="991"/>
      <c r="AG33" s="991"/>
      <c r="AH33" s="991"/>
      <c r="AI33" s="991"/>
      <c r="AJ33" s="991"/>
      <c r="AK33" s="991"/>
      <c r="AL33" s="991"/>
      <c r="AM33" s="991"/>
      <c r="AN33" s="991"/>
      <c r="AO33" s="991"/>
      <c r="AP33" s="991"/>
      <c r="AQ33" s="975" t="s">
        <v>2197</v>
      </c>
      <c r="AR33" s="975"/>
      <c r="AS33" s="975"/>
      <c r="AT33" s="975"/>
      <c r="AU33" s="975"/>
      <c r="AV33" s="975"/>
      <c r="AW33" s="975"/>
      <c r="AX33" s="975"/>
      <c r="AY33" s="648"/>
      <c r="AZ33" s="649"/>
      <c r="BA33" s="976" t="str">
        <f>MID(SUVAHAVUJ!AD44,1,1)</f>
        <v xml:space="preserve"> </v>
      </c>
      <c r="BB33" s="976"/>
      <c r="BC33" s="976"/>
      <c r="BD33" s="976"/>
      <c r="BE33" s="976"/>
      <c r="BF33" s="976"/>
      <c r="BG33" s="976" t="str">
        <f>MID(SUVAHAVUJ!AD44,2,1)</f>
        <v xml:space="preserve"> </v>
      </c>
      <c r="BH33" s="976"/>
      <c r="BI33" s="976"/>
      <c r="BJ33" s="976"/>
      <c r="BK33" s="976"/>
      <c r="BL33" s="976" t="str">
        <f>MID(SUVAHAVUJ!AD44,3,1)</f>
        <v xml:space="preserve"> </v>
      </c>
      <c r="BM33" s="976"/>
      <c r="BN33" s="976"/>
      <c r="BO33" s="976"/>
      <c r="BP33" s="976"/>
      <c r="BQ33" s="976"/>
      <c r="BR33" s="976" t="str">
        <f>MID(SUVAHAVUJ!AD44,4,1)</f>
        <v xml:space="preserve"> </v>
      </c>
      <c r="BS33" s="976"/>
      <c r="BT33" s="976"/>
      <c r="BU33" s="976"/>
      <c r="BV33" s="976"/>
      <c r="BW33" s="976" t="str">
        <f>MID(SUVAHAVUJ!AD44,5,1)</f>
        <v xml:space="preserve"> </v>
      </c>
      <c r="BX33" s="976"/>
      <c r="BY33" s="976"/>
      <c r="BZ33" s="976"/>
      <c r="CA33" s="976"/>
      <c r="CB33" s="976"/>
      <c r="CC33" s="976" t="str">
        <f>MID(SUVAHAVUJ!AD44,6,1)</f>
        <v xml:space="preserve"> </v>
      </c>
      <c r="CD33" s="976"/>
      <c r="CE33" s="976"/>
      <c r="CF33" s="976"/>
      <c r="CG33" s="976"/>
      <c r="CH33" s="976" t="str">
        <f>MID(SUVAHAVUJ!AD44,7,1)</f>
        <v xml:space="preserve"> </v>
      </c>
      <c r="CI33" s="976"/>
      <c r="CJ33" s="976"/>
      <c r="CK33" s="976"/>
      <c r="CL33" s="976"/>
      <c r="CM33" s="976"/>
      <c r="CN33" s="976" t="str">
        <f>MID(SUVAHAVUJ!AD44,8,1)</f>
        <v xml:space="preserve"> </v>
      </c>
      <c r="CO33" s="976"/>
      <c r="CP33" s="976"/>
      <c r="CQ33" s="976"/>
      <c r="CR33" s="976"/>
      <c r="CS33" s="976" t="str">
        <f>MID(SUVAHAVUJ!AD44,9,1)</f>
        <v xml:space="preserve"> </v>
      </c>
      <c r="CT33" s="976"/>
      <c r="CU33" s="976"/>
      <c r="CV33" s="976"/>
      <c r="CW33" s="976"/>
      <c r="CX33" s="976"/>
      <c r="CY33" s="976" t="str">
        <f>MID(SUVAHAVUJ!AD44,10,1)</f>
        <v xml:space="preserve"> </v>
      </c>
      <c r="CZ33" s="976"/>
      <c r="DA33" s="976"/>
      <c r="DB33" s="976"/>
      <c r="DC33" s="976"/>
      <c r="DD33" s="977" t="str">
        <f>MID(SUVAHAVUJ!AD44,11,1)</f>
        <v>0</v>
      </c>
      <c r="DE33" s="977"/>
      <c r="DF33" s="977"/>
      <c r="DG33" s="977"/>
      <c r="DH33" s="977"/>
      <c r="DI33" s="977"/>
      <c r="DJ33" s="648"/>
      <c r="DK33" s="649"/>
      <c r="DL33" s="976" t="str">
        <f>MID(SUVAHAVUJ!AF44,1,1)</f>
        <v xml:space="preserve"> </v>
      </c>
      <c r="DM33" s="976"/>
      <c r="DN33" s="976"/>
      <c r="DO33" s="976"/>
      <c r="DP33" s="976"/>
      <c r="DQ33" s="976"/>
      <c r="DR33" s="976" t="str">
        <f>MID(SUVAHAVUJ!AF44,2,1)</f>
        <v xml:space="preserve"> </v>
      </c>
      <c r="DS33" s="976"/>
      <c r="DT33" s="976"/>
      <c r="DU33" s="976"/>
      <c r="DV33" s="976"/>
      <c r="DW33" s="976" t="str">
        <f>MID(SUVAHAVUJ!AF44,3,1)</f>
        <v xml:space="preserve"> </v>
      </c>
      <c r="DX33" s="976"/>
      <c r="DY33" s="976"/>
      <c r="DZ33" s="976"/>
      <c r="EA33" s="976"/>
      <c r="EB33" s="976"/>
      <c r="EC33" s="976" t="str">
        <f>MID(SUVAHAVUJ!AF44,4,1)</f>
        <v xml:space="preserve"> </v>
      </c>
      <c r="ED33" s="976"/>
      <c r="EE33" s="976"/>
      <c r="EF33" s="976"/>
      <c r="EG33" s="976"/>
      <c r="EH33" s="976" t="str">
        <f>MID(SUVAHAVUJ!AF44,5,1)</f>
        <v xml:space="preserve"> </v>
      </c>
      <c r="EI33" s="976"/>
      <c r="EJ33" s="976"/>
      <c r="EK33" s="976"/>
      <c r="EL33" s="976"/>
      <c r="EM33" s="976"/>
      <c r="EN33" s="976" t="str">
        <f>MID(SUVAHAVUJ!AF44,6,1)</f>
        <v xml:space="preserve"> </v>
      </c>
      <c r="EO33" s="976"/>
      <c r="EP33" s="976"/>
      <c r="EQ33" s="976"/>
      <c r="ER33" s="976"/>
      <c r="ES33" s="976" t="str">
        <f>MID(SUVAHAVUJ!AF44,7,1)</f>
        <v xml:space="preserve"> </v>
      </c>
      <c r="ET33" s="976"/>
      <c r="EU33" s="976"/>
      <c r="EV33" s="976"/>
      <c r="EW33" s="976"/>
      <c r="EX33" s="976"/>
      <c r="EY33" s="976" t="str">
        <f>MID(SUVAHAVUJ!AF44,8,1)</f>
        <v xml:space="preserve"> </v>
      </c>
      <c r="EZ33" s="976"/>
      <c r="FA33" s="976"/>
      <c r="FB33" s="976"/>
      <c r="FC33" s="976"/>
      <c r="FD33" s="976" t="str">
        <f>MID(SUVAHAVUJ!AF44,9,1)</f>
        <v xml:space="preserve"> </v>
      </c>
      <c r="FE33" s="976"/>
      <c r="FF33" s="976"/>
      <c r="FG33" s="976"/>
      <c r="FH33" s="976"/>
      <c r="FI33" s="976"/>
      <c r="FJ33" s="976" t="str">
        <f>MID(SUVAHAVUJ!AF44,10,1)</f>
        <v xml:space="preserve"> </v>
      </c>
      <c r="FK33" s="976"/>
      <c r="FL33" s="976"/>
      <c r="FM33" s="976"/>
      <c r="FN33" s="976"/>
      <c r="FO33" s="978" t="str">
        <f>MID(SUVAHAVUJ!AF44,11,1)</f>
        <v>0</v>
      </c>
      <c r="FP33" s="978"/>
      <c r="FQ33" s="978"/>
      <c r="FR33" s="978"/>
      <c r="FS33" s="978"/>
      <c r="FT33" s="979"/>
      <c r="FU33" s="979"/>
      <c r="FV33" s="979"/>
      <c r="FW33" s="979"/>
      <c r="FX33" s="979"/>
      <c r="FY33" s="979"/>
      <c r="FZ33" s="979"/>
      <c r="GA33" s="979"/>
      <c r="GB33" s="979"/>
      <c r="GC33" s="979"/>
      <c r="GD33" s="979"/>
      <c r="GE33" s="979"/>
      <c r="GF33" s="979"/>
      <c r="GG33" s="979"/>
      <c r="GH33" s="979"/>
      <c r="GI33" s="979"/>
      <c r="GJ33" s="979"/>
      <c r="GK33" s="979"/>
      <c r="GL33" s="979"/>
      <c r="GM33" s="979"/>
      <c r="GN33" s="979"/>
      <c r="GO33" s="979"/>
      <c r="GP33" s="979"/>
      <c r="GQ33" s="979"/>
      <c r="GR33" s="979"/>
      <c r="GS33" s="979"/>
      <c r="GT33" s="979"/>
      <c r="GU33" s="979"/>
      <c r="GV33" s="979"/>
      <c r="GW33" s="979"/>
    </row>
    <row r="34" spans="1:205" ht="23.25" customHeight="1" x14ac:dyDescent="0.3">
      <c r="B34" s="981"/>
      <c r="C34" s="981"/>
      <c r="D34" s="981"/>
      <c r="E34" s="981"/>
      <c r="F34" s="981"/>
      <c r="G34" s="981"/>
      <c r="H34" s="981"/>
      <c r="I34" s="981"/>
      <c r="J34" s="981"/>
      <c r="K34" s="98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75"/>
      <c r="AR34" s="975"/>
      <c r="AS34" s="975"/>
      <c r="AT34" s="975"/>
      <c r="AU34" s="975"/>
      <c r="AV34" s="975"/>
      <c r="AW34" s="975"/>
      <c r="AX34" s="975"/>
      <c r="AY34" s="648"/>
      <c r="AZ34" s="649"/>
      <c r="BA34" s="976" t="str">
        <f>MID(SUVAHAVUJ!AE44,1,1)</f>
        <v xml:space="preserve"> </v>
      </c>
      <c r="BB34" s="976"/>
      <c r="BC34" s="976"/>
      <c r="BD34" s="976"/>
      <c r="BE34" s="976"/>
      <c r="BF34" s="976"/>
      <c r="BG34" s="976" t="str">
        <f>MID(SUVAHAVUJ!AE44,2,1)</f>
        <v xml:space="preserve"> </v>
      </c>
      <c r="BH34" s="976"/>
      <c r="BI34" s="976"/>
      <c r="BJ34" s="976"/>
      <c r="BK34" s="976"/>
      <c r="BL34" s="976" t="str">
        <f>MID(SUVAHAVUJ!AE44,3,1)</f>
        <v xml:space="preserve"> </v>
      </c>
      <c r="BM34" s="976"/>
      <c r="BN34" s="976"/>
      <c r="BO34" s="976"/>
      <c r="BP34" s="976"/>
      <c r="BQ34" s="976"/>
      <c r="BR34" s="976" t="str">
        <f>MID(SUVAHAVUJ!AE44,4,1)</f>
        <v xml:space="preserve"> </v>
      </c>
      <c r="BS34" s="976"/>
      <c r="BT34" s="976"/>
      <c r="BU34" s="976"/>
      <c r="BV34" s="976"/>
      <c r="BW34" s="976" t="str">
        <f>MID(SUVAHAVUJ!AE44,5,1)</f>
        <v xml:space="preserve"> </v>
      </c>
      <c r="BX34" s="976"/>
      <c r="BY34" s="976"/>
      <c r="BZ34" s="976"/>
      <c r="CA34" s="976"/>
      <c r="CB34" s="976"/>
      <c r="CC34" s="976" t="str">
        <f>MID(SUVAHAVUJ!AE44,6,1)</f>
        <v xml:space="preserve"> </v>
      </c>
      <c r="CD34" s="976"/>
      <c r="CE34" s="976"/>
      <c r="CF34" s="976"/>
      <c r="CG34" s="976"/>
      <c r="CH34" s="976" t="str">
        <f>MID(SUVAHAVUJ!AE44,7,1)</f>
        <v xml:space="preserve"> </v>
      </c>
      <c r="CI34" s="976"/>
      <c r="CJ34" s="976"/>
      <c r="CK34" s="976"/>
      <c r="CL34" s="976"/>
      <c r="CM34" s="976"/>
      <c r="CN34" s="976" t="str">
        <f>MID(SUVAHAVUJ!AE44,8,1)</f>
        <v xml:space="preserve"> </v>
      </c>
      <c r="CO34" s="976"/>
      <c r="CP34" s="976"/>
      <c r="CQ34" s="976"/>
      <c r="CR34" s="976"/>
      <c r="CS34" s="976" t="str">
        <f>MID(SUVAHAVUJ!AE44,9,1)</f>
        <v xml:space="preserve"> </v>
      </c>
      <c r="CT34" s="976"/>
      <c r="CU34" s="976"/>
      <c r="CV34" s="976"/>
      <c r="CW34" s="976"/>
      <c r="CX34" s="976"/>
      <c r="CY34" s="976" t="str">
        <f>MID(SUVAHAVUJ!AE44,10,1)</f>
        <v xml:space="preserve"> </v>
      </c>
      <c r="CZ34" s="976"/>
      <c r="DA34" s="976"/>
      <c r="DB34" s="976"/>
      <c r="DC34" s="976"/>
      <c r="DD34" s="977" t="str">
        <f>MID(SUVAHAVUJ!AE44,11,1)</f>
        <v>0</v>
      </c>
      <c r="DE34" s="977"/>
      <c r="DF34" s="977"/>
      <c r="DG34" s="977"/>
      <c r="DH34" s="977"/>
      <c r="DI34" s="977"/>
      <c r="DJ34" s="980"/>
      <c r="DK34" s="980"/>
      <c r="DL34" s="980"/>
      <c r="DM34" s="980"/>
      <c r="DN34" s="980"/>
      <c r="DO34" s="980"/>
      <c r="DP34" s="980"/>
      <c r="DQ34" s="980"/>
      <c r="DR34" s="980"/>
      <c r="DS34" s="980"/>
      <c r="DT34" s="980"/>
      <c r="DU34" s="980"/>
      <c r="DV34" s="980"/>
      <c r="DW34" s="980"/>
      <c r="DX34" s="980"/>
      <c r="DY34" s="980"/>
      <c r="DZ34" s="980"/>
      <c r="EA34" s="980"/>
      <c r="EB34" s="980"/>
      <c r="EC34" s="980"/>
      <c r="ED34" s="980"/>
      <c r="EE34" s="980"/>
      <c r="EF34" s="980"/>
      <c r="EG34" s="980"/>
      <c r="EH34" s="980"/>
      <c r="EI34" s="980"/>
      <c r="EJ34" s="980"/>
      <c r="EK34" s="980"/>
      <c r="EL34" s="980"/>
      <c r="EM34" s="980"/>
      <c r="EN34" s="648"/>
      <c r="EO34" s="649"/>
      <c r="EP34" s="976" t="str">
        <f>MID(SUVAHAVUJ!AG44,1,1)</f>
        <v xml:space="preserve"> </v>
      </c>
      <c r="EQ34" s="976"/>
      <c r="ER34" s="976"/>
      <c r="ES34" s="976"/>
      <c r="ET34" s="976"/>
      <c r="EU34" s="976"/>
      <c r="EV34" s="976" t="str">
        <f>MID(SUVAHAVUJ!AG44,2,1)</f>
        <v xml:space="preserve"> </v>
      </c>
      <c r="EW34" s="976"/>
      <c r="EX34" s="976"/>
      <c r="EY34" s="976"/>
      <c r="EZ34" s="976"/>
      <c r="FA34" s="976" t="str">
        <f>MID(SUVAHAVUJ!AG44,3,1)</f>
        <v xml:space="preserve"> </v>
      </c>
      <c r="FB34" s="976"/>
      <c r="FC34" s="976"/>
      <c r="FD34" s="976"/>
      <c r="FE34" s="976"/>
      <c r="FF34" s="976"/>
      <c r="FG34" s="976" t="str">
        <f>MID(SUVAHAVUJ!AG44,4,1)</f>
        <v xml:space="preserve"> </v>
      </c>
      <c r="FH34" s="976"/>
      <c r="FI34" s="976"/>
      <c r="FJ34" s="976"/>
      <c r="FK34" s="976"/>
      <c r="FL34" s="976" t="str">
        <f>MID(SUVAHAVUJ!AG44,5,1)</f>
        <v xml:space="preserve"> </v>
      </c>
      <c r="FM34" s="976"/>
      <c r="FN34" s="976"/>
      <c r="FO34" s="976"/>
      <c r="FP34" s="976"/>
      <c r="FQ34" s="976"/>
      <c r="FR34" s="976" t="str">
        <f>MID(SUVAHAVUJ!AG44,6,1)</f>
        <v xml:space="preserve"> </v>
      </c>
      <c r="FS34" s="976"/>
      <c r="FT34" s="976"/>
      <c r="FU34" s="976"/>
      <c r="FV34" s="976"/>
      <c r="FW34" s="976" t="str">
        <f>MID(SUVAHAVUJ!AG44,7,1)</f>
        <v xml:space="preserve"> </v>
      </c>
      <c r="FX34" s="976"/>
      <c r="FY34" s="976"/>
      <c r="FZ34" s="976"/>
      <c r="GA34" s="976"/>
      <c r="GB34" s="976"/>
      <c r="GC34" s="976" t="str">
        <f>MID(SUVAHAVUJ!AG44,8,1)</f>
        <v xml:space="preserve"> </v>
      </c>
      <c r="GD34" s="976"/>
      <c r="GE34" s="976"/>
      <c r="GF34" s="976"/>
      <c r="GG34" s="976"/>
      <c r="GH34" s="976" t="str">
        <f>MID(SUVAHAVUJ!AG44,9,1)</f>
        <v xml:space="preserve"> </v>
      </c>
      <c r="GI34" s="976"/>
      <c r="GJ34" s="976"/>
      <c r="GK34" s="976"/>
      <c r="GL34" s="976"/>
      <c r="GM34" s="976"/>
      <c r="GN34" s="976" t="str">
        <f>MID(SUVAHAVUJ!AG44,10,1)</f>
        <v xml:space="preserve"> </v>
      </c>
      <c r="GO34" s="976"/>
      <c r="GP34" s="976"/>
      <c r="GQ34" s="976"/>
      <c r="GR34" s="976"/>
      <c r="GS34" s="978" t="str">
        <f>MID(SUVAHAVUJ!AG44,11,1)</f>
        <v>0</v>
      </c>
      <c r="GT34" s="978"/>
      <c r="GU34" s="978"/>
      <c r="GV34" s="978"/>
      <c r="GW34" s="978"/>
    </row>
    <row r="35" spans="1:205" ht="12" customHeight="1" x14ac:dyDescent="0.25">
      <c r="A35" s="650"/>
      <c r="B35" s="652"/>
      <c r="C35" s="653"/>
      <c r="D35" s="653"/>
      <c r="E35" s="653"/>
      <c r="F35" s="653"/>
      <c r="G35" s="653"/>
      <c r="H35" s="653"/>
      <c r="I35" s="653"/>
      <c r="J35" s="653"/>
      <c r="K35" s="650"/>
      <c r="L35" s="650"/>
      <c r="M35" s="650"/>
      <c r="N35" s="650"/>
      <c r="O35" s="650"/>
      <c r="P35" s="650"/>
      <c r="Q35" s="650"/>
      <c r="R35" s="650"/>
      <c r="S35" s="650"/>
      <c r="T35" s="650"/>
      <c r="U35" s="650"/>
      <c r="V35" s="650"/>
      <c r="W35" s="650"/>
      <c r="X35" s="650"/>
      <c r="Y35" s="650"/>
      <c r="Z35" s="650"/>
      <c r="AA35" s="650"/>
      <c r="AB35" s="650"/>
      <c r="AC35" s="650"/>
      <c r="AD35" s="650"/>
      <c r="AE35" s="650"/>
      <c r="AF35" s="650"/>
      <c r="AG35" s="650"/>
      <c r="AH35" s="650"/>
      <c r="AI35" s="650"/>
      <c r="AJ35" s="650"/>
      <c r="AK35" s="650"/>
      <c r="AL35" s="650"/>
      <c r="AM35" s="650"/>
      <c r="AN35" s="650"/>
      <c r="AO35" s="650"/>
      <c r="AP35" s="650"/>
      <c r="AQ35" s="650"/>
      <c r="AR35" s="650"/>
      <c r="AS35" s="650"/>
      <c r="AT35" s="650"/>
      <c r="AU35" s="650"/>
      <c r="AV35" s="650"/>
      <c r="AW35" s="650"/>
      <c r="AX35" s="650"/>
      <c r="AY35" s="650"/>
      <c r="AZ35" s="650"/>
      <c r="BA35" s="650"/>
      <c r="BB35" s="650"/>
      <c r="BC35" s="650"/>
      <c r="BD35" s="650"/>
      <c r="BE35" s="650"/>
      <c r="BF35" s="650"/>
      <c r="BG35" s="650"/>
      <c r="BH35" s="650"/>
      <c r="BI35" s="650"/>
      <c r="BJ35" s="650"/>
      <c r="BK35" s="650"/>
      <c r="BL35" s="650"/>
      <c r="BM35" s="650"/>
      <c r="BN35" s="650"/>
      <c r="BO35" s="650"/>
      <c r="BP35" s="650"/>
      <c r="BQ35" s="650"/>
      <c r="BR35" s="650"/>
      <c r="BS35" s="650"/>
      <c r="BT35" s="650"/>
      <c r="BU35" s="650"/>
      <c r="BV35" s="650"/>
      <c r="BW35" s="650"/>
      <c r="BX35" s="650"/>
      <c r="BY35" s="650"/>
      <c r="BZ35" s="650"/>
      <c r="CA35" s="650"/>
      <c r="CB35" s="650"/>
      <c r="CC35" s="650"/>
      <c r="CD35" s="650"/>
      <c r="CE35" s="650"/>
      <c r="CF35" s="650"/>
      <c r="CG35" s="650"/>
      <c r="CH35" s="650"/>
      <c r="CI35" s="650"/>
      <c r="CJ35" s="650"/>
      <c r="CK35" s="650"/>
      <c r="CL35" s="650"/>
      <c r="CM35" s="650"/>
      <c r="CN35" s="650"/>
      <c r="CO35" s="650"/>
      <c r="CP35" s="650"/>
      <c r="CQ35" s="650"/>
      <c r="CR35" s="650"/>
      <c r="CS35" s="650"/>
      <c r="CT35" s="650"/>
      <c r="CU35" s="650"/>
      <c r="CV35" s="650"/>
      <c r="CW35" s="650"/>
      <c r="CX35" s="650"/>
      <c r="CY35" s="650"/>
      <c r="CZ35" s="650"/>
      <c r="DA35" s="650"/>
      <c r="DB35" s="650"/>
      <c r="DC35" s="650"/>
      <c r="DD35" s="650"/>
      <c r="DE35" s="650"/>
      <c r="DF35" s="650"/>
      <c r="DG35" s="650"/>
      <c r="DH35" s="650"/>
      <c r="DI35" s="650"/>
      <c r="DJ35" s="650"/>
      <c r="DK35" s="650"/>
      <c r="DL35" s="650"/>
      <c r="DM35" s="650"/>
      <c r="DN35" s="650"/>
      <c r="DO35" s="650"/>
      <c r="DP35" s="650"/>
      <c r="DQ35" s="650"/>
      <c r="DR35" s="650"/>
      <c r="DS35" s="650"/>
      <c r="DT35" s="650"/>
      <c r="DU35" s="650"/>
      <c r="DV35" s="650"/>
      <c r="DW35" s="650"/>
      <c r="DX35" s="650"/>
      <c r="DY35" s="650"/>
      <c r="DZ35" s="650"/>
      <c r="EA35" s="650"/>
      <c r="EB35" s="650"/>
      <c r="EC35" s="650"/>
      <c r="ED35" s="650"/>
      <c r="EE35" s="650"/>
      <c r="EF35" s="650"/>
      <c r="EG35" s="650"/>
      <c r="EH35" s="650"/>
      <c r="EI35" s="650"/>
      <c r="EJ35" s="650"/>
      <c r="EK35" s="650"/>
      <c r="EL35" s="650"/>
      <c r="EM35" s="650"/>
      <c r="EN35" s="650"/>
      <c r="EO35" s="650"/>
      <c r="EP35" s="650"/>
      <c r="EQ35" s="650"/>
      <c r="ER35" s="650"/>
      <c r="ES35" s="650"/>
      <c r="ET35" s="650"/>
      <c r="EU35" s="650"/>
      <c r="EV35" s="650"/>
      <c r="EW35" s="650"/>
      <c r="EX35" s="650"/>
      <c r="EY35" s="650"/>
      <c r="EZ35" s="650"/>
      <c r="FA35" s="650"/>
      <c r="FB35" s="650"/>
      <c r="FC35" s="650"/>
      <c r="FD35" s="650"/>
      <c r="FE35" s="650"/>
      <c r="FF35" s="650"/>
      <c r="FG35" s="650"/>
      <c r="FH35" s="650"/>
      <c r="FI35" s="650"/>
      <c r="FJ35" s="650"/>
      <c r="FK35" s="650"/>
      <c r="FL35" s="650"/>
      <c r="FM35" s="650"/>
      <c r="FN35" s="650"/>
      <c r="FO35" s="650"/>
      <c r="FP35" s="650"/>
      <c r="FQ35" s="650"/>
      <c r="FR35" s="650"/>
      <c r="FS35" s="650"/>
      <c r="FT35" s="650"/>
      <c r="FU35" s="650"/>
      <c r="FV35" s="650"/>
      <c r="FW35" s="650"/>
      <c r="FX35" s="650"/>
      <c r="FY35" s="650"/>
      <c r="FZ35" s="650"/>
      <c r="GA35" s="650"/>
      <c r="GB35" s="650"/>
      <c r="GC35" s="650"/>
      <c r="GD35" s="650"/>
      <c r="GE35" s="650"/>
      <c r="GF35" s="650"/>
      <c r="GG35" s="650"/>
      <c r="GH35" s="650"/>
      <c r="GI35" s="650"/>
      <c r="GJ35" s="650"/>
      <c r="GK35" s="650"/>
      <c r="GL35" s="650"/>
      <c r="GM35" s="650"/>
      <c r="GN35" s="650"/>
      <c r="GO35" s="650"/>
      <c r="GP35" s="650"/>
      <c r="GQ35" s="653"/>
      <c r="GR35" s="653"/>
      <c r="GS35" s="653"/>
      <c r="GT35" s="653"/>
      <c r="GU35" s="653"/>
      <c r="GV35" s="653"/>
      <c r="GW35" s="654"/>
    </row>
    <row r="36" spans="1:205" ht="12.75" customHeight="1" x14ac:dyDescent="0.25">
      <c r="A36" s="650"/>
      <c r="B36" s="656"/>
      <c r="C36" s="657"/>
      <c r="D36" s="657"/>
      <c r="E36" s="657"/>
      <c r="F36" s="657"/>
      <c r="G36" s="657"/>
      <c r="H36" s="657"/>
      <c r="I36" s="657"/>
      <c r="J36" s="657"/>
      <c r="K36" s="650"/>
      <c r="L36" s="650"/>
      <c r="M36" s="650"/>
      <c r="N36" s="650"/>
      <c r="O36" s="650"/>
      <c r="P36" s="650"/>
      <c r="Q36" s="650"/>
      <c r="R36" s="650"/>
      <c r="S36" s="650"/>
      <c r="T36" s="650"/>
      <c r="U36" s="650"/>
      <c r="V36" s="650"/>
      <c r="W36" s="650"/>
      <c r="X36" s="650"/>
      <c r="Y36" s="650"/>
      <c r="Z36" s="650"/>
      <c r="AA36" s="650"/>
      <c r="AB36" s="650"/>
      <c r="AC36" s="650"/>
      <c r="AD36" s="650"/>
      <c r="AE36" s="650"/>
      <c r="AF36" s="650"/>
      <c r="AG36" s="650"/>
      <c r="AH36" s="650"/>
      <c r="AI36" s="650"/>
      <c r="AJ36" s="650"/>
      <c r="AK36" s="650"/>
      <c r="AL36" s="650"/>
      <c r="AM36" s="650"/>
      <c r="AN36" s="650"/>
      <c r="AO36" s="650"/>
      <c r="AP36" s="650"/>
      <c r="AQ36" s="650"/>
      <c r="AR36" s="650"/>
      <c r="AS36" s="650"/>
      <c r="AT36" s="650"/>
      <c r="AU36" s="650"/>
      <c r="AV36" s="650"/>
      <c r="AW36" s="650"/>
      <c r="AX36" s="650"/>
      <c r="AY36" s="650"/>
      <c r="AZ36" s="650"/>
      <c r="BA36" s="650"/>
      <c r="BB36" s="650"/>
      <c r="BC36" s="650"/>
      <c r="BD36" s="650"/>
      <c r="BE36" s="650"/>
      <c r="BF36" s="650"/>
      <c r="BG36" s="650"/>
      <c r="BH36" s="650"/>
      <c r="BI36" s="650"/>
      <c r="BJ36" s="650"/>
      <c r="BK36" s="650"/>
      <c r="BL36" s="650"/>
      <c r="BM36" s="650"/>
      <c r="BN36" s="650"/>
      <c r="BO36" s="650"/>
      <c r="BP36" s="650"/>
      <c r="BQ36" s="650"/>
      <c r="BR36" s="650"/>
      <c r="BS36" s="650"/>
      <c r="BT36" s="650"/>
      <c r="BU36" s="650"/>
      <c r="BV36" s="650"/>
      <c r="BW36" s="650"/>
      <c r="BX36" s="650"/>
      <c r="BY36" s="650"/>
      <c r="BZ36" s="650"/>
      <c r="CA36" s="650"/>
      <c r="CB36" s="650"/>
      <c r="CC36" s="650"/>
      <c r="CD36" s="650"/>
      <c r="CE36" s="650"/>
      <c r="CF36" s="650"/>
      <c r="CG36" s="650"/>
      <c r="CH36" s="650"/>
      <c r="CI36" s="650"/>
      <c r="CJ36" s="650"/>
      <c r="CK36" s="650"/>
      <c r="CL36" s="650"/>
      <c r="CM36" s="650"/>
      <c r="CN36" s="650"/>
      <c r="CO36" s="650"/>
      <c r="CP36" s="650"/>
      <c r="CQ36" s="650"/>
      <c r="CR36" s="650"/>
      <c r="CS36" s="650"/>
      <c r="CT36" s="650"/>
      <c r="CU36" s="650"/>
      <c r="CV36" s="650"/>
      <c r="CW36" s="650"/>
      <c r="CX36" s="650"/>
      <c r="CY36" s="650"/>
      <c r="CZ36" s="650"/>
      <c r="DA36" s="650"/>
      <c r="DB36" s="650"/>
      <c r="DC36" s="650"/>
      <c r="DD36" s="650"/>
      <c r="DE36" s="650"/>
      <c r="DF36" s="650"/>
      <c r="DG36" s="650"/>
      <c r="DH36" s="650"/>
      <c r="DI36" s="650"/>
      <c r="DJ36" s="650"/>
      <c r="DK36" s="650"/>
      <c r="DL36" s="650"/>
      <c r="DM36" s="650"/>
      <c r="DN36" s="650"/>
      <c r="DO36" s="650"/>
      <c r="DP36" s="650"/>
      <c r="DQ36" s="650"/>
      <c r="DR36" s="650"/>
      <c r="DS36" s="650"/>
      <c r="DT36" s="650"/>
      <c r="DU36" s="650"/>
      <c r="DV36" s="650"/>
      <c r="DW36" s="650"/>
      <c r="DX36" s="650"/>
      <c r="DY36" s="650"/>
      <c r="DZ36" s="650"/>
      <c r="EA36" s="650"/>
      <c r="EB36" s="650"/>
      <c r="EC36" s="650"/>
      <c r="ED36" s="650"/>
      <c r="EE36" s="650"/>
      <c r="EF36" s="650"/>
      <c r="EG36" s="650"/>
      <c r="EH36" s="650"/>
      <c r="EI36" s="650"/>
      <c r="EJ36" s="650"/>
      <c r="EK36" s="650"/>
      <c r="EL36" s="650"/>
      <c r="EM36" s="650"/>
      <c r="EN36" s="650"/>
      <c r="EO36" s="650"/>
      <c r="EP36" s="650"/>
      <c r="EQ36" s="650"/>
      <c r="ER36" s="650"/>
      <c r="ES36" s="650"/>
      <c r="ET36" s="650"/>
      <c r="EU36" s="650"/>
      <c r="EV36" s="650"/>
      <c r="EW36" s="650"/>
      <c r="EX36" s="650"/>
      <c r="EY36" s="650"/>
      <c r="EZ36" s="650"/>
      <c r="FA36" s="650"/>
      <c r="FB36" s="650"/>
      <c r="FC36" s="650"/>
      <c r="FD36" s="650"/>
      <c r="FE36" s="650"/>
      <c r="FF36" s="650"/>
      <c r="FG36" s="650"/>
      <c r="FH36" s="650"/>
      <c r="FI36" s="650"/>
      <c r="FJ36" s="650"/>
      <c r="FK36" s="650"/>
      <c r="FL36" s="650"/>
      <c r="FM36" s="650"/>
      <c r="FN36" s="650"/>
      <c r="FO36" s="650"/>
      <c r="FP36" s="650"/>
      <c r="FQ36" s="650"/>
      <c r="FR36" s="650"/>
      <c r="FS36" s="650"/>
      <c r="FT36" s="650"/>
      <c r="FU36" s="650"/>
      <c r="FV36" s="650"/>
      <c r="FW36" s="650"/>
      <c r="FX36" s="650"/>
      <c r="FY36" s="650"/>
      <c r="FZ36" s="650"/>
      <c r="GA36" s="650"/>
      <c r="GB36" s="650"/>
      <c r="GC36" s="650"/>
      <c r="GD36" s="650"/>
      <c r="GE36" s="650"/>
      <c r="GF36" s="650"/>
      <c r="GG36" s="650"/>
      <c r="GH36" s="650"/>
      <c r="GI36" s="650"/>
      <c r="GJ36" s="650"/>
      <c r="GK36" s="650"/>
      <c r="GL36" s="650"/>
      <c r="GM36" s="650"/>
      <c r="GN36" s="650"/>
      <c r="GO36" s="650"/>
      <c r="GP36" s="650"/>
      <c r="GQ36" s="657"/>
      <c r="GR36" s="657"/>
      <c r="GS36" s="657"/>
      <c r="GT36" s="657"/>
      <c r="GU36" s="657"/>
      <c r="GV36" s="657"/>
      <c r="GW36" s="658"/>
    </row>
    <row r="37" spans="1:205" ht="9" customHeight="1" x14ac:dyDescent="0.25">
      <c r="B37" s="650"/>
      <c r="C37" s="650"/>
      <c r="D37" s="650"/>
      <c r="E37" s="650"/>
      <c r="F37" s="650"/>
      <c r="G37" s="650"/>
      <c r="H37" s="650"/>
      <c r="I37" s="650"/>
      <c r="J37" s="650"/>
      <c r="K37" s="650"/>
      <c r="L37" s="650"/>
      <c r="M37" s="650"/>
      <c r="N37" s="650"/>
      <c r="O37" s="650"/>
      <c r="P37" s="650"/>
      <c r="Q37" s="650"/>
      <c r="R37" s="650"/>
      <c r="S37" s="650"/>
      <c r="T37" s="650"/>
      <c r="U37" s="650"/>
      <c r="V37" s="650"/>
      <c r="W37" s="650"/>
      <c r="X37" s="650"/>
      <c r="Y37" s="650"/>
      <c r="Z37" s="650"/>
      <c r="AA37" s="650"/>
      <c r="AB37" s="650"/>
      <c r="AC37" s="650"/>
      <c r="AD37" s="650"/>
      <c r="AE37" s="650"/>
      <c r="AF37" s="650"/>
      <c r="AG37" s="650"/>
      <c r="AH37" s="650"/>
      <c r="AI37" s="650"/>
      <c r="AJ37" s="650"/>
      <c r="AK37" s="650"/>
      <c r="AL37" s="650"/>
      <c r="AM37" s="650"/>
      <c r="AN37" s="650"/>
      <c r="AO37" s="650"/>
      <c r="AP37" s="650"/>
      <c r="AQ37" s="650"/>
      <c r="AR37" s="650"/>
      <c r="AS37" s="650"/>
      <c r="AT37" s="650"/>
      <c r="AU37" s="650"/>
      <c r="AV37" s="650"/>
      <c r="AW37" s="650"/>
      <c r="AX37" s="650"/>
      <c r="AY37" s="650"/>
      <c r="AZ37" s="650"/>
      <c r="BA37" s="650"/>
      <c r="BB37" s="650"/>
      <c r="BC37" s="650"/>
      <c r="BD37" s="650"/>
      <c r="BE37" s="650"/>
      <c r="BF37" s="650"/>
      <c r="BG37" s="650"/>
      <c r="BH37" s="650"/>
      <c r="BI37" s="650"/>
      <c r="BJ37" s="650"/>
      <c r="BK37" s="650"/>
      <c r="BL37" s="650"/>
      <c r="BM37" s="650"/>
      <c r="BN37" s="650"/>
      <c r="BO37" s="650"/>
      <c r="BP37" s="650"/>
      <c r="BQ37" s="650"/>
      <c r="BR37" s="650"/>
      <c r="BS37" s="650"/>
      <c r="BT37" s="650"/>
      <c r="BU37" s="650"/>
      <c r="BV37" s="650"/>
      <c r="BW37" s="650"/>
      <c r="BX37" s="650"/>
      <c r="BY37" s="650"/>
      <c r="BZ37" s="650"/>
      <c r="CA37" s="650"/>
      <c r="CB37" s="650"/>
      <c r="CC37" s="650"/>
      <c r="CD37" s="650"/>
      <c r="CE37" s="650"/>
      <c r="CF37" s="650"/>
      <c r="CG37" s="650"/>
      <c r="CH37" s="650"/>
      <c r="CI37" s="650"/>
      <c r="CJ37" s="650"/>
      <c r="CK37" s="650"/>
      <c r="CL37" s="650"/>
      <c r="CM37" s="650"/>
      <c r="CN37" s="650"/>
      <c r="CO37" s="650"/>
      <c r="CP37" s="650"/>
      <c r="CQ37" s="650"/>
      <c r="CR37" s="650"/>
      <c r="CS37" s="650"/>
      <c r="CT37" s="650"/>
      <c r="CU37" s="650"/>
      <c r="CV37" s="650"/>
      <c r="CW37" s="650"/>
      <c r="CX37" s="650"/>
      <c r="CY37" s="650"/>
      <c r="CZ37" s="650"/>
      <c r="DA37" s="650"/>
      <c r="DB37" s="650"/>
      <c r="DC37" s="650"/>
      <c r="DD37" s="650"/>
      <c r="DE37" s="650"/>
      <c r="DF37" s="650"/>
      <c r="DG37" s="650"/>
      <c r="DH37" s="650"/>
      <c r="DI37" s="650"/>
      <c r="DJ37" s="650"/>
      <c r="DK37" s="650"/>
      <c r="DL37" s="650"/>
      <c r="DM37" s="650"/>
      <c r="DN37" s="650"/>
      <c r="DO37" s="650"/>
      <c r="DP37" s="650"/>
      <c r="DQ37" s="650"/>
      <c r="DR37" s="650"/>
      <c r="DS37" s="650"/>
      <c r="DT37" s="650"/>
      <c r="DU37" s="650"/>
      <c r="DV37" s="650"/>
      <c r="DW37" s="650"/>
      <c r="DX37" s="650"/>
      <c r="DY37" s="650"/>
      <c r="DZ37" s="650"/>
      <c r="EA37" s="650"/>
      <c r="EB37" s="650"/>
      <c r="EC37" s="650"/>
      <c r="ED37" s="650"/>
      <c r="EE37" s="650"/>
      <c r="EF37" s="650"/>
      <c r="EG37" s="650"/>
      <c r="EH37" s="650"/>
      <c r="EI37" s="650"/>
      <c r="EJ37" s="650"/>
      <c r="EK37" s="650"/>
      <c r="EL37" s="650"/>
      <c r="EM37" s="650"/>
      <c r="EN37" s="650"/>
      <c r="EO37" s="650"/>
      <c r="EP37" s="650"/>
      <c r="EQ37" s="650"/>
      <c r="ER37" s="650"/>
      <c r="ES37" s="650"/>
      <c r="ET37" s="650"/>
      <c r="EU37" s="650"/>
      <c r="EV37" s="650"/>
      <c r="EW37" s="650"/>
      <c r="EX37" s="650"/>
      <c r="EY37" s="650"/>
      <c r="EZ37" s="650"/>
      <c r="FA37" s="650"/>
      <c r="FB37" s="650"/>
      <c r="FC37" s="650"/>
      <c r="FD37" s="650"/>
      <c r="FE37" s="650"/>
      <c r="FF37" s="650"/>
      <c r="FG37" s="650"/>
      <c r="FH37" s="650"/>
      <c r="FI37" s="650"/>
      <c r="FJ37" s="650"/>
      <c r="FK37" s="650"/>
      <c r="FL37" s="650"/>
      <c r="FM37" s="650"/>
      <c r="FN37" s="650"/>
      <c r="FO37" s="650"/>
      <c r="FP37" s="650"/>
      <c r="FQ37" s="650"/>
      <c r="FR37" s="650"/>
      <c r="FS37" s="650"/>
      <c r="FT37" s="650"/>
      <c r="FU37" s="650"/>
      <c r="FV37" s="650"/>
      <c r="FW37" s="650"/>
      <c r="FX37" s="650"/>
      <c r="FY37" s="650"/>
      <c r="FZ37" s="650"/>
      <c r="GA37" s="650"/>
      <c r="GB37" s="650"/>
      <c r="GC37" s="650"/>
      <c r="GD37" s="650"/>
      <c r="GE37" s="650"/>
      <c r="GF37" s="650"/>
      <c r="GG37" s="650"/>
      <c r="GH37" s="650"/>
      <c r="GI37" s="650"/>
      <c r="GJ37" s="650"/>
      <c r="GK37" s="650"/>
      <c r="GL37" s="650"/>
      <c r="GM37" s="650"/>
      <c r="GN37" s="650"/>
      <c r="GO37" s="650"/>
      <c r="GP37" s="650"/>
      <c r="GQ37" s="650"/>
      <c r="GR37" s="650"/>
      <c r="GS37" s="650"/>
      <c r="GT37" s="650"/>
      <c r="GU37" s="650"/>
    </row>
    <row r="38" spans="1:205" ht="3.75" customHeight="1" x14ac:dyDescent="0.25">
      <c r="B38" s="650"/>
      <c r="C38" s="650"/>
      <c r="D38" s="650"/>
      <c r="E38" s="650"/>
      <c r="F38" s="650"/>
      <c r="G38" s="650"/>
      <c r="H38" s="650"/>
      <c r="I38" s="650"/>
      <c r="J38" s="650"/>
      <c r="K38" s="650"/>
      <c r="L38" s="650"/>
      <c r="M38" s="650"/>
      <c r="N38" s="650"/>
      <c r="O38" s="650"/>
      <c r="P38" s="650"/>
      <c r="Q38" s="650"/>
      <c r="R38" s="650"/>
      <c r="S38" s="650"/>
      <c r="T38" s="650"/>
      <c r="U38" s="650"/>
      <c r="V38" s="650"/>
      <c r="W38" s="650"/>
      <c r="X38" s="650"/>
      <c r="Y38" s="650"/>
      <c r="Z38" s="650"/>
      <c r="AA38" s="650"/>
      <c r="AB38" s="650"/>
      <c r="AC38" s="650"/>
      <c r="AD38" s="650"/>
      <c r="AE38" s="650"/>
      <c r="AF38" s="650"/>
      <c r="AG38" s="650"/>
      <c r="AH38" s="650"/>
      <c r="AI38" s="650"/>
      <c r="AJ38" s="650"/>
      <c r="AK38" s="650"/>
      <c r="AL38" s="650"/>
      <c r="AM38" s="650"/>
      <c r="AN38" s="650"/>
      <c r="AO38" s="650"/>
      <c r="AP38" s="650"/>
      <c r="AQ38" s="650"/>
      <c r="AR38" s="650"/>
      <c r="AS38" s="650"/>
      <c r="AT38" s="650"/>
      <c r="AU38" s="650"/>
      <c r="AV38" s="650"/>
      <c r="AW38" s="650"/>
      <c r="AX38" s="650"/>
      <c r="AY38" s="650"/>
      <c r="AZ38" s="650"/>
      <c r="BA38" s="650"/>
      <c r="BB38" s="650"/>
      <c r="BC38" s="650"/>
      <c r="BD38" s="650"/>
      <c r="BE38" s="650"/>
      <c r="BF38" s="650"/>
      <c r="BG38" s="650"/>
      <c r="BH38" s="650"/>
      <c r="BI38" s="650"/>
      <c r="BJ38" s="650"/>
      <c r="BK38" s="650"/>
      <c r="BL38" s="650"/>
      <c r="BM38" s="650"/>
      <c r="BN38" s="650"/>
      <c r="BO38" s="650"/>
      <c r="BP38" s="650"/>
      <c r="BQ38" s="650"/>
      <c r="BR38" s="650"/>
      <c r="BS38" s="650"/>
      <c r="BT38" s="650"/>
      <c r="BU38" s="650"/>
      <c r="BV38" s="650"/>
      <c r="BW38" s="650"/>
      <c r="BX38" s="650"/>
      <c r="BY38" s="650"/>
      <c r="BZ38" s="650"/>
      <c r="CA38" s="650"/>
      <c r="CB38" s="650"/>
      <c r="CC38" s="650"/>
      <c r="CD38" s="650"/>
      <c r="CE38" s="650"/>
      <c r="CF38" s="650"/>
      <c r="CG38" s="650"/>
      <c r="CH38" s="650"/>
      <c r="CI38" s="650"/>
      <c r="CJ38" s="650"/>
      <c r="CK38" s="650"/>
      <c r="CL38" s="650"/>
      <c r="CM38" s="650"/>
      <c r="CN38" s="650"/>
      <c r="CO38" s="650"/>
      <c r="CP38" s="650"/>
      <c r="CQ38" s="650"/>
      <c r="CR38" s="650"/>
      <c r="CS38" s="650"/>
      <c r="CT38" s="650"/>
      <c r="CU38" s="650"/>
      <c r="CV38" s="650"/>
      <c r="CW38" s="650"/>
      <c r="CX38" s="650"/>
      <c r="CY38" s="650"/>
      <c r="CZ38" s="650"/>
      <c r="DA38" s="650"/>
      <c r="DB38" s="650"/>
      <c r="DC38" s="650"/>
      <c r="DD38" s="650"/>
      <c r="DE38" s="650"/>
      <c r="DF38" s="650"/>
      <c r="DG38" s="650"/>
      <c r="DH38" s="650"/>
      <c r="DI38" s="650"/>
      <c r="DJ38" s="650"/>
      <c r="DK38" s="650"/>
      <c r="DL38" s="650"/>
      <c r="DM38" s="650"/>
      <c r="DN38" s="650"/>
      <c r="DO38" s="650"/>
      <c r="DP38" s="650"/>
      <c r="DQ38" s="650"/>
      <c r="DR38" s="650"/>
      <c r="DS38" s="650"/>
      <c r="DT38" s="650"/>
      <c r="DU38" s="650"/>
      <c r="DV38" s="650"/>
      <c r="DW38" s="650"/>
      <c r="DX38" s="650"/>
      <c r="DY38" s="650"/>
      <c r="DZ38" s="650"/>
      <c r="EA38" s="650"/>
      <c r="EB38" s="650"/>
      <c r="EC38" s="650"/>
      <c r="ED38" s="650"/>
      <c r="EE38" s="650"/>
      <c r="EF38" s="650"/>
      <c r="EG38" s="650"/>
      <c r="EH38" s="650"/>
      <c r="EI38" s="650"/>
      <c r="EJ38" s="650"/>
      <c r="EK38" s="650"/>
      <c r="EL38" s="650"/>
      <c r="EM38" s="650"/>
      <c r="EN38" s="650"/>
      <c r="EO38" s="650"/>
      <c r="EP38" s="650"/>
      <c r="EQ38" s="650"/>
      <c r="ER38" s="650"/>
      <c r="ES38" s="650"/>
      <c r="ET38" s="650"/>
      <c r="EU38" s="650"/>
      <c r="EV38" s="650"/>
      <c r="EW38" s="650"/>
      <c r="EX38" s="650"/>
      <c r="EY38" s="650"/>
      <c r="EZ38" s="650"/>
      <c r="FA38" s="650"/>
      <c r="FB38" s="650"/>
      <c r="FC38" s="650"/>
      <c r="FD38" s="650"/>
      <c r="FE38" s="650"/>
      <c r="FF38" s="650"/>
      <c r="FG38" s="650"/>
      <c r="FH38" s="650"/>
      <c r="FI38" s="650"/>
      <c r="FJ38" s="650"/>
      <c r="FK38" s="650"/>
      <c r="FL38" s="650"/>
      <c r="FM38" s="650"/>
      <c r="FN38" s="650"/>
      <c r="FO38" s="650"/>
      <c r="FP38" s="650"/>
      <c r="FQ38" s="650"/>
      <c r="FR38" s="650"/>
      <c r="FS38" s="650"/>
      <c r="FT38" s="650"/>
      <c r="FU38" s="650"/>
      <c r="FV38" s="650"/>
      <c r="FW38" s="650"/>
      <c r="FX38" s="650"/>
      <c r="FY38" s="650"/>
      <c r="FZ38" s="650"/>
      <c r="GA38" s="650"/>
      <c r="GB38" s="650"/>
      <c r="GC38" s="650"/>
      <c r="GD38" s="650"/>
      <c r="GE38" s="650"/>
      <c r="GF38" s="650"/>
      <c r="GG38" s="650"/>
      <c r="GH38" s="650"/>
      <c r="GI38" s="650"/>
      <c r="GJ38" s="650"/>
      <c r="GK38" s="650"/>
      <c r="GL38" s="650"/>
      <c r="GM38" s="650"/>
      <c r="GN38" s="650"/>
      <c r="GO38" s="650"/>
      <c r="GP38" s="650"/>
      <c r="GQ38" s="650"/>
      <c r="GR38" s="650"/>
      <c r="GS38" s="650"/>
      <c r="GT38" s="650"/>
      <c r="GU38" s="650"/>
    </row>
    <row r="39" spans="1:205" ht="3.75" customHeight="1" x14ac:dyDescent="0.25"/>
    <row r="40" spans="1:205" ht="3.75" customHeight="1" x14ac:dyDescent="0.25"/>
    <row r="41" spans="1:205" ht="3.75" customHeight="1" x14ac:dyDescent="0.25"/>
    <row r="42" spans="1:205" ht="3.75" customHeight="1" x14ac:dyDescent="0.25"/>
    <row r="43" spans="1:205" ht="3.75" customHeight="1" x14ac:dyDescent="0.25"/>
    <row r="44" spans="1:205" ht="3.75" customHeight="1" x14ac:dyDescent="0.25"/>
    <row r="45" spans="1:205" ht="3.75" customHeight="1" x14ac:dyDescent="0.25"/>
    <row r="46" spans="1:205" ht="3.75" customHeight="1" x14ac:dyDescent="0.25"/>
    <row r="47" spans="1:205" ht="3.75" customHeight="1" x14ac:dyDescent="0.25"/>
    <row r="48" spans="1:205" ht="3.75" customHeight="1" x14ac:dyDescent="0.25"/>
    <row r="49" spans="43:43" ht="3.75" customHeight="1" x14ac:dyDescent="0.25"/>
    <row r="50" spans="43:43" ht="3.75" customHeight="1" x14ac:dyDescent="0.25"/>
    <row r="51" spans="43:43" ht="3.75" customHeight="1" x14ac:dyDescent="0.25"/>
    <row r="52" spans="43:43" ht="3.75" customHeight="1" x14ac:dyDescent="0.25">
      <c r="AQ52" s="659">
        <v>57</v>
      </c>
    </row>
    <row r="53" spans="43:43" ht="3.75" customHeight="1" x14ac:dyDescent="0.25"/>
    <row r="54" spans="43:43" ht="3.75" customHeight="1" x14ac:dyDescent="0.25"/>
    <row r="55" spans="43:43" ht="3.75" customHeight="1" x14ac:dyDescent="0.25"/>
    <row r="56" spans="43:43" ht="3.75" customHeight="1" x14ac:dyDescent="0.25"/>
    <row r="57" spans="43:43" ht="3.75" customHeight="1" x14ac:dyDescent="0.25"/>
    <row r="58" spans="43:43" ht="3.75" customHeight="1" x14ac:dyDescent="0.25"/>
    <row r="59" spans="43:43" ht="3.75" customHeight="1" x14ac:dyDescent="0.25"/>
    <row r="60" spans="43:43" ht="3.75" customHeight="1" x14ac:dyDescent="0.25"/>
    <row r="61" spans="43:43" ht="3.75" customHeight="1" x14ac:dyDescent="0.25"/>
    <row r="62" spans="43:43" ht="3.75" customHeight="1" x14ac:dyDescent="0.25"/>
    <row r="63" spans="43:43" ht="3.75" customHeight="1" x14ac:dyDescent="0.25"/>
    <row r="64" spans="43:43" ht="3.75" customHeight="1" x14ac:dyDescent="0.25"/>
    <row r="65" ht="3.75" customHeight="1" x14ac:dyDescent="0.25"/>
    <row r="66" ht="3.75" customHeight="1" x14ac:dyDescent="0.25"/>
    <row r="67" ht="3.75" customHeight="1" x14ac:dyDescent="0.25"/>
    <row r="68" ht="3.75" customHeight="1" x14ac:dyDescent="0.25"/>
    <row r="69" ht="3.75" customHeight="1" x14ac:dyDescent="0.25"/>
    <row r="70" ht="3.75" customHeight="1" x14ac:dyDescent="0.25"/>
    <row r="71" ht="3.75" customHeight="1" x14ac:dyDescent="0.25"/>
    <row r="72" ht="3.75" customHeight="1" x14ac:dyDescent="0.25"/>
    <row r="73" ht="3.75" customHeight="1" x14ac:dyDescent="0.25"/>
    <row r="74" ht="3.75" customHeight="1" x14ac:dyDescent="0.25"/>
    <row r="75" ht="3.75" customHeight="1" x14ac:dyDescent="0.25"/>
    <row r="76" ht="3.75" customHeight="1" x14ac:dyDescent="0.25"/>
    <row r="77" ht="3.75" customHeight="1" x14ac:dyDescent="0.25"/>
    <row r="78" ht="3.75" customHeight="1" x14ac:dyDescent="0.25"/>
    <row r="79" ht="3.75" customHeight="1" x14ac:dyDescent="0.25"/>
    <row r="80" ht="3.75" customHeight="1" x14ac:dyDescent="0.25"/>
    <row r="81" ht="3.75" customHeight="1" x14ac:dyDescent="0.25"/>
    <row r="82" ht="3.75" customHeight="1" x14ac:dyDescent="0.25"/>
    <row r="83" ht="3.75" customHeight="1" x14ac:dyDescent="0.25"/>
    <row r="84" ht="3.75" customHeight="1" x14ac:dyDescent="0.25"/>
    <row r="85" ht="3.75" customHeight="1" x14ac:dyDescent="0.25"/>
    <row r="86" ht="3.75" customHeight="1" x14ac:dyDescent="0.25"/>
    <row r="87" ht="3.75" customHeight="1" x14ac:dyDescent="0.25"/>
    <row r="88" ht="3.75" customHeight="1" x14ac:dyDescent="0.25"/>
    <row r="89" ht="3.75" customHeight="1" x14ac:dyDescent="0.25"/>
    <row r="90" ht="3.75" customHeight="1" x14ac:dyDescent="0.25"/>
    <row r="91" ht="3.75" customHeight="1" x14ac:dyDescent="0.25"/>
    <row r="92" ht="3.75" customHeight="1" x14ac:dyDescent="0.25"/>
    <row r="93" ht="3.75" customHeight="1" x14ac:dyDescent="0.25"/>
    <row r="94" ht="3.75" customHeight="1" x14ac:dyDescent="0.25"/>
    <row r="95" ht="3.75" customHeight="1" x14ac:dyDescent="0.25"/>
    <row r="96" ht="3.75" customHeight="1" x14ac:dyDescent="0.25"/>
    <row r="97" ht="3.75" customHeight="1" x14ac:dyDescent="0.25"/>
    <row r="98" ht="3.75" customHeight="1" x14ac:dyDescent="0.25"/>
    <row r="99" ht="3.75" customHeight="1" x14ac:dyDescent="0.25"/>
    <row r="100" ht="3.75" customHeight="1" x14ac:dyDescent="0.25"/>
    <row r="101" ht="3.75" customHeight="1" x14ac:dyDescent="0.25"/>
    <row r="102" ht="3.75" customHeight="1" x14ac:dyDescent="0.25"/>
    <row r="103" ht="3.75" customHeight="1" x14ac:dyDescent="0.25"/>
    <row r="104" ht="3.75" customHeight="1" x14ac:dyDescent="0.25"/>
    <row r="105" ht="3.75" customHeight="1" x14ac:dyDescent="0.25"/>
    <row r="106" ht="3.75" customHeight="1" x14ac:dyDescent="0.25"/>
    <row r="107" ht="3.75" customHeight="1" x14ac:dyDescent="0.25"/>
    <row r="108" ht="3.75" customHeight="1" x14ac:dyDescent="0.25"/>
    <row r="109" ht="3.75" customHeight="1" x14ac:dyDescent="0.25"/>
    <row r="110" ht="3.75" customHeight="1" x14ac:dyDescent="0.25"/>
    <row r="111" ht="3.75" customHeight="1" x14ac:dyDescent="0.25"/>
    <row r="112" ht="3.75" customHeight="1" x14ac:dyDescent="0.25"/>
    <row r="113" ht="3.75" customHeight="1" x14ac:dyDescent="0.25"/>
    <row r="114" ht="3.75" customHeight="1" x14ac:dyDescent="0.25"/>
    <row r="115" ht="3.75" customHeight="1" x14ac:dyDescent="0.25"/>
    <row r="116" ht="3.75" customHeight="1" x14ac:dyDescent="0.25"/>
    <row r="117" ht="3.75" customHeight="1" x14ac:dyDescent="0.25"/>
    <row r="118" ht="3.75" customHeight="1" x14ac:dyDescent="0.25"/>
    <row r="119" ht="3.75" customHeight="1" x14ac:dyDescent="0.25"/>
    <row r="120" ht="3.75" customHeight="1" x14ac:dyDescent="0.25"/>
    <row r="121" ht="3.75" customHeight="1" x14ac:dyDescent="0.25"/>
    <row r="122" ht="3.75" customHeight="1" x14ac:dyDescent="0.25"/>
    <row r="123" ht="3.75" customHeight="1" x14ac:dyDescent="0.25"/>
    <row r="124" ht="3.75" customHeight="1" x14ac:dyDescent="0.25"/>
    <row r="125" ht="3.75" customHeight="1" x14ac:dyDescent="0.25"/>
    <row r="126" ht="3.75" customHeight="1" x14ac:dyDescent="0.25"/>
    <row r="127" ht="3.75" customHeight="1" x14ac:dyDescent="0.25"/>
    <row r="128" ht="3.75" customHeight="1" x14ac:dyDescent="0.25"/>
    <row r="129" ht="3.75" customHeight="1" x14ac:dyDescent="0.25"/>
    <row r="130" ht="3.75" customHeight="1" x14ac:dyDescent="0.25"/>
    <row r="131" ht="3.75" customHeight="1" x14ac:dyDescent="0.25"/>
    <row r="132" ht="3.75" customHeight="1" x14ac:dyDescent="0.25"/>
    <row r="133" ht="3.75" customHeight="1" x14ac:dyDescent="0.25"/>
    <row r="134" ht="3.75" customHeight="1" x14ac:dyDescent="0.25"/>
    <row r="135" ht="3.75" customHeight="1" x14ac:dyDescent="0.25"/>
    <row r="136" ht="3.75" customHeight="1" x14ac:dyDescent="0.25"/>
    <row r="137" ht="3.75" customHeight="1" x14ac:dyDescent="0.25"/>
    <row r="138" ht="3.75" customHeight="1" x14ac:dyDescent="0.25"/>
    <row r="139" ht="3.75" customHeight="1" x14ac:dyDescent="0.25"/>
    <row r="140" ht="3.75" customHeight="1" x14ac:dyDescent="0.25"/>
    <row r="141" ht="3.75" customHeight="1" x14ac:dyDescent="0.25"/>
    <row r="142" ht="3.75" customHeight="1" x14ac:dyDescent="0.25"/>
    <row r="143" ht="3.75" customHeight="1" x14ac:dyDescent="0.25"/>
    <row r="144" ht="3.75" customHeight="1" x14ac:dyDescent="0.25"/>
    <row r="145" spans="10:10" ht="3.75" customHeight="1" x14ac:dyDescent="0.25"/>
    <row r="146" spans="10:10" ht="3.75" customHeight="1" x14ac:dyDescent="0.25"/>
    <row r="147" spans="10:10" ht="3.75" customHeight="1" x14ac:dyDescent="0.25">
      <c r="J147" s="659">
        <v>33</v>
      </c>
    </row>
  </sheetData>
  <mergeCells count="704">
    <mergeCell ref="FW34:GB34"/>
    <mergeCell ref="GC34:GG34"/>
    <mergeCell ref="GH34:GM34"/>
    <mergeCell ref="GN34:GR34"/>
    <mergeCell ref="GS34:GW34"/>
    <mergeCell ref="CY34:DC34"/>
    <mergeCell ref="DD34:DI34"/>
    <mergeCell ref="DJ34:EM34"/>
    <mergeCell ref="EP34:EU34"/>
    <mergeCell ref="EV34:EZ34"/>
    <mergeCell ref="FA34:FF34"/>
    <mergeCell ref="FG34:FK34"/>
    <mergeCell ref="FL34:FQ34"/>
    <mergeCell ref="FR34:FV34"/>
    <mergeCell ref="BA34:BF34"/>
    <mergeCell ref="BG34:BK34"/>
    <mergeCell ref="BL34:BQ34"/>
    <mergeCell ref="BR34:BV34"/>
    <mergeCell ref="BW34:CB34"/>
    <mergeCell ref="CC34:CG34"/>
    <mergeCell ref="CH34:CM34"/>
    <mergeCell ref="CN34:CR34"/>
    <mergeCell ref="CS34:CX34"/>
    <mergeCell ref="EC33:EG33"/>
    <mergeCell ref="EH33:EM33"/>
    <mergeCell ref="EN33:ER33"/>
    <mergeCell ref="ES33:EX33"/>
    <mergeCell ref="EY33:FC33"/>
    <mergeCell ref="FD33:FI33"/>
    <mergeCell ref="FJ33:FN33"/>
    <mergeCell ref="FO33:FS33"/>
    <mergeCell ref="FT33:GW33"/>
    <mergeCell ref="FL32:FQ32"/>
    <mergeCell ref="FR32:FV32"/>
    <mergeCell ref="FW32:GB32"/>
    <mergeCell ref="GC32:GG32"/>
    <mergeCell ref="GH32:GM32"/>
    <mergeCell ref="GN32:GR32"/>
    <mergeCell ref="GS32:GW32"/>
    <mergeCell ref="B33:K34"/>
    <mergeCell ref="L33:AP34"/>
    <mergeCell ref="AQ33:AX34"/>
    <mergeCell ref="BA33:BF33"/>
    <mergeCell ref="BG33:BK33"/>
    <mergeCell ref="BL33:BQ33"/>
    <mergeCell ref="BR33:BV33"/>
    <mergeCell ref="BW33:CB33"/>
    <mergeCell ref="CC33:CG33"/>
    <mergeCell ref="CH33:CM33"/>
    <mergeCell ref="CN33:CR33"/>
    <mergeCell ref="CS33:CX33"/>
    <mergeCell ref="CY33:DC33"/>
    <mergeCell ref="DD33:DI33"/>
    <mergeCell ref="DL33:DQ33"/>
    <mergeCell ref="DR33:DV33"/>
    <mergeCell ref="DW33:EB33"/>
    <mergeCell ref="EH31:EM31"/>
    <mergeCell ref="EN31:ER31"/>
    <mergeCell ref="ES31:EX31"/>
    <mergeCell ref="EY31:FC31"/>
    <mergeCell ref="FD31:FI31"/>
    <mergeCell ref="FJ31:FN31"/>
    <mergeCell ref="FO31:FS31"/>
    <mergeCell ref="FT31:GW31"/>
    <mergeCell ref="BA32:BF32"/>
    <mergeCell ref="BG32:BK32"/>
    <mergeCell ref="BL32:BQ32"/>
    <mergeCell ref="BR32:BV32"/>
    <mergeCell ref="BW32:CB32"/>
    <mergeCell ref="CC32:CG32"/>
    <mergeCell ref="CH32:CM32"/>
    <mergeCell ref="CN32:CR32"/>
    <mergeCell ref="CS32:CX32"/>
    <mergeCell ref="CY32:DC32"/>
    <mergeCell ref="DD32:DI32"/>
    <mergeCell ref="DJ32:EM32"/>
    <mergeCell ref="EP32:EU32"/>
    <mergeCell ref="EV32:EZ32"/>
    <mergeCell ref="FA32:FF32"/>
    <mergeCell ref="FG32:FK32"/>
    <mergeCell ref="FR30:FV30"/>
    <mergeCell ref="FW30:GB30"/>
    <mergeCell ref="GC30:GG30"/>
    <mergeCell ref="GH30:GM30"/>
    <mergeCell ref="GN30:GR30"/>
    <mergeCell ref="GS30:GW30"/>
    <mergeCell ref="B31:K32"/>
    <mergeCell ref="L31:AP32"/>
    <mergeCell ref="AQ31:AX32"/>
    <mergeCell ref="BA31:BF31"/>
    <mergeCell ref="BG31:BK31"/>
    <mergeCell ref="BL31:BQ31"/>
    <mergeCell ref="BR31:BV31"/>
    <mergeCell ref="BW31:CB31"/>
    <mergeCell ref="CC31:CG31"/>
    <mergeCell ref="CH31:CM31"/>
    <mergeCell ref="CN31:CR31"/>
    <mergeCell ref="CS31:CX31"/>
    <mergeCell ref="CY31:DC31"/>
    <mergeCell ref="DD31:DI31"/>
    <mergeCell ref="DL31:DQ31"/>
    <mergeCell ref="DR31:DV31"/>
    <mergeCell ref="DW31:EB31"/>
    <mergeCell ref="EC31:EG31"/>
    <mergeCell ref="EN29:ER29"/>
    <mergeCell ref="ES29:EX29"/>
    <mergeCell ref="EY29:FC29"/>
    <mergeCell ref="FD29:FI29"/>
    <mergeCell ref="FJ29:FN29"/>
    <mergeCell ref="FO29:FS29"/>
    <mergeCell ref="FT29:GW29"/>
    <mergeCell ref="BA30:BF30"/>
    <mergeCell ref="BG30:BK30"/>
    <mergeCell ref="BL30:BQ30"/>
    <mergeCell ref="BR30:BV30"/>
    <mergeCell ref="BW30:CB30"/>
    <mergeCell ref="CC30:CG30"/>
    <mergeCell ref="CH30:CM30"/>
    <mergeCell ref="CN30:CR30"/>
    <mergeCell ref="CS30:CX30"/>
    <mergeCell ref="CY30:DC30"/>
    <mergeCell ref="DD30:DI30"/>
    <mergeCell ref="DJ30:EM30"/>
    <mergeCell ref="EP30:EU30"/>
    <mergeCell ref="EV30:EZ30"/>
    <mergeCell ref="FA30:FF30"/>
    <mergeCell ref="FG30:FK30"/>
    <mergeCell ref="FL30:FQ30"/>
    <mergeCell ref="FW28:GB28"/>
    <mergeCell ref="GC28:GG28"/>
    <mergeCell ref="GH28:GM28"/>
    <mergeCell ref="GN28:GR28"/>
    <mergeCell ref="GS28:GW28"/>
    <mergeCell ref="B29:K30"/>
    <mergeCell ref="L29:AP30"/>
    <mergeCell ref="AQ29:AX30"/>
    <mergeCell ref="BA29:BF29"/>
    <mergeCell ref="BG29:BK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EC29:EG29"/>
    <mergeCell ref="EH29:EM29"/>
    <mergeCell ref="CY28:DC28"/>
    <mergeCell ref="DD28:DI28"/>
    <mergeCell ref="DJ28:EM28"/>
    <mergeCell ref="EP28:EU28"/>
    <mergeCell ref="EV28:EZ28"/>
    <mergeCell ref="FA28:FF28"/>
    <mergeCell ref="FG28:FK28"/>
    <mergeCell ref="FL28:FQ28"/>
    <mergeCell ref="FR28:FV28"/>
    <mergeCell ref="BA28:BF28"/>
    <mergeCell ref="BG28:BK28"/>
    <mergeCell ref="BL28:BQ28"/>
    <mergeCell ref="BR28:BV28"/>
    <mergeCell ref="BW28:CB28"/>
    <mergeCell ref="CC28:CG28"/>
    <mergeCell ref="CH28:CM28"/>
    <mergeCell ref="CN28:CR28"/>
    <mergeCell ref="CS28:CX28"/>
    <mergeCell ref="EC27:EG27"/>
    <mergeCell ref="EH27:EM27"/>
    <mergeCell ref="EN27:ER27"/>
    <mergeCell ref="ES27:EX27"/>
    <mergeCell ref="EY27:FC27"/>
    <mergeCell ref="FD27:FI27"/>
    <mergeCell ref="FJ27:FN27"/>
    <mergeCell ref="FO27:FS27"/>
    <mergeCell ref="FT27:GW27"/>
    <mergeCell ref="FL26:FQ26"/>
    <mergeCell ref="FR26:FV26"/>
    <mergeCell ref="FW26:GB26"/>
    <mergeCell ref="GC26:GG26"/>
    <mergeCell ref="GH26:GM26"/>
    <mergeCell ref="GN26:GR26"/>
    <mergeCell ref="GS26:GW26"/>
    <mergeCell ref="B27:K28"/>
    <mergeCell ref="L27:AP28"/>
    <mergeCell ref="AQ27:AX28"/>
    <mergeCell ref="BA27:BF27"/>
    <mergeCell ref="BG27:BK27"/>
    <mergeCell ref="BL27:BQ27"/>
    <mergeCell ref="BR27:BV27"/>
    <mergeCell ref="BW27:CB27"/>
    <mergeCell ref="CC27:CG27"/>
    <mergeCell ref="CH27:CM27"/>
    <mergeCell ref="CN27:CR27"/>
    <mergeCell ref="CS27:CX27"/>
    <mergeCell ref="CY27:DC27"/>
    <mergeCell ref="DD27:DI27"/>
    <mergeCell ref="DL27:DQ27"/>
    <mergeCell ref="DR27:DV27"/>
    <mergeCell ref="DW27:EB27"/>
    <mergeCell ref="EH25:EM25"/>
    <mergeCell ref="EN25:ER25"/>
    <mergeCell ref="ES25:EX25"/>
    <mergeCell ref="EY25:FC25"/>
    <mergeCell ref="FD25:FI25"/>
    <mergeCell ref="FJ25:FN25"/>
    <mergeCell ref="FO25:FS25"/>
    <mergeCell ref="FT25:GW25"/>
    <mergeCell ref="BA26:BF26"/>
    <mergeCell ref="BG26:BK26"/>
    <mergeCell ref="BL26:BQ26"/>
    <mergeCell ref="BR26:BV26"/>
    <mergeCell ref="BW26:CB26"/>
    <mergeCell ref="CC26:CG26"/>
    <mergeCell ref="CH26:CM26"/>
    <mergeCell ref="CN26:CR26"/>
    <mergeCell ref="CS26:CX26"/>
    <mergeCell ref="CY26:DC26"/>
    <mergeCell ref="DD26:DI26"/>
    <mergeCell ref="DJ26:EM26"/>
    <mergeCell ref="EP26:EU26"/>
    <mergeCell ref="EV26:EZ26"/>
    <mergeCell ref="FA26:FF26"/>
    <mergeCell ref="FG26:FK26"/>
    <mergeCell ref="FR24:FV24"/>
    <mergeCell ref="FW24:GB24"/>
    <mergeCell ref="GC24:GG24"/>
    <mergeCell ref="GH24:GM24"/>
    <mergeCell ref="GN24:GR24"/>
    <mergeCell ref="GS24:GW24"/>
    <mergeCell ref="B25:K26"/>
    <mergeCell ref="L25:AP26"/>
    <mergeCell ref="AQ25:AX26"/>
    <mergeCell ref="BA25:BF25"/>
    <mergeCell ref="BG25:BK25"/>
    <mergeCell ref="BL25:BQ25"/>
    <mergeCell ref="BR25:BV25"/>
    <mergeCell ref="BW25:CB25"/>
    <mergeCell ref="CC25:CG25"/>
    <mergeCell ref="CH25:CM25"/>
    <mergeCell ref="CN25:CR25"/>
    <mergeCell ref="CS25:CX25"/>
    <mergeCell ref="CY25:DC25"/>
    <mergeCell ref="DD25:DI25"/>
    <mergeCell ref="DL25:DQ25"/>
    <mergeCell ref="DR25:DV25"/>
    <mergeCell ref="DW25:EB25"/>
    <mergeCell ref="EC25:EG25"/>
    <mergeCell ref="EN23:ER23"/>
    <mergeCell ref="ES23:EX23"/>
    <mergeCell ref="EY23:FC23"/>
    <mergeCell ref="FD23:FI23"/>
    <mergeCell ref="FJ23:FN23"/>
    <mergeCell ref="FO23:FS23"/>
    <mergeCell ref="FT23:GW23"/>
    <mergeCell ref="BA24:BF24"/>
    <mergeCell ref="BG24:BK24"/>
    <mergeCell ref="BL24:BQ24"/>
    <mergeCell ref="BR24:BV24"/>
    <mergeCell ref="BW24:CB24"/>
    <mergeCell ref="CC24:CG24"/>
    <mergeCell ref="CH24:CM24"/>
    <mergeCell ref="CN24:CR24"/>
    <mergeCell ref="CS24:CX24"/>
    <mergeCell ref="CY24:DC24"/>
    <mergeCell ref="DD24:DI24"/>
    <mergeCell ref="DJ24:EM24"/>
    <mergeCell ref="EP24:EU24"/>
    <mergeCell ref="EV24:EZ24"/>
    <mergeCell ref="FA24:FF24"/>
    <mergeCell ref="FG24:FK24"/>
    <mergeCell ref="FL24:FQ24"/>
    <mergeCell ref="FW22:GB22"/>
    <mergeCell ref="GC22:GG22"/>
    <mergeCell ref="GH22:GM22"/>
    <mergeCell ref="GN22:GR22"/>
    <mergeCell ref="GS22:GW22"/>
    <mergeCell ref="B23:K24"/>
    <mergeCell ref="L23:AP24"/>
    <mergeCell ref="AQ23:AX24"/>
    <mergeCell ref="BA23:BF23"/>
    <mergeCell ref="BG23:BK23"/>
    <mergeCell ref="BL23:BQ23"/>
    <mergeCell ref="BR23:BV23"/>
    <mergeCell ref="BW23:CB23"/>
    <mergeCell ref="CC23:CG23"/>
    <mergeCell ref="CH23:CM23"/>
    <mergeCell ref="CN23:CR23"/>
    <mergeCell ref="CS23:CX23"/>
    <mergeCell ref="CY23:DC23"/>
    <mergeCell ref="DD23:DI23"/>
    <mergeCell ref="DL23:DQ23"/>
    <mergeCell ref="DR23:DV23"/>
    <mergeCell ref="DW23:EB23"/>
    <mergeCell ref="EC23:EG23"/>
    <mergeCell ref="EH23:EM23"/>
    <mergeCell ref="CY22:DC22"/>
    <mergeCell ref="DD22:DI22"/>
    <mergeCell ref="DJ22:EM22"/>
    <mergeCell ref="EP22:EU22"/>
    <mergeCell ref="EV22:EZ22"/>
    <mergeCell ref="FA22:FF22"/>
    <mergeCell ref="FG22:FK22"/>
    <mergeCell ref="FL22:FQ22"/>
    <mergeCell ref="FR22:FV22"/>
    <mergeCell ref="BA22:BF22"/>
    <mergeCell ref="BG22:BK22"/>
    <mergeCell ref="BL22:BQ22"/>
    <mergeCell ref="BR22:BV22"/>
    <mergeCell ref="BW22:CB22"/>
    <mergeCell ref="CC22:CG22"/>
    <mergeCell ref="CH22:CM22"/>
    <mergeCell ref="CN22:CR22"/>
    <mergeCell ref="CS22:CX22"/>
    <mergeCell ref="EC21:EG21"/>
    <mergeCell ref="EH21:EM21"/>
    <mergeCell ref="EN21:ER21"/>
    <mergeCell ref="ES21:EX21"/>
    <mergeCell ref="EY21:FC21"/>
    <mergeCell ref="FD21:FI21"/>
    <mergeCell ref="FJ21:FN21"/>
    <mergeCell ref="FO21:FS21"/>
    <mergeCell ref="FT21:GW21"/>
    <mergeCell ref="FL20:FQ20"/>
    <mergeCell ref="FR20:FV20"/>
    <mergeCell ref="FW20:GB20"/>
    <mergeCell ref="GC20:GG20"/>
    <mergeCell ref="GH20:GM20"/>
    <mergeCell ref="GN20:GR20"/>
    <mergeCell ref="GS20:GW20"/>
    <mergeCell ref="B21:K22"/>
    <mergeCell ref="L21:AP22"/>
    <mergeCell ref="AQ21:AX22"/>
    <mergeCell ref="BA21:BF21"/>
    <mergeCell ref="BG21:BK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EH19:EM19"/>
    <mergeCell ref="EN19:ER19"/>
    <mergeCell ref="ES19:EX19"/>
    <mergeCell ref="EY19:FC19"/>
    <mergeCell ref="FD19:FI19"/>
    <mergeCell ref="FJ19:FN19"/>
    <mergeCell ref="FO19:FS19"/>
    <mergeCell ref="FT19:GW19"/>
    <mergeCell ref="BA20:BF20"/>
    <mergeCell ref="BG20:BK20"/>
    <mergeCell ref="BL20:BQ20"/>
    <mergeCell ref="BR20:BV20"/>
    <mergeCell ref="BW20:CB20"/>
    <mergeCell ref="CC20:CG20"/>
    <mergeCell ref="CH20:CM20"/>
    <mergeCell ref="CN20:CR20"/>
    <mergeCell ref="CS20:CX20"/>
    <mergeCell ref="CY20:DC20"/>
    <mergeCell ref="DD20:DI20"/>
    <mergeCell ref="DJ20:EM20"/>
    <mergeCell ref="EP20:EU20"/>
    <mergeCell ref="EV20:EZ20"/>
    <mergeCell ref="FA20:FF20"/>
    <mergeCell ref="FG20:FK20"/>
    <mergeCell ref="FR18:FV18"/>
    <mergeCell ref="FW18:GB18"/>
    <mergeCell ref="GC18:GG18"/>
    <mergeCell ref="GH18:GM18"/>
    <mergeCell ref="GN18:GR18"/>
    <mergeCell ref="GS18:GW18"/>
    <mergeCell ref="B19:K20"/>
    <mergeCell ref="L19:AP20"/>
    <mergeCell ref="AQ19:AX20"/>
    <mergeCell ref="BA19:BF19"/>
    <mergeCell ref="BG19:BK19"/>
    <mergeCell ref="BL19:BQ19"/>
    <mergeCell ref="BR19:BV19"/>
    <mergeCell ref="BW19:CB19"/>
    <mergeCell ref="CC19:CG19"/>
    <mergeCell ref="CH19:CM19"/>
    <mergeCell ref="CN19:CR19"/>
    <mergeCell ref="CS19:CX19"/>
    <mergeCell ref="CY19:DC19"/>
    <mergeCell ref="DD19:DI19"/>
    <mergeCell ref="DL19:DQ19"/>
    <mergeCell ref="DR19:DV19"/>
    <mergeCell ref="DW19:EB19"/>
    <mergeCell ref="EC19:EG19"/>
    <mergeCell ref="EN17:ER17"/>
    <mergeCell ref="ES17:EX17"/>
    <mergeCell ref="EY17:FC17"/>
    <mergeCell ref="FD17:FI17"/>
    <mergeCell ref="FJ17:FN17"/>
    <mergeCell ref="FO17:FS17"/>
    <mergeCell ref="FT17:GW17"/>
    <mergeCell ref="BA18:BF18"/>
    <mergeCell ref="BG18:BK18"/>
    <mergeCell ref="BL18:BQ18"/>
    <mergeCell ref="BR18:BV18"/>
    <mergeCell ref="BW18:CB18"/>
    <mergeCell ref="CC18:CG18"/>
    <mergeCell ref="CH18:CM18"/>
    <mergeCell ref="CN18:CR18"/>
    <mergeCell ref="CS18:CX18"/>
    <mergeCell ref="CY18:DC18"/>
    <mergeCell ref="DD18:DI18"/>
    <mergeCell ref="DJ18:EM18"/>
    <mergeCell ref="EP18:EU18"/>
    <mergeCell ref="EV18:EZ18"/>
    <mergeCell ref="FA18:FF18"/>
    <mergeCell ref="FG18:FK18"/>
    <mergeCell ref="FL18:FQ18"/>
    <mergeCell ref="FW16:GB16"/>
    <mergeCell ref="GC16:GG16"/>
    <mergeCell ref="GH16:GM16"/>
    <mergeCell ref="GN16:GR16"/>
    <mergeCell ref="GS16:GW16"/>
    <mergeCell ref="B17:K18"/>
    <mergeCell ref="L17:AP18"/>
    <mergeCell ref="AQ17:AX18"/>
    <mergeCell ref="BA17:BF17"/>
    <mergeCell ref="BG17:BK17"/>
    <mergeCell ref="BL17:BQ17"/>
    <mergeCell ref="BR17:BV17"/>
    <mergeCell ref="BW17:CB17"/>
    <mergeCell ref="CC17:CG17"/>
    <mergeCell ref="CH17:CM17"/>
    <mergeCell ref="CN17:CR17"/>
    <mergeCell ref="CS17:CX17"/>
    <mergeCell ref="CY17:DC17"/>
    <mergeCell ref="DD17:DI17"/>
    <mergeCell ref="DL17:DQ17"/>
    <mergeCell ref="DR17:DV17"/>
    <mergeCell ref="DW17:EB17"/>
    <mergeCell ref="EC17:EG17"/>
    <mergeCell ref="EH17:EM17"/>
    <mergeCell ref="CY16:DC16"/>
    <mergeCell ref="DD16:DI16"/>
    <mergeCell ref="DJ16:EM16"/>
    <mergeCell ref="EP16:EU16"/>
    <mergeCell ref="EV16:EZ16"/>
    <mergeCell ref="FA16:FF16"/>
    <mergeCell ref="FG16:FK16"/>
    <mergeCell ref="FL16:FQ16"/>
    <mergeCell ref="FR16:FV16"/>
    <mergeCell ref="BA16:BF16"/>
    <mergeCell ref="BG16:BK16"/>
    <mergeCell ref="BL16:BQ16"/>
    <mergeCell ref="BR16:BV16"/>
    <mergeCell ref="BW16:CB16"/>
    <mergeCell ref="CC16:CG16"/>
    <mergeCell ref="CH16:CM16"/>
    <mergeCell ref="CN16:CR16"/>
    <mergeCell ref="CS16:CX16"/>
    <mergeCell ref="EC15:EG15"/>
    <mergeCell ref="EH15:EM15"/>
    <mergeCell ref="EN15:ER15"/>
    <mergeCell ref="ES15:EX15"/>
    <mergeCell ref="EY15:FC15"/>
    <mergeCell ref="FD15:FI15"/>
    <mergeCell ref="FJ15:FN15"/>
    <mergeCell ref="FO15:FS15"/>
    <mergeCell ref="FT15:GW15"/>
    <mergeCell ref="FL14:FQ14"/>
    <mergeCell ref="FR14:FV14"/>
    <mergeCell ref="FW14:GB14"/>
    <mergeCell ref="GC14:GG14"/>
    <mergeCell ref="GH14:GM14"/>
    <mergeCell ref="GN14:GR14"/>
    <mergeCell ref="GS14:GW14"/>
    <mergeCell ref="B15:K16"/>
    <mergeCell ref="L15:AP16"/>
    <mergeCell ref="AQ15:AX16"/>
    <mergeCell ref="BA15:BF15"/>
    <mergeCell ref="BG15:BK15"/>
    <mergeCell ref="BL15:BQ15"/>
    <mergeCell ref="BR15:BV15"/>
    <mergeCell ref="BW15:CB15"/>
    <mergeCell ref="CC15:CG15"/>
    <mergeCell ref="CH15:CM15"/>
    <mergeCell ref="CN15:CR15"/>
    <mergeCell ref="CS15:CX15"/>
    <mergeCell ref="CY15:DC15"/>
    <mergeCell ref="DD15:DI15"/>
    <mergeCell ref="DL15:DQ15"/>
    <mergeCell ref="DR15:DV15"/>
    <mergeCell ref="DW15:EB15"/>
    <mergeCell ref="EH13:EM13"/>
    <mergeCell ref="EN13:ER13"/>
    <mergeCell ref="ES13:EX13"/>
    <mergeCell ref="EY13:FC13"/>
    <mergeCell ref="FD13:FI13"/>
    <mergeCell ref="FJ13:FN13"/>
    <mergeCell ref="FO13:FS13"/>
    <mergeCell ref="FT13:GW13"/>
    <mergeCell ref="BA14:BF14"/>
    <mergeCell ref="BG14:BK14"/>
    <mergeCell ref="BL14:BQ14"/>
    <mergeCell ref="BR14:BV14"/>
    <mergeCell ref="BW14:CB14"/>
    <mergeCell ref="CC14:CG14"/>
    <mergeCell ref="CH14:CM14"/>
    <mergeCell ref="CN14:CR14"/>
    <mergeCell ref="CS14:CX14"/>
    <mergeCell ref="CY14:DC14"/>
    <mergeCell ref="DD14:DI14"/>
    <mergeCell ref="DJ14:EM14"/>
    <mergeCell ref="EP14:EU14"/>
    <mergeCell ref="EV14:EZ14"/>
    <mergeCell ref="FA14:FF14"/>
    <mergeCell ref="FG14:FK14"/>
    <mergeCell ref="FR12:FV12"/>
    <mergeCell ref="FW12:GB12"/>
    <mergeCell ref="GC12:GG12"/>
    <mergeCell ref="GH12:GM12"/>
    <mergeCell ref="GN12:GR12"/>
    <mergeCell ref="GS12:GW12"/>
    <mergeCell ref="B13:K14"/>
    <mergeCell ref="L13:AP14"/>
    <mergeCell ref="AQ13:AX14"/>
    <mergeCell ref="BA13:BF13"/>
    <mergeCell ref="BG13:BK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EC13:EG13"/>
    <mergeCell ref="EN11:ER11"/>
    <mergeCell ref="ES11:EX11"/>
    <mergeCell ref="EY11:FC11"/>
    <mergeCell ref="FD11:FI11"/>
    <mergeCell ref="FJ11:FN11"/>
    <mergeCell ref="FO11:FS11"/>
    <mergeCell ref="FT11:GW11"/>
    <mergeCell ref="BA12:BF12"/>
    <mergeCell ref="BG12:BK12"/>
    <mergeCell ref="BL12:BQ12"/>
    <mergeCell ref="BR12:BV12"/>
    <mergeCell ref="BW12:CB12"/>
    <mergeCell ref="CC12:CG12"/>
    <mergeCell ref="CH12:CM12"/>
    <mergeCell ref="CN12:CR12"/>
    <mergeCell ref="CS12:CX12"/>
    <mergeCell ref="CY12:DC12"/>
    <mergeCell ref="DD12:DI12"/>
    <mergeCell ref="DJ12:EM12"/>
    <mergeCell ref="EP12:EU12"/>
    <mergeCell ref="EV12:EZ12"/>
    <mergeCell ref="FA12:FF12"/>
    <mergeCell ref="FG12:FK12"/>
    <mergeCell ref="FL12:FQ12"/>
    <mergeCell ref="FW10:GB10"/>
    <mergeCell ref="GC10:GG10"/>
    <mergeCell ref="GH10:GM10"/>
    <mergeCell ref="GN10:GR10"/>
    <mergeCell ref="GS10:GW10"/>
    <mergeCell ref="B11:K12"/>
    <mergeCell ref="L11:AP12"/>
    <mergeCell ref="AQ11:AX12"/>
    <mergeCell ref="BA11:BF11"/>
    <mergeCell ref="BG11:BK11"/>
    <mergeCell ref="BL11:BQ11"/>
    <mergeCell ref="BR11:BV11"/>
    <mergeCell ref="BW11:CB11"/>
    <mergeCell ref="CC11:CG11"/>
    <mergeCell ref="CH11:CM11"/>
    <mergeCell ref="CN11:CR11"/>
    <mergeCell ref="CS11:CX11"/>
    <mergeCell ref="CY11:DC11"/>
    <mergeCell ref="DD11:DI11"/>
    <mergeCell ref="DL11:DQ11"/>
    <mergeCell ref="DR11:DV11"/>
    <mergeCell ref="DW11:EB11"/>
    <mergeCell ref="EC11:EG11"/>
    <mergeCell ref="EH11:EM11"/>
    <mergeCell ref="CY10:DC10"/>
    <mergeCell ref="DD10:DI10"/>
    <mergeCell ref="DJ10:EM10"/>
    <mergeCell ref="EP10:EU10"/>
    <mergeCell ref="EV10:EZ10"/>
    <mergeCell ref="FA10:FF10"/>
    <mergeCell ref="FG10:FK10"/>
    <mergeCell ref="FL10:FQ10"/>
    <mergeCell ref="FR10:FV10"/>
    <mergeCell ref="BA10:BF10"/>
    <mergeCell ref="BG10:BK10"/>
    <mergeCell ref="BL10:BQ10"/>
    <mergeCell ref="BR10:BV10"/>
    <mergeCell ref="BW10:CB10"/>
    <mergeCell ref="CC10:CG10"/>
    <mergeCell ref="CH10:CM10"/>
    <mergeCell ref="CN10:CR10"/>
    <mergeCell ref="CS10:CX10"/>
    <mergeCell ref="EC9:EG9"/>
    <mergeCell ref="EH9:EM9"/>
    <mergeCell ref="EN9:ER9"/>
    <mergeCell ref="ES9:EX9"/>
    <mergeCell ref="EY9:FC9"/>
    <mergeCell ref="FD9:FI9"/>
    <mergeCell ref="FJ9:FN9"/>
    <mergeCell ref="FO9:FS9"/>
    <mergeCell ref="FT9:GW9"/>
    <mergeCell ref="FL8:FQ8"/>
    <mergeCell ref="FR8:FV8"/>
    <mergeCell ref="FW8:GB8"/>
    <mergeCell ref="GC8:GG8"/>
    <mergeCell ref="GH8:GM8"/>
    <mergeCell ref="GN8:GR8"/>
    <mergeCell ref="GS8:GW8"/>
    <mergeCell ref="B9:K10"/>
    <mergeCell ref="L9:AP10"/>
    <mergeCell ref="AQ9:AX10"/>
    <mergeCell ref="BA9:BF9"/>
    <mergeCell ref="BG9:BK9"/>
    <mergeCell ref="BL9:BQ9"/>
    <mergeCell ref="BR9:BV9"/>
    <mergeCell ref="BW9:CB9"/>
    <mergeCell ref="CC9:CG9"/>
    <mergeCell ref="CH9:CM9"/>
    <mergeCell ref="CN9:CR9"/>
    <mergeCell ref="CS9:CX9"/>
    <mergeCell ref="CY9:DC9"/>
    <mergeCell ref="DD9:DI9"/>
    <mergeCell ref="DL9:DQ9"/>
    <mergeCell ref="DR9:DV9"/>
    <mergeCell ref="DW9:EB9"/>
    <mergeCell ref="EH7:EM7"/>
    <mergeCell ref="EN7:ER7"/>
    <mergeCell ref="ES7:EX7"/>
    <mergeCell ref="EY7:FC7"/>
    <mergeCell ref="FD7:FI7"/>
    <mergeCell ref="FJ7:FN7"/>
    <mergeCell ref="FO7:FS7"/>
    <mergeCell ref="FT7:GW7"/>
    <mergeCell ref="BA8:BF8"/>
    <mergeCell ref="BG8:BK8"/>
    <mergeCell ref="BL8:BQ8"/>
    <mergeCell ref="BR8:BV8"/>
    <mergeCell ref="BW8:CB8"/>
    <mergeCell ref="CC8:CG8"/>
    <mergeCell ref="CH8:CM8"/>
    <mergeCell ref="CN8:CR8"/>
    <mergeCell ref="CS8:CX8"/>
    <mergeCell ref="CY8:DC8"/>
    <mergeCell ref="DD8:DI8"/>
    <mergeCell ref="DJ8:EM8"/>
    <mergeCell ref="EP8:EU8"/>
    <mergeCell ref="EV8:EZ8"/>
    <mergeCell ref="FA8:FF8"/>
    <mergeCell ref="FG8:FK8"/>
    <mergeCell ref="CH7:CM7"/>
    <mergeCell ref="CN7:CR7"/>
    <mergeCell ref="CS7:CX7"/>
    <mergeCell ref="CY7:DC7"/>
    <mergeCell ref="DD7:DI7"/>
    <mergeCell ref="DL7:DQ7"/>
    <mergeCell ref="DR7:DV7"/>
    <mergeCell ref="DW7:EB7"/>
    <mergeCell ref="EC7:EG7"/>
    <mergeCell ref="B7:K8"/>
    <mergeCell ref="L7:AP8"/>
    <mergeCell ref="AQ7:AX8"/>
    <mergeCell ref="BA7:BF7"/>
    <mergeCell ref="BG7:BK7"/>
    <mergeCell ref="BL7:BQ7"/>
    <mergeCell ref="BR7:BV7"/>
    <mergeCell ref="BW7:CB7"/>
    <mergeCell ref="CC7:CG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33333333333304" right="0.70833333333333304" top="0.78749999999999998" bottom="0.78749999999999998" header="0.51180555555555496" footer="0.51180555555555496"/>
  <pageSetup paperSize="9" firstPageNumber="0" orientation="portrait" horizontalDpi="300" verticalDpi="300"/>
  <rowBreaks count="1" manualBreakCount="1">
    <brk id="36"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58"/>
  <sheetViews>
    <sheetView topLeftCell="H1" zoomScaleNormal="100" workbookViewId="0">
      <selection activeCell="H1" sqref="H1"/>
    </sheetView>
  </sheetViews>
  <sheetFormatPr defaultRowHeight="15" x14ac:dyDescent="0.25"/>
  <cols>
    <col min="1" max="7" width="11.5703125" hidden="1"/>
    <col min="8" max="43" width="2.7109375" customWidth="1"/>
    <col min="44" max="1025" width="2.42578125" customWidth="1"/>
  </cols>
  <sheetData>
    <row r="1" spans="1:52" ht="16.5" x14ac:dyDescent="0.3">
      <c r="H1" s="26"/>
      <c r="I1" s="26"/>
      <c r="J1" s="26"/>
      <c r="K1" s="26"/>
      <c r="L1" s="26"/>
      <c r="M1" s="26"/>
      <c r="N1" s="27"/>
      <c r="O1" s="26"/>
      <c r="P1" s="26"/>
      <c r="Q1" s="26"/>
      <c r="R1" s="26"/>
      <c r="S1" s="26"/>
      <c r="T1" s="26"/>
      <c r="U1" s="26"/>
      <c r="V1" s="26"/>
      <c r="W1" s="26"/>
      <c r="X1" s="26"/>
      <c r="Y1" s="26"/>
      <c r="Z1" s="26"/>
      <c r="AA1" s="26"/>
      <c r="AB1" s="26"/>
      <c r="AC1" s="26"/>
      <c r="AD1" s="26"/>
      <c r="AE1" s="26"/>
      <c r="AF1" s="26"/>
      <c r="AG1" s="26"/>
      <c r="AH1" s="28"/>
      <c r="AI1" s="28"/>
      <c r="AJ1" s="28"/>
      <c r="AK1" s="28"/>
      <c r="AL1" s="28"/>
      <c r="AM1" s="28"/>
      <c r="AN1" s="28"/>
      <c r="AO1" s="28"/>
      <c r="AP1" s="28"/>
      <c r="AR1" s="12" t="str">
        <f>SUVAHAVUJ!$D$1</f>
        <v>Slovenský jazyk</v>
      </c>
      <c r="AS1" s="12"/>
      <c r="AT1" s="12"/>
      <c r="AU1" s="12"/>
      <c r="AV1" s="12"/>
      <c r="AW1" s="12"/>
      <c r="AX1" s="12"/>
      <c r="AZ1" s="26"/>
    </row>
    <row r="2" spans="1:52" x14ac:dyDescent="0.25">
      <c r="H2" s="26"/>
      <c r="I2" s="29" t="s">
        <v>27</v>
      </c>
      <c r="M2" s="26"/>
      <c r="N2" s="28"/>
      <c r="O2" s="26"/>
      <c r="P2" s="26"/>
      <c r="Q2" s="26"/>
      <c r="R2" s="26"/>
      <c r="S2" s="26"/>
      <c r="T2" s="26"/>
      <c r="U2" s="26"/>
      <c r="V2" s="26"/>
      <c r="W2" s="26"/>
      <c r="X2" s="26"/>
      <c r="Y2" s="26"/>
      <c r="Z2" s="26"/>
      <c r="AA2" s="26"/>
      <c r="AB2" s="26"/>
      <c r="AC2" s="26"/>
      <c r="AD2" s="26"/>
      <c r="AE2" s="26"/>
      <c r="AF2" s="26"/>
      <c r="AG2" s="28"/>
      <c r="AH2" s="28"/>
      <c r="AI2" s="30"/>
      <c r="AJ2" s="28"/>
      <c r="AK2" s="30"/>
      <c r="AL2" s="28"/>
      <c r="AM2" s="30"/>
      <c r="AN2" s="30"/>
      <c r="AO2" s="30"/>
      <c r="AP2" s="28"/>
      <c r="AQ2" s="28"/>
      <c r="AR2" s="28"/>
    </row>
    <row r="3" spans="1:52" x14ac:dyDescent="0.25">
      <c r="H3" s="26"/>
      <c r="I3" s="11" t="s">
        <v>28</v>
      </c>
      <c r="J3" s="11"/>
      <c r="K3" s="11"/>
      <c r="L3" s="11"/>
      <c r="M3" s="26"/>
      <c r="N3" s="28"/>
      <c r="O3" s="26"/>
      <c r="P3" s="26"/>
      <c r="Q3" s="26"/>
      <c r="R3" s="26"/>
      <c r="S3" s="26"/>
      <c r="T3" s="26"/>
      <c r="U3" s="26"/>
      <c r="V3" s="26"/>
      <c r="W3" s="26"/>
      <c r="X3" s="26"/>
      <c r="Y3" s="26"/>
      <c r="Z3" s="26"/>
      <c r="AA3" s="26"/>
      <c r="AB3" s="26"/>
      <c r="AC3" s="26"/>
      <c r="AD3" s="26"/>
      <c r="AE3" s="26"/>
      <c r="AF3" s="26"/>
      <c r="AG3" s="26"/>
      <c r="AH3" s="28"/>
      <c r="AI3" s="28"/>
      <c r="AJ3" s="28"/>
      <c r="AK3" s="28"/>
      <c r="AL3" s="28"/>
      <c r="AM3" s="28"/>
      <c r="AN3" s="28"/>
      <c r="AO3" s="28"/>
      <c r="AP3" s="28"/>
      <c r="AQ3" s="28"/>
      <c r="AR3" s="28"/>
    </row>
    <row r="4" spans="1:52" ht="12.75" customHeight="1" x14ac:dyDescent="0.25">
      <c r="A4" s="26">
        <v>2</v>
      </c>
      <c r="H4" s="26"/>
      <c r="M4" s="26"/>
      <c r="N4" s="28"/>
      <c r="O4" s="26"/>
      <c r="P4" s="10" t="str">
        <f>IF(VLOOKUP($A4,PrekladHlav!$A:$H,1)=$A4,VLOOKUP($A4,PrekladHlav!$A:$H,SUVAHAVUJ!B1),0)</f>
        <v>ÚČTOVNÁ ZÁVIERKA</v>
      </c>
      <c r="Q4" s="10"/>
      <c r="R4" s="10"/>
      <c r="S4" s="10"/>
      <c r="T4" s="10"/>
      <c r="U4" s="10"/>
      <c r="V4" s="10"/>
      <c r="W4" s="10"/>
      <c r="X4" s="10"/>
      <c r="Y4" s="10"/>
      <c r="Z4" s="10"/>
      <c r="AA4" s="10"/>
      <c r="AB4" s="10"/>
      <c r="AC4" s="10"/>
      <c r="AD4" s="10"/>
      <c r="AE4" s="10"/>
      <c r="AF4" s="10"/>
      <c r="AG4" s="26"/>
      <c r="AH4" s="26"/>
      <c r="AI4" s="26"/>
      <c r="AJ4" s="26"/>
      <c r="AK4" s="26"/>
      <c r="AL4" s="26"/>
      <c r="AM4" s="26"/>
      <c r="AN4" s="26"/>
      <c r="AO4" s="26"/>
      <c r="AP4" s="26"/>
      <c r="AQ4" s="26"/>
      <c r="AR4" s="26"/>
    </row>
    <row r="5" spans="1:52" ht="12.75" customHeight="1" x14ac:dyDescent="0.25">
      <c r="H5" s="26"/>
      <c r="I5" s="26"/>
      <c r="J5" s="26"/>
      <c r="K5" s="26"/>
      <c r="L5" s="26"/>
      <c r="M5" s="26"/>
      <c r="N5" s="28"/>
      <c r="O5" s="26"/>
      <c r="P5" s="10"/>
      <c r="Q5" s="10"/>
      <c r="R5" s="10"/>
      <c r="S5" s="10"/>
      <c r="T5" s="10"/>
      <c r="U5" s="10"/>
      <c r="V5" s="10"/>
      <c r="W5" s="10"/>
      <c r="X5" s="10"/>
      <c r="Y5" s="10"/>
      <c r="Z5" s="10"/>
      <c r="AA5" s="10"/>
      <c r="AB5" s="10"/>
      <c r="AC5" s="10"/>
      <c r="AD5" s="10"/>
      <c r="AE5" s="10"/>
      <c r="AF5" s="10"/>
      <c r="AG5" s="26"/>
      <c r="AH5" s="26"/>
      <c r="AI5" s="26"/>
      <c r="AJ5" s="26"/>
      <c r="AK5" s="26"/>
      <c r="AL5" s="26"/>
      <c r="AM5" s="26"/>
      <c r="AN5" s="26"/>
      <c r="AO5" s="26"/>
      <c r="AP5" s="26"/>
      <c r="AQ5" s="26"/>
      <c r="AR5" s="26"/>
    </row>
    <row r="6" spans="1:52" x14ac:dyDescent="0.25">
      <c r="H6" s="26"/>
      <c r="I6" s="26"/>
      <c r="J6" s="26"/>
      <c r="K6" s="26"/>
      <c r="L6" s="26"/>
      <c r="M6" s="26"/>
      <c r="N6" s="28"/>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row>
    <row r="7" spans="1:52" x14ac:dyDescent="0.25">
      <c r="A7" s="26">
        <v>3</v>
      </c>
      <c r="H7" s="26"/>
      <c r="I7" s="26"/>
      <c r="J7" s="26"/>
      <c r="K7" s="26"/>
      <c r="L7" s="26"/>
      <c r="M7" s="26"/>
      <c r="N7" s="9" t="str">
        <f>IF(VLOOKUP($A7,PrekladHlav!$A:$H,1)=$A7,VLOOKUP($A7,PrekladHlav!$A:$H,SUVAHAVUJ!B1),0)</f>
        <v>podnikateľov v podvojnom učtovníctve zostavená</v>
      </c>
      <c r="O7" s="9"/>
      <c r="P7" s="9"/>
      <c r="Q7" s="9"/>
      <c r="R7" s="9"/>
      <c r="S7" s="9"/>
      <c r="T7" s="9"/>
      <c r="U7" s="9"/>
      <c r="V7" s="9"/>
      <c r="W7" s="9"/>
      <c r="X7" s="9"/>
      <c r="Y7" s="9"/>
      <c r="Z7" s="9"/>
      <c r="AA7" s="9"/>
      <c r="AB7" s="9"/>
      <c r="AC7" s="9"/>
      <c r="AD7" s="9"/>
      <c r="AE7" s="9"/>
      <c r="AF7" s="9"/>
      <c r="AG7" s="9"/>
      <c r="AH7" s="32"/>
      <c r="AI7" s="32"/>
      <c r="AJ7" s="32"/>
      <c r="AK7" s="32"/>
      <c r="AL7" s="26"/>
      <c r="AM7" s="26"/>
      <c r="AN7" s="26"/>
      <c r="AO7" s="26"/>
      <c r="AP7" s="26"/>
      <c r="AQ7" s="26"/>
      <c r="AR7" s="26"/>
    </row>
    <row r="8" spans="1:52" x14ac:dyDescent="0.25">
      <c r="A8" s="26">
        <v>1</v>
      </c>
      <c r="H8" s="33"/>
      <c r="I8" s="33"/>
      <c r="J8" s="33"/>
      <c r="K8" s="33"/>
      <c r="L8" s="33"/>
      <c r="M8" s="33"/>
      <c r="N8" s="33"/>
      <c r="O8" s="33"/>
      <c r="P8" s="33"/>
      <c r="Q8" s="33"/>
      <c r="R8" s="33"/>
      <c r="S8" s="8" t="str">
        <f>IF(VLOOKUP($A8,PrekladHlav!$A:$H,1)=$A8,VLOOKUP($A8,PrekladHlav!$A:$H,SUVAHAVUJ!B1),0)</f>
        <v>k</v>
      </c>
      <c r="T8" s="8"/>
      <c r="U8" s="33"/>
      <c r="V8" s="7">
        <f>VstupHlavička!$B$15</f>
        <v>43465</v>
      </c>
      <c r="W8" s="7"/>
      <c r="X8" s="34"/>
      <c r="Y8" s="6">
        <f>VstupHlavička!$B$15</f>
        <v>43465</v>
      </c>
      <c r="Z8" s="6"/>
      <c r="AA8" s="35"/>
      <c r="AB8" s="5">
        <f>VstupHlavička!$B$15</f>
        <v>43465</v>
      </c>
      <c r="AC8" s="5"/>
      <c r="AD8" s="5"/>
      <c r="AE8" s="36"/>
      <c r="AF8" s="35"/>
      <c r="AG8" s="33"/>
      <c r="AH8" s="33"/>
      <c r="AI8" s="33"/>
      <c r="AJ8" s="33"/>
      <c r="AK8" s="33"/>
      <c r="AL8" s="33"/>
      <c r="AM8" s="33"/>
      <c r="AN8" s="33"/>
      <c r="AO8" s="33"/>
      <c r="AP8" s="33"/>
      <c r="AQ8" s="33"/>
      <c r="AR8" s="33"/>
    </row>
    <row r="9" spans="1:52" x14ac:dyDescent="0.25">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row>
    <row r="10" spans="1:52" x14ac:dyDescent="0.25">
      <c r="H10" s="33" t="s">
        <v>29</v>
      </c>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26"/>
    </row>
    <row r="11" spans="1:52" x14ac:dyDescent="0.25">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row>
    <row r="12" spans="1:52" x14ac:dyDescent="0.25">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row>
    <row r="13" spans="1:52" x14ac:dyDescent="0.25">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row>
    <row r="14" spans="1:52" x14ac:dyDescent="0.25">
      <c r="A14" s="26">
        <v>6</v>
      </c>
      <c r="B14" s="26">
        <v>7</v>
      </c>
      <c r="C14" s="26">
        <v>8</v>
      </c>
      <c r="D14" s="26">
        <v>9</v>
      </c>
      <c r="H14" s="33" t="str">
        <f>IF(VLOOKUP($A14,PrekladHlav!$A:$H,1)=$A14,VLOOKUP($A14,PrekladHlav!$A:$H,SUVAHAVUJ!B1),0)</f>
        <v>Daňové identifikačné číslo</v>
      </c>
      <c r="I14" s="26"/>
      <c r="J14" s="26"/>
      <c r="K14" s="26"/>
      <c r="L14" s="26"/>
      <c r="M14" s="26"/>
      <c r="N14" s="26"/>
      <c r="O14" s="26"/>
      <c r="P14" s="26"/>
      <c r="Q14" s="26"/>
      <c r="R14" s="26"/>
      <c r="S14" s="26" t="str">
        <f>IF(VLOOKUP($B14,PrekladHlav!$A:$H,1)=$B14,VLOOKUP($B14,PrekladHlav!$A:$H,SUVAHAVUJ!B1),0)</f>
        <v>Účtovná závierka</v>
      </c>
      <c r="T14" s="26"/>
      <c r="U14" s="26"/>
      <c r="V14" s="26"/>
      <c r="W14" s="26"/>
      <c r="X14" s="26"/>
      <c r="Y14" s="26"/>
      <c r="Z14" s="26"/>
      <c r="AA14" s="26" t="str">
        <f>IF(VLOOKUP($C14,PrekladHlav!$A:$H,1)=$C14,VLOOKUP($C14,PrekladHlav!$A:$H,SUVAHAVUJ!B1),0)</f>
        <v>Účtovná jednotka</v>
      </c>
      <c r="AB14" s="26"/>
      <c r="AC14" s="26"/>
      <c r="AD14" s="26"/>
      <c r="AE14" s="26"/>
      <c r="AF14" s="26"/>
      <c r="AG14" s="33"/>
      <c r="AH14" s="8" t="str">
        <f>IF(VLOOKUP($D14,PrekladHlav!$A:$H,1)=$D14,VLOOKUP($D14,PrekladHlav!$A:$H,SUVAHAVUJ!B1),0)</f>
        <v>Za obdobie</v>
      </c>
      <c r="AI14" s="8"/>
      <c r="AJ14" s="8"/>
      <c r="AK14" s="8"/>
      <c r="AL14" s="8"/>
      <c r="AM14" s="8"/>
      <c r="AN14" s="8"/>
      <c r="AO14" s="8"/>
      <c r="AP14" s="8"/>
      <c r="AQ14" s="26"/>
      <c r="AR14" s="33"/>
    </row>
    <row r="15" spans="1:52" x14ac:dyDescent="0.25">
      <c r="A15" s="26">
        <v>10</v>
      </c>
      <c r="B15" s="26">
        <v>11</v>
      </c>
      <c r="H15" s="37" t="str">
        <f>MID(VstupHlavička!$B$3,1,1)</f>
        <v>2</v>
      </c>
      <c r="I15" s="37" t="str">
        <f>MID(VstupHlavička!$B$3,2,1)</f>
        <v>0</v>
      </c>
      <c r="J15" s="37" t="str">
        <f>MID(VstupHlavička!$B$3,3,1)</f>
        <v>2</v>
      </c>
      <c r="K15" s="37" t="str">
        <f>MID(VstupHlavička!$B$3,4,1)</f>
        <v>0</v>
      </c>
      <c r="L15" s="37" t="str">
        <f>MID(VstupHlavička!$B$3,5,1)</f>
        <v>4</v>
      </c>
      <c r="M15" s="37" t="str">
        <f>MID(VstupHlavička!$B$3,6,1)</f>
        <v>7</v>
      </c>
      <c r="N15" s="37" t="str">
        <f>MID(VstupHlavička!$B$3,7,1)</f>
        <v>3</v>
      </c>
      <c r="O15" s="37" t="str">
        <f>MID(VstupHlavička!$B$3,8,1)</f>
        <v>4</v>
      </c>
      <c r="P15" s="37" t="str">
        <f>MID(VstupHlavička!$B$3,9,1)</f>
        <v>1</v>
      </c>
      <c r="Q15" s="37" t="str">
        <f>MID(VstupHlavička!$B$3,10,1)</f>
        <v>1</v>
      </c>
      <c r="R15" s="26"/>
      <c r="S15" s="26"/>
      <c r="T15" s="26"/>
      <c r="U15" s="26"/>
      <c r="V15" s="26"/>
      <c r="W15" s="26"/>
      <c r="X15" s="26"/>
      <c r="Y15" s="26"/>
      <c r="Z15" s="26"/>
      <c r="AA15" s="26"/>
      <c r="AB15" s="26"/>
      <c r="AC15" s="26"/>
      <c r="AD15" s="26"/>
      <c r="AE15" s="26"/>
      <c r="AF15" s="26"/>
      <c r="AG15" s="26"/>
      <c r="AH15" s="26"/>
      <c r="AI15" s="26"/>
      <c r="AJ15" s="33" t="str">
        <f>IF(VLOOKUP($A15,PrekladHlav!$A:$H,1)=$A15,VLOOKUP($A15,PrekladHlav!$A:$H,SUVAHAVUJ!B1),0)</f>
        <v>mesiac</v>
      </c>
      <c r="AK15" s="33"/>
      <c r="AL15" s="33"/>
      <c r="AM15" s="33" t="str">
        <f>IF(VLOOKUP($B15,PrekladHlav!$A:$H,1)=$B15,VLOOKUP($B15,PrekladHlav!$A:$H,SUVAHAVUJ!B1),0)</f>
        <v>rok</v>
      </c>
      <c r="AN15" s="33"/>
      <c r="AO15" s="33"/>
      <c r="AP15" s="33"/>
      <c r="AQ15" s="26"/>
      <c r="AR15" s="26"/>
    </row>
    <row r="16" spans="1:52" x14ac:dyDescent="0.25">
      <c r="A16" s="26">
        <v>12</v>
      </c>
      <c r="B16" s="26">
        <v>15</v>
      </c>
      <c r="C16" s="26">
        <v>22</v>
      </c>
      <c r="H16" s="26"/>
      <c r="I16" s="26"/>
      <c r="J16" s="26"/>
      <c r="K16" s="26"/>
      <c r="L16" s="26"/>
      <c r="M16" s="26"/>
      <c r="N16" s="26"/>
      <c r="O16" s="26"/>
      <c r="P16" s="26"/>
      <c r="Q16" s="26"/>
      <c r="R16" s="26"/>
      <c r="S16" s="37" t="s">
        <v>30</v>
      </c>
      <c r="T16" s="26"/>
      <c r="U16" s="26" t="str">
        <f>IF(VLOOKUP($A16,PrekladHlav!$A:$H,1)=$A16,VLOOKUP($A16,PrekladHlav!$A:$H,SUVAHAVUJ!B1),0)</f>
        <v xml:space="preserve"> - riadna</v>
      </c>
      <c r="V16" s="26"/>
      <c r="W16" s="26"/>
      <c r="X16" s="26"/>
      <c r="Y16" s="26"/>
      <c r="Z16" s="26"/>
      <c r="AA16" s="37"/>
      <c r="AB16" s="26"/>
      <c r="AC16" s="26" t="str">
        <f>IF(VLOOKUP($B16,PrekladHlav!$A:$H,1)=$B16,VLOOKUP($B16,PrekladHlav!$A:$H,SUVAHAVUJ!B1),0)</f>
        <v xml:space="preserve"> - malá</v>
      </c>
      <c r="AD16" s="26"/>
      <c r="AE16" s="26"/>
      <c r="AF16" s="26"/>
      <c r="AG16" s="26"/>
      <c r="AH16" s="38" t="str">
        <f>IF(VLOOKUP($C16,PrekladHlav!$A:$H,1)=$C16,VLOOKUP($C16,PrekladHlav!$A:$H,SUVAHAVUJ!B1),0)</f>
        <v>od</v>
      </c>
      <c r="AI16" s="33"/>
      <c r="AJ16" s="31" t="s">
        <v>31</v>
      </c>
      <c r="AK16" s="31" t="s">
        <v>32</v>
      </c>
      <c r="AL16" s="33"/>
      <c r="AM16" s="31" t="s">
        <v>33</v>
      </c>
      <c r="AN16" s="31" t="s">
        <v>31</v>
      </c>
      <c r="AO16" s="31" t="s">
        <v>32</v>
      </c>
      <c r="AP16" s="31">
        <v>8</v>
      </c>
      <c r="AQ16" s="26"/>
      <c r="AR16" s="26"/>
    </row>
    <row r="17" spans="1:44" x14ac:dyDescent="0.25">
      <c r="A17" s="26">
        <v>4</v>
      </c>
      <c r="B17" s="26">
        <v>13</v>
      </c>
      <c r="C17" s="26">
        <v>16</v>
      </c>
      <c r="D17" s="26">
        <v>23</v>
      </c>
      <c r="H17" s="33" t="str">
        <f>IF(VLOOKUP($A17,PrekladHlav!$A:$H,1)=$A17,VLOOKUP($A17,PrekladHlav!$A:$H,SUVAHAVUJ!B1),0)</f>
        <v>IČO</v>
      </c>
      <c r="I17" s="26"/>
      <c r="J17" s="26"/>
      <c r="K17" s="26"/>
      <c r="L17" s="26"/>
      <c r="M17" s="26"/>
      <c r="N17" s="26"/>
      <c r="O17" s="26"/>
      <c r="P17" s="26"/>
      <c r="Q17" s="26"/>
      <c r="R17" s="26"/>
      <c r="S17" s="37"/>
      <c r="T17" s="26"/>
      <c r="U17" s="26" t="str">
        <f>IF(VLOOKUP($B17,PrekladHlav!$A:$H,1)=$B17,VLOOKUP($B17,PrekladHlav!$A:$H,SUVAHAVUJ!B1),0)</f>
        <v xml:space="preserve"> - mimoriadna</v>
      </c>
      <c r="V17" s="26"/>
      <c r="W17" s="26"/>
      <c r="X17" s="26"/>
      <c r="Y17" s="26"/>
      <c r="Z17" s="26"/>
      <c r="AA17" s="37" t="s">
        <v>30</v>
      </c>
      <c r="AB17" s="26"/>
      <c r="AC17" s="26" t="str">
        <f>IF(VLOOKUP($C17,PrekladHlav!$A:$H,1)=$C17,VLOOKUP($C17,PrekladHlav!$A:$H,SUVAHAVUJ!B1),0)</f>
        <v xml:space="preserve"> - veľká</v>
      </c>
      <c r="AD17" s="26"/>
      <c r="AE17" s="26"/>
      <c r="AF17" s="26"/>
      <c r="AG17" s="26"/>
      <c r="AH17" s="38" t="str">
        <f>IF(VLOOKUP($D17,PrekladHlav!$A:$H,1)=$D17,VLOOKUP($D17,PrekladHlav!$A:$H,SUVAHAVUJ!B1),0)</f>
        <v>do</v>
      </c>
      <c r="AI17" s="33"/>
      <c r="AJ17" s="31" t="s">
        <v>32</v>
      </c>
      <c r="AK17" s="31" t="s">
        <v>33</v>
      </c>
      <c r="AL17" s="33"/>
      <c r="AM17" s="31" t="s">
        <v>33</v>
      </c>
      <c r="AN17" s="31" t="s">
        <v>31</v>
      </c>
      <c r="AO17" s="31" t="s">
        <v>32</v>
      </c>
      <c r="AP17" s="31">
        <v>8</v>
      </c>
      <c r="AQ17" s="26"/>
      <c r="AR17" s="26"/>
    </row>
    <row r="18" spans="1:44" s="39" customFormat="1" ht="12.75" x14ac:dyDescent="0.2">
      <c r="A18" s="39">
        <v>14</v>
      </c>
      <c r="H18" s="40" t="str">
        <f>MID(VstupHlavička!$B$4,1,1)</f>
        <v>0</v>
      </c>
      <c r="I18" s="40" t="str">
        <f>MID(VstupHlavička!$B$4,2,1)</f>
        <v>0</v>
      </c>
      <c r="J18" s="40" t="str">
        <f>MID(VstupHlavička!$B$4,3,1)</f>
        <v>6</v>
      </c>
      <c r="K18" s="40" t="str">
        <f>MID(VstupHlavička!$B$4,4,1)</f>
        <v>5</v>
      </c>
      <c r="L18" s="40" t="str">
        <f>MID(VstupHlavička!$B$4,5,1)</f>
        <v>1</v>
      </c>
      <c r="M18" s="40" t="str">
        <f>MID(VstupHlavička!$B$4,6,1)</f>
        <v>0</v>
      </c>
      <c r="N18" s="40" t="str">
        <f>MID(VstupHlavička!$B$4,7,1)</f>
        <v>5</v>
      </c>
      <c r="O18" s="40" t="str">
        <f>MID(VstupHlavička!$B$4,8,1)</f>
        <v>2</v>
      </c>
      <c r="S18" s="40"/>
      <c r="U18" s="39" t="str">
        <f>IF(VLOOKUP($A18,PrekladHlav!$A:$H,1)=$A18,VLOOKUP($A18,PrekladHlav!$A:$H,SUVAHAVUJ!B1),0)</f>
        <v xml:space="preserve"> - priebežná</v>
      </c>
      <c r="V18" s="41"/>
      <c r="Z18" s="41"/>
      <c r="AA18" s="42"/>
      <c r="AB18" s="41"/>
      <c r="AC18" s="41"/>
      <c r="AD18" s="41"/>
    </row>
    <row r="19" spans="1:44" x14ac:dyDescent="0.25">
      <c r="A19" s="26">
        <v>5</v>
      </c>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4" t="str">
        <f>IF(VLOOKUP($A19,PrekladHlav!$A:$H,1)=$A19,VLOOKUP($A19,PrekladHlav!$A:$H,SUVAHAVUJ!B1),0)</f>
        <v>Bezprostredne predchádzajúce obdobie</v>
      </c>
      <c r="AI19" s="4"/>
      <c r="AJ19" s="4"/>
      <c r="AK19" s="4"/>
      <c r="AL19" s="4"/>
      <c r="AM19" s="4"/>
      <c r="AN19" s="4"/>
      <c r="AO19" s="4"/>
      <c r="AP19" s="4"/>
      <c r="AQ19" s="26"/>
      <c r="AR19" s="26"/>
    </row>
    <row r="20" spans="1:44" x14ac:dyDescent="0.25">
      <c r="A20" s="26">
        <v>17</v>
      </c>
      <c r="H20" s="33" t="s">
        <v>7</v>
      </c>
      <c r="I20" s="26"/>
      <c r="J20" s="26"/>
      <c r="K20" s="26"/>
      <c r="L20" s="26"/>
      <c r="M20" s="26"/>
      <c r="N20" s="26"/>
      <c r="O20" s="26"/>
      <c r="P20" s="26"/>
      <c r="Q20" s="26"/>
      <c r="R20" s="26"/>
      <c r="S20" s="33" t="str">
        <f>IF(VLOOKUP($A20,PrekladHlav!$A:$H,1)=$A20,VLOOKUP($A20,PrekladHlav!$A:$H,SUVAHAVUJ!B1),0)</f>
        <v>(vyznačí sa</v>
      </c>
      <c r="T20" s="26"/>
      <c r="U20" s="26"/>
      <c r="V20" s="26"/>
      <c r="W20" s="37" t="s">
        <v>30</v>
      </c>
      <c r="X20" s="43" t="s">
        <v>34</v>
      </c>
      <c r="Y20" s="26"/>
      <c r="Z20" s="28"/>
      <c r="AA20" s="44"/>
      <c r="AB20" s="26"/>
      <c r="AC20" s="26"/>
      <c r="AD20" s="26"/>
      <c r="AE20" s="26"/>
      <c r="AF20" s="26"/>
      <c r="AG20" s="26"/>
      <c r="AH20" s="4"/>
      <c r="AI20" s="4"/>
      <c r="AJ20" s="4"/>
      <c r="AK20" s="4"/>
      <c r="AL20" s="4"/>
      <c r="AM20" s="4"/>
      <c r="AN20" s="4"/>
      <c r="AO20" s="4"/>
      <c r="AP20" s="4"/>
      <c r="AQ20" s="26"/>
      <c r="AR20" s="26"/>
    </row>
    <row r="21" spans="1:44" x14ac:dyDescent="0.25">
      <c r="H21" s="37" t="str">
        <f>MID(VstupHlavička!$B$5,1,1)</f>
        <v>0</v>
      </c>
      <c r="I21" s="37" t="str">
        <f>MID(VstupHlavička!$B$5,2,1)</f>
        <v>1</v>
      </c>
      <c r="J21" s="26" t="s">
        <v>35</v>
      </c>
      <c r="K21" s="37" t="str">
        <f>MID(VstupHlavička!$B$5,3,1)</f>
        <v>5</v>
      </c>
      <c r="L21" s="37" t="str">
        <f>MID(VstupHlavička!$B$5,4,1)</f>
        <v>0</v>
      </c>
      <c r="M21" s="26" t="s">
        <v>35</v>
      </c>
      <c r="N21" s="37" t="str">
        <f>MID(VstupHlavička!$B$5,5,1)</f>
        <v>0</v>
      </c>
      <c r="O21" s="26"/>
      <c r="P21" s="26"/>
      <c r="Q21" s="26"/>
      <c r="R21" s="26"/>
      <c r="S21" s="26"/>
      <c r="T21" s="26"/>
      <c r="U21" s="26"/>
      <c r="V21" s="26"/>
      <c r="W21" s="26"/>
      <c r="X21" s="26"/>
      <c r="Y21" s="26"/>
      <c r="Z21" s="26"/>
      <c r="AA21" s="26"/>
      <c r="AB21" s="26"/>
      <c r="AC21" s="26"/>
      <c r="AD21" s="26"/>
      <c r="AE21" s="26"/>
      <c r="AF21" s="26"/>
      <c r="AG21" s="26"/>
      <c r="AH21" s="4"/>
      <c r="AI21" s="4"/>
      <c r="AJ21" s="4"/>
      <c r="AK21" s="4"/>
      <c r="AL21" s="4"/>
      <c r="AM21" s="4"/>
      <c r="AN21" s="4"/>
      <c r="AO21" s="4"/>
      <c r="AP21" s="4"/>
      <c r="AQ21" s="26"/>
      <c r="AR21" s="26"/>
    </row>
    <row r="22" spans="1:44" x14ac:dyDescent="0.25">
      <c r="A22" s="26">
        <v>10</v>
      </c>
      <c r="B22" s="26">
        <v>11</v>
      </c>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33" t="str">
        <f>IF(VLOOKUP($A22,PrekladHlav!$A:$H,1)=$A22,VLOOKUP($A22,PrekladHlav!$A:$H,SUVAHAVUJ!B1),0)</f>
        <v>mesiac</v>
      </c>
      <c r="AK22" s="33"/>
      <c r="AL22" s="33"/>
      <c r="AM22" s="33" t="str">
        <f>IF(VLOOKUP($B22,PrekladHlav!$A:$H,1)=$B22,VLOOKUP($B22,PrekladHlav!$A:$H,SUVAHAVUJ!B1),0)</f>
        <v>rok</v>
      </c>
      <c r="AN22" s="33"/>
      <c r="AO22" s="33"/>
      <c r="AP22" s="26"/>
      <c r="AQ22" s="26"/>
      <c r="AR22" s="26"/>
    </row>
    <row r="23" spans="1:44" x14ac:dyDescent="0.25">
      <c r="A23" s="26">
        <v>22</v>
      </c>
      <c r="H23" s="26"/>
      <c r="I23" s="26"/>
      <c r="J23" s="26"/>
      <c r="K23" s="26"/>
      <c r="L23" s="26"/>
      <c r="M23" s="26"/>
      <c r="N23" s="26"/>
      <c r="O23" s="26"/>
      <c r="P23" s="26"/>
      <c r="Q23" s="26"/>
      <c r="R23" s="44"/>
      <c r="S23" s="26"/>
      <c r="T23" s="26"/>
      <c r="U23" s="28"/>
      <c r="V23" s="26"/>
      <c r="W23" s="26"/>
      <c r="X23" s="26"/>
      <c r="Y23" s="28"/>
      <c r="Z23" s="44"/>
      <c r="AA23" s="28"/>
      <c r="AB23" s="28"/>
      <c r="AC23" s="28"/>
      <c r="AD23" s="26"/>
      <c r="AE23" s="26"/>
      <c r="AF23" s="26"/>
      <c r="AG23" s="26"/>
      <c r="AH23" s="38" t="str">
        <f>IF(VLOOKUP($A23,PrekladHlav!$A:$H,1)=$A23,VLOOKUP($A23,PrekladHlav!$A:$H,SUVAHAVUJ!B1),0)</f>
        <v>od</v>
      </c>
      <c r="AI23" s="26"/>
      <c r="AJ23" s="31" t="s">
        <v>31</v>
      </c>
      <c r="AK23" s="31" t="s">
        <v>32</v>
      </c>
      <c r="AL23" s="33"/>
      <c r="AM23" s="31" t="s">
        <v>33</v>
      </c>
      <c r="AN23" s="31" t="s">
        <v>31</v>
      </c>
      <c r="AO23" s="31" t="s">
        <v>32</v>
      </c>
      <c r="AP23" s="31">
        <v>7</v>
      </c>
      <c r="AQ23" s="26"/>
      <c r="AR23" s="26"/>
    </row>
    <row r="24" spans="1:44" x14ac:dyDescent="0.25">
      <c r="A24" s="26">
        <v>23</v>
      </c>
      <c r="H24" s="26"/>
      <c r="I24" s="26"/>
      <c r="J24" s="26"/>
      <c r="K24" s="26"/>
      <c r="L24" s="26"/>
      <c r="M24" s="26"/>
      <c r="N24" s="26"/>
      <c r="O24" s="26"/>
      <c r="P24" s="26"/>
      <c r="Q24" s="26"/>
      <c r="R24" s="26"/>
      <c r="S24" s="26"/>
      <c r="T24" s="26"/>
      <c r="U24" s="26"/>
      <c r="V24" s="26"/>
      <c r="W24" s="26"/>
      <c r="X24" s="26"/>
      <c r="Y24" s="26"/>
      <c r="Z24" s="26"/>
      <c r="AA24" s="26"/>
      <c r="AB24" s="28"/>
      <c r="AC24" s="28"/>
      <c r="AD24" s="26"/>
      <c r="AE24" s="26"/>
      <c r="AF24" s="26"/>
      <c r="AG24" s="26"/>
      <c r="AH24" s="38" t="str">
        <f>IF(VLOOKUP($A24,PrekladHlav!$A:$H,1)=$A24,VLOOKUP($A24,PrekladHlav!$A:$H,SUVAHAVUJ!B1),0)</f>
        <v>do</v>
      </c>
      <c r="AI24" s="26"/>
      <c r="AJ24" s="31" t="s">
        <v>32</v>
      </c>
      <c r="AK24" s="31" t="s">
        <v>33</v>
      </c>
      <c r="AL24" s="33"/>
      <c r="AM24" s="31" t="s">
        <v>33</v>
      </c>
      <c r="AN24" s="31" t="s">
        <v>31</v>
      </c>
      <c r="AO24" s="31" t="s">
        <v>32</v>
      </c>
      <c r="AP24" s="31">
        <v>7</v>
      </c>
      <c r="AQ24" s="26"/>
      <c r="AR24" s="26"/>
    </row>
    <row r="25" spans="1:44" x14ac:dyDescent="0.25">
      <c r="A25" s="26">
        <v>18</v>
      </c>
      <c r="H25" s="33" t="str">
        <f>IF(VLOOKUP($A25,PrekladHlav!$A:$H,1)=$A25,VLOOKUP($A25,PrekladHlav!$A:$H,SUVAHAVUJ!B1),0)</f>
        <v>Priložené súčasti účtovej závierky</v>
      </c>
      <c r="I25" s="26"/>
      <c r="J25" s="26"/>
      <c r="K25" s="26"/>
      <c r="L25" s="26"/>
      <c r="M25" s="26"/>
      <c r="N25" s="26"/>
      <c r="O25" s="26"/>
      <c r="P25" s="26"/>
      <c r="Q25" s="26"/>
      <c r="R25" s="26"/>
      <c r="S25" s="26"/>
      <c r="T25" s="26"/>
      <c r="U25" s="26"/>
      <c r="V25" s="26"/>
      <c r="W25" s="26"/>
      <c r="X25" s="26"/>
      <c r="Y25" s="26"/>
      <c r="Z25" s="26"/>
      <c r="AA25" s="26"/>
      <c r="AB25" s="28"/>
      <c r="AC25" s="28"/>
      <c r="AD25" s="26"/>
      <c r="AE25" s="26"/>
      <c r="AF25" s="26"/>
      <c r="AG25" s="26"/>
      <c r="AH25" s="33"/>
      <c r="AI25" s="26"/>
      <c r="AJ25" s="30"/>
      <c r="AK25" s="30"/>
      <c r="AL25" s="33"/>
      <c r="AM25" s="30"/>
      <c r="AN25" s="30"/>
      <c r="AO25" s="30"/>
      <c r="AP25" s="30"/>
      <c r="AQ25" s="26"/>
      <c r="AR25" s="26"/>
    </row>
    <row r="26" spans="1:44" x14ac:dyDescent="0.25">
      <c r="A26" s="26">
        <v>19</v>
      </c>
      <c r="B26" s="26">
        <v>20</v>
      </c>
      <c r="C26" s="26">
        <v>21</v>
      </c>
      <c r="H26" s="33"/>
      <c r="I26" s="37" t="s">
        <v>30</v>
      </c>
      <c r="J26" s="26" t="str">
        <f>IF(VLOOKUP($A26,PrekladHlav!$A:$H,1)=$A26,VLOOKUP($A26,PrekladHlav!$A:$H,SUVAHAVUJ!B1),0)</f>
        <v>Súvaha (Úč POD 1-01)</v>
      </c>
      <c r="K26" s="26"/>
      <c r="L26" s="26"/>
      <c r="M26" s="26"/>
      <c r="N26" s="26"/>
      <c r="O26" s="26"/>
      <c r="P26" s="26"/>
      <c r="Q26" s="26"/>
      <c r="R26" s="37" t="s">
        <v>30</v>
      </c>
      <c r="S26" s="26" t="str">
        <f>IF(VLOOKUP($B26,PrekladHlav!$A:$H,1)=$B26,VLOOKUP($B26,PrekladHlav!$A:$H,SUVAHAVUJ!B1),0)</f>
        <v>Výkaz ziskov a strát(Úč POD 2-01)</v>
      </c>
      <c r="T26" s="26"/>
      <c r="U26" s="26"/>
      <c r="V26" s="26"/>
      <c r="W26" s="26"/>
      <c r="X26" s="26"/>
      <c r="Y26" s="26"/>
      <c r="Z26" s="26"/>
      <c r="AA26" s="26"/>
      <c r="AB26" s="28"/>
      <c r="AC26" s="28"/>
      <c r="AD26" s="26"/>
      <c r="AE26" s="37" t="s">
        <v>30</v>
      </c>
      <c r="AF26" s="26" t="str">
        <f>IF(VLOOKUP($C26,PrekladHlav!$A:$H,1)=$C26,VLOOKUP($C26,PrekladHlav!$A:$H,SUVAHAVUJ!B1),0)</f>
        <v>Poznámky (Úč POD 3-01)</v>
      </c>
      <c r="AG26" s="26"/>
      <c r="AH26" s="33"/>
      <c r="AI26" s="26"/>
      <c r="AJ26" s="30"/>
      <c r="AK26" s="30"/>
      <c r="AL26" s="33"/>
      <c r="AM26" s="30"/>
      <c r="AN26" s="30"/>
      <c r="AO26" s="30"/>
      <c r="AP26" s="30"/>
      <c r="AQ26" s="26"/>
      <c r="AR26" s="26"/>
    </row>
    <row r="27" spans="1:44" x14ac:dyDescent="0.25">
      <c r="H27" s="26"/>
      <c r="I27" s="26"/>
      <c r="J27" s="26"/>
      <c r="K27" s="26"/>
      <c r="L27" s="26"/>
      <c r="M27" s="26"/>
      <c r="N27" s="26"/>
      <c r="O27" s="26"/>
      <c r="P27" s="26"/>
      <c r="Q27" s="26"/>
      <c r="R27" s="26"/>
      <c r="S27" s="26"/>
      <c r="T27" s="26"/>
      <c r="U27" s="26"/>
      <c r="V27" s="26"/>
      <c r="W27" s="26"/>
      <c r="X27" s="26"/>
      <c r="Y27" s="26"/>
      <c r="Z27" s="26"/>
      <c r="AA27" s="26"/>
      <c r="AB27" s="28"/>
      <c r="AC27" s="28"/>
      <c r="AD27" s="26"/>
      <c r="AE27" s="26"/>
      <c r="AF27" s="26"/>
      <c r="AG27" s="26"/>
      <c r="AH27" s="33"/>
      <c r="AI27" s="26"/>
      <c r="AJ27" s="30"/>
      <c r="AK27" s="30"/>
      <c r="AL27" s="33"/>
      <c r="AM27" s="30"/>
      <c r="AN27" s="30"/>
      <c r="AO27" s="30"/>
      <c r="AP27" s="30"/>
      <c r="AQ27" s="26"/>
      <c r="AR27" s="26"/>
    </row>
    <row r="28" spans="1:44" x14ac:dyDescent="0.25">
      <c r="H28" s="26"/>
      <c r="I28" s="26"/>
      <c r="J28" s="26"/>
      <c r="K28" s="26"/>
      <c r="L28" s="26"/>
      <c r="M28" s="26"/>
      <c r="N28" s="26"/>
      <c r="O28" s="26"/>
      <c r="P28" s="26"/>
      <c r="Q28" s="26"/>
      <c r="R28" s="26"/>
      <c r="S28" s="26"/>
      <c r="T28" s="26"/>
      <c r="U28" s="26"/>
      <c r="V28" s="26"/>
      <c r="W28" s="26"/>
      <c r="X28" s="26"/>
      <c r="Y28" s="26"/>
      <c r="Z28" s="26"/>
      <c r="AA28" s="26"/>
      <c r="AB28" s="28"/>
      <c r="AC28" s="28"/>
      <c r="AD28" s="26"/>
      <c r="AE28" s="26"/>
      <c r="AF28" s="26"/>
      <c r="AG28" s="26"/>
      <c r="AH28" s="33"/>
      <c r="AI28" s="26"/>
      <c r="AJ28" s="30"/>
      <c r="AK28" s="30"/>
      <c r="AL28" s="33"/>
      <c r="AM28" s="30"/>
      <c r="AN28" s="30"/>
      <c r="AO28" s="30"/>
      <c r="AP28" s="30"/>
      <c r="AQ28" s="26"/>
      <c r="AR28" s="26"/>
    </row>
    <row r="29" spans="1:44" x14ac:dyDescent="0.25">
      <c r="A29" s="26">
        <v>24</v>
      </c>
      <c r="H29" s="33" t="str">
        <f>IF(VLOOKUP($A29,PrekladHlav!$A:$H,1)=$A29,VLOOKUP($A29,PrekladHlav!$A:$H,SUVAHAVUJ!$B$1),0)</f>
        <v>Obchodné meno (názov) účtovnej jednotky</v>
      </c>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row>
    <row r="30" spans="1:44" s="39" customFormat="1" ht="12.75" x14ac:dyDescent="0.2">
      <c r="H30" s="40" t="str">
        <f>MID(VstupHlavička!$B$6,1,1)</f>
        <v>P</v>
      </c>
      <c r="I30" s="40" t="str">
        <f>MID(VstupHlavička!$B$6,2,1)</f>
        <v>o</v>
      </c>
      <c r="J30" s="40" t="str">
        <f>MID(VstupHlavička!$B$6,3,1)</f>
        <v>ľ</v>
      </c>
      <c r="K30" s="40" t="str">
        <f>MID(VstupHlavička!$B$6,4,1)</f>
        <v>n</v>
      </c>
      <c r="L30" s="40" t="str">
        <f>MID(VstupHlavička!$B$6,5,1)</f>
        <v>o</v>
      </c>
      <c r="M30" s="40" t="str">
        <f>MID(VstupHlavička!$B$6,6,1)</f>
        <v>h</v>
      </c>
      <c r="N30" s="40" t="str">
        <f>MID(VstupHlavička!$B$6,7,1)</f>
        <v>o</v>
      </c>
      <c r="O30" s="40" t="str">
        <f>MID(VstupHlavička!$B$6,8,1)</f>
        <v>s</v>
      </c>
      <c r="P30" s="40" t="str">
        <f>MID(VstupHlavička!$B$6,9,1)</f>
        <v>p</v>
      </c>
      <c r="Q30" s="40" t="str">
        <f>MID(VstupHlavička!$B$6,10,1)</f>
        <v>o</v>
      </c>
      <c r="R30" s="40" t="str">
        <f>MID(VstupHlavička!$B$6,11,1)</f>
        <v>d</v>
      </c>
      <c r="S30" s="40" t="str">
        <f>MID(VstupHlavička!$B$6,12,1)</f>
        <v>á</v>
      </c>
      <c r="T30" s="40" t="str">
        <f>MID(VstupHlavička!$B$6,13,1)</f>
        <v>r</v>
      </c>
      <c r="U30" s="40" t="str">
        <f>MID(VstupHlavička!$B$6,14,1)</f>
        <v>s</v>
      </c>
      <c r="V30" s="40" t="str">
        <f>MID(VstupHlavička!$B$6,15,1)</f>
        <v>k</v>
      </c>
      <c r="W30" s="40" t="str">
        <f>MID(VstupHlavička!$B$6,16,1)</f>
        <v>e</v>
      </c>
      <c r="X30" s="40" t="str">
        <f>MID(VstupHlavička!$B$6,17,1)</f>
        <v xml:space="preserve"> </v>
      </c>
      <c r="Y30" s="40" t="str">
        <f>MID(VstupHlavička!$B$6,18,1)</f>
        <v>d</v>
      </c>
      <c r="Z30" s="40" t="str">
        <f>MID(VstupHlavička!$B$6,19,1)</f>
        <v>r</v>
      </c>
      <c r="AA30" s="40" t="str">
        <f>MID(VstupHlavička!$B$6,20,1)</f>
        <v>u</v>
      </c>
      <c r="AB30" s="40" t="str">
        <f>MID(VstupHlavička!$B$6,21,1)</f>
        <v>ž</v>
      </c>
      <c r="AC30" s="40" t="str">
        <f>MID(VstupHlavička!$B$6,22,1)</f>
        <v>s</v>
      </c>
      <c r="AD30" s="40" t="str">
        <f>MID(VstupHlavička!$B$6,23,1)</f>
        <v>t</v>
      </c>
      <c r="AE30" s="40" t="str">
        <f>MID(VstupHlavička!$B$6,24,1)</f>
        <v>v</v>
      </c>
      <c r="AF30" s="40" t="str">
        <f>MID(VstupHlavička!$B$6,25,1)</f>
        <v>o</v>
      </c>
      <c r="AG30" s="40" t="str">
        <f>MID(VstupHlavička!$B$6,26,1)</f>
        <v xml:space="preserve"> </v>
      </c>
      <c r="AH30" s="40" t="str">
        <f>MID(VstupHlavička!$B$6,27,1)</f>
        <v>D</v>
      </c>
      <c r="AI30" s="40" t="str">
        <f>MID(VstupHlavička!$B$6,28,1)</f>
        <v>e</v>
      </c>
      <c r="AJ30" s="40" t="str">
        <f>MID(VstupHlavička!$B$6,29,1)</f>
        <v>t</v>
      </c>
      <c r="AK30" s="40" t="str">
        <f>MID(VstupHlavička!$B$6,30,1)</f>
        <v>v</v>
      </c>
      <c r="AL30" s="40" t="str">
        <f>MID(VstupHlavička!$B$6,31,1)</f>
        <v>i</v>
      </c>
      <c r="AM30" s="40" t="str">
        <f>MID(VstupHlavička!$B$6,32,1)</f>
        <v>a</v>
      </c>
      <c r="AN30" s="40" t="str">
        <f>MID(VstupHlavička!$B$6,33,1)</f>
        <v>n</v>
      </c>
      <c r="AO30" s="40" t="str">
        <f>MID(VstupHlavička!$B$6,34,1)</f>
        <v>s</v>
      </c>
      <c r="AP30" s="40" t="str">
        <f>MID(VstupHlavička!$B$6,35,1)</f>
        <v>k</v>
      </c>
      <c r="AQ30" s="40" t="str">
        <f>MID(VstupHlavička!$B$6,36,1)</f>
        <v>a</v>
      </c>
    </row>
    <row r="31" spans="1:44" s="39" customFormat="1" ht="12.75" x14ac:dyDescent="0.2">
      <c r="H31" s="40" t="str">
        <f>MID(VstupHlavička!$B$6,37,1)</f>
        <v xml:space="preserve"> </v>
      </c>
      <c r="I31" s="40" t="str">
        <f>MID(VstupHlavička!$B$6,38,1)</f>
        <v>H</v>
      </c>
      <c r="J31" s="40" t="str">
        <f>MID(VstupHlavička!$B$6,39,1)</f>
        <v>u</v>
      </c>
      <c r="K31" s="40" t="str">
        <f>MID(VstupHlavička!$B$6,40,1)</f>
        <v>t</v>
      </c>
      <c r="L31" s="40" t="str">
        <f>MID(VstupHlavička!$B$6,41,1)</f>
        <v>a</v>
      </c>
      <c r="M31" s="40" t="str">
        <f>MID(VstupHlavička!$B$6,42,1)</f>
        <v>,</v>
      </c>
      <c r="N31" s="40" t="str">
        <f>MID(VstupHlavička!$B$6,43,1)</f>
        <v xml:space="preserve"> </v>
      </c>
      <c r="O31" s="40" t="str">
        <f>MID(VstupHlavička!$B$6,44,1)</f>
        <v>d</v>
      </c>
      <c r="P31" s="40" t="str">
        <f>MID(VstupHlavička!$B$6,45,1)</f>
        <v>r</v>
      </c>
      <c r="Q31" s="40" t="str">
        <f>MID(VstupHlavička!$B$6,46,1)</f>
        <v>u</v>
      </c>
      <c r="R31" s="40" t="str">
        <f>MID(VstupHlavička!$B$6,47,1)</f>
        <v>ž</v>
      </c>
      <c r="S31" s="40" t="str">
        <f>MID(VstupHlavička!$B$6,48,1)</f>
        <v>s</v>
      </c>
      <c r="T31" s="40" t="str">
        <f>MID(VstupHlavička!$B$6,49,1)</f>
        <v>t</v>
      </c>
      <c r="U31" s="40" t="str">
        <f>MID(VstupHlavička!$B$6,50,1)</f>
        <v>v</v>
      </c>
      <c r="V31" s="40" t="str">
        <f>MID(VstupHlavička!$B$6,51,1)</f>
        <v>o</v>
      </c>
      <c r="W31" s="40" t="str">
        <f>MID(VstupHlavička!$B$6,52,1)</f>
        <v> </v>
      </c>
      <c r="X31" s="40" t="str">
        <f>MID(VstupHlavička!$B$6,53,1)</f>
        <v/>
      </c>
      <c r="Y31" s="40" t="str">
        <f>MID(VstupHlavička!$B$6,54,1)</f>
        <v/>
      </c>
      <c r="Z31" s="40" t="str">
        <f>MID(VstupHlavička!$B$6,55,1)</f>
        <v/>
      </c>
      <c r="AA31" s="40" t="str">
        <f>MID(VstupHlavička!$B$6,56,1)</f>
        <v/>
      </c>
      <c r="AB31" s="40" t="str">
        <f>MID(VstupHlavička!$B$6,57,1)</f>
        <v/>
      </c>
      <c r="AC31" s="40" t="str">
        <f>MID(VstupHlavička!$B$6,58,1)</f>
        <v/>
      </c>
      <c r="AD31" s="40" t="str">
        <f>MID(VstupHlavička!$B$6,59,1)</f>
        <v/>
      </c>
      <c r="AE31" s="40" t="str">
        <f>MID(VstupHlavička!$B$6,60,1)</f>
        <v/>
      </c>
      <c r="AF31" s="40" t="str">
        <f>MID(VstupHlavička!$B$6,61,1)</f>
        <v/>
      </c>
      <c r="AG31" s="40" t="str">
        <f>MID(VstupHlavička!$B$6,62,1)</f>
        <v/>
      </c>
      <c r="AH31" s="40" t="str">
        <f>MID(VstupHlavička!$B$6,63,1)</f>
        <v/>
      </c>
      <c r="AI31" s="40" t="str">
        <f>MID(VstupHlavička!$B$6,64,1)</f>
        <v/>
      </c>
      <c r="AJ31" s="40" t="str">
        <f>MID(VstupHlavička!$B$6,65,1)</f>
        <v/>
      </c>
      <c r="AK31" s="40" t="str">
        <f>MID(VstupHlavička!$B$6,66,1)</f>
        <v/>
      </c>
      <c r="AL31" s="40" t="str">
        <f>MID(VstupHlavička!$B$6,67,1)</f>
        <v/>
      </c>
      <c r="AM31" s="40" t="str">
        <f>MID(VstupHlavička!$B$6,68,1)</f>
        <v/>
      </c>
      <c r="AN31" s="40" t="str">
        <f>MID(VstupHlavička!$B$6,69,1)</f>
        <v/>
      </c>
      <c r="AO31" s="40" t="str">
        <f>MID(VstupHlavička!$B$6,70,1)</f>
        <v/>
      </c>
      <c r="AP31" s="40" t="str">
        <f>MID(VstupHlavička!$B$6,71,1)</f>
        <v/>
      </c>
      <c r="AQ31" s="40" t="str">
        <f>MID(VstupHlavička!$B$6,72,1)</f>
        <v/>
      </c>
    </row>
    <row r="32" spans="1:44" x14ac:dyDescent="0.25">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row>
    <row r="33" spans="1:44" x14ac:dyDescent="0.25">
      <c r="A33" s="26">
        <v>25</v>
      </c>
      <c r="H33" s="33" t="str">
        <f>IF(VLOOKUP($A33,PrekladHlav!$A:$H,1)=$A33,VLOOKUP($A33,PrekladHlav!$A:$H,SUVAHAVUJ!$B$1),0)</f>
        <v>Sídlo účtovnej jednotky, ulica a číslo</v>
      </c>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row>
    <row r="34" spans="1:44" x14ac:dyDescent="0.25">
      <c r="H34" s="37" t="str">
        <f>MID(VstupHlavička!$B$7,1,1)</f>
        <v>č</v>
      </c>
      <c r="I34" s="37" t="str">
        <f>MID(VstupHlavička!$B$7,2,1)</f>
        <v>.</v>
      </c>
      <c r="J34" s="37" t="str">
        <f>MID(VstupHlavička!$B$7,3,1)</f>
        <v xml:space="preserve"> </v>
      </c>
      <c r="K34" s="37" t="str">
        <f>MID(VstupHlavička!$B$7,4,1)</f>
        <v>1</v>
      </c>
      <c r="L34" s="37" t="str">
        <f>MID(VstupHlavička!$B$7,5,1)</f>
        <v>0</v>
      </c>
      <c r="M34" s="37" t="str">
        <f>MID(VstupHlavička!$B$7,6,1)</f>
        <v>0</v>
      </c>
      <c r="N34" s="37" t="str">
        <f>MID(VstupHlavička!$B$7,7,1)</f>
        <v xml:space="preserve"> </v>
      </c>
      <c r="O34" s="37" t="str">
        <f>MID(VstupHlavička!$B$7,8,1)</f>
        <v/>
      </c>
      <c r="P34" s="37" t="str">
        <f>MID(VstupHlavička!$B$7,9,1)</f>
        <v/>
      </c>
      <c r="Q34" s="37" t="str">
        <f>MID(VstupHlavička!$B$7,10,1)</f>
        <v/>
      </c>
      <c r="R34" s="37" t="str">
        <f>MID(VstupHlavička!$B$7,11,1)</f>
        <v/>
      </c>
      <c r="S34" s="37" t="str">
        <f>MID(VstupHlavička!$B$7,12,1)</f>
        <v/>
      </c>
      <c r="T34" s="37" t="str">
        <f>MID(VstupHlavička!$B$7,13,1)</f>
        <v/>
      </c>
      <c r="U34" s="37" t="str">
        <f>MID(VstupHlavička!$B$7,14,1)</f>
        <v/>
      </c>
      <c r="V34" s="37" t="str">
        <f>MID(VstupHlavička!$B$7,15,1)</f>
        <v/>
      </c>
      <c r="W34" s="37" t="str">
        <f>MID(VstupHlavička!$B$7,16,1)</f>
        <v/>
      </c>
      <c r="X34" s="37" t="str">
        <f>MID(VstupHlavička!$B$7,17,1)</f>
        <v/>
      </c>
      <c r="Y34" s="37" t="str">
        <f>MID(VstupHlavička!$B$7,18,1)</f>
        <v/>
      </c>
      <c r="Z34" s="37" t="str">
        <f>MID(VstupHlavička!$B$7,19,1)</f>
        <v/>
      </c>
      <c r="AA34" s="37" t="str">
        <f>MID(VstupHlavička!$B$7,20,1)</f>
        <v/>
      </c>
      <c r="AB34" s="37" t="str">
        <f>MID(VstupHlavička!$B$7,21,1)</f>
        <v/>
      </c>
      <c r="AC34" s="37" t="str">
        <f>MID(VstupHlavička!$B$7,22,1)</f>
        <v/>
      </c>
      <c r="AD34" s="37" t="str">
        <f>MID(VstupHlavička!$B$7,23,1)</f>
        <v/>
      </c>
      <c r="AE34" s="37" t="str">
        <f>MID(VstupHlavička!$B$7,24,1)</f>
        <v/>
      </c>
      <c r="AF34" s="37" t="str">
        <f>MID(VstupHlavička!$B$7,25,1)</f>
        <v/>
      </c>
      <c r="AG34" s="37" t="str">
        <f>MID(VstupHlavička!$B$7,26,1)</f>
        <v/>
      </c>
      <c r="AH34" s="37" t="str">
        <f>MID(VstupHlavička!$B$7,27,1)</f>
        <v/>
      </c>
      <c r="AI34" s="37" t="str">
        <f>MID(VstupHlavička!$B$7,28,1)</f>
        <v/>
      </c>
      <c r="AJ34" s="37" t="str">
        <f>MID(VstupHlavička!$B$7,29,1)</f>
        <v/>
      </c>
      <c r="AK34" s="37" t="str">
        <f>MID(VstupHlavička!$B$7,30,1)</f>
        <v/>
      </c>
      <c r="AL34" s="37" t="str">
        <f>MID(VstupHlavička!$B$7,31,1)</f>
        <v/>
      </c>
      <c r="AM34" s="37" t="str">
        <f>MID(VstupHlavička!$B$7,32,1)</f>
        <v/>
      </c>
      <c r="AN34" s="37" t="str">
        <f>MID(VstupHlavička!$B$7,33,1)</f>
        <v/>
      </c>
      <c r="AO34" s="37" t="str">
        <f>MID(VstupHlavička!$B$7,34,1)</f>
        <v/>
      </c>
      <c r="AP34" s="37" t="str">
        <f>MID(VstupHlavička!$B$7,35,1)</f>
        <v/>
      </c>
      <c r="AQ34" s="37" t="str">
        <f>MID(VstupHlavička!$B$7,36,1)</f>
        <v/>
      </c>
      <c r="AR34" s="26"/>
    </row>
    <row r="35" spans="1:44" x14ac:dyDescent="0.25">
      <c r="H35" s="37" t="str">
        <f>MID(VstupHlavička!$B$7,37,1)</f>
        <v/>
      </c>
      <c r="I35" s="37" t="str">
        <f>MID(VstupHlavička!$B$7,38,1)</f>
        <v/>
      </c>
      <c r="J35" s="37" t="str">
        <f>MID(VstupHlavička!$B$7,39,1)</f>
        <v/>
      </c>
      <c r="K35" s="37" t="str">
        <f>MID(VstupHlavička!$B$7,40,1)</f>
        <v/>
      </c>
      <c r="L35" s="37" t="str">
        <f>MID(VstupHlavička!$B$7,41,1)</f>
        <v/>
      </c>
      <c r="M35" s="37" t="str">
        <f>MID(VstupHlavička!$B$7,42,1)</f>
        <v/>
      </c>
      <c r="N35" s="37" t="str">
        <f>MID(VstupHlavička!$B$7,43,1)</f>
        <v/>
      </c>
      <c r="O35" s="37" t="str">
        <f>MID(VstupHlavička!$B$7,44,1)</f>
        <v/>
      </c>
      <c r="P35" s="37" t="str">
        <f>MID(VstupHlavička!$B$7,45,1)</f>
        <v/>
      </c>
      <c r="Q35" s="37" t="str">
        <f>MID(VstupHlavička!$B$7,46,1)</f>
        <v/>
      </c>
      <c r="R35" s="37" t="str">
        <f>MID(VstupHlavička!$B$7,47,1)</f>
        <v/>
      </c>
      <c r="S35" s="37" t="str">
        <f>MID(VstupHlavička!$B$7,48,1)</f>
        <v/>
      </c>
      <c r="T35" s="37" t="str">
        <f>MID(VstupHlavička!$B$7,49,1)</f>
        <v/>
      </c>
      <c r="U35" s="37" t="str">
        <f>MID(VstupHlavička!$B$7,50,1)</f>
        <v/>
      </c>
      <c r="V35" s="37" t="str">
        <f>MID(VstupHlavička!$B$7,51,1)</f>
        <v/>
      </c>
      <c r="W35" s="37" t="str">
        <f>MID(VstupHlavička!$B$7,52,1)</f>
        <v/>
      </c>
      <c r="X35" s="37" t="str">
        <f>MID(VstupHlavička!$B$7,53,1)</f>
        <v/>
      </c>
      <c r="Y35" s="37" t="str">
        <f>MID(VstupHlavička!$B$7,54,1)</f>
        <v/>
      </c>
      <c r="Z35" s="37" t="str">
        <f>MID(VstupHlavička!$B$7,55,1)</f>
        <v/>
      </c>
      <c r="AA35" s="37" t="str">
        <f>MID(VstupHlavička!$B$7,56,1)</f>
        <v/>
      </c>
      <c r="AB35" s="37" t="str">
        <f>MID(VstupHlavička!$B$7,57,1)</f>
        <v/>
      </c>
      <c r="AC35" s="37" t="str">
        <f>MID(VstupHlavička!$B$7,58,1)</f>
        <v/>
      </c>
      <c r="AD35" s="37" t="str">
        <f>MID(VstupHlavička!$B$7,59,1)</f>
        <v/>
      </c>
      <c r="AE35" s="37" t="str">
        <f>MID(VstupHlavička!$B$7,60,1)</f>
        <v/>
      </c>
      <c r="AF35" s="37" t="str">
        <f>MID(VstupHlavička!$B$7,61,1)</f>
        <v/>
      </c>
      <c r="AG35" s="37" t="str">
        <f>MID(VstupHlavička!$B$7,62,1)</f>
        <v/>
      </c>
      <c r="AH35" s="37" t="str">
        <f>MID(VstupHlavička!$B$7,63,1)</f>
        <v/>
      </c>
      <c r="AI35" s="37" t="str">
        <f>MID(VstupHlavička!$B$7,64,1)</f>
        <v/>
      </c>
      <c r="AJ35" s="37" t="str">
        <f>MID(VstupHlavička!$B$7,65,1)</f>
        <v/>
      </c>
      <c r="AK35" s="37" t="str">
        <f>MID(VstupHlavička!$B$7,66,1)</f>
        <v/>
      </c>
      <c r="AL35" s="37" t="str">
        <f>MID(VstupHlavička!$B$7,67,1)</f>
        <v/>
      </c>
      <c r="AM35" s="37" t="str">
        <f>MID(VstupHlavička!$B$7,68,1)</f>
        <v/>
      </c>
      <c r="AN35" s="37" t="str">
        <f>MID(VstupHlavička!$B$7,69,1)</f>
        <v/>
      </c>
      <c r="AO35" s="37" t="str">
        <f>MID(VstupHlavička!$B$7,70,1)</f>
        <v/>
      </c>
      <c r="AP35" s="37" t="str">
        <f>MID(VstupHlavička!$B$7,71,1)</f>
        <v/>
      </c>
      <c r="AQ35" s="37" t="str">
        <f>MID(VstupHlavička!$B$7,72,1)</f>
        <v/>
      </c>
      <c r="AR35" s="26"/>
    </row>
    <row r="36" spans="1:44" x14ac:dyDescent="0.25">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row>
    <row r="37" spans="1:44" x14ac:dyDescent="0.25">
      <c r="A37" s="26">
        <v>26</v>
      </c>
      <c r="B37" s="26">
        <v>27</v>
      </c>
      <c r="H37" s="33" t="str">
        <f>IF(VLOOKUP($A37,PrekladHlav!$A:$H,1)=$A37,VLOOKUP($A37,PrekladHlav!$A:$H,SUVAHAVUJ!$B$1),0)</f>
        <v>PSČ</v>
      </c>
      <c r="I37" s="26"/>
      <c r="J37" s="26"/>
      <c r="K37" s="26"/>
      <c r="L37" s="26"/>
      <c r="M37" s="26"/>
      <c r="N37" s="33" t="str">
        <f>IF(VLOOKUP($B37,PrekladHlav!$A:$H,1)=$B37,VLOOKUP($B37,PrekladHlav!$A:$H,SUVAHAVUJ!B1),0)</f>
        <v>Obec</v>
      </c>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row>
    <row r="38" spans="1:44" x14ac:dyDescent="0.25">
      <c r="H38" s="37" t="str">
        <f>MID(VstupHlavička!$B$8,1,1)</f>
        <v>9</v>
      </c>
      <c r="I38" s="37" t="str">
        <f>MID(VstupHlavička!$B$8,2,1)</f>
        <v>6</v>
      </c>
      <c r="J38" s="37" t="str">
        <f>MID(VstupHlavička!$B$8,3,1)</f>
        <v>2</v>
      </c>
      <c r="K38" s="37" t="str">
        <f>MID(VstupHlavička!$B$8,4,1)</f>
        <v xml:space="preserve"> </v>
      </c>
      <c r="L38" s="37" t="str">
        <f>MID(VstupHlavička!$B$8,5,1)</f>
        <v>0</v>
      </c>
      <c r="M38" s="45"/>
      <c r="N38" s="37" t="str">
        <f>MID(VstupHlavička!$B$9,1,1)</f>
        <v>D</v>
      </c>
      <c r="O38" s="37" t="str">
        <f>MID(VstupHlavička!$B$9,2,1)</f>
        <v>e</v>
      </c>
      <c r="P38" s="37" t="str">
        <f>MID(VstupHlavička!$B$9,3,1)</f>
        <v>t</v>
      </c>
      <c r="Q38" s="37" t="str">
        <f>MID(VstupHlavička!$B$9,4,1)</f>
        <v>v</v>
      </c>
      <c r="R38" s="37" t="str">
        <f>MID(VstupHlavička!$B$9,5,1)</f>
        <v>i</v>
      </c>
      <c r="S38" s="37" t="str">
        <f>MID(VstupHlavička!$B$9,6,1)</f>
        <v>a</v>
      </c>
      <c r="T38" s="37" t="str">
        <f>MID(VstupHlavička!$B$9,7,1)</f>
        <v>n</v>
      </c>
      <c r="U38" s="37" t="str">
        <f>MID(VstupHlavička!$B$9,8,1)</f>
        <v>s</v>
      </c>
      <c r="V38" s="37" t="str">
        <f>MID(VstupHlavička!$B$9,9,1)</f>
        <v>k</v>
      </c>
      <c r="W38" s="37" t="str">
        <f>MID(VstupHlavička!$B$9,10,1)</f>
        <v>a</v>
      </c>
      <c r="X38" s="37" t="str">
        <f>MID(VstupHlavička!$B$9,11,1)</f>
        <v xml:space="preserve"> </v>
      </c>
      <c r="Y38" s="37" t="str">
        <f>MID(VstupHlavička!$B$9,12,1)</f>
        <v>H</v>
      </c>
      <c r="Z38" s="37" t="str">
        <f>MID(VstupHlavička!$B$9,13,1)</f>
        <v>u</v>
      </c>
      <c r="AA38" s="37" t="str">
        <f>MID(VstupHlavička!$B$9,14,1)</f>
        <v>t</v>
      </c>
      <c r="AB38" s="37" t="str">
        <f>MID(VstupHlavička!$B$9,15,1)</f>
        <v>a</v>
      </c>
      <c r="AC38" s="37" t="str">
        <f>MID(VstupHlavička!$B$9,16,1)</f>
        <v/>
      </c>
      <c r="AD38" s="37" t="str">
        <f>MID(VstupHlavička!$B$9,17,1)</f>
        <v/>
      </c>
      <c r="AE38" s="37" t="str">
        <f>MID(VstupHlavička!$B$9,18,1)</f>
        <v/>
      </c>
      <c r="AF38" s="37" t="str">
        <f>MID(VstupHlavička!$B$9,19,1)</f>
        <v/>
      </c>
      <c r="AG38" s="37" t="str">
        <f>MID(VstupHlavička!$B$9,20,1)</f>
        <v/>
      </c>
      <c r="AH38" s="37" t="str">
        <f>MID(VstupHlavička!$B$9,21,1)</f>
        <v/>
      </c>
      <c r="AI38" s="37" t="str">
        <f>MID(VstupHlavička!$B$9,22,1)</f>
        <v/>
      </c>
      <c r="AJ38" s="37" t="str">
        <f>MID(VstupHlavička!$B$9,23,1)</f>
        <v/>
      </c>
      <c r="AK38" s="37" t="str">
        <f>MID(VstupHlavička!$B$9,24,1)</f>
        <v/>
      </c>
      <c r="AL38" s="37" t="str">
        <f>MID(VstupHlavička!$B$9,25,1)</f>
        <v/>
      </c>
      <c r="AM38" s="37" t="str">
        <f>MID(VstupHlavička!$B$9,26,1)</f>
        <v/>
      </c>
      <c r="AN38" s="37" t="str">
        <f>MID(VstupHlavička!$B$9,27,1)</f>
        <v/>
      </c>
      <c r="AO38" s="37" t="str">
        <f>MID(VstupHlavička!$B$9,28,1)</f>
        <v/>
      </c>
      <c r="AP38" s="37" t="str">
        <f>MID(VstupHlavička!$B$9,29,1)</f>
        <v/>
      </c>
      <c r="AQ38" s="37" t="str">
        <f>MID(VstupHlavička!$B$9,30,1)</f>
        <v/>
      </c>
      <c r="AR38" s="26"/>
    </row>
    <row r="39" spans="1:44" x14ac:dyDescent="0.25">
      <c r="H39" s="44"/>
      <c r="I39" s="44"/>
      <c r="J39" s="44"/>
      <c r="K39" s="44"/>
      <c r="L39" s="44"/>
      <c r="M39" s="45"/>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26"/>
    </row>
    <row r="40" spans="1:44" x14ac:dyDescent="0.25">
      <c r="A40" s="26">
        <v>28</v>
      </c>
      <c r="H40" s="33" t="str">
        <f>IF(VLOOKUP($A40,PrekladHlav!$A:$H,1)=$A40,VLOOKUP($A40,PrekladHlav!$A:$H,SUVAHAVUJ!$B$1),0)</f>
        <v>Označenie obchodného registra a číslo zápisu obchodnej spoločnosti</v>
      </c>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4"/>
      <c r="AN40" s="44"/>
      <c r="AO40" s="44"/>
      <c r="AP40" s="44"/>
      <c r="AQ40" s="44"/>
      <c r="AR40" s="26"/>
    </row>
    <row r="41" spans="1:44" x14ac:dyDescent="0.25">
      <c r="H41" s="37" t="str">
        <f>MID(VstupHlavička!$B$16,1,1)</f>
        <v>O</v>
      </c>
      <c r="I41" s="37" t="str">
        <f>MID(VstupHlavička!$B$16,2,1)</f>
        <v>R</v>
      </c>
      <c r="J41" s="37" t="str">
        <f>MID(VstupHlavička!$B$16,3,1)</f>
        <v xml:space="preserve"> </v>
      </c>
      <c r="K41" s="37" t="str">
        <f>MID(VstupHlavička!$B$16,4,1)</f>
        <v>O</v>
      </c>
      <c r="L41" s="37" t="str">
        <f>MID(VstupHlavička!$B$16,5,1)</f>
        <v>S</v>
      </c>
      <c r="M41" s="37" t="str">
        <f>MID(VstupHlavička!$B$16,6,1)</f>
        <v xml:space="preserve"> </v>
      </c>
      <c r="N41" s="37" t="str">
        <f>MID(VstupHlavička!$B$16,7,1)</f>
        <v>B</v>
      </c>
      <c r="O41" s="37" t="str">
        <f>MID(VstupHlavička!$B$16,8,1)</f>
        <v>a</v>
      </c>
      <c r="P41" s="37" t="str">
        <f>MID(VstupHlavička!$B$16,9,1)</f>
        <v>n</v>
      </c>
      <c r="Q41" s="37" t="str">
        <f>MID(VstupHlavička!$B$16,10,1)</f>
        <v>s</v>
      </c>
      <c r="R41" s="37" t="str">
        <f>MID(VstupHlavička!$B$16,11,1)</f>
        <v>k</v>
      </c>
      <c r="S41" s="37" t="str">
        <f>MID(VstupHlavička!$B$16,12,1)</f>
        <v>á</v>
      </c>
      <c r="T41" s="37" t="str">
        <f>MID(VstupHlavička!$B$16,13,1)</f>
        <v xml:space="preserve"> </v>
      </c>
      <c r="U41" s="37" t="str">
        <f>MID(VstupHlavička!$B$16,14,1)</f>
        <v>B</v>
      </c>
      <c r="V41" s="37" t="str">
        <f>MID(VstupHlavička!$B$16,15,1)</f>
        <v>y</v>
      </c>
      <c r="W41" s="37" t="str">
        <f>MID(VstupHlavička!$B$16,16,1)</f>
        <v>s</v>
      </c>
      <c r="X41" s="37" t="str">
        <f>MID(VstupHlavička!$B$16,17,1)</f>
        <v>t</v>
      </c>
      <c r="Y41" s="37" t="str">
        <f>MID(VstupHlavička!$B$16,18,1)</f>
        <v>r</v>
      </c>
      <c r="Z41" s="37" t="str">
        <f>MID(VstupHlavička!$B$16,19,1)</f>
        <v>i</v>
      </c>
      <c r="AA41" s="37" t="str">
        <f>MID(VstupHlavička!$B$16,20,1)</f>
        <v>c</v>
      </c>
      <c r="AB41" s="37" t="str">
        <f>MID(VstupHlavička!$B$16,21,1)</f>
        <v>a</v>
      </c>
      <c r="AC41" s="37" t="str">
        <f>MID(VstupHlavička!$B$16,22,1)</f>
        <v>,</v>
      </c>
      <c r="AD41" s="37" t="str">
        <f>MID(VstupHlavička!$B$16,23,1)</f>
        <v xml:space="preserve"> </v>
      </c>
      <c r="AE41" s="37" t="str">
        <f>MID(VstupHlavička!$B$16,24,1)</f>
        <v>O</v>
      </c>
      <c r="AF41" s="37" t="str">
        <f>MID(VstupHlavička!$B$16,25,1)</f>
        <v>d</v>
      </c>
      <c r="AG41" s="37" t="str">
        <f>MID(VstupHlavička!$B$16,26,1)</f>
        <v>d</v>
      </c>
      <c r="AH41" s="37" t="str">
        <f>MID(VstupHlavička!$B$16,27,1)</f>
        <v>i</v>
      </c>
      <c r="AI41" s="37" t="str">
        <f>MID(VstupHlavička!$B$16,28,1)</f>
        <v>e</v>
      </c>
      <c r="AJ41" s="37" t="str">
        <f>MID(VstupHlavička!$B$16,29,1)</f>
        <v>l</v>
      </c>
      <c r="AK41" s="37" t="str">
        <f>MID(VstupHlavička!$B$16,30,1)</f>
        <v xml:space="preserve"> </v>
      </c>
      <c r="AL41" s="37" t="str">
        <f>MID(VstupHlavička!$B$16,31,1)</f>
        <v>D</v>
      </c>
      <c r="AM41" s="37" t="str">
        <f>MID(VstupHlavička!$B$16,32,1)</f>
        <v>r</v>
      </c>
      <c r="AN41" s="37" t="str">
        <f>MID(VstupHlavička!$B$16,33,1)</f>
        <v>,</v>
      </c>
      <c r="AO41" s="37" t="str">
        <f>MID(VstupHlavička!$B$16,34,1)</f>
        <v xml:space="preserve"> </v>
      </c>
      <c r="AP41" s="37" t="str">
        <f>MID(VstupHlavička!$B$16,35,1)</f>
        <v>V</v>
      </c>
      <c r="AQ41" s="37" t="str">
        <f>MID(VstupHlavička!$B$16,36,1)</f>
        <v>l</v>
      </c>
      <c r="AR41" s="26"/>
    </row>
    <row r="42" spans="1:44" x14ac:dyDescent="0.25">
      <c r="H42" s="37" t="str">
        <f>MID(VstupHlavička!$B$16,37,1)</f>
        <v>o</v>
      </c>
      <c r="I42" s="37" t="str">
        <f>MID(VstupHlavička!$B$16,38,1)</f>
        <v>ž</v>
      </c>
      <c r="J42" s="37" t="str">
        <f>MID(VstupHlavička!$B$16,39,1)</f>
        <v>k</v>
      </c>
      <c r="K42" s="37" t="str">
        <f>MID(VstupHlavička!$B$16,40,1)</f>
        <v>a</v>
      </c>
      <c r="L42" s="37" t="str">
        <f>MID(VstupHlavička!$B$16,41,1)</f>
        <v xml:space="preserve"> </v>
      </c>
      <c r="M42" s="37" t="str">
        <f>MID(VstupHlavička!$B$16,42,1)</f>
        <v>č</v>
      </c>
      <c r="N42" s="37" t="str">
        <f>MID(VstupHlavička!$B$16,43,1)</f>
        <v>.</v>
      </c>
      <c r="O42" s="37" t="str">
        <f>MID(VstupHlavička!$B$16,44,1)</f>
        <v>:</v>
      </c>
      <c r="P42" s="37" t="str">
        <f>MID(VstupHlavička!$B$16,45,1)</f>
        <v xml:space="preserve"> </v>
      </c>
      <c r="Q42" s="37" t="str">
        <f>MID(VstupHlavička!$B$16,46,1)</f>
        <v>1</v>
      </c>
      <c r="R42" s="37" t="str">
        <f>MID(VstupHlavička!$B$16,47,1)</f>
        <v>4</v>
      </c>
      <c r="S42" s="37" t="str">
        <f>MID(VstupHlavička!$B$16,48,1)</f>
        <v>2</v>
      </c>
      <c r="T42" s="37" t="str">
        <f>MID(VstupHlavička!$B$16,49,1)</f>
        <v>/</v>
      </c>
      <c r="U42" s="37" t="str">
        <f>MID(VstupHlavička!$B$16,50,1)</f>
        <v>S</v>
      </c>
      <c r="V42" s="37" t="str">
        <f>MID(VstupHlavička!$B$16,51,1)</f>
        <v/>
      </c>
      <c r="W42" s="37" t="str">
        <f>MID(VstupHlavička!$B$16,52,1)</f>
        <v/>
      </c>
      <c r="X42" s="37" t="str">
        <f>MID(VstupHlavička!$B$16,53,1)</f>
        <v/>
      </c>
      <c r="Y42" s="37" t="str">
        <f>MID(VstupHlavička!$B$16,54,1)</f>
        <v/>
      </c>
      <c r="Z42" s="37" t="str">
        <f>MID(VstupHlavička!$B$16,55,1)</f>
        <v/>
      </c>
      <c r="AA42" s="37" t="str">
        <f>MID(VstupHlavička!$B$16,56,1)</f>
        <v/>
      </c>
      <c r="AB42" s="37" t="str">
        <f>MID(VstupHlavička!$B$16,57,1)</f>
        <v/>
      </c>
      <c r="AC42" s="37" t="str">
        <f>MID(VstupHlavička!$B$16,58,1)</f>
        <v/>
      </c>
      <c r="AD42" s="37" t="str">
        <f>MID(VstupHlavička!$B$16,59,1)</f>
        <v/>
      </c>
      <c r="AE42" s="37" t="str">
        <f>MID(VstupHlavička!$B$16,60,1)</f>
        <v/>
      </c>
      <c r="AF42" s="37" t="str">
        <f>MID(VstupHlavička!$B$16,61,1)</f>
        <v/>
      </c>
      <c r="AG42" s="37" t="str">
        <f>MID(VstupHlavička!$B$16,62,1)</f>
        <v/>
      </c>
      <c r="AH42" s="37" t="str">
        <f>MID(VstupHlavička!$B$16,63,1)</f>
        <v/>
      </c>
      <c r="AI42" s="37" t="str">
        <f>MID(VstupHlavička!$B$16,64,1)</f>
        <v/>
      </c>
      <c r="AJ42" s="37" t="str">
        <f>MID(VstupHlavička!$B$16,65,1)</f>
        <v/>
      </c>
      <c r="AK42" s="37" t="str">
        <f>MID(VstupHlavička!$B$16,66,1)</f>
        <v/>
      </c>
      <c r="AL42" s="37" t="str">
        <f>MID(VstupHlavička!$B$16,67,1)</f>
        <v/>
      </c>
      <c r="AM42" s="37" t="str">
        <f>MID(VstupHlavička!$B$16,68,1)</f>
        <v/>
      </c>
      <c r="AN42" s="37" t="str">
        <f>MID(VstupHlavička!$B$16,69,1)</f>
        <v/>
      </c>
      <c r="AO42" s="37" t="str">
        <f>MID(VstupHlavička!$B$16,70,1)</f>
        <v/>
      </c>
      <c r="AP42" s="37" t="str">
        <f>MID(VstupHlavička!$B$16,71,1)</f>
        <v/>
      </c>
      <c r="AQ42" s="37" t="str">
        <f>MID(VstupHlavička!$B$16,72,1)</f>
        <v/>
      </c>
      <c r="AR42" s="26"/>
    </row>
    <row r="43" spans="1:44" x14ac:dyDescent="0.25">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row>
    <row r="44" spans="1:44" x14ac:dyDescent="0.25">
      <c r="A44" s="26">
        <v>29</v>
      </c>
      <c r="B44" s="26">
        <v>30</v>
      </c>
      <c r="H44" s="33" t="str">
        <f>IF(VLOOKUP($A44,PrekladHlav!$A:$H,1)=$A44,VLOOKUP($A44,PrekladHlav!$A:$H,SUVAHAVUJ!$B$1),0)</f>
        <v>Telefónne číslo</v>
      </c>
      <c r="I44" s="26"/>
      <c r="J44" s="26"/>
      <c r="K44" s="26"/>
      <c r="L44" s="26"/>
      <c r="M44" s="26"/>
      <c r="N44" s="26"/>
      <c r="O44" s="26"/>
      <c r="P44" s="26"/>
      <c r="Q44" s="26"/>
      <c r="R44" s="26"/>
      <c r="S44" s="26"/>
      <c r="T44" s="26"/>
      <c r="U44" s="26"/>
      <c r="V44" s="26"/>
      <c r="W44" s="26"/>
      <c r="X44" s="33" t="str">
        <f>IF(VLOOKUP($B44,PrekladHlav!$A:$H,1)=$B44,VLOOKUP($B44,PrekladHlav!$A:$H,SUVAHAVUJ!B1),0)</f>
        <v>Faxové číslo</v>
      </c>
      <c r="Y44" s="26"/>
      <c r="Z44" s="26"/>
      <c r="AA44" s="26"/>
      <c r="AB44" s="26"/>
      <c r="AC44" s="26"/>
      <c r="AD44" s="26"/>
      <c r="AE44" s="26"/>
      <c r="AF44" s="26"/>
      <c r="AG44" s="26"/>
      <c r="AH44" s="26"/>
      <c r="AI44" s="26"/>
      <c r="AJ44" s="26"/>
      <c r="AK44" s="26"/>
      <c r="AL44" s="26"/>
      <c r="AM44" s="26"/>
      <c r="AN44" s="26"/>
      <c r="AO44" s="26"/>
      <c r="AP44" s="26"/>
      <c r="AQ44" s="26"/>
      <c r="AR44" s="26"/>
    </row>
    <row r="45" spans="1:44" x14ac:dyDescent="0.25">
      <c r="H45" s="37" t="str">
        <f>MID(VstupHlavička!$B$10,1,1)</f>
        <v>0</v>
      </c>
      <c r="I45" s="37" t="str">
        <f>MID(VstupHlavička!$B$10,2,1)</f>
        <v>4</v>
      </c>
      <c r="J45" s="37" t="str">
        <f>MID(VstupHlavička!$B$10,3,1)</f>
        <v>5</v>
      </c>
      <c r="K45" s="37" t="str">
        <f>MID(VstupHlavička!$B$10,4,1)</f>
        <v xml:space="preserve"> </v>
      </c>
      <c r="L45" s="37" t="str">
        <f>MID(VstupHlavička!$B$10,5,1)</f>
        <v>5</v>
      </c>
      <c r="M45" s="37" t="str">
        <f>MID(VstupHlavička!$B$10,6,1)</f>
        <v>3</v>
      </c>
      <c r="N45" s="37" t="str">
        <f>MID(VstupHlavička!$B$10,7,1)</f>
        <v>7</v>
      </c>
      <c r="O45" s="37" t="str">
        <f>MID(VstupHlavička!$B$10,8,1)</f>
        <v>6</v>
      </c>
      <c r="P45" s="37" t="str">
        <f>MID(VstupHlavička!$B$10,9,1)</f>
        <v>3</v>
      </c>
      <c r="Q45" s="37" t="str">
        <f>MID(VstupHlavička!$B$10,10,1)</f>
        <v>1</v>
      </c>
      <c r="R45" s="37" t="str">
        <f>MID(VstupHlavička!$B$10,11,1)</f>
        <v>0</v>
      </c>
      <c r="S45" s="37" t="str">
        <f>MID(VstupHlavička!$B$10,12,1)</f>
        <v/>
      </c>
      <c r="T45" s="37" t="str">
        <f>MID(VstupHlavička!$B$10,13,1)</f>
        <v/>
      </c>
      <c r="U45" s="37" t="str">
        <f>MID(VstupHlavička!$B$10,14,1)</f>
        <v/>
      </c>
      <c r="V45" s="44"/>
      <c r="W45" s="26"/>
      <c r="X45" s="37" t="str">
        <f>MID(VstupHlavička!$B$11,1,1)</f>
        <v/>
      </c>
      <c r="Y45" s="37" t="str">
        <f>MID(VstupHlavička!$B$11,2,1)</f>
        <v/>
      </c>
      <c r="Z45" s="37" t="str">
        <f>MID(VstupHlavička!$B$11,3,1)</f>
        <v/>
      </c>
      <c r="AA45" s="37" t="str">
        <f>MID(VstupHlavička!$B$11,4,1)</f>
        <v/>
      </c>
      <c r="AB45" s="37" t="str">
        <f>MID(VstupHlavička!$B$11,5,1)</f>
        <v/>
      </c>
      <c r="AC45" s="37" t="str">
        <f>MID(VstupHlavička!$B$11,6,1)</f>
        <v/>
      </c>
      <c r="AD45" s="37" t="str">
        <f>MID(VstupHlavička!$B$11,7,1)</f>
        <v/>
      </c>
      <c r="AE45" s="37" t="str">
        <f>MID(VstupHlavička!$B$11,8,1)</f>
        <v/>
      </c>
      <c r="AF45" s="37" t="str">
        <f>MID(VstupHlavička!$B$11,9,1)</f>
        <v/>
      </c>
      <c r="AG45" s="37" t="str">
        <f>MID(VstupHlavička!$B$11,10,1)</f>
        <v/>
      </c>
      <c r="AH45" s="37" t="str">
        <f>MID(VstupHlavička!$B$11,11,1)</f>
        <v/>
      </c>
      <c r="AI45" s="37" t="str">
        <f>MID(VstupHlavička!$B$11,12,1)</f>
        <v/>
      </c>
      <c r="AJ45" s="37" t="str">
        <f>MID(VstupHlavička!$B$11,13,1)</f>
        <v/>
      </c>
      <c r="AK45" s="37" t="str">
        <f>MID(VstupHlavička!$B$11,14,1)</f>
        <v/>
      </c>
      <c r="AL45" s="44"/>
      <c r="AM45" s="45"/>
      <c r="AN45" s="45"/>
      <c r="AO45" s="45"/>
      <c r="AP45" s="45"/>
      <c r="AQ45" s="45"/>
      <c r="AR45" s="26"/>
    </row>
    <row r="46" spans="1:44" x14ac:dyDescent="0.25">
      <c r="H46" s="44"/>
      <c r="I46" s="44"/>
      <c r="J46" s="44"/>
      <c r="K46" s="44"/>
      <c r="L46" s="44"/>
      <c r="M46" s="44"/>
      <c r="N46" s="44"/>
      <c r="O46" s="45"/>
      <c r="P46" s="44"/>
      <c r="Q46" s="44"/>
      <c r="R46" s="44"/>
      <c r="S46" s="44"/>
      <c r="T46" s="44"/>
      <c r="U46" s="44"/>
      <c r="V46" s="44"/>
      <c r="W46" s="44"/>
      <c r="X46" s="44"/>
      <c r="Y46" s="44"/>
      <c r="Z46" s="45"/>
      <c r="AA46" s="44"/>
      <c r="AB46" s="44"/>
      <c r="AC46" s="44"/>
      <c r="AD46" s="44"/>
      <c r="AE46" s="44"/>
      <c r="AF46" s="44"/>
      <c r="AG46" s="44"/>
      <c r="AH46" s="44"/>
      <c r="AI46" s="44"/>
      <c r="AJ46" s="44"/>
      <c r="AK46" s="44"/>
      <c r="AL46" s="44"/>
      <c r="AM46" s="45"/>
      <c r="AN46" s="45"/>
      <c r="AO46" s="45"/>
      <c r="AP46" s="45"/>
      <c r="AQ46" s="45"/>
      <c r="AR46" s="26"/>
    </row>
    <row r="47" spans="1:44" x14ac:dyDescent="0.25">
      <c r="A47" s="26">
        <v>31</v>
      </c>
      <c r="H47" s="33" t="str">
        <f>IF(VLOOKUP($A47,PrekladHlav!$A:$H,1)=$A47,VLOOKUP($A47,PrekladHlav!$A:$H,SUVAHAVUJ!$B$1),0)</f>
        <v>E-mailová adresa</v>
      </c>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45"/>
      <c r="AM47" s="45"/>
      <c r="AN47" s="45"/>
      <c r="AO47" s="45"/>
      <c r="AP47" s="45"/>
      <c r="AQ47" s="45"/>
      <c r="AR47" s="26"/>
    </row>
    <row r="48" spans="1:44" x14ac:dyDescent="0.25">
      <c r="H48" s="37" t="str">
        <f>MID(VstupHlavička!$B$12,1,1)</f>
        <v>p</v>
      </c>
      <c r="I48" s="37" t="str">
        <f>MID(VstupHlavička!$B$12,2,1)</f>
        <v>d</v>
      </c>
      <c r="J48" s="37" t="str">
        <f>MID(VstupHlavička!$B$12,3,1)</f>
        <v>h</v>
      </c>
      <c r="K48" s="37" t="str">
        <f>MID(VstupHlavička!$B$12,4,1)</f>
        <v>u</v>
      </c>
      <c r="L48" s="37" t="str">
        <f>MID(VstupHlavička!$B$12,5,1)</f>
        <v>t</v>
      </c>
      <c r="M48" s="37" t="str">
        <f>MID(VstupHlavička!$B$12,6,1)</f>
        <v>a</v>
      </c>
      <c r="N48" s="37" t="str">
        <f>MID(VstupHlavička!$B$12,7,1)</f>
        <v>@</v>
      </c>
      <c r="O48" s="37" t="str">
        <f>MID(VstupHlavička!$B$12,8,1)</f>
        <v>g</v>
      </c>
      <c r="P48" s="37" t="str">
        <f>MID(VstupHlavička!$B$12,9,1)</f>
        <v>m</v>
      </c>
      <c r="Q48" s="37" t="str">
        <f>MID(VstupHlavička!$B$12,10,1)</f>
        <v>a</v>
      </c>
      <c r="R48" s="37" t="str">
        <f>MID(VstupHlavička!$B$12,11,1)</f>
        <v>i</v>
      </c>
      <c r="S48" s="37" t="str">
        <f>MID(VstupHlavička!$B$12,12,1)</f>
        <v>l</v>
      </c>
      <c r="T48" s="37" t="str">
        <f>MID(VstupHlavička!$B$12,13,1)</f>
        <v>.</v>
      </c>
      <c r="U48" s="37" t="str">
        <f>MID(VstupHlavička!$B$12,14,1)</f>
        <v>c</v>
      </c>
      <c r="V48" s="37" t="str">
        <f>MID(VstupHlavička!$B$12,15,1)</f>
        <v>o</v>
      </c>
      <c r="W48" s="37" t="str">
        <f>MID(VstupHlavička!$B$12,16,1)</f>
        <v>m</v>
      </c>
      <c r="X48" s="37" t="str">
        <f>MID(VstupHlavička!$B$12,17,1)</f>
        <v/>
      </c>
      <c r="Y48" s="37" t="str">
        <f>MID(VstupHlavička!$B$12,18,1)</f>
        <v/>
      </c>
      <c r="Z48" s="37" t="str">
        <f>MID(VstupHlavička!$B$12,19,1)</f>
        <v/>
      </c>
      <c r="AA48" s="37" t="str">
        <f>MID(VstupHlavička!$B$12,20,1)</f>
        <v/>
      </c>
      <c r="AB48" s="37" t="str">
        <f>MID(VstupHlavička!$B$12,21,1)</f>
        <v/>
      </c>
      <c r="AC48" s="37" t="str">
        <f>MID(VstupHlavička!$B$12,22,1)</f>
        <v/>
      </c>
      <c r="AD48" s="37" t="str">
        <f>MID(VstupHlavička!$B$12,23,1)</f>
        <v/>
      </c>
      <c r="AE48" s="37" t="str">
        <f>MID(VstupHlavička!$B$12,24,1)</f>
        <v/>
      </c>
      <c r="AF48" s="37" t="str">
        <f>MID(VstupHlavička!$B$12,25,1)</f>
        <v/>
      </c>
      <c r="AG48" s="37" t="str">
        <f>MID(VstupHlavička!$B$12,26,1)</f>
        <v/>
      </c>
      <c r="AH48" s="37" t="str">
        <f>MID(VstupHlavička!$B$12,27,1)</f>
        <v/>
      </c>
      <c r="AI48" s="37" t="str">
        <f>MID(VstupHlavička!$B$12,28,1)</f>
        <v/>
      </c>
      <c r="AJ48" s="37" t="str">
        <f>MID(VstupHlavička!$B$12,29,1)</f>
        <v/>
      </c>
      <c r="AK48" s="37" t="str">
        <f>MID(VstupHlavička!$B$12,30,1)</f>
        <v/>
      </c>
      <c r="AL48" s="45"/>
      <c r="AM48" s="45"/>
      <c r="AN48" s="45"/>
      <c r="AO48" s="45"/>
      <c r="AP48" s="45"/>
      <c r="AQ48" s="45"/>
      <c r="AR48" s="26"/>
    </row>
    <row r="49" spans="1:44" x14ac:dyDescent="0.25">
      <c r="H49" s="26"/>
      <c r="I49" s="26"/>
      <c r="J49" s="26"/>
      <c r="K49" s="26"/>
      <c r="L49" s="26"/>
      <c r="M49" s="26"/>
      <c r="N49" s="26"/>
      <c r="O49" s="26"/>
      <c r="P49" s="26"/>
      <c r="Q49" s="26"/>
      <c r="R49" s="26"/>
      <c r="S49" s="26"/>
      <c r="T49" s="26"/>
      <c r="U49" s="26"/>
      <c r="V49" s="26"/>
      <c r="W49" s="26"/>
      <c r="X49" s="28"/>
      <c r="Y49" s="28"/>
      <c r="Z49" s="28"/>
      <c r="AA49" s="28"/>
      <c r="AB49" s="28"/>
      <c r="AC49" s="28"/>
      <c r="AD49" s="28"/>
      <c r="AE49" s="28"/>
      <c r="AF49" s="28"/>
      <c r="AG49" s="28"/>
      <c r="AH49" s="28"/>
      <c r="AI49" s="28"/>
      <c r="AJ49" s="28"/>
      <c r="AK49" s="28"/>
      <c r="AL49" s="28"/>
      <c r="AM49" s="28"/>
      <c r="AN49" s="28"/>
      <c r="AO49" s="28"/>
      <c r="AP49" s="28"/>
      <c r="AQ49" s="28"/>
      <c r="AR49" s="26"/>
    </row>
    <row r="50" spans="1:44" ht="12.75" customHeight="1" x14ac:dyDescent="0.25">
      <c r="A50" s="26">
        <v>32</v>
      </c>
      <c r="B50" s="26">
        <v>33</v>
      </c>
      <c r="C50" s="26">
        <v>34</v>
      </c>
      <c r="H50" s="47" t="str">
        <f>IF(VLOOKUP($A50,PrekladHlav!$A:$H,1)=$A50,VLOOKUP($A50,PrekladHlav!$A:$H,SUVAHAVUJ!B1),0)</f>
        <v>Zostavená dňa:</v>
      </c>
      <c r="I50" s="48"/>
      <c r="J50" s="48"/>
      <c r="K50" s="48"/>
      <c r="L50" s="48"/>
      <c r="M50" s="48"/>
      <c r="N50" s="3" t="s">
        <v>36</v>
      </c>
      <c r="O50" s="3"/>
      <c r="P50" s="3"/>
      <c r="Q50" s="3"/>
      <c r="R50" s="3"/>
      <c r="S50" s="3"/>
      <c r="T50" s="3"/>
      <c r="U50" s="3"/>
      <c r="V50" s="3"/>
      <c r="W50" s="3"/>
      <c r="X50" s="2" t="s">
        <v>37</v>
      </c>
      <c r="Y50" s="2"/>
      <c r="Z50" s="2"/>
      <c r="AA50" s="2"/>
      <c r="AB50" s="2"/>
      <c r="AC50" s="2"/>
      <c r="AD50" s="2"/>
      <c r="AE50" s="2"/>
      <c r="AF50" s="2"/>
      <c r="AG50" s="2"/>
      <c r="AH50" s="2" t="s">
        <v>38</v>
      </c>
      <c r="AI50" s="2"/>
      <c r="AJ50" s="2"/>
      <c r="AK50" s="2"/>
      <c r="AL50" s="2"/>
      <c r="AM50" s="2"/>
      <c r="AN50" s="2"/>
      <c r="AO50" s="2"/>
      <c r="AP50" s="2"/>
      <c r="AQ50" s="2"/>
      <c r="AR50" s="26"/>
    </row>
    <row r="51" spans="1:44" x14ac:dyDescent="0.25">
      <c r="H51" s="1">
        <f>IFERROR(VstupHlavička!$B$13,"0 ")</f>
        <v>0</v>
      </c>
      <c r="I51" s="1"/>
      <c r="J51" s="1"/>
      <c r="K51" s="1"/>
      <c r="L51" s="1"/>
      <c r="M51" s="1"/>
      <c r="N51" s="3"/>
      <c r="O51" s="3"/>
      <c r="P51" s="3"/>
      <c r="Q51" s="3"/>
      <c r="R51" s="3"/>
      <c r="S51" s="3"/>
      <c r="T51" s="3"/>
      <c r="U51" s="3"/>
      <c r="V51" s="3"/>
      <c r="W51" s="3"/>
      <c r="X51" s="2"/>
      <c r="Y51" s="2"/>
      <c r="Z51" s="2"/>
      <c r="AA51" s="2"/>
      <c r="AB51" s="2"/>
      <c r="AC51" s="2"/>
      <c r="AD51" s="2"/>
      <c r="AE51" s="2"/>
      <c r="AF51" s="2"/>
      <c r="AG51" s="2"/>
      <c r="AH51" s="2"/>
      <c r="AI51" s="2"/>
      <c r="AJ51" s="2"/>
      <c r="AK51" s="2"/>
      <c r="AL51" s="2"/>
      <c r="AM51" s="2"/>
      <c r="AN51" s="2"/>
      <c r="AO51" s="2"/>
      <c r="AP51" s="2"/>
      <c r="AQ51" s="2"/>
      <c r="AR51" s="26"/>
    </row>
    <row r="52" spans="1:44" x14ac:dyDescent="0.25">
      <c r="H52" s="1"/>
      <c r="I52" s="1"/>
      <c r="J52" s="1"/>
      <c r="K52" s="1"/>
      <c r="L52" s="1"/>
      <c r="M52" s="1"/>
      <c r="N52" s="3"/>
      <c r="O52" s="3"/>
      <c r="P52" s="3"/>
      <c r="Q52" s="3"/>
      <c r="R52" s="3"/>
      <c r="S52" s="3"/>
      <c r="T52" s="3"/>
      <c r="U52" s="3"/>
      <c r="V52" s="3"/>
      <c r="W52" s="3"/>
      <c r="X52" s="2"/>
      <c r="Y52" s="2"/>
      <c r="Z52" s="2"/>
      <c r="AA52" s="2"/>
      <c r="AB52" s="2"/>
      <c r="AC52" s="2"/>
      <c r="AD52" s="2"/>
      <c r="AE52" s="2"/>
      <c r="AF52" s="2"/>
      <c r="AG52" s="2"/>
      <c r="AH52" s="2"/>
      <c r="AI52" s="2"/>
      <c r="AJ52" s="2"/>
      <c r="AK52" s="2"/>
      <c r="AL52" s="2"/>
      <c r="AM52" s="2"/>
      <c r="AN52" s="2"/>
      <c r="AO52" s="2"/>
      <c r="AP52" s="2"/>
      <c r="AQ52" s="2"/>
      <c r="AR52" s="26"/>
    </row>
    <row r="53" spans="1:44" x14ac:dyDescent="0.25">
      <c r="H53" s="1"/>
      <c r="I53" s="1"/>
      <c r="J53" s="1"/>
      <c r="K53" s="1"/>
      <c r="L53" s="1"/>
      <c r="M53" s="1"/>
      <c r="N53" s="3"/>
      <c r="O53" s="3"/>
      <c r="P53" s="3"/>
      <c r="Q53" s="3"/>
      <c r="R53" s="3"/>
      <c r="S53" s="3"/>
      <c r="T53" s="3"/>
      <c r="U53" s="3"/>
      <c r="V53" s="3"/>
      <c r="W53" s="3"/>
      <c r="X53" s="2"/>
      <c r="Y53" s="2"/>
      <c r="Z53" s="2"/>
      <c r="AA53" s="2"/>
      <c r="AB53" s="2"/>
      <c r="AC53" s="2"/>
      <c r="AD53" s="2"/>
      <c r="AE53" s="2"/>
      <c r="AF53" s="2"/>
      <c r="AG53" s="2"/>
      <c r="AH53" s="2"/>
      <c r="AI53" s="2"/>
      <c r="AJ53" s="2"/>
      <c r="AK53" s="2"/>
      <c r="AL53" s="2"/>
      <c r="AM53" s="2"/>
      <c r="AN53" s="2"/>
      <c r="AO53" s="2"/>
      <c r="AP53" s="2"/>
      <c r="AQ53" s="2"/>
      <c r="AR53" s="26"/>
    </row>
    <row r="54" spans="1:44" x14ac:dyDescent="0.25">
      <c r="H54" s="48" t="str">
        <f>IF(VLOOKUP($B50,PrekladHlav!$A:$H,1)=$B50,VLOOKUP($B50,PrekladHlav!$A:$H,SUVAHAVUJ!B1),0)</f>
        <v>Schválená dňa:</v>
      </c>
      <c r="I54" s="49"/>
      <c r="J54" s="49"/>
      <c r="K54" s="49"/>
      <c r="L54" s="49"/>
      <c r="M54" s="49"/>
      <c r="N54" s="3"/>
      <c r="O54" s="3"/>
      <c r="P54" s="3"/>
      <c r="Q54" s="3"/>
      <c r="R54" s="3"/>
      <c r="S54" s="3"/>
      <c r="T54" s="3"/>
      <c r="U54" s="3"/>
      <c r="V54" s="3"/>
      <c r="W54" s="3"/>
      <c r="X54" s="2"/>
      <c r="Y54" s="2"/>
      <c r="Z54" s="2"/>
      <c r="AA54" s="2"/>
      <c r="AB54" s="2"/>
      <c r="AC54" s="2"/>
      <c r="AD54" s="2"/>
      <c r="AE54" s="2"/>
      <c r="AF54" s="2"/>
      <c r="AG54" s="2"/>
      <c r="AH54" s="2"/>
      <c r="AI54" s="2"/>
      <c r="AJ54" s="2"/>
      <c r="AK54" s="2"/>
      <c r="AL54" s="2"/>
      <c r="AM54" s="2"/>
      <c r="AN54" s="2"/>
      <c r="AO54" s="2"/>
      <c r="AP54" s="2"/>
      <c r="AQ54" s="2"/>
      <c r="AR54" s="26"/>
    </row>
    <row r="55" spans="1:44" x14ac:dyDescent="0.25">
      <c r="H55" s="1">
        <f>VstupHlavička!$B$14</f>
        <v>0</v>
      </c>
      <c r="I55" s="1"/>
      <c r="J55" s="1"/>
      <c r="K55" s="1"/>
      <c r="L55" s="1"/>
      <c r="M55" s="1"/>
      <c r="N55" s="3"/>
      <c r="O55" s="3"/>
      <c r="P55" s="3"/>
      <c r="Q55" s="3"/>
      <c r="R55" s="3"/>
      <c r="S55" s="3"/>
      <c r="T55" s="3"/>
      <c r="U55" s="3"/>
      <c r="V55" s="3"/>
      <c r="W55" s="3"/>
      <c r="X55" s="2"/>
      <c r="Y55" s="2"/>
      <c r="Z55" s="2"/>
      <c r="AA55" s="2"/>
      <c r="AB55" s="2"/>
      <c r="AC55" s="2"/>
      <c r="AD55" s="2"/>
      <c r="AE55" s="2"/>
      <c r="AF55" s="2"/>
      <c r="AG55" s="2"/>
      <c r="AH55" s="2"/>
      <c r="AI55" s="2"/>
      <c r="AJ55" s="2"/>
      <c r="AK55" s="2"/>
      <c r="AL55" s="2"/>
      <c r="AM55" s="2"/>
      <c r="AN55" s="2"/>
      <c r="AO55" s="2"/>
      <c r="AP55" s="2"/>
      <c r="AQ55" s="2"/>
      <c r="AR55" s="26"/>
    </row>
    <row r="56" spans="1:44" x14ac:dyDescent="0.25">
      <c r="H56" s="1"/>
      <c r="I56" s="1"/>
      <c r="J56" s="1"/>
      <c r="K56" s="1"/>
      <c r="L56" s="1"/>
      <c r="M56" s="1"/>
      <c r="N56" s="3"/>
      <c r="O56" s="3"/>
      <c r="P56" s="3"/>
      <c r="Q56" s="3"/>
      <c r="R56" s="3"/>
      <c r="S56" s="3"/>
      <c r="T56" s="3"/>
      <c r="U56" s="3"/>
      <c r="V56" s="3"/>
      <c r="W56" s="3"/>
      <c r="X56" s="2"/>
      <c r="Y56" s="2"/>
      <c r="Z56" s="2"/>
      <c r="AA56" s="2"/>
      <c r="AB56" s="2"/>
      <c r="AC56" s="2"/>
      <c r="AD56" s="2"/>
      <c r="AE56" s="2"/>
      <c r="AF56" s="2"/>
      <c r="AG56" s="2"/>
      <c r="AH56" s="2"/>
      <c r="AI56" s="2"/>
      <c r="AJ56" s="2"/>
      <c r="AK56" s="2"/>
      <c r="AL56" s="2"/>
      <c r="AM56" s="2"/>
      <c r="AN56" s="2"/>
      <c r="AO56" s="2"/>
      <c r="AP56" s="2"/>
      <c r="AQ56" s="2"/>
      <c r="AR56" s="26"/>
    </row>
    <row r="57" spans="1:44" x14ac:dyDescent="0.25">
      <c r="H57" s="1"/>
      <c r="I57" s="1"/>
      <c r="J57" s="1"/>
      <c r="K57" s="1"/>
      <c r="L57" s="1"/>
      <c r="M57" s="1"/>
      <c r="N57" s="3"/>
      <c r="O57" s="3"/>
      <c r="P57" s="3"/>
      <c r="Q57" s="3"/>
      <c r="R57" s="3"/>
      <c r="S57" s="3"/>
      <c r="T57" s="3"/>
      <c r="U57" s="3"/>
      <c r="V57" s="3"/>
      <c r="W57" s="3"/>
      <c r="X57" s="2"/>
      <c r="Y57" s="2"/>
      <c r="Z57" s="2"/>
      <c r="AA57" s="2"/>
      <c r="AB57" s="2"/>
      <c r="AC57" s="2"/>
      <c r="AD57" s="2"/>
      <c r="AE57" s="2"/>
      <c r="AF57" s="2"/>
      <c r="AG57" s="2"/>
      <c r="AH57" s="2"/>
      <c r="AI57" s="2"/>
      <c r="AJ57" s="2"/>
      <c r="AK57" s="2"/>
      <c r="AL57" s="2"/>
      <c r="AM57" s="2"/>
      <c r="AN57" s="2"/>
      <c r="AO57" s="2"/>
      <c r="AP57" s="2"/>
      <c r="AQ57" s="2"/>
      <c r="AR57" s="26"/>
    </row>
    <row r="58" spans="1:44" x14ac:dyDescent="0.25">
      <c r="H58" s="1"/>
      <c r="I58" s="1"/>
      <c r="J58" s="1"/>
      <c r="K58" s="1"/>
      <c r="L58" s="1"/>
      <c r="M58" s="1"/>
      <c r="N58" s="3"/>
      <c r="O58" s="3"/>
      <c r="P58" s="3"/>
      <c r="Q58" s="3"/>
      <c r="R58" s="3"/>
      <c r="S58" s="3"/>
      <c r="T58" s="3"/>
      <c r="U58" s="3"/>
      <c r="V58" s="3"/>
      <c r="W58" s="3"/>
      <c r="X58" s="2"/>
      <c r="Y58" s="2"/>
      <c r="Z58" s="2"/>
      <c r="AA58" s="2"/>
      <c r="AB58" s="2"/>
      <c r="AC58" s="2"/>
      <c r="AD58" s="2"/>
      <c r="AE58" s="2"/>
      <c r="AF58" s="2"/>
      <c r="AG58" s="2"/>
      <c r="AH58" s="2"/>
      <c r="AI58" s="2"/>
      <c r="AJ58" s="2"/>
      <c r="AK58" s="2"/>
      <c r="AL58" s="2"/>
      <c r="AM58" s="2"/>
      <c r="AN58" s="2"/>
      <c r="AO58" s="2"/>
      <c r="AP58" s="2"/>
      <c r="AQ58" s="2"/>
      <c r="AR58" s="26"/>
    </row>
  </sheetData>
  <sheetProtection sheet="1" objects="1" scenarios="1" formatCells="0" formatColumns="0" formatRows="0" insertColumns="0" insertRows="0" deleteColumns="0" deleteRows="0"/>
  <mergeCells count="15">
    <mergeCell ref="H51:M53"/>
    <mergeCell ref="H55:M58"/>
    <mergeCell ref="AH14:AP14"/>
    <mergeCell ref="AH19:AP21"/>
    <mergeCell ref="N50:W58"/>
    <mergeCell ref="X50:AG58"/>
    <mergeCell ref="AH50:AQ58"/>
    <mergeCell ref="AR1:AX1"/>
    <mergeCell ref="I3:L3"/>
    <mergeCell ref="P4:AF5"/>
    <mergeCell ref="N7:AG7"/>
    <mergeCell ref="S8:T8"/>
    <mergeCell ref="V8:W8"/>
    <mergeCell ref="Y8:Z8"/>
    <mergeCell ref="AB8:AD8"/>
  </mergeCells>
  <pageMargins left="0.70833333333333304" right="0.70833333333333304" top="0.78749999999999998" bottom="0.78749999999999998" header="0.51180555555555496" footer="0.51180555555555496"/>
  <pageSetup paperSize="9" firstPageNumber="0"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Normal="100" workbookViewId="0"/>
  </sheetViews>
  <sheetFormatPr defaultRowHeight="15" x14ac:dyDescent="0.25"/>
  <cols>
    <col min="1" max="1025" width="0.42578125" customWidth="1"/>
  </cols>
  <sheetData>
    <row r="1" spans="1:205" ht="3.75" customHeight="1" x14ac:dyDescent="0.25">
      <c r="A1" s="642"/>
    </row>
    <row r="2" spans="1:205" ht="25.5" customHeight="1" x14ac:dyDescent="0.25">
      <c r="B2" s="643"/>
      <c r="C2" s="644"/>
      <c r="D2" s="644"/>
      <c r="E2" s="644"/>
      <c r="F2" s="644"/>
      <c r="G2" s="644"/>
      <c r="H2" s="644"/>
      <c r="I2" s="957" t="s">
        <v>5346</v>
      </c>
      <c r="J2" s="957"/>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K2" s="958" t="s">
        <v>2327</v>
      </c>
      <c r="AL2" s="958"/>
      <c r="AM2" s="958"/>
      <c r="AN2" s="958"/>
      <c r="AO2" s="958"/>
      <c r="AP2" s="958"/>
      <c r="AQ2" s="958"/>
      <c r="AR2" s="958"/>
      <c r="AS2" s="645"/>
      <c r="AT2" s="986" t="str">
        <f>'S 002'!$AT$2</f>
        <v>2020473411</v>
      </c>
      <c r="AU2" s="986"/>
      <c r="AV2" s="986"/>
      <c r="AW2" s="986"/>
      <c r="AX2" s="986"/>
      <c r="AY2" s="986"/>
      <c r="AZ2" s="986"/>
      <c r="BA2" s="986"/>
      <c r="BB2" s="986"/>
      <c r="BC2" s="986"/>
      <c r="BD2" s="986"/>
      <c r="BE2" s="986"/>
      <c r="BF2" s="986"/>
      <c r="BG2" s="986"/>
      <c r="BH2" s="986"/>
      <c r="BI2" s="986"/>
      <c r="BJ2" s="986"/>
      <c r="BK2" s="986"/>
      <c r="BL2" s="986"/>
      <c r="BM2" s="986"/>
      <c r="BN2" s="986"/>
      <c r="BO2" s="986"/>
      <c r="BP2" s="986"/>
      <c r="BQ2" s="986"/>
      <c r="BR2" s="986"/>
      <c r="BS2" s="986"/>
      <c r="BT2" s="986"/>
      <c r="BU2" s="986"/>
      <c r="BV2" s="986"/>
      <c r="BW2" s="986"/>
      <c r="BX2" s="986"/>
      <c r="BY2" s="986"/>
      <c r="BZ2" s="986"/>
      <c r="CA2" s="986"/>
      <c r="CB2" s="986"/>
      <c r="CC2" s="986"/>
      <c r="CD2" s="986"/>
      <c r="CE2" s="986"/>
      <c r="CF2" s="986"/>
      <c r="CG2" s="986"/>
      <c r="CH2" s="986"/>
      <c r="CI2" s="986"/>
      <c r="CJ2" s="986"/>
      <c r="CK2" s="986"/>
      <c r="CL2" s="986"/>
      <c r="CM2" s="986"/>
      <c r="CN2" s="986"/>
      <c r="CO2" s="986"/>
      <c r="CP2" s="986"/>
      <c r="CQ2" s="986"/>
      <c r="CR2" s="986"/>
      <c r="CS2" s="986"/>
      <c r="CT2" s="645"/>
      <c r="CU2" s="646"/>
      <c r="CW2" s="958" t="s">
        <v>5</v>
      </c>
      <c r="CX2" s="958"/>
      <c r="CY2" s="958"/>
      <c r="CZ2" s="958"/>
      <c r="DA2" s="958"/>
      <c r="DB2" s="958"/>
      <c r="DC2" s="958"/>
      <c r="DD2" s="645"/>
      <c r="DE2" s="986" t="str">
        <f>'S 002'!$DE$2</f>
        <v>00651052</v>
      </c>
      <c r="DF2" s="986"/>
      <c r="DG2" s="986"/>
      <c r="DH2" s="986"/>
      <c r="DI2" s="986"/>
      <c r="DJ2" s="986"/>
      <c r="DK2" s="986"/>
      <c r="DL2" s="986"/>
      <c r="DM2" s="986"/>
      <c r="DN2" s="986"/>
      <c r="DO2" s="986"/>
      <c r="DP2" s="986"/>
      <c r="DQ2" s="986"/>
      <c r="DR2" s="986"/>
      <c r="DS2" s="986"/>
      <c r="DT2" s="986"/>
      <c r="DU2" s="986"/>
      <c r="DV2" s="986"/>
      <c r="DW2" s="986"/>
      <c r="DX2" s="986"/>
      <c r="DY2" s="986"/>
      <c r="DZ2" s="986"/>
      <c r="EA2" s="986"/>
      <c r="EB2" s="986"/>
      <c r="EC2" s="986"/>
      <c r="ED2" s="986"/>
      <c r="EE2" s="986"/>
      <c r="EF2" s="986"/>
      <c r="EG2" s="986"/>
      <c r="EH2" s="986"/>
      <c r="EI2" s="986"/>
      <c r="EJ2" s="986"/>
      <c r="EK2" s="986"/>
      <c r="EL2" s="986"/>
      <c r="EM2" s="986"/>
      <c r="EN2" s="986"/>
      <c r="EO2" s="986"/>
      <c r="EP2" s="986"/>
      <c r="EQ2" s="986"/>
      <c r="ER2" s="986"/>
      <c r="ES2" s="986"/>
      <c r="ET2" s="986"/>
      <c r="EU2" s="986"/>
      <c r="EV2" s="645"/>
      <c r="EW2" s="646"/>
      <c r="GQ2" s="644"/>
      <c r="GR2" s="644"/>
      <c r="GS2" s="644"/>
      <c r="GT2" s="644"/>
      <c r="GU2" s="644"/>
      <c r="GV2" s="644"/>
      <c r="GW2" s="647"/>
    </row>
    <row r="3" spans="1:205" ht="3" customHeight="1" x14ac:dyDescent="0.25"/>
    <row r="4" spans="1:205" ht="11.25" customHeight="1" x14ac:dyDescent="0.3">
      <c r="B4" s="960" t="s">
        <v>5340</v>
      </c>
      <c r="C4" s="960"/>
      <c r="D4" s="960"/>
      <c r="E4" s="960"/>
      <c r="F4" s="960"/>
      <c r="G4" s="960"/>
      <c r="H4" s="960"/>
      <c r="I4" s="960"/>
      <c r="J4" s="960"/>
      <c r="K4" s="960"/>
      <c r="L4" s="961" t="s">
        <v>5341</v>
      </c>
      <c r="M4" s="961"/>
      <c r="N4" s="961"/>
      <c r="O4" s="961"/>
      <c r="P4" s="961"/>
      <c r="Q4" s="961"/>
      <c r="R4" s="961"/>
      <c r="S4" s="961"/>
      <c r="T4" s="961"/>
      <c r="U4" s="961"/>
      <c r="V4" s="961"/>
      <c r="W4" s="961"/>
      <c r="X4" s="961"/>
      <c r="Y4" s="961"/>
      <c r="Z4" s="961"/>
      <c r="AA4" s="961"/>
      <c r="AB4" s="961"/>
      <c r="AC4" s="961"/>
      <c r="AD4" s="961"/>
      <c r="AE4" s="961"/>
      <c r="AF4" s="961"/>
      <c r="AG4" s="961"/>
      <c r="AH4" s="961"/>
      <c r="AI4" s="961"/>
      <c r="AJ4" s="961"/>
      <c r="AK4" s="961"/>
      <c r="AL4" s="961"/>
      <c r="AM4" s="961"/>
      <c r="AN4" s="961"/>
      <c r="AO4" s="961"/>
      <c r="AP4" s="961"/>
      <c r="AQ4" s="962" t="str">
        <f>'S 003'!AQ4</f>
        <v>Číslo riadku</v>
      </c>
      <c r="AR4" s="962"/>
      <c r="AS4" s="962"/>
      <c r="AT4" s="962"/>
      <c r="AU4" s="962"/>
      <c r="AV4" s="962"/>
      <c r="AW4" s="962"/>
      <c r="AX4" s="962"/>
      <c r="AY4" s="963" t="str">
        <f>'S 003'!AY4</f>
        <v>Bežné účtovné obdobie</v>
      </c>
      <c r="AZ4" s="963"/>
      <c r="BA4" s="963"/>
      <c r="BB4" s="963"/>
      <c r="BC4" s="963"/>
      <c r="BD4" s="963"/>
      <c r="BE4" s="963"/>
      <c r="BF4" s="963"/>
      <c r="BG4" s="963"/>
      <c r="BH4" s="963"/>
      <c r="BI4" s="963"/>
      <c r="BJ4" s="963"/>
      <c r="BK4" s="963"/>
      <c r="BL4" s="963"/>
      <c r="BM4" s="963"/>
      <c r="BN4" s="963"/>
      <c r="BO4" s="963"/>
      <c r="BP4" s="963"/>
      <c r="BQ4" s="963"/>
      <c r="BR4" s="963"/>
      <c r="BS4" s="963"/>
      <c r="BT4" s="963"/>
      <c r="BU4" s="963"/>
      <c r="BV4" s="963"/>
      <c r="BW4" s="963"/>
      <c r="BX4" s="963"/>
      <c r="BY4" s="963"/>
      <c r="BZ4" s="963"/>
      <c r="CA4" s="963"/>
      <c r="CB4" s="963"/>
      <c r="CC4" s="963"/>
      <c r="CD4" s="963"/>
      <c r="CE4" s="963"/>
      <c r="CF4" s="963"/>
      <c r="CG4" s="963"/>
      <c r="CH4" s="963"/>
      <c r="CI4" s="963"/>
      <c r="CJ4" s="963"/>
      <c r="CK4" s="963"/>
      <c r="CL4" s="963"/>
      <c r="CM4" s="963"/>
      <c r="CN4" s="963"/>
      <c r="CO4" s="963"/>
      <c r="CP4" s="963"/>
      <c r="CQ4" s="963"/>
      <c r="CR4" s="963"/>
      <c r="CS4" s="963"/>
      <c r="CT4" s="963"/>
      <c r="CU4" s="963"/>
      <c r="CV4" s="963"/>
      <c r="CW4" s="963"/>
      <c r="CX4" s="963"/>
      <c r="CY4" s="963"/>
      <c r="CZ4" s="963"/>
      <c r="DA4" s="963"/>
      <c r="DB4" s="963"/>
      <c r="DC4" s="963"/>
      <c r="DD4" s="963"/>
      <c r="DE4" s="963"/>
      <c r="DF4" s="963"/>
      <c r="DG4" s="963"/>
      <c r="DH4" s="963"/>
      <c r="DI4" s="963"/>
      <c r="DJ4" s="963"/>
      <c r="DK4" s="963"/>
      <c r="DL4" s="963"/>
      <c r="DM4" s="963"/>
      <c r="DN4" s="963"/>
      <c r="DO4" s="963"/>
      <c r="DP4" s="963"/>
      <c r="DQ4" s="963"/>
      <c r="DR4" s="963"/>
      <c r="DS4" s="963"/>
      <c r="DT4" s="963"/>
      <c r="DU4" s="963"/>
      <c r="DV4" s="963"/>
      <c r="DW4" s="963"/>
      <c r="DX4" s="963"/>
      <c r="DY4" s="963"/>
      <c r="DZ4" s="963"/>
      <c r="EA4" s="963"/>
      <c r="EB4" s="963"/>
      <c r="EC4" s="963"/>
      <c r="ED4" s="963"/>
      <c r="EE4" s="963"/>
      <c r="EF4" s="963"/>
      <c r="EG4" s="963"/>
      <c r="EH4" s="963"/>
      <c r="EI4" s="963"/>
      <c r="EJ4" s="963"/>
      <c r="EK4" s="963"/>
      <c r="EL4" s="963"/>
      <c r="EM4" s="963"/>
      <c r="EN4" s="963"/>
      <c r="EO4" s="963"/>
      <c r="EP4" s="963"/>
      <c r="EQ4" s="963"/>
      <c r="ER4" s="963"/>
      <c r="ES4" s="963"/>
      <c r="ET4" s="963"/>
      <c r="EU4" s="963"/>
      <c r="EV4" s="963"/>
      <c r="EW4" s="963"/>
      <c r="EX4" s="963"/>
      <c r="EY4" s="963"/>
      <c r="EZ4" s="963"/>
      <c r="FA4" s="963"/>
      <c r="FB4" s="963"/>
      <c r="FC4" s="987">
        <f>'S 003'!FC4</f>
        <v>0</v>
      </c>
      <c r="FD4" s="987"/>
      <c r="FE4" s="987"/>
      <c r="FF4" s="987"/>
      <c r="FG4" s="987"/>
      <c r="FH4" s="987"/>
      <c r="FI4" s="987"/>
      <c r="FJ4" s="987"/>
      <c r="FK4" s="987"/>
      <c r="FL4" s="987"/>
      <c r="FM4" s="987"/>
      <c r="FN4" s="987"/>
      <c r="FO4" s="987"/>
      <c r="FP4" s="987"/>
      <c r="FQ4" s="987"/>
      <c r="FR4" s="987"/>
      <c r="FS4" s="987"/>
      <c r="FT4" s="987"/>
      <c r="FU4" s="987"/>
      <c r="FV4" s="987"/>
      <c r="FW4" s="987"/>
      <c r="FX4" s="987"/>
      <c r="FY4" s="987"/>
      <c r="FZ4" s="987"/>
      <c r="GA4" s="987"/>
      <c r="GB4" s="987"/>
      <c r="GC4" s="987"/>
      <c r="GD4" s="987"/>
      <c r="GE4" s="987"/>
      <c r="GF4" s="987"/>
      <c r="GG4" s="987"/>
      <c r="GH4" s="987"/>
      <c r="GI4" s="987"/>
      <c r="GJ4" s="987"/>
      <c r="GK4" s="987"/>
      <c r="GL4" s="987"/>
      <c r="GM4" s="987"/>
      <c r="GN4" s="987"/>
      <c r="GO4" s="987"/>
      <c r="GP4" s="987"/>
      <c r="GQ4" s="987"/>
      <c r="GR4" s="987"/>
      <c r="GS4" s="987"/>
      <c r="GT4" s="987"/>
      <c r="GU4" s="987"/>
      <c r="GV4" s="987"/>
      <c r="GW4" s="987"/>
    </row>
    <row r="5" spans="1:205" ht="11.25" customHeight="1" x14ac:dyDescent="0.3">
      <c r="B5" s="965" t="s">
        <v>5342</v>
      </c>
      <c r="C5" s="965"/>
      <c r="D5" s="965"/>
      <c r="E5" s="965"/>
      <c r="F5" s="965"/>
      <c r="G5" s="965"/>
      <c r="H5" s="965"/>
      <c r="I5" s="965"/>
      <c r="J5" s="965"/>
      <c r="K5" s="965"/>
      <c r="L5" s="961"/>
      <c r="M5" s="961"/>
      <c r="N5" s="961"/>
      <c r="O5" s="961"/>
      <c r="P5" s="961"/>
      <c r="Q5" s="961"/>
      <c r="R5" s="961"/>
      <c r="S5" s="961"/>
      <c r="T5" s="961"/>
      <c r="U5" s="961"/>
      <c r="V5" s="961"/>
      <c r="W5" s="961"/>
      <c r="X5" s="961"/>
      <c r="Y5" s="961"/>
      <c r="Z5" s="961"/>
      <c r="AA5" s="961"/>
      <c r="AB5" s="961"/>
      <c r="AC5" s="961"/>
      <c r="AD5" s="961"/>
      <c r="AE5" s="961"/>
      <c r="AF5" s="961"/>
      <c r="AG5" s="961"/>
      <c r="AH5" s="961"/>
      <c r="AI5" s="961"/>
      <c r="AJ5" s="961"/>
      <c r="AK5" s="961"/>
      <c r="AL5" s="961"/>
      <c r="AM5" s="961"/>
      <c r="AN5" s="961"/>
      <c r="AO5" s="961"/>
      <c r="AP5" s="961"/>
      <c r="AQ5" s="962"/>
      <c r="AR5" s="962"/>
      <c r="AS5" s="962"/>
      <c r="AT5" s="962"/>
      <c r="AU5" s="962"/>
      <c r="AV5" s="962"/>
      <c r="AW5" s="962"/>
      <c r="AX5" s="962"/>
      <c r="AY5" s="966">
        <f>'S 003'!AY5</f>
        <v>0</v>
      </c>
      <c r="AZ5" s="966"/>
      <c r="BA5" s="966"/>
      <c r="BB5" s="966"/>
      <c r="BC5" s="966"/>
      <c r="BD5" s="966"/>
      <c r="BE5" s="967" t="str">
        <f>'S 003'!BE5</f>
        <v>Brutto-časť 1</v>
      </c>
      <c r="BF5" s="967"/>
      <c r="BG5" s="967"/>
      <c r="BH5" s="967"/>
      <c r="BI5" s="967"/>
      <c r="BJ5" s="967"/>
      <c r="BK5" s="967"/>
      <c r="BL5" s="967"/>
      <c r="BM5" s="967"/>
      <c r="BN5" s="967"/>
      <c r="BO5" s="967"/>
      <c r="BP5" s="967"/>
      <c r="BQ5" s="967"/>
      <c r="BR5" s="967"/>
      <c r="BS5" s="967"/>
      <c r="BT5" s="967"/>
      <c r="BU5" s="967"/>
      <c r="BV5" s="967"/>
      <c r="BW5" s="967"/>
      <c r="BX5" s="967"/>
      <c r="BY5" s="967"/>
      <c r="BZ5" s="967"/>
      <c r="CA5" s="967"/>
      <c r="CB5" s="967"/>
      <c r="CC5" s="967"/>
      <c r="CD5" s="967"/>
      <c r="CE5" s="967"/>
      <c r="CF5" s="967"/>
      <c r="CG5" s="967"/>
      <c r="CH5" s="967"/>
      <c r="CI5" s="967"/>
      <c r="CJ5" s="967"/>
      <c r="CK5" s="967"/>
      <c r="CL5" s="967"/>
      <c r="CM5" s="967"/>
      <c r="CN5" s="967"/>
      <c r="CO5" s="967"/>
      <c r="CP5" s="967"/>
      <c r="CQ5" s="967"/>
      <c r="CR5" s="967"/>
      <c r="CS5" s="967"/>
      <c r="CT5" s="967"/>
      <c r="CU5" s="967"/>
      <c r="CV5" s="967"/>
      <c r="CW5" s="967"/>
      <c r="CX5" s="967"/>
      <c r="CY5" s="967"/>
      <c r="CZ5" s="967"/>
      <c r="DA5" s="967"/>
      <c r="DB5" s="967"/>
      <c r="DC5" s="967"/>
      <c r="DD5" s="967"/>
      <c r="DE5" s="967"/>
      <c r="DF5" s="967"/>
      <c r="DG5" s="967"/>
      <c r="DH5" s="967"/>
      <c r="DI5" s="967"/>
      <c r="DJ5" s="963" t="str">
        <f>'S 003'!DJ5</f>
        <v>Netto</v>
      </c>
      <c r="DK5" s="963"/>
      <c r="DL5" s="963"/>
      <c r="DM5" s="963"/>
      <c r="DN5" s="963"/>
      <c r="DO5" s="963"/>
      <c r="DP5" s="963"/>
      <c r="DQ5" s="963"/>
      <c r="DR5" s="963"/>
      <c r="DS5" s="963"/>
      <c r="DT5" s="963"/>
      <c r="DU5" s="963"/>
      <c r="DV5" s="963"/>
      <c r="DW5" s="963"/>
      <c r="DX5" s="963"/>
      <c r="DY5" s="963"/>
      <c r="DZ5" s="963"/>
      <c r="EA5" s="963"/>
      <c r="EB5" s="963"/>
      <c r="EC5" s="963"/>
      <c r="ED5" s="963"/>
      <c r="EE5" s="963"/>
      <c r="EF5" s="963"/>
      <c r="EG5" s="963"/>
      <c r="EH5" s="963"/>
      <c r="EI5" s="963"/>
      <c r="EJ5" s="963"/>
      <c r="EK5" s="963"/>
      <c r="EL5" s="963"/>
      <c r="EM5" s="963"/>
      <c r="EN5" s="963"/>
      <c r="EO5" s="963"/>
      <c r="EP5" s="963"/>
      <c r="EQ5" s="963"/>
      <c r="ER5" s="963"/>
      <c r="ES5" s="963"/>
      <c r="ET5" s="963"/>
      <c r="EU5" s="963"/>
      <c r="EV5" s="963"/>
      <c r="EW5" s="963"/>
      <c r="EX5" s="963"/>
      <c r="EY5" s="963"/>
      <c r="EZ5" s="963"/>
      <c r="FA5" s="963"/>
      <c r="FB5" s="963"/>
      <c r="FC5" s="987"/>
      <c r="FD5" s="987"/>
      <c r="FE5" s="987"/>
      <c r="FF5" s="987"/>
      <c r="FG5" s="987"/>
      <c r="FH5" s="987"/>
      <c r="FI5" s="987"/>
      <c r="FJ5" s="987"/>
      <c r="FK5" s="987"/>
      <c r="FL5" s="987"/>
      <c r="FM5" s="987"/>
      <c r="FN5" s="987"/>
      <c r="FO5" s="987"/>
      <c r="FP5" s="987"/>
      <c r="FQ5" s="987"/>
      <c r="FR5" s="987"/>
      <c r="FS5" s="987"/>
      <c r="FT5" s="987"/>
      <c r="FU5" s="987"/>
      <c r="FV5" s="987"/>
      <c r="FW5" s="987"/>
      <c r="FX5" s="987"/>
      <c r="FY5" s="987"/>
      <c r="FZ5" s="987"/>
      <c r="GA5" s="987"/>
      <c r="GB5" s="987"/>
      <c r="GC5" s="987"/>
      <c r="GD5" s="987"/>
      <c r="GE5" s="987"/>
      <c r="GF5" s="987"/>
      <c r="GG5" s="987"/>
      <c r="GH5" s="987"/>
      <c r="GI5" s="987"/>
      <c r="GJ5" s="987"/>
      <c r="GK5" s="987"/>
      <c r="GL5" s="987"/>
      <c r="GM5" s="987"/>
      <c r="GN5" s="987"/>
      <c r="GO5" s="987"/>
      <c r="GP5" s="987"/>
      <c r="GQ5" s="987"/>
      <c r="GR5" s="987"/>
      <c r="GS5" s="987"/>
      <c r="GT5" s="987"/>
      <c r="GU5" s="987"/>
      <c r="GV5" s="987"/>
      <c r="GW5" s="987"/>
    </row>
    <row r="6" spans="1:205" ht="10.5" customHeight="1" x14ac:dyDescent="0.3">
      <c r="B6" s="969" t="s">
        <v>1323</v>
      </c>
      <c r="C6" s="969"/>
      <c r="D6" s="969"/>
      <c r="E6" s="969"/>
      <c r="F6" s="969"/>
      <c r="G6" s="969"/>
      <c r="H6" s="969"/>
      <c r="I6" s="969"/>
      <c r="J6" s="969"/>
      <c r="K6" s="969"/>
      <c r="L6" s="961"/>
      <c r="M6" s="961"/>
      <c r="N6" s="961"/>
      <c r="O6" s="961"/>
      <c r="P6" s="961"/>
      <c r="Q6" s="961"/>
      <c r="R6" s="961"/>
      <c r="S6" s="961"/>
      <c r="T6" s="961"/>
      <c r="U6" s="961"/>
      <c r="V6" s="961"/>
      <c r="W6" s="961"/>
      <c r="X6" s="961"/>
      <c r="Y6" s="961"/>
      <c r="Z6" s="961"/>
      <c r="AA6" s="961"/>
      <c r="AB6" s="961"/>
      <c r="AC6" s="961"/>
      <c r="AD6" s="961"/>
      <c r="AE6" s="961"/>
      <c r="AF6" s="961"/>
      <c r="AG6" s="961"/>
      <c r="AH6" s="961"/>
      <c r="AI6" s="961"/>
      <c r="AJ6" s="961"/>
      <c r="AK6" s="961"/>
      <c r="AL6" s="961"/>
      <c r="AM6" s="961"/>
      <c r="AN6" s="961"/>
      <c r="AO6" s="961"/>
      <c r="AP6" s="961"/>
      <c r="AQ6" s="962"/>
      <c r="AR6" s="962"/>
      <c r="AS6" s="962"/>
      <c r="AT6" s="962"/>
      <c r="AU6" s="962"/>
      <c r="AV6" s="962"/>
      <c r="AW6" s="962"/>
      <c r="AX6" s="962"/>
      <c r="AY6" s="966"/>
      <c r="AZ6" s="966"/>
      <c r="BA6" s="966"/>
      <c r="BB6" s="966"/>
      <c r="BC6" s="966"/>
      <c r="BD6" s="966"/>
      <c r="BE6" s="970" t="str">
        <f>'S 003'!BE6</f>
        <v>Oprávky</v>
      </c>
      <c r="BF6" s="970"/>
      <c r="BG6" s="970"/>
      <c r="BH6" s="970"/>
      <c r="BI6" s="970"/>
      <c r="BJ6" s="970"/>
      <c r="BK6" s="970"/>
      <c r="BL6" s="970"/>
      <c r="BM6" s="970"/>
      <c r="BN6" s="970"/>
      <c r="BO6" s="970"/>
      <c r="BP6" s="970"/>
      <c r="BQ6" s="970"/>
      <c r="BR6" s="970"/>
      <c r="BS6" s="970"/>
      <c r="BT6" s="970"/>
      <c r="BU6" s="970"/>
      <c r="BV6" s="970"/>
      <c r="BW6" s="970"/>
      <c r="BX6" s="970"/>
      <c r="BY6" s="970"/>
      <c r="BZ6" s="970"/>
      <c r="CA6" s="970"/>
      <c r="CB6" s="970"/>
      <c r="CC6" s="970"/>
      <c r="CD6" s="970"/>
      <c r="CE6" s="970"/>
      <c r="CF6" s="970"/>
      <c r="CG6" s="970"/>
      <c r="CH6" s="970"/>
      <c r="CI6" s="970"/>
      <c r="CJ6" s="970"/>
      <c r="CK6" s="970"/>
      <c r="CL6" s="970"/>
      <c r="CM6" s="970"/>
      <c r="CN6" s="970"/>
      <c r="CO6" s="970"/>
      <c r="CP6" s="970"/>
      <c r="CQ6" s="970"/>
      <c r="CR6" s="970"/>
      <c r="CS6" s="970"/>
      <c r="CT6" s="970"/>
      <c r="CU6" s="970"/>
      <c r="CV6" s="970"/>
      <c r="CW6" s="970"/>
      <c r="CX6" s="970"/>
      <c r="CY6" s="970"/>
      <c r="CZ6" s="970"/>
      <c r="DA6" s="970"/>
      <c r="DB6" s="970"/>
      <c r="DC6" s="970"/>
      <c r="DD6" s="970"/>
      <c r="DE6" s="970"/>
      <c r="DF6" s="970"/>
      <c r="DG6" s="970"/>
      <c r="DH6" s="970"/>
      <c r="DI6" s="970"/>
      <c r="DJ6" s="963">
        <f>'S 003'!DJ6</f>
        <v>0</v>
      </c>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963"/>
      <c r="EU6" s="963"/>
      <c r="EV6" s="963"/>
      <c r="EW6" s="963"/>
      <c r="EX6" s="963"/>
      <c r="EY6" s="963"/>
      <c r="EZ6" s="963"/>
      <c r="FA6" s="963"/>
      <c r="FB6" s="963"/>
      <c r="FC6" s="988" t="str">
        <f>'S 003'!FC6</f>
        <v>Netto</v>
      </c>
      <c r="FD6" s="988"/>
      <c r="FE6" s="988"/>
      <c r="FF6" s="988"/>
      <c r="FG6" s="988"/>
      <c r="FH6" s="988"/>
      <c r="FI6" s="988"/>
      <c r="FJ6" s="988"/>
      <c r="FK6" s="988"/>
      <c r="FL6" s="988"/>
      <c r="FM6" s="988"/>
      <c r="FN6" s="988"/>
      <c r="FO6" s="988"/>
      <c r="FP6" s="988"/>
      <c r="FQ6" s="988"/>
      <c r="FR6" s="988"/>
      <c r="FS6" s="988"/>
      <c r="FT6" s="988"/>
      <c r="FU6" s="988"/>
      <c r="FV6" s="988"/>
      <c r="FW6" s="988"/>
      <c r="FX6" s="988"/>
      <c r="FY6" s="988"/>
      <c r="FZ6" s="988"/>
      <c r="GA6" s="988"/>
      <c r="GB6" s="988"/>
      <c r="GC6" s="988"/>
      <c r="GD6" s="988"/>
      <c r="GE6" s="988"/>
      <c r="GF6" s="988"/>
      <c r="GG6" s="988"/>
      <c r="GH6" s="988"/>
      <c r="GI6" s="988"/>
      <c r="GJ6" s="988"/>
      <c r="GK6" s="988"/>
      <c r="GL6" s="988"/>
      <c r="GM6" s="988"/>
      <c r="GN6" s="988"/>
      <c r="GO6" s="988"/>
      <c r="GP6" s="988"/>
      <c r="GQ6" s="988"/>
      <c r="GR6" s="988"/>
      <c r="GS6" s="988"/>
      <c r="GT6" s="988"/>
      <c r="GU6" s="988"/>
      <c r="GV6" s="988"/>
      <c r="GW6" s="988"/>
    </row>
    <row r="7" spans="1:205" s="650" customFormat="1" ht="25.5" customHeight="1" x14ac:dyDescent="0.3">
      <c r="B7" s="985" t="s">
        <v>2199</v>
      </c>
      <c r="C7" s="985"/>
      <c r="D7" s="985"/>
      <c r="E7" s="985"/>
      <c r="F7" s="985"/>
      <c r="G7" s="985"/>
      <c r="H7" s="985"/>
      <c r="I7" s="985"/>
      <c r="J7" s="985"/>
      <c r="K7" s="985"/>
      <c r="L7" s="990" t="str">
        <f>SUVAHAVUJ!$D$45</f>
        <v>Pohľadávky z obchodného styku voči prepojeným účtovným jednotkám (311A, 312A, 313A, 314A, 315A, 31XA) - /391A/</v>
      </c>
      <c r="M7" s="990"/>
      <c r="N7" s="990"/>
      <c r="O7" s="990"/>
      <c r="P7" s="990"/>
      <c r="Q7" s="990"/>
      <c r="R7" s="990"/>
      <c r="S7" s="990"/>
      <c r="T7" s="990"/>
      <c r="U7" s="990"/>
      <c r="V7" s="990"/>
      <c r="W7" s="990"/>
      <c r="X7" s="990"/>
      <c r="Y7" s="990"/>
      <c r="Z7" s="990"/>
      <c r="AA7" s="990"/>
      <c r="AB7" s="990"/>
      <c r="AC7" s="990"/>
      <c r="AD7" s="990"/>
      <c r="AE7" s="990"/>
      <c r="AF7" s="990"/>
      <c r="AG7" s="990"/>
      <c r="AH7" s="990"/>
      <c r="AI7" s="990"/>
      <c r="AJ7" s="990"/>
      <c r="AK7" s="990"/>
      <c r="AL7" s="990"/>
      <c r="AM7" s="990"/>
      <c r="AN7" s="990"/>
      <c r="AO7" s="990"/>
      <c r="AP7" s="990"/>
      <c r="AQ7" s="975" t="s">
        <v>1250</v>
      </c>
      <c r="AR7" s="975"/>
      <c r="AS7" s="975"/>
      <c r="AT7" s="975"/>
      <c r="AU7" s="975"/>
      <c r="AV7" s="975"/>
      <c r="AW7" s="975"/>
      <c r="AX7" s="975"/>
      <c r="AY7" s="648"/>
      <c r="AZ7" s="649"/>
      <c r="BA7" s="976" t="str">
        <f>MID(SUVAHAVUJ!AD45,1,1)</f>
        <v xml:space="preserve"> </v>
      </c>
      <c r="BB7" s="976"/>
      <c r="BC7" s="976"/>
      <c r="BD7" s="976"/>
      <c r="BE7" s="976"/>
      <c r="BF7" s="976"/>
      <c r="BG7" s="976" t="str">
        <f>MID(SUVAHAVUJ!AD45,2,1)</f>
        <v xml:space="preserve"> </v>
      </c>
      <c r="BH7" s="976"/>
      <c r="BI7" s="976"/>
      <c r="BJ7" s="976"/>
      <c r="BK7" s="976"/>
      <c r="BL7" s="976" t="str">
        <f>MID(SUVAHAVUJ!AD45,3,1)</f>
        <v xml:space="preserve"> </v>
      </c>
      <c r="BM7" s="976"/>
      <c r="BN7" s="976"/>
      <c r="BO7" s="976"/>
      <c r="BP7" s="976"/>
      <c r="BQ7" s="976"/>
      <c r="BR7" s="976" t="str">
        <f>MID(SUVAHAVUJ!AD45,4,1)</f>
        <v xml:space="preserve"> </v>
      </c>
      <c r="BS7" s="976"/>
      <c r="BT7" s="976"/>
      <c r="BU7" s="976"/>
      <c r="BV7" s="976"/>
      <c r="BW7" s="976" t="str">
        <f>MID(SUVAHAVUJ!AD45,5,1)</f>
        <v xml:space="preserve"> </v>
      </c>
      <c r="BX7" s="976"/>
      <c r="BY7" s="976"/>
      <c r="BZ7" s="976"/>
      <c r="CA7" s="976"/>
      <c r="CB7" s="976"/>
      <c r="CC7" s="976" t="str">
        <f>MID(SUVAHAVUJ!AD45,6,1)</f>
        <v xml:space="preserve"> </v>
      </c>
      <c r="CD7" s="976"/>
      <c r="CE7" s="976"/>
      <c r="CF7" s="976"/>
      <c r="CG7" s="976"/>
      <c r="CH7" s="976" t="str">
        <f>MID(SUVAHAVUJ!AD45,7,1)</f>
        <v xml:space="preserve"> </v>
      </c>
      <c r="CI7" s="976"/>
      <c r="CJ7" s="976"/>
      <c r="CK7" s="976"/>
      <c r="CL7" s="976"/>
      <c r="CM7" s="976"/>
      <c r="CN7" s="976" t="str">
        <f>MID(SUVAHAVUJ!AD45,8,1)</f>
        <v xml:space="preserve"> </v>
      </c>
      <c r="CO7" s="976"/>
      <c r="CP7" s="976"/>
      <c r="CQ7" s="976"/>
      <c r="CR7" s="976"/>
      <c r="CS7" s="976" t="str">
        <f>MID(SUVAHAVUJ!AD45,9,1)</f>
        <v xml:space="preserve"> </v>
      </c>
      <c r="CT7" s="976"/>
      <c r="CU7" s="976"/>
      <c r="CV7" s="976"/>
      <c r="CW7" s="976"/>
      <c r="CX7" s="976"/>
      <c r="CY7" s="976" t="str">
        <f>MID(SUVAHAVUJ!AD45,10,1)</f>
        <v xml:space="preserve"> </v>
      </c>
      <c r="CZ7" s="976"/>
      <c r="DA7" s="976"/>
      <c r="DB7" s="976"/>
      <c r="DC7" s="976"/>
      <c r="DD7" s="977" t="str">
        <f>MID(SUVAHAVUJ!AD45,11,1)</f>
        <v>0</v>
      </c>
      <c r="DE7" s="977"/>
      <c r="DF7" s="977"/>
      <c r="DG7" s="977"/>
      <c r="DH7" s="977"/>
      <c r="DI7" s="977"/>
      <c r="DJ7" s="648"/>
      <c r="DK7" s="649"/>
      <c r="DL7" s="976" t="str">
        <f>MID(SUVAHAVUJ!AF45,1,1)</f>
        <v xml:space="preserve"> </v>
      </c>
      <c r="DM7" s="976"/>
      <c r="DN7" s="976"/>
      <c r="DO7" s="976"/>
      <c r="DP7" s="976"/>
      <c r="DQ7" s="976"/>
      <c r="DR7" s="976" t="str">
        <f>MID(SUVAHAVUJ!AF45,2,1)</f>
        <v xml:space="preserve"> </v>
      </c>
      <c r="DS7" s="976"/>
      <c r="DT7" s="976"/>
      <c r="DU7" s="976"/>
      <c r="DV7" s="976"/>
      <c r="DW7" s="976" t="str">
        <f>MID(SUVAHAVUJ!AF45,3,1)</f>
        <v xml:space="preserve"> </v>
      </c>
      <c r="DX7" s="976"/>
      <c r="DY7" s="976"/>
      <c r="DZ7" s="976"/>
      <c r="EA7" s="976"/>
      <c r="EB7" s="976"/>
      <c r="EC7" s="976" t="str">
        <f>MID(SUVAHAVUJ!AF45,4,1)</f>
        <v xml:space="preserve"> </v>
      </c>
      <c r="ED7" s="976"/>
      <c r="EE7" s="976"/>
      <c r="EF7" s="976"/>
      <c r="EG7" s="976"/>
      <c r="EH7" s="976" t="str">
        <f>MID(SUVAHAVUJ!AF45,5,1)</f>
        <v xml:space="preserve"> </v>
      </c>
      <c r="EI7" s="976"/>
      <c r="EJ7" s="976"/>
      <c r="EK7" s="976"/>
      <c r="EL7" s="976"/>
      <c r="EM7" s="976"/>
      <c r="EN7" s="976" t="str">
        <f>MID(SUVAHAVUJ!AF45,6,1)</f>
        <v xml:space="preserve"> </v>
      </c>
      <c r="EO7" s="976"/>
      <c r="EP7" s="976"/>
      <c r="EQ7" s="976"/>
      <c r="ER7" s="976"/>
      <c r="ES7" s="976" t="str">
        <f>MID(SUVAHAVUJ!AF45,7,1)</f>
        <v xml:space="preserve"> </v>
      </c>
      <c r="ET7" s="976"/>
      <c r="EU7" s="976"/>
      <c r="EV7" s="976"/>
      <c r="EW7" s="976"/>
      <c r="EX7" s="976"/>
      <c r="EY7" s="976" t="str">
        <f>MID(SUVAHAVUJ!AF45,8,1)</f>
        <v xml:space="preserve"> </v>
      </c>
      <c r="EZ7" s="976"/>
      <c r="FA7" s="976"/>
      <c r="FB7" s="976"/>
      <c r="FC7" s="976"/>
      <c r="FD7" s="976" t="str">
        <f>MID(SUVAHAVUJ!AF45,9,1)</f>
        <v xml:space="preserve"> </v>
      </c>
      <c r="FE7" s="976"/>
      <c r="FF7" s="976"/>
      <c r="FG7" s="976"/>
      <c r="FH7" s="976"/>
      <c r="FI7" s="976"/>
      <c r="FJ7" s="976" t="str">
        <f>MID(SUVAHAVUJ!AF45,10,1)</f>
        <v xml:space="preserve"> </v>
      </c>
      <c r="FK7" s="976"/>
      <c r="FL7" s="976"/>
      <c r="FM7" s="976"/>
      <c r="FN7" s="976"/>
      <c r="FO7" s="978" t="str">
        <f>MID(SUVAHAVUJ!AF45,11,1)</f>
        <v>0</v>
      </c>
      <c r="FP7" s="978"/>
      <c r="FQ7" s="978"/>
      <c r="FR7" s="978"/>
      <c r="FS7" s="978"/>
      <c r="FT7" s="979"/>
      <c r="FU7" s="979"/>
      <c r="FV7" s="979"/>
      <c r="FW7" s="979"/>
      <c r="FX7" s="979"/>
      <c r="FY7" s="979"/>
      <c r="FZ7" s="979"/>
      <c r="GA7" s="979"/>
      <c r="GB7" s="979"/>
      <c r="GC7" s="979"/>
      <c r="GD7" s="979"/>
      <c r="GE7" s="979"/>
      <c r="GF7" s="979"/>
      <c r="GG7" s="979"/>
      <c r="GH7" s="979"/>
      <c r="GI7" s="979"/>
      <c r="GJ7" s="979"/>
      <c r="GK7" s="979"/>
      <c r="GL7" s="979"/>
      <c r="GM7" s="979"/>
      <c r="GN7" s="979"/>
      <c r="GO7" s="979"/>
      <c r="GP7" s="979"/>
      <c r="GQ7" s="979"/>
      <c r="GR7" s="979"/>
      <c r="GS7" s="979"/>
      <c r="GT7" s="979"/>
      <c r="GU7" s="979"/>
      <c r="GV7" s="979"/>
      <c r="GW7" s="979"/>
    </row>
    <row r="8" spans="1:205" ht="22.5" customHeight="1" x14ac:dyDescent="0.3">
      <c r="B8" s="985"/>
      <c r="C8" s="985"/>
      <c r="D8" s="985"/>
      <c r="E8" s="985"/>
      <c r="F8" s="985"/>
      <c r="G8" s="985"/>
      <c r="H8" s="985"/>
      <c r="I8" s="985"/>
      <c r="J8" s="985"/>
      <c r="K8" s="985"/>
      <c r="L8" s="990"/>
      <c r="M8" s="990"/>
      <c r="N8" s="990"/>
      <c r="O8" s="990"/>
      <c r="P8" s="990"/>
      <c r="Q8" s="990"/>
      <c r="R8" s="990"/>
      <c r="S8" s="990"/>
      <c r="T8" s="990"/>
      <c r="U8" s="990"/>
      <c r="V8" s="990"/>
      <c r="W8" s="990"/>
      <c r="X8" s="990"/>
      <c r="Y8" s="990"/>
      <c r="Z8" s="990"/>
      <c r="AA8" s="990"/>
      <c r="AB8" s="990"/>
      <c r="AC8" s="990"/>
      <c r="AD8" s="990"/>
      <c r="AE8" s="990"/>
      <c r="AF8" s="990"/>
      <c r="AG8" s="990"/>
      <c r="AH8" s="990"/>
      <c r="AI8" s="990"/>
      <c r="AJ8" s="990"/>
      <c r="AK8" s="990"/>
      <c r="AL8" s="990"/>
      <c r="AM8" s="990"/>
      <c r="AN8" s="990"/>
      <c r="AO8" s="990"/>
      <c r="AP8" s="990"/>
      <c r="AQ8" s="975"/>
      <c r="AR8" s="975"/>
      <c r="AS8" s="975"/>
      <c r="AT8" s="975"/>
      <c r="AU8" s="975"/>
      <c r="AV8" s="975"/>
      <c r="AW8" s="975"/>
      <c r="AX8" s="975"/>
      <c r="AY8" s="648"/>
      <c r="AZ8" s="649"/>
      <c r="BA8" s="976" t="str">
        <f>MID(SUVAHAVUJ!AE45,1,1)</f>
        <v xml:space="preserve"> </v>
      </c>
      <c r="BB8" s="976"/>
      <c r="BC8" s="976"/>
      <c r="BD8" s="976"/>
      <c r="BE8" s="976"/>
      <c r="BF8" s="976"/>
      <c r="BG8" s="976" t="str">
        <f>MID(SUVAHAVUJ!AE45,2,1)</f>
        <v xml:space="preserve"> </v>
      </c>
      <c r="BH8" s="976"/>
      <c r="BI8" s="976"/>
      <c r="BJ8" s="976"/>
      <c r="BK8" s="976"/>
      <c r="BL8" s="976" t="str">
        <f>MID(SUVAHAVUJ!AE45,3,1)</f>
        <v xml:space="preserve"> </v>
      </c>
      <c r="BM8" s="976"/>
      <c r="BN8" s="976"/>
      <c r="BO8" s="976"/>
      <c r="BP8" s="976"/>
      <c r="BQ8" s="976"/>
      <c r="BR8" s="976" t="str">
        <f>MID(SUVAHAVUJ!AE45,4,1)</f>
        <v xml:space="preserve"> </v>
      </c>
      <c r="BS8" s="976"/>
      <c r="BT8" s="976"/>
      <c r="BU8" s="976"/>
      <c r="BV8" s="976"/>
      <c r="BW8" s="976" t="str">
        <f>MID(SUVAHAVUJ!AE45,5,1)</f>
        <v xml:space="preserve"> </v>
      </c>
      <c r="BX8" s="976"/>
      <c r="BY8" s="976"/>
      <c r="BZ8" s="976"/>
      <c r="CA8" s="976"/>
      <c r="CB8" s="976"/>
      <c r="CC8" s="976" t="str">
        <f>MID(SUVAHAVUJ!AE45,6,1)</f>
        <v xml:space="preserve"> </v>
      </c>
      <c r="CD8" s="976"/>
      <c r="CE8" s="976"/>
      <c r="CF8" s="976"/>
      <c r="CG8" s="976"/>
      <c r="CH8" s="976" t="str">
        <f>MID(SUVAHAVUJ!AE45,7,1)</f>
        <v xml:space="preserve"> </v>
      </c>
      <c r="CI8" s="976"/>
      <c r="CJ8" s="976"/>
      <c r="CK8" s="976"/>
      <c r="CL8" s="976"/>
      <c r="CM8" s="976"/>
      <c r="CN8" s="976" t="str">
        <f>MID(SUVAHAVUJ!AE45,8,1)</f>
        <v xml:space="preserve"> </v>
      </c>
      <c r="CO8" s="976"/>
      <c r="CP8" s="976"/>
      <c r="CQ8" s="976"/>
      <c r="CR8" s="976"/>
      <c r="CS8" s="976" t="str">
        <f>MID(SUVAHAVUJ!AE45,9,1)</f>
        <v xml:space="preserve"> </v>
      </c>
      <c r="CT8" s="976"/>
      <c r="CU8" s="976"/>
      <c r="CV8" s="976"/>
      <c r="CW8" s="976"/>
      <c r="CX8" s="976"/>
      <c r="CY8" s="976" t="str">
        <f>MID(SUVAHAVUJ!AE45,10,1)</f>
        <v xml:space="preserve"> </v>
      </c>
      <c r="CZ8" s="976"/>
      <c r="DA8" s="976"/>
      <c r="DB8" s="976"/>
      <c r="DC8" s="976"/>
      <c r="DD8" s="977" t="str">
        <f>MID(SUVAHAVUJ!AE45,11,1)</f>
        <v>0</v>
      </c>
      <c r="DE8" s="977"/>
      <c r="DF8" s="977"/>
      <c r="DG8" s="977"/>
      <c r="DH8" s="977"/>
      <c r="DI8" s="977"/>
      <c r="DJ8" s="980"/>
      <c r="DK8" s="980"/>
      <c r="DL8" s="980"/>
      <c r="DM8" s="980"/>
      <c r="DN8" s="980"/>
      <c r="DO8" s="980"/>
      <c r="DP8" s="980"/>
      <c r="DQ8" s="980"/>
      <c r="DR8" s="980"/>
      <c r="DS8" s="980"/>
      <c r="DT8" s="980"/>
      <c r="DU8" s="980"/>
      <c r="DV8" s="980"/>
      <c r="DW8" s="980"/>
      <c r="DX8" s="980"/>
      <c r="DY8" s="980"/>
      <c r="DZ8" s="980"/>
      <c r="EA8" s="980"/>
      <c r="EB8" s="980"/>
      <c r="EC8" s="980"/>
      <c r="ED8" s="980"/>
      <c r="EE8" s="980"/>
      <c r="EF8" s="980"/>
      <c r="EG8" s="980"/>
      <c r="EH8" s="980"/>
      <c r="EI8" s="980"/>
      <c r="EJ8" s="980"/>
      <c r="EK8" s="980"/>
      <c r="EL8" s="980"/>
      <c r="EM8" s="980"/>
      <c r="EN8" s="648"/>
      <c r="EO8" s="649"/>
      <c r="EP8" s="976" t="str">
        <f>MID(SUVAHAVUJ!AG45,1,1)</f>
        <v xml:space="preserve"> </v>
      </c>
      <c r="EQ8" s="976"/>
      <c r="ER8" s="976"/>
      <c r="ES8" s="976"/>
      <c r="ET8" s="976"/>
      <c r="EU8" s="976"/>
      <c r="EV8" s="976" t="str">
        <f>MID(SUVAHAVUJ!AG45,2,1)</f>
        <v xml:space="preserve"> </v>
      </c>
      <c r="EW8" s="976"/>
      <c r="EX8" s="976"/>
      <c r="EY8" s="976"/>
      <c r="EZ8" s="976"/>
      <c r="FA8" s="976" t="str">
        <f>MID(SUVAHAVUJ!AG45,3,1)</f>
        <v xml:space="preserve"> </v>
      </c>
      <c r="FB8" s="976"/>
      <c r="FC8" s="976"/>
      <c r="FD8" s="976"/>
      <c r="FE8" s="976"/>
      <c r="FF8" s="976"/>
      <c r="FG8" s="976" t="str">
        <f>MID(SUVAHAVUJ!AG45,4,1)</f>
        <v xml:space="preserve"> </v>
      </c>
      <c r="FH8" s="976"/>
      <c r="FI8" s="976"/>
      <c r="FJ8" s="976"/>
      <c r="FK8" s="976"/>
      <c r="FL8" s="976" t="str">
        <f>MID(SUVAHAVUJ!AG45,5,1)</f>
        <v xml:space="preserve"> </v>
      </c>
      <c r="FM8" s="976"/>
      <c r="FN8" s="976"/>
      <c r="FO8" s="976"/>
      <c r="FP8" s="976"/>
      <c r="FQ8" s="976"/>
      <c r="FR8" s="976" t="str">
        <f>MID(SUVAHAVUJ!AG45,6,1)</f>
        <v xml:space="preserve"> </v>
      </c>
      <c r="FS8" s="976"/>
      <c r="FT8" s="976"/>
      <c r="FU8" s="976"/>
      <c r="FV8" s="976"/>
      <c r="FW8" s="976" t="str">
        <f>MID(SUVAHAVUJ!AG45,7,1)</f>
        <v xml:space="preserve"> </v>
      </c>
      <c r="FX8" s="976"/>
      <c r="FY8" s="976"/>
      <c r="FZ8" s="976"/>
      <c r="GA8" s="976"/>
      <c r="GB8" s="976"/>
      <c r="GC8" s="976" t="str">
        <f>MID(SUVAHAVUJ!AG45,8,1)</f>
        <v xml:space="preserve"> </v>
      </c>
      <c r="GD8" s="976"/>
      <c r="GE8" s="976"/>
      <c r="GF8" s="976"/>
      <c r="GG8" s="976"/>
      <c r="GH8" s="976" t="str">
        <f>MID(SUVAHAVUJ!AG45,9,1)</f>
        <v xml:space="preserve"> </v>
      </c>
      <c r="GI8" s="976"/>
      <c r="GJ8" s="976"/>
      <c r="GK8" s="976"/>
      <c r="GL8" s="976"/>
      <c r="GM8" s="976"/>
      <c r="GN8" s="976" t="str">
        <f>MID(SUVAHAVUJ!AG45,10,1)</f>
        <v xml:space="preserve"> </v>
      </c>
      <c r="GO8" s="976"/>
      <c r="GP8" s="976"/>
      <c r="GQ8" s="976"/>
      <c r="GR8" s="976"/>
      <c r="GS8" s="978" t="str">
        <f>MID(SUVAHAVUJ!AG45,11,1)</f>
        <v>0</v>
      </c>
      <c r="GT8" s="978"/>
      <c r="GU8" s="978"/>
      <c r="GV8" s="978"/>
      <c r="GW8" s="978"/>
    </row>
    <row r="9" spans="1:205" s="650" customFormat="1" ht="25.5" customHeight="1" x14ac:dyDescent="0.3">
      <c r="B9" s="985" t="s">
        <v>2200</v>
      </c>
      <c r="C9" s="985"/>
      <c r="D9" s="985"/>
      <c r="E9" s="985"/>
      <c r="F9" s="985"/>
      <c r="G9" s="985"/>
      <c r="H9" s="985"/>
      <c r="I9" s="985"/>
      <c r="J9" s="985"/>
      <c r="K9" s="985"/>
      <c r="L9" s="990" t="str">
        <f>SUVAHAVUJ!$D$46</f>
        <v>Pohľadávky z obchodného styku v rámci podielovej účasti okrem pohľadávok voči prepojeným účtovným jednotkám (311A, 312A, 313A, 314A, 315A, 31XA)
- /391A/</v>
      </c>
      <c r="M9" s="990"/>
      <c r="N9" s="990"/>
      <c r="O9" s="990"/>
      <c r="P9" s="990"/>
      <c r="Q9" s="990"/>
      <c r="R9" s="990"/>
      <c r="S9" s="990"/>
      <c r="T9" s="990"/>
      <c r="U9" s="990"/>
      <c r="V9" s="990"/>
      <c r="W9" s="990"/>
      <c r="X9" s="990"/>
      <c r="Y9" s="990"/>
      <c r="Z9" s="990"/>
      <c r="AA9" s="990"/>
      <c r="AB9" s="990"/>
      <c r="AC9" s="990"/>
      <c r="AD9" s="990"/>
      <c r="AE9" s="990"/>
      <c r="AF9" s="990"/>
      <c r="AG9" s="990"/>
      <c r="AH9" s="990"/>
      <c r="AI9" s="990"/>
      <c r="AJ9" s="990"/>
      <c r="AK9" s="990"/>
      <c r="AL9" s="990"/>
      <c r="AM9" s="990"/>
      <c r="AN9" s="990"/>
      <c r="AO9" s="990"/>
      <c r="AP9" s="990"/>
      <c r="AQ9" s="975" t="s">
        <v>1251</v>
      </c>
      <c r="AR9" s="975"/>
      <c r="AS9" s="975"/>
      <c r="AT9" s="975"/>
      <c r="AU9" s="975"/>
      <c r="AV9" s="975"/>
      <c r="AW9" s="975"/>
      <c r="AX9" s="975"/>
      <c r="AY9" s="648"/>
      <c r="AZ9" s="649"/>
      <c r="BA9" s="976" t="str">
        <f>MID(SUVAHAVUJ!AD46,1,1)</f>
        <v xml:space="preserve"> </v>
      </c>
      <c r="BB9" s="976"/>
      <c r="BC9" s="976"/>
      <c r="BD9" s="976"/>
      <c r="BE9" s="976"/>
      <c r="BF9" s="976"/>
      <c r="BG9" s="976" t="str">
        <f>MID(SUVAHAVUJ!AD46,2,1)</f>
        <v xml:space="preserve"> </v>
      </c>
      <c r="BH9" s="976"/>
      <c r="BI9" s="976"/>
      <c r="BJ9" s="976"/>
      <c r="BK9" s="976"/>
      <c r="BL9" s="976" t="str">
        <f>MID(SUVAHAVUJ!AD46,3,1)</f>
        <v xml:space="preserve"> </v>
      </c>
      <c r="BM9" s="976"/>
      <c r="BN9" s="976"/>
      <c r="BO9" s="976"/>
      <c r="BP9" s="976"/>
      <c r="BQ9" s="976"/>
      <c r="BR9" s="976" t="str">
        <f>MID(SUVAHAVUJ!AD46,4,1)</f>
        <v xml:space="preserve"> </v>
      </c>
      <c r="BS9" s="976"/>
      <c r="BT9" s="976"/>
      <c r="BU9" s="976"/>
      <c r="BV9" s="976"/>
      <c r="BW9" s="976" t="str">
        <f>MID(SUVAHAVUJ!AD46,5,1)</f>
        <v xml:space="preserve"> </v>
      </c>
      <c r="BX9" s="976"/>
      <c r="BY9" s="976"/>
      <c r="BZ9" s="976"/>
      <c r="CA9" s="976"/>
      <c r="CB9" s="976"/>
      <c r="CC9" s="976" t="str">
        <f>MID(SUVAHAVUJ!AD46,6,1)</f>
        <v xml:space="preserve"> </v>
      </c>
      <c r="CD9" s="976"/>
      <c r="CE9" s="976"/>
      <c r="CF9" s="976"/>
      <c r="CG9" s="976"/>
      <c r="CH9" s="976" t="str">
        <f>MID(SUVAHAVUJ!AD46,7,1)</f>
        <v xml:space="preserve"> </v>
      </c>
      <c r="CI9" s="976"/>
      <c r="CJ9" s="976"/>
      <c r="CK9" s="976"/>
      <c r="CL9" s="976"/>
      <c r="CM9" s="976"/>
      <c r="CN9" s="976" t="str">
        <f>MID(SUVAHAVUJ!AD46,8,1)</f>
        <v xml:space="preserve"> </v>
      </c>
      <c r="CO9" s="976"/>
      <c r="CP9" s="976"/>
      <c r="CQ9" s="976"/>
      <c r="CR9" s="976"/>
      <c r="CS9" s="976" t="str">
        <f>MID(SUVAHAVUJ!AD46,9,1)</f>
        <v xml:space="preserve"> </v>
      </c>
      <c r="CT9" s="976"/>
      <c r="CU9" s="976"/>
      <c r="CV9" s="976"/>
      <c r="CW9" s="976"/>
      <c r="CX9" s="976"/>
      <c r="CY9" s="976" t="str">
        <f>MID(SUVAHAVUJ!AD46,10,1)</f>
        <v xml:space="preserve"> </v>
      </c>
      <c r="CZ9" s="976"/>
      <c r="DA9" s="976"/>
      <c r="DB9" s="976"/>
      <c r="DC9" s="976"/>
      <c r="DD9" s="977" t="str">
        <f>MID(SUVAHAVUJ!AD46,11,1)</f>
        <v>0</v>
      </c>
      <c r="DE9" s="977"/>
      <c r="DF9" s="977"/>
      <c r="DG9" s="977"/>
      <c r="DH9" s="977"/>
      <c r="DI9" s="977"/>
      <c r="DJ9" s="648"/>
      <c r="DK9" s="649"/>
      <c r="DL9" s="976" t="str">
        <f>MID(SUVAHAVUJ!AF46,1,1)</f>
        <v xml:space="preserve"> </v>
      </c>
      <c r="DM9" s="976"/>
      <c r="DN9" s="976"/>
      <c r="DO9" s="976"/>
      <c r="DP9" s="976"/>
      <c r="DQ9" s="976"/>
      <c r="DR9" s="976" t="str">
        <f>MID(SUVAHAVUJ!AF46,2,1)</f>
        <v xml:space="preserve"> </v>
      </c>
      <c r="DS9" s="976"/>
      <c r="DT9" s="976"/>
      <c r="DU9" s="976"/>
      <c r="DV9" s="976"/>
      <c r="DW9" s="976" t="str">
        <f>MID(SUVAHAVUJ!AF46,3,1)</f>
        <v xml:space="preserve"> </v>
      </c>
      <c r="DX9" s="976"/>
      <c r="DY9" s="976"/>
      <c r="DZ9" s="976"/>
      <c r="EA9" s="976"/>
      <c r="EB9" s="976"/>
      <c r="EC9" s="976" t="str">
        <f>MID(SUVAHAVUJ!AF46,4,1)</f>
        <v xml:space="preserve"> </v>
      </c>
      <c r="ED9" s="976"/>
      <c r="EE9" s="976"/>
      <c r="EF9" s="976"/>
      <c r="EG9" s="976"/>
      <c r="EH9" s="976" t="str">
        <f>MID(SUVAHAVUJ!AF46,5,1)</f>
        <v xml:space="preserve"> </v>
      </c>
      <c r="EI9" s="976"/>
      <c r="EJ9" s="976"/>
      <c r="EK9" s="976"/>
      <c r="EL9" s="976"/>
      <c r="EM9" s="976"/>
      <c r="EN9" s="976" t="str">
        <f>MID(SUVAHAVUJ!AF46,6,1)</f>
        <v xml:space="preserve"> </v>
      </c>
      <c r="EO9" s="976"/>
      <c r="EP9" s="976"/>
      <c r="EQ9" s="976"/>
      <c r="ER9" s="976"/>
      <c r="ES9" s="976" t="str">
        <f>MID(SUVAHAVUJ!AF46,7,1)</f>
        <v xml:space="preserve"> </v>
      </c>
      <c r="ET9" s="976"/>
      <c r="EU9" s="976"/>
      <c r="EV9" s="976"/>
      <c r="EW9" s="976"/>
      <c r="EX9" s="976"/>
      <c r="EY9" s="976" t="str">
        <f>MID(SUVAHAVUJ!AF46,8,1)</f>
        <v xml:space="preserve"> </v>
      </c>
      <c r="EZ9" s="976"/>
      <c r="FA9" s="976"/>
      <c r="FB9" s="976"/>
      <c r="FC9" s="976"/>
      <c r="FD9" s="976" t="str">
        <f>MID(SUVAHAVUJ!AF46,9,1)</f>
        <v xml:space="preserve"> </v>
      </c>
      <c r="FE9" s="976"/>
      <c r="FF9" s="976"/>
      <c r="FG9" s="976"/>
      <c r="FH9" s="976"/>
      <c r="FI9" s="976"/>
      <c r="FJ9" s="976" t="str">
        <f>MID(SUVAHAVUJ!AF46,10,1)</f>
        <v xml:space="preserve"> </v>
      </c>
      <c r="FK9" s="976"/>
      <c r="FL9" s="976"/>
      <c r="FM9" s="976"/>
      <c r="FN9" s="976"/>
      <c r="FO9" s="978" t="str">
        <f>MID(SUVAHAVUJ!AF46,11,1)</f>
        <v>0</v>
      </c>
      <c r="FP9" s="978"/>
      <c r="FQ9" s="978"/>
      <c r="FR9" s="978"/>
      <c r="FS9" s="978"/>
      <c r="FT9" s="979"/>
      <c r="FU9" s="979"/>
      <c r="FV9" s="979"/>
      <c r="FW9" s="979"/>
      <c r="FX9" s="979"/>
      <c r="FY9" s="979"/>
      <c r="FZ9" s="979"/>
      <c r="GA9" s="979"/>
      <c r="GB9" s="979"/>
      <c r="GC9" s="979"/>
      <c r="GD9" s="979"/>
      <c r="GE9" s="979"/>
      <c r="GF9" s="979"/>
      <c r="GG9" s="979"/>
      <c r="GH9" s="979"/>
      <c r="GI9" s="979"/>
      <c r="GJ9" s="979"/>
      <c r="GK9" s="979"/>
      <c r="GL9" s="979"/>
      <c r="GM9" s="979"/>
      <c r="GN9" s="979"/>
      <c r="GO9" s="979"/>
      <c r="GP9" s="979"/>
      <c r="GQ9" s="979"/>
      <c r="GR9" s="979"/>
      <c r="GS9" s="979"/>
      <c r="GT9" s="979"/>
      <c r="GU9" s="979"/>
      <c r="GV9" s="979"/>
      <c r="GW9" s="979"/>
    </row>
    <row r="10" spans="1:205" ht="21" customHeight="1" x14ac:dyDescent="0.3">
      <c r="B10" s="985"/>
      <c r="C10" s="985"/>
      <c r="D10" s="985"/>
      <c r="E10" s="985"/>
      <c r="F10" s="985"/>
      <c r="G10" s="985"/>
      <c r="H10" s="985"/>
      <c r="I10" s="985"/>
      <c r="J10" s="985"/>
      <c r="K10" s="985"/>
      <c r="L10" s="990"/>
      <c r="M10" s="990"/>
      <c r="N10" s="990"/>
      <c r="O10" s="990"/>
      <c r="P10" s="990"/>
      <c r="Q10" s="990"/>
      <c r="R10" s="990"/>
      <c r="S10" s="990"/>
      <c r="T10" s="990"/>
      <c r="U10" s="990"/>
      <c r="V10" s="990"/>
      <c r="W10" s="990"/>
      <c r="X10" s="990"/>
      <c r="Y10" s="990"/>
      <c r="Z10" s="990"/>
      <c r="AA10" s="990"/>
      <c r="AB10" s="990"/>
      <c r="AC10" s="990"/>
      <c r="AD10" s="990"/>
      <c r="AE10" s="990"/>
      <c r="AF10" s="990"/>
      <c r="AG10" s="990"/>
      <c r="AH10" s="990"/>
      <c r="AI10" s="990"/>
      <c r="AJ10" s="990"/>
      <c r="AK10" s="990"/>
      <c r="AL10" s="990"/>
      <c r="AM10" s="990"/>
      <c r="AN10" s="990"/>
      <c r="AO10" s="990"/>
      <c r="AP10" s="990"/>
      <c r="AQ10" s="975"/>
      <c r="AR10" s="975"/>
      <c r="AS10" s="975"/>
      <c r="AT10" s="975"/>
      <c r="AU10" s="975"/>
      <c r="AV10" s="975"/>
      <c r="AW10" s="975"/>
      <c r="AX10" s="975"/>
      <c r="AY10" s="648"/>
      <c r="AZ10" s="649"/>
      <c r="BA10" s="976" t="str">
        <f>MID(SUVAHAVUJ!AE46,1,1)</f>
        <v xml:space="preserve"> </v>
      </c>
      <c r="BB10" s="976"/>
      <c r="BC10" s="976"/>
      <c r="BD10" s="976"/>
      <c r="BE10" s="976"/>
      <c r="BF10" s="976"/>
      <c r="BG10" s="976" t="str">
        <f>MID(SUVAHAVUJ!AE46,2,1)</f>
        <v xml:space="preserve"> </v>
      </c>
      <c r="BH10" s="976"/>
      <c r="BI10" s="976"/>
      <c r="BJ10" s="976"/>
      <c r="BK10" s="976"/>
      <c r="BL10" s="976" t="str">
        <f>MID(SUVAHAVUJ!AE46,3,1)</f>
        <v xml:space="preserve"> </v>
      </c>
      <c r="BM10" s="976"/>
      <c r="BN10" s="976"/>
      <c r="BO10" s="976"/>
      <c r="BP10" s="976"/>
      <c r="BQ10" s="976"/>
      <c r="BR10" s="976" t="str">
        <f>MID(SUVAHAVUJ!AE46,4,1)</f>
        <v xml:space="preserve"> </v>
      </c>
      <c r="BS10" s="976"/>
      <c r="BT10" s="976"/>
      <c r="BU10" s="976"/>
      <c r="BV10" s="976"/>
      <c r="BW10" s="976" t="str">
        <f>MID(SUVAHAVUJ!AE46,5,1)</f>
        <v xml:space="preserve"> </v>
      </c>
      <c r="BX10" s="976"/>
      <c r="BY10" s="976"/>
      <c r="BZ10" s="976"/>
      <c r="CA10" s="976"/>
      <c r="CB10" s="976"/>
      <c r="CC10" s="976" t="str">
        <f>MID(SUVAHAVUJ!AE46,6,1)</f>
        <v xml:space="preserve"> </v>
      </c>
      <c r="CD10" s="976"/>
      <c r="CE10" s="976"/>
      <c r="CF10" s="976"/>
      <c r="CG10" s="976"/>
      <c r="CH10" s="976" t="str">
        <f>MID(SUVAHAVUJ!AE46,7,1)</f>
        <v xml:space="preserve"> </v>
      </c>
      <c r="CI10" s="976"/>
      <c r="CJ10" s="976"/>
      <c r="CK10" s="976"/>
      <c r="CL10" s="976"/>
      <c r="CM10" s="976"/>
      <c r="CN10" s="976" t="str">
        <f>MID(SUVAHAVUJ!AE46,8,1)</f>
        <v xml:space="preserve"> </v>
      </c>
      <c r="CO10" s="976"/>
      <c r="CP10" s="976"/>
      <c r="CQ10" s="976"/>
      <c r="CR10" s="976"/>
      <c r="CS10" s="976" t="str">
        <f>MID(SUVAHAVUJ!AE46,9,1)</f>
        <v xml:space="preserve"> </v>
      </c>
      <c r="CT10" s="976"/>
      <c r="CU10" s="976"/>
      <c r="CV10" s="976"/>
      <c r="CW10" s="976"/>
      <c r="CX10" s="976"/>
      <c r="CY10" s="976" t="str">
        <f>MID(SUVAHAVUJ!AE46,10,1)</f>
        <v xml:space="preserve"> </v>
      </c>
      <c r="CZ10" s="976"/>
      <c r="DA10" s="976"/>
      <c r="DB10" s="976"/>
      <c r="DC10" s="976"/>
      <c r="DD10" s="977" t="str">
        <f>MID(SUVAHAVUJ!AE46,11,1)</f>
        <v>0</v>
      </c>
      <c r="DE10" s="977"/>
      <c r="DF10" s="977"/>
      <c r="DG10" s="977"/>
      <c r="DH10" s="977"/>
      <c r="DI10" s="977"/>
      <c r="DJ10" s="980"/>
      <c r="DK10" s="980"/>
      <c r="DL10" s="980"/>
      <c r="DM10" s="980"/>
      <c r="DN10" s="980"/>
      <c r="DO10" s="980"/>
      <c r="DP10" s="980"/>
      <c r="DQ10" s="980"/>
      <c r="DR10" s="980"/>
      <c r="DS10" s="980"/>
      <c r="DT10" s="980"/>
      <c r="DU10" s="980"/>
      <c r="DV10" s="980"/>
      <c r="DW10" s="980"/>
      <c r="DX10" s="980"/>
      <c r="DY10" s="980"/>
      <c r="DZ10" s="980"/>
      <c r="EA10" s="980"/>
      <c r="EB10" s="980"/>
      <c r="EC10" s="980"/>
      <c r="ED10" s="980"/>
      <c r="EE10" s="980"/>
      <c r="EF10" s="980"/>
      <c r="EG10" s="980"/>
      <c r="EH10" s="980"/>
      <c r="EI10" s="980"/>
      <c r="EJ10" s="980"/>
      <c r="EK10" s="980"/>
      <c r="EL10" s="980"/>
      <c r="EM10" s="980"/>
      <c r="EN10" s="648"/>
      <c r="EO10" s="649"/>
      <c r="EP10" s="976" t="str">
        <f>MID(SUVAHAVUJ!AG46,1,1)</f>
        <v xml:space="preserve"> </v>
      </c>
      <c r="EQ10" s="976"/>
      <c r="ER10" s="976"/>
      <c r="ES10" s="976"/>
      <c r="ET10" s="976"/>
      <c r="EU10" s="976"/>
      <c r="EV10" s="976" t="str">
        <f>MID(SUVAHAVUJ!AG46,2,1)</f>
        <v xml:space="preserve"> </v>
      </c>
      <c r="EW10" s="976"/>
      <c r="EX10" s="976"/>
      <c r="EY10" s="976"/>
      <c r="EZ10" s="976"/>
      <c r="FA10" s="976" t="str">
        <f>MID(SUVAHAVUJ!AG46,3,1)</f>
        <v xml:space="preserve"> </v>
      </c>
      <c r="FB10" s="976"/>
      <c r="FC10" s="976"/>
      <c r="FD10" s="976"/>
      <c r="FE10" s="976"/>
      <c r="FF10" s="976"/>
      <c r="FG10" s="976" t="str">
        <f>MID(SUVAHAVUJ!AG46,4,1)</f>
        <v xml:space="preserve"> </v>
      </c>
      <c r="FH10" s="976"/>
      <c r="FI10" s="976"/>
      <c r="FJ10" s="976"/>
      <c r="FK10" s="976"/>
      <c r="FL10" s="976" t="str">
        <f>MID(SUVAHAVUJ!AG46,5,1)</f>
        <v xml:space="preserve"> </v>
      </c>
      <c r="FM10" s="976"/>
      <c r="FN10" s="976"/>
      <c r="FO10" s="976"/>
      <c r="FP10" s="976"/>
      <c r="FQ10" s="976"/>
      <c r="FR10" s="976" t="str">
        <f>MID(SUVAHAVUJ!AG46,6,1)</f>
        <v xml:space="preserve"> </v>
      </c>
      <c r="FS10" s="976"/>
      <c r="FT10" s="976"/>
      <c r="FU10" s="976"/>
      <c r="FV10" s="976"/>
      <c r="FW10" s="976" t="str">
        <f>MID(SUVAHAVUJ!AG46,7,1)</f>
        <v xml:space="preserve"> </v>
      </c>
      <c r="FX10" s="976"/>
      <c r="FY10" s="976"/>
      <c r="FZ10" s="976"/>
      <c r="GA10" s="976"/>
      <c r="GB10" s="976"/>
      <c r="GC10" s="976" t="str">
        <f>MID(SUVAHAVUJ!AG46,8,1)</f>
        <v xml:space="preserve"> </v>
      </c>
      <c r="GD10" s="976"/>
      <c r="GE10" s="976"/>
      <c r="GF10" s="976"/>
      <c r="GG10" s="976"/>
      <c r="GH10" s="976" t="str">
        <f>MID(SUVAHAVUJ!AG46,9,1)</f>
        <v xml:space="preserve"> </v>
      </c>
      <c r="GI10" s="976"/>
      <c r="GJ10" s="976"/>
      <c r="GK10" s="976"/>
      <c r="GL10" s="976"/>
      <c r="GM10" s="976"/>
      <c r="GN10" s="976" t="str">
        <f>MID(SUVAHAVUJ!AG46,10,1)</f>
        <v xml:space="preserve"> </v>
      </c>
      <c r="GO10" s="976"/>
      <c r="GP10" s="976"/>
      <c r="GQ10" s="976"/>
      <c r="GR10" s="976"/>
      <c r="GS10" s="978" t="str">
        <f>MID(SUVAHAVUJ!AG46,11,1)</f>
        <v>0</v>
      </c>
      <c r="GT10" s="978"/>
      <c r="GU10" s="978"/>
      <c r="GV10" s="978"/>
      <c r="GW10" s="978"/>
    </row>
    <row r="11" spans="1:205" s="650" customFormat="1" ht="23.25" customHeight="1" x14ac:dyDescent="0.3">
      <c r="B11" s="985" t="s">
        <v>2201</v>
      </c>
      <c r="C11" s="985"/>
      <c r="D11" s="985"/>
      <c r="E11" s="985"/>
      <c r="F11" s="985"/>
      <c r="G11" s="985"/>
      <c r="H11" s="985"/>
      <c r="I11" s="985"/>
      <c r="J11" s="985"/>
      <c r="K11" s="985"/>
      <c r="L11" s="990" t="str">
        <f>SUVAHAVUJ!$D$47</f>
        <v>Ostatné pohľadávky z obchodného styku (311A, 312A, 313A, 314A, 315A, 31XA) - /391A/</v>
      </c>
      <c r="M11" s="990"/>
      <c r="N11" s="990"/>
      <c r="O11" s="990"/>
      <c r="P11" s="990"/>
      <c r="Q11" s="990"/>
      <c r="R11" s="990"/>
      <c r="S11" s="990"/>
      <c r="T11" s="990"/>
      <c r="U11" s="990"/>
      <c r="V11" s="990"/>
      <c r="W11" s="990"/>
      <c r="X11" s="990"/>
      <c r="Y11" s="990"/>
      <c r="Z11" s="990"/>
      <c r="AA11" s="990"/>
      <c r="AB11" s="990"/>
      <c r="AC11" s="990"/>
      <c r="AD11" s="990"/>
      <c r="AE11" s="990"/>
      <c r="AF11" s="990"/>
      <c r="AG11" s="990"/>
      <c r="AH11" s="990"/>
      <c r="AI11" s="990"/>
      <c r="AJ11" s="990"/>
      <c r="AK11" s="990"/>
      <c r="AL11" s="990"/>
      <c r="AM11" s="990"/>
      <c r="AN11" s="990"/>
      <c r="AO11" s="990"/>
      <c r="AP11" s="990"/>
      <c r="AQ11" s="975" t="s">
        <v>1252</v>
      </c>
      <c r="AR11" s="975"/>
      <c r="AS11" s="975"/>
      <c r="AT11" s="975"/>
      <c r="AU11" s="975"/>
      <c r="AV11" s="975"/>
      <c r="AW11" s="975"/>
      <c r="AX11" s="975"/>
      <c r="AY11" s="648"/>
      <c r="AZ11" s="649"/>
      <c r="BA11" s="976" t="str">
        <f>MID(SUVAHAVUJ!AD47,1,1)</f>
        <v xml:space="preserve"> </v>
      </c>
      <c r="BB11" s="976"/>
      <c r="BC11" s="976"/>
      <c r="BD11" s="976"/>
      <c r="BE11" s="976"/>
      <c r="BF11" s="976"/>
      <c r="BG11" s="976" t="str">
        <f>MID(SUVAHAVUJ!AD47,2,1)</f>
        <v xml:space="preserve"> </v>
      </c>
      <c r="BH11" s="976"/>
      <c r="BI11" s="976"/>
      <c r="BJ11" s="976"/>
      <c r="BK11" s="976"/>
      <c r="BL11" s="976" t="str">
        <f>MID(SUVAHAVUJ!AD47,3,1)</f>
        <v xml:space="preserve"> </v>
      </c>
      <c r="BM11" s="976"/>
      <c r="BN11" s="976"/>
      <c r="BO11" s="976"/>
      <c r="BP11" s="976"/>
      <c r="BQ11" s="976"/>
      <c r="BR11" s="976" t="str">
        <f>MID(SUVAHAVUJ!AD47,4,1)</f>
        <v xml:space="preserve"> </v>
      </c>
      <c r="BS11" s="976"/>
      <c r="BT11" s="976"/>
      <c r="BU11" s="976"/>
      <c r="BV11" s="976"/>
      <c r="BW11" s="976" t="str">
        <f>MID(SUVAHAVUJ!AD47,5,1)</f>
        <v xml:space="preserve"> </v>
      </c>
      <c r="BX11" s="976"/>
      <c r="BY11" s="976"/>
      <c r="BZ11" s="976"/>
      <c r="CA11" s="976"/>
      <c r="CB11" s="976"/>
      <c r="CC11" s="976" t="str">
        <f>MID(SUVAHAVUJ!AD47,6,1)</f>
        <v xml:space="preserve"> </v>
      </c>
      <c r="CD11" s="976"/>
      <c r="CE11" s="976"/>
      <c r="CF11" s="976"/>
      <c r="CG11" s="976"/>
      <c r="CH11" s="976" t="str">
        <f>MID(SUVAHAVUJ!AD47,7,1)</f>
        <v xml:space="preserve"> </v>
      </c>
      <c r="CI11" s="976"/>
      <c r="CJ11" s="976"/>
      <c r="CK11" s="976"/>
      <c r="CL11" s="976"/>
      <c r="CM11" s="976"/>
      <c r="CN11" s="976" t="str">
        <f>MID(SUVAHAVUJ!AD47,8,1)</f>
        <v xml:space="preserve"> </v>
      </c>
      <c r="CO11" s="976"/>
      <c r="CP11" s="976"/>
      <c r="CQ11" s="976"/>
      <c r="CR11" s="976"/>
      <c r="CS11" s="976" t="str">
        <f>MID(SUVAHAVUJ!AD47,9,1)</f>
        <v xml:space="preserve"> </v>
      </c>
      <c r="CT11" s="976"/>
      <c r="CU11" s="976"/>
      <c r="CV11" s="976"/>
      <c r="CW11" s="976"/>
      <c r="CX11" s="976"/>
      <c r="CY11" s="976" t="str">
        <f>MID(SUVAHAVUJ!AD47,10,1)</f>
        <v xml:space="preserve"> </v>
      </c>
      <c r="CZ11" s="976"/>
      <c r="DA11" s="976"/>
      <c r="DB11" s="976"/>
      <c r="DC11" s="976"/>
      <c r="DD11" s="977" t="str">
        <f>MID(SUVAHAVUJ!AD47,11,1)</f>
        <v>0</v>
      </c>
      <c r="DE11" s="977"/>
      <c r="DF11" s="977"/>
      <c r="DG11" s="977"/>
      <c r="DH11" s="977"/>
      <c r="DI11" s="977"/>
      <c r="DJ11" s="648"/>
      <c r="DK11" s="649"/>
      <c r="DL11" s="976" t="str">
        <f>MID(SUVAHAVUJ!AF47,1,1)</f>
        <v xml:space="preserve"> </v>
      </c>
      <c r="DM11" s="976"/>
      <c r="DN11" s="976"/>
      <c r="DO11" s="976"/>
      <c r="DP11" s="976"/>
      <c r="DQ11" s="976"/>
      <c r="DR11" s="976" t="str">
        <f>MID(SUVAHAVUJ!AF47,2,1)</f>
        <v xml:space="preserve"> </v>
      </c>
      <c r="DS11" s="976"/>
      <c r="DT11" s="976"/>
      <c r="DU11" s="976"/>
      <c r="DV11" s="976"/>
      <c r="DW11" s="976" t="str">
        <f>MID(SUVAHAVUJ!AF47,3,1)</f>
        <v xml:space="preserve"> </v>
      </c>
      <c r="DX11" s="976"/>
      <c r="DY11" s="976"/>
      <c r="DZ11" s="976"/>
      <c r="EA11" s="976"/>
      <c r="EB11" s="976"/>
      <c r="EC11" s="976" t="str">
        <f>MID(SUVAHAVUJ!AF47,4,1)</f>
        <v xml:space="preserve"> </v>
      </c>
      <c r="ED11" s="976"/>
      <c r="EE11" s="976"/>
      <c r="EF11" s="976"/>
      <c r="EG11" s="976"/>
      <c r="EH11" s="976" t="str">
        <f>MID(SUVAHAVUJ!AF47,5,1)</f>
        <v xml:space="preserve"> </v>
      </c>
      <c r="EI11" s="976"/>
      <c r="EJ11" s="976"/>
      <c r="EK11" s="976"/>
      <c r="EL11" s="976"/>
      <c r="EM11" s="976"/>
      <c r="EN11" s="976" t="str">
        <f>MID(SUVAHAVUJ!AF47,6,1)</f>
        <v xml:space="preserve"> </v>
      </c>
      <c r="EO11" s="976"/>
      <c r="EP11" s="976"/>
      <c r="EQ11" s="976"/>
      <c r="ER11" s="976"/>
      <c r="ES11" s="976" t="str">
        <f>MID(SUVAHAVUJ!AF47,7,1)</f>
        <v xml:space="preserve"> </v>
      </c>
      <c r="ET11" s="976"/>
      <c r="EU11" s="976"/>
      <c r="EV11" s="976"/>
      <c r="EW11" s="976"/>
      <c r="EX11" s="976"/>
      <c r="EY11" s="976" t="str">
        <f>MID(SUVAHAVUJ!AF47,8,1)</f>
        <v xml:space="preserve"> </v>
      </c>
      <c r="EZ11" s="976"/>
      <c r="FA11" s="976"/>
      <c r="FB11" s="976"/>
      <c r="FC11" s="976"/>
      <c r="FD11" s="976" t="str">
        <f>MID(SUVAHAVUJ!AF47,9,1)</f>
        <v xml:space="preserve"> </v>
      </c>
      <c r="FE11" s="976"/>
      <c r="FF11" s="976"/>
      <c r="FG11" s="976"/>
      <c r="FH11" s="976"/>
      <c r="FI11" s="976"/>
      <c r="FJ11" s="976" t="str">
        <f>MID(SUVAHAVUJ!AF47,10,1)</f>
        <v xml:space="preserve"> </v>
      </c>
      <c r="FK11" s="976"/>
      <c r="FL11" s="976"/>
      <c r="FM11" s="976"/>
      <c r="FN11" s="976"/>
      <c r="FO11" s="978" t="str">
        <f>MID(SUVAHAVUJ!AF47,11,1)</f>
        <v>0</v>
      </c>
      <c r="FP11" s="978"/>
      <c r="FQ11" s="978"/>
      <c r="FR11" s="978"/>
      <c r="FS11" s="978"/>
      <c r="FT11" s="979"/>
      <c r="FU11" s="979"/>
      <c r="FV11" s="979"/>
      <c r="FW11" s="979"/>
      <c r="FX11" s="979"/>
      <c r="FY11" s="979"/>
      <c r="FZ11" s="979"/>
      <c r="GA11" s="979"/>
      <c r="GB11" s="979"/>
      <c r="GC11" s="979"/>
      <c r="GD11" s="979"/>
      <c r="GE11" s="979"/>
      <c r="GF11" s="979"/>
      <c r="GG11" s="979"/>
      <c r="GH11" s="979"/>
      <c r="GI11" s="979"/>
      <c r="GJ11" s="979"/>
      <c r="GK11" s="979"/>
      <c r="GL11" s="979"/>
      <c r="GM11" s="979"/>
      <c r="GN11" s="979"/>
      <c r="GO11" s="979"/>
      <c r="GP11" s="979"/>
      <c r="GQ11" s="979"/>
      <c r="GR11" s="979"/>
      <c r="GS11" s="979"/>
      <c r="GT11" s="979"/>
      <c r="GU11" s="979"/>
      <c r="GV11" s="979"/>
      <c r="GW11" s="979"/>
    </row>
    <row r="12" spans="1:205" ht="23.25" customHeight="1" x14ac:dyDescent="0.3">
      <c r="B12" s="985"/>
      <c r="C12" s="985"/>
      <c r="D12" s="985"/>
      <c r="E12" s="985"/>
      <c r="F12" s="985"/>
      <c r="G12" s="985"/>
      <c r="H12" s="985"/>
      <c r="I12" s="985"/>
      <c r="J12" s="985"/>
      <c r="K12" s="985"/>
      <c r="L12" s="990"/>
      <c r="M12" s="990"/>
      <c r="N12" s="990"/>
      <c r="O12" s="990"/>
      <c r="P12" s="990"/>
      <c r="Q12" s="990"/>
      <c r="R12" s="990"/>
      <c r="S12" s="990"/>
      <c r="T12" s="990"/>
      <c r="U12" s="990"/>
      <c r="V12" s="990"/>
      <c r="W12" s="990"/>
      <c r="X12" s="990"/>
      <c r="Y12" s="990"/>
      <c r="Z12" s="990"/>
      <c r="AA12" s="990"/>
      <c r="AB12" s="990"/>
      <c r="AC12" s="990"/>
      <c r="AD12" s="990"/>
      <c r="AE12" s="990"/>
      <c r="AF12" s="990"/>
      <c r="AG12" s="990"/>
      <c r="AH12" s="990"/>
      <c r="AI12" s="990"/>
      <c r="AJ12" s="990"/>
      <c r="AK12" s="990"/>
      <c r="AL12" s="990"/>
      <c r="AM12" s="990"/>
      <c r="AN12" s="990"/>
      <c r="AO12" s="990"/>
      <c r="AP12" s="990"/>
      <c r="AQ12" s="975"/>
      <c r="AR12" s="975"/>
      <c r="AS12" s="975"/>
      <c r="AT12" s="975"/>
      <c r="AU12" s="975"/>
      <c r="AV12" s="975"/>
      <c r="AW12" s="975"/>
      <c r="AX12" s="975"/>
      <c r="AY12" s="648"/>
      <c r="AZ12" s="649"/>
      <c r="BA12" s="976" t="str">
        <f>MID(SUVAHAVUJ!AE47,1,1)</f>
        <v xml:space="preserve"> </v>
      </c>
      <c r="BB12" s="976"/>
      <c r="BC12" s="976"/>
      <c r="BD12" s="976"/>
      <c r="BE12" s="976"/>
      <c r="BF12" s="976"/>
      <c r="BG12" s="976" t="str">
        <f>MID(SUVAHAVUJ!AE47,2,1)</f>
        <v xml:space="preserve"> </v>
      </c>
      <c r="BH12" s="976"/>
      <c r="BI12" s="976"/>
      <c r="BJ12" s="976"/>
      <c r="BK12" s="976"/>
      <c r="BL12" s="976" t="str">
        <f>MID(SUVAHAVUJ!AE47,3,1)</f>
        <v xml:space="preserve"> </v>
      </c>
      <c r="BM12" s="976"/>
      <c r="BN12" s="976"/>
      <c r="BO12" s="976"/>
      <c r="BP12" s="976"/>
      <c r="BQ12" s="976"/>
      <c r="BR12" s="976" t="str">
        <f>MID(SUVAHAVUJ!AE47,4,1)</f>
        <v xml:space="preserve"> </v>
      </c>
      <c r="BS12" s="976"/>
      <c r="BT12" s="976"/>
      <c r="BU12" s="976"/>
      <c r="BV12" s="976"/>
      <c r="BW12" s="976" t="str">
        <f>MID(SUVAHAVUJ!AE47,5,1)</f>
        <v xml:space="preserve"> </v>
      </c>
      <c r="BX12" s="976"/>
      <c r="BY12" s="976"/>
      <c r="BZ12" s="976"/>
      <c r="CA12" s="976"/>
      <c r="CB12" s="976"/>
      <c r="CC12" s="976" t="str">
        <f>MID(SUVAHAVUJ!AE47,6,1)</f>
        <v xml:space="preserve"> </v>
      </c>
      <c r="CD12" s="976"/>
      <c r="CE12" s="976"/>
      <c r="CF12" s="976"/>
      <c r="CG12" s="976"/>
      <c r="CH12" s="976" t="str">
        <f>MID(SUVAHAVUJ!AE47,7,1)</f>
        <v xml:space="preserve"> </v>
      </c>
      <c r="CI12" s="976"/>
      <c r="CJ12" s="976"/>
      <c r="CK12" s="976"/>
      <c r="CL12" s="976"/>
      <c r="CM12" s="976"/>
      <c r="CN12" s="976" t="str">
        <f>MID(SUVAHAVUJ!AE47,8,1)</f>
        <v xml:space="preserve"> </v>
      </c>
      <c r="CO12" s="976"/>
      <c r="CP12" s="976"/>
      <c r="CQ12" s="976"/>
      <c r="CR12" s="976"/>
      <c r="CS12" s="976" t="str">
        <f>MID(SUVAHAVUJ!AE47,9,1)</f>
        <v xml:space="preserve"> </v>
      </c>
      <c r="CT12" s="976"/>
      <c r="CU12" s="976"/>
      <c r="CV12" s="976"/>
      <c r="CW12" s="976"/>
      <c r="CX12" s="976"/>
      <c r="CY12" s="976" t="str">
        <f>MID(SUVAHAVUJ!AE47,10,1)</f>
        <v xml:space="preserve"> </v>
      </c>
      <c r="CZ12" s="976"/>
      <c r="DA12" s="976"/>
      <c r="DB12" s="976"/>
      <c r="DC12" s="976"/>
      <c r="DD12" s="977" t="str">
        <f>MID(SUVAHAVUJ!AE47,11,1)</f>
        <v>0</v>
      </c>
      <c r="DE12" s="977"/>
      <c r="DF12" s="977"/>
      <c r="DG12" s="977"/>
      <c r="DH12" s="977"/>
      <c r="DI12" s="977"/>
      <c r="DJ12" s="980"/>
      <c r="DK12" s="980"/>
      <c r="DL12" s="980"/>
      <c r="DM12" s="980"/>
      <c r="DN12" s="980"/>
      <c r="DO12" s="980"/>
      <c r="DP12" s="980"/>
      <c r="DQ12" s="980"/>
      <c r="DR12" s="980"/>
      <c r="DS12" s="980"/>
      <c r="DT12" s="980"/>
      <c r="DU12" s="980"/>
      <c r="DV12" s="980"/>
      <c r="DW12" s="980"/>
      <c r="DX12" s="980"/>
      <c r="DY12" s="980"/>
      <c r="DZ12" s="980"/>
      <c r="EA12" s="980"/>
      <c r="EB12" s="980"/>
      <c r="EC12" s="980"/>
      <c r="ED12" s="980"/>
      <c r="EE12" s="980"/>
      <c r="EF12" s="980"/>
      <c r="EG12" s="980"/>
      <c r="EH12" s="980"/>
      <c r="EI12" s="980"/>
      <c r="EJ12" s="980"/>
      <c r="EK12" s="980"/>
      <c r="EL12" s="980"/>
      <c r="EM12" s="980"/>
      <c r="EN12" s="648"/>
      <c r="EO12" s="649"/>
      <c r="EP12" s="976" t="str">
        <f>MID(SUVAHAVUJ!AG47,1,1)</f>
        <v xml:space="preserve"> </v>
      </c>
      <c r="EQ12" s="976"/>
      <c r="ER12" s="976"/>
      <c r="ES12" s="976"/>
      <c r="ET12" s="976"/>
      <c r="EU12" s="976"/>
      <c r="EV12" s="976" t="str">
        <f>MID(SUVAHAVUJ!AG47,2,1)</f>
        <v xml:space="preserve"> </v>
      </c>
      <c r="EW12" s="976"/>
      <c r="EX12" s="976"/>
      <c r="EY12" s="976"/>
      <c r="EZ12" s="976"/>
      <c r="FA12" s="976" t="str">
        <f>MID(SUVAHAVUJ!AG47,3,1)</f>
        <v xml:space="preserve"> </v>
      </c>
      <c r="FB12" s="976"/>
      <c r="FC12" s="976"/>
      <c r="FD12" s="976"/>
      <c r="FE12" s="976"/>
      <c r="FF12" s="976"/>
      <c r="FG12" s="976" t="str">
        <f>MID(SUVAHAVUJ!AG47,4,1)</f>
        <v xml:space="preserve"> </v>
      </c>
      <c r="FH12" s="976"/>
      <c r="FI12" s="976"/>
      <c r="FJ12" s="976"/>
      <c r="FK12" s="976"/>
      <c r="FL12" s="976" t="str">
        <f>MID(SUVAHAVUJ!AG47,5,1)</f>
        <v xml:space="preserve"> </v>
      </c>
      <c r="FM12" s="976"/>
      <c r="FN12" s="976"/>
      <c r="FO12" s="976"/>
      <c r="FP12" s="976"/>
      <c r="FQ12" s="976"/>
      <c r="FR12" s="976" t="str">
        <f>MID(SUVAHAVUJ!AG47,6,1)</f>
        <v xml:space="preserve"> </v>
      </c>
      <c r="FS12" s="976"/>
      <c r="FT12" s="976"/>
      <c r="FU12" s="976"/>
      <c r="FV12" s="976"/>
      <c r="FW12" s="976" t="str">
        <f>MID(SUVAHAVUJ!AG47,7,1)</f>
        <v xml:space="preserve"> </v>
      </c>
      <c r="FX12" s="976"/>
      <c r="FY12" s="976"/>
      <c r="FZ12" s="976"/>
      <c r="GA12" s="976"/>
      <c r="GB12" s="976"/>
      <c r="GC12" s="976" t="str">
        <f>MID(SUVAHAVUJ!AG47,8,1)</f>
        <v xml:space="preserve"> </v>
      </c>
      <c r="GD12" s="976"/>
      <c r="GE12" s="976"/>
      <c r="GF12" s="976"/>
      <c r="GG12" s="976"/>
      <c r="GH12" s="976" t="str">
        <f>MID(SUVAHAVUJ!AG47,9,1)</f>
        <v xml:space="preserve"> </v>
      </c>
      <c r="GI12" s="976"/>
      <c r="GJ12" s="976"/>
      <c r="GK12" s="976"/>
      <c r="GL12" s="976"/>
      <c r="GM12" s="976"/>
      <c r="GN12" s="976" t="str">
        <f>MID(SUVAHAVUJ!AG47,10,1)</f>
        <v xml:space="preserve"> </v>
      </c>
      <c r="GO12" s="976"/>
      <c r="GP12" s="976"/>
      <c r="GQ12" s="976"/>
      <c r="GR12" s="976"/>
      <c r="GS12" s="978" t="str">
        <f>MID(SUVAHAVUJ!AG47,11,1)</f>
        <v>0</v>
      </c>
      <c r="GT12" s="978"/>
      <c r="GU12" s="978"/>
      <c r="GV12" s="978"/>
      <c r="GW12" s="978"/>
    </row>
    <row r="13" spans="1:205" s="650" customFormat="1" ht="23.25" customHeight="1" x14ac:dyDescent="0.3">
      <c r="B13" s="985" t="s">
        <v>2166</v>
      </c>
      <c r="C13" s="985"/>
      <c r="D13" s="985"/>
      <c r="E13" s="985"/>
      <c r="F13" s="985"/>
      <c r="G13" s="985"/>
      <c r="H13" s="985"/>
      <c r="I13" s="985"/>
      <c r="J13" s="985"/>
      <c r="K13" s="985"/>
      <c r="L13" s="990" t="str">
        <f>SUVAHAVUJ!$D$48</f>
        <v>Čistá hodnota zákazky (316A)</v>
      </c>
      <c r="M13" s="990"/>
      <c r="N13" s="990"/>
      <c r="O13" s="990"/>
      <c r="P13" s="990"/>
      <c r="Q13" s="990"/>
      <c r="R13" s="990"/>
      <c r="S13" s="990"/>
      <c r="T13" s="990"/>
      <c r="U13" s="990"/>
      <c r="V13" s="990"/>
      <c r="W13" s="990"/>
      <c r="X13" s="990"/>
      <c r="Y13" s="990"/>
      <c r="Z13" s="990"/>
      <c r="AA13" s="990"/>
      <c r="AB13" s="990"/>
      <c r="AC13" s="990"/>
      <c r="AD13" s="990"/>
      <c r="AE13" s="990"/>
      <c r="AF13" s="990"/>
      <c r="AG13" s="990"/>
      <c r="AH13" s="990"/>
      <c r="AI13" s="990"/>
      <c r="AJ13" s="990"/>
      <c r="AK13" s="990"/>
      <c r="AL13" s="990"/>
      <c r="AM13" s="990"/>
      <c r="AN13" s="990"/>
      <c r="AO13" s="990"/>
      <c r="AP13" s="990"/>
      <c r="AQ13" s="975" t="s">
        <v>1261</v>
      </c>
      <c r="AR13" s="975"/>
      <c r="AS13" s="975"/>
      <c r="AT13" s="975"/>
      <c r="AU13" s="975"/>
      <c r="AV13" s="975"/>
      <c r="AW13" s="975"/>
      <c r="AX13" s="975"/>
      <c r="AY13" s="648"/>
      <c r="AZ13" s="649"/>
      <c r="BA13" s="976" t="str">
        <f>MID(SUVAHAVUJ!AD48,1,1)</f>
        <v xml:space="preserve"> </v>
      </c>
      <c r="BB13" s="976"/>
      <c r="BC13" s="976"/>
      <c r="BD13" s="976"/>
      <c r="BE13" s="976"/>
      <c r="BF13" s="976"/>
      <c r="BG13" s="976" t="str">
        <f>MID(SUVAHAVUJ!AD48,2,1)</f>
        <v xml:space="preserve"> </v>
      </c>
      <c r="BH13" s="976"/>
      <c r="BI13" s="976"/>
      <c r="BJ13" s="976"/>
      <c r="BK13" s="976"/>
      <c r="BL13" s="976" t="str">
        <f>MID(SUVAHAVUJ!AD48,3,1)</f>
        <v xml:space="preserve"> </v>
      </c>
      <c r="BM13" s="976"/>
      <c r="BN13" s="976"/>
      <c r="BO13" s="976"/>
      <c r="BP13" s="976"/>
      <c r="BQ13" s="976"/>
      <c r="BR13" s="976" t="str">
        <f>MID(SUVAHAVUJ!AD48,4,1)</f>
        <v xml:space="preserve"> </v>
      </c>
      <c r="BS13" s="976"/>
      <c r="BT13" s="976"/>
      <c r="BU13" s="976"/>
      <c r="BV13" s="976"/>
      <c r="BW13" s="976" t="str">
        <f>MID(SUVAHAVUJ!AD48,5,1)</f>
        <v xml:space="preserve"> </v>
      </c>
      <c r="BX13" s="976"/>
      <c r="BY13" s="976"/>
      <c r="BZ13" s="976"/>
      <c r="CA13" s="976"/>
      <c r="CB13" s="976"/>
      <c r="CC13" s="976" t="str">
        <f>MID(SUVAHAVUJ!AD48,6,1)</f>
        <v xml:space="preserve"> </v>
      </c>
      <c r="CD13" s="976"/>
      <c r="CE13" s="976"/>
      <c r="CF13" s="976"/>
      <c r="CG13" s="976"/>
      <c r="CH13" s="976" t="str">
        <f>MID(SUVAHAVUJ!AD48,7,1)</f>
        <v xml:space="preserve"> </v>
      </c>
      <c r="CI13" s="976"/>
      <c r="CJ13" s="976"/>
      <c r="CK13" s="976"/>
      <c r="CL13" s="976"/>
      <c r="CM13" s="976"/>
      <c r="CN13" s="976" t="str">
        <f>MID(SUVAHAVUJ!AD48,8,1)</f>
        <v xml:space="preserve"> </v>
      </c>
      <c r="CO13" s="976"/>
      <c r="CP13" s="976"/>
      <c r="CQ13" s="976"/>
      <c r="CR13" s="976"/>
      <c r="CS13" s="976" t="str">
        <f>MID(SUVAHAVUJ!AD48,9,1)</f>
        <v xml:space="preserve"> </v>
      </c>
      <c r="CT13" s="976"/>
      <c r="CU13" s="976"/>
      <c r="CV13" s="976"/>
      <c r="CW13" s="976"/>
      <c r="CX13" s="976"/>
      <c r="CY13" s="976" t="str">
        <f>MID(SUVAHAVUJ!AD48,10,1)</f>
        <v xml:space="preserve"> </v>
      </c>
      <c r="CZ13" s="976"/>
      <c r="DA13" s="976"/>
      <c r="DB13" s="976"/>
      <c r="DC13" s="976"/>
      <c r="DD13" s="977" t="str">
        <f>MID(SUVAHAVUJ!AD48,11,1)</f>
        <v>0</v>
      </c>
      <c r="DE13" s="977"/>
      <c r="DF13" s="977"/>
      <c r="DG13" s="977"/>
      <c r="DH13" s="977"/>
      <c r="DI13" s="977"/>
      <c r="DJ13" s="648"/>
      <c r="DK13" s="649"/>
      <c r="DL13" s="976" t="str">
        <f>MID(SUVAHAVUJ!AF48,1,1)</f>
        <v xml:space="preserve"> </v>
      </c>
      <c r="DM13" s="976"/>
      <c r="DN13" s="976"/>
      <c r="DO13" s="976"/>
      <c r="DP13" s="976"/>
      <c r="DQ13" s="976"/>
      <c r="DR13" s="976" t="str">
        <f>MID(SUVAHAVUJ!AF48,2,1)</f>
        <v xml:space="preserve"> </v>
      </c>
      <c r="DS13" s="976"/>
      <c r="DT13" s="976"/>
      <c r="DU13" s="976"/>
      <c r="DV13" s="976"/>
      <c r="DW13" s="976" t="str">
        <f>MID(SUVAHAVUJ!AF48,3,1)</f>
        <v xml:space="preserve"> </v>
      </c>
      <c r="DX13" s="976"/>
      <c r="DY13" s="976"/>
      <c r="DZ13" s="976"/>
      <c r="EA13" s="976"/>
      <c r="EB13" s="976"/>
      <c r="EC13" s="976" t="str">
        <f>MID(SUVAHAVUJ!AF48,4,1)</f>
        <v xml:space="preserve"> </v>
      </c>
      <c r="ED13" s="976"/>
      <c r="EE13" s="976"/>
      <c r="EF13" s="976"/>
      <c r="EG13" s="976"/>
      <c r="EH13" s="976" t="str">
        <f>MID(SUVAHAVUJ!AF48,5,1)</f>
        <v xml:space="preserve"> </v>
      </c>
      <c r="EI13" s="976"/>
      <c r="EJ13" s="976"/>
      <c r="EK13" s="976"/>
      <c r="EL13" s="976"/>
      <c r="EM13" s="976"/>
      <c r="EN13" s="976" t="str">
        <f>MID(SUVAHAVUJ!AF48,6,1)</f>
        <v xml:space="preserve"> </v>
      </c>
      <c r="EO13" s="976"/>
      <c r="EP13" s="976"/>
      <c r="EQ13" s="976"/>
      <c r="ER13" s="976"/>
      <c r="ES13" s="976" t="str">
        <f>MID(SUVAHAVUJ!AF48,7,1)</f>
        <v xml:space="preserve"> </v>
      </c>
      <c r="ET13" s="976"/>
      <c r="EU13" s="976"/>
      <c r="EV13" s="976"/>
      <c r="EW13" s="976"/>
      <c r="EX13" s="976"/>
      <c r="EY13" s="976" t="str">
        <f>MID(SUVAHAVUJ!AF48,8,1)</f>
        <v xml:space="preserve"> </v>
      </c>
      <c r="EZ13" s="976"/>
      <c r="FA13" s="976"/>
      <c r="FB13" s="976"/>
      <c r="FC13" s="976"/>
      <c r="FD13" s="976" t="str">
        <f>MID(SUVAHAVUJ!AF48,9,1)</f>
        <v xml:space="preserve"> </v>
      </c>
      <c r="FE13" s="976"/>
      <c r="FF13" s="976"/>
      <c r="FG13" s="976"/>
      <c r="FH13" s="976"/>
      <c r="FI13" s="976"/>
      <c r="FJ13" s="976" t="str">
        <f>MID(SUVAHAVUJ!AF48,10,1)</f>
        <v xml:space="preserve"> </v>
      </c>
      <c r="FK13" s="976"/>
      <c r="FL13" s="976"/>
      <c r="FM13" s="976"/>
      <c r="FN13" s="976"/>
      <c r="FO13" s="978" t="str">
        <f>MID(SUVAHAVUJ!AF48,11,1)</f>
        <v>0</v>
      </c>
      <c r="FP13" s="978"/>
      <c r="FQ13" s="978"/>
      <c r="FR13" s="978"/>
      <c r="FS13" s="978"/>
      <c r="FT13" s="979"/>
      <c r="FU13" s="979"/>
      <c r="FV13" s="979"/>
      <c r="FW13" s="979"/>
      <c r="FX13" s="979"/>
      <c r="FY13" s="979"/>
      <c r="FZ13" s="979"/>
      <c r="GA13" s="979"/>
      <c r="GB13" s="979"/>
      <c r="GC13" s="979"/>
      <c r="GD13" s="979"/>
      <c r="GE13" s="979"/>
      <c r="GF13" s="979"/>
      <c r="GG13" s="979"/>
      <c r="GH13" s="979"/>
      <c r="GI13" s="979"/>
      <c r="GJ13" s="979"/>
      <c r="GK13" s="979"/>
      <c r="GL13" s="979"/>
      <c r="GM13" s="979"/>
      <c r="GN13" s="979"/>
      <c r="GO13" s="979"/>
      <c r="GP13" s="979"/>
      <c r="GQ13" s="979"/>
      <c r="GR13" s="979"/>
      <c r="GS13" s="979"/>
      <c r="GT13" s="979"/>
      <c r="GU13" s="979"/>
      <c r="GV13" s="979"/>
      <c r="GW13" s="979"/>
    </row>
    <row r="14" spans="1:205" ht="23.25" customHeight="1" x14ac:dyDescent="0.3">
      <c r="B14" s="985"/>
      <c r="C14" s="985"/>
      <c r="D14" s="985"/>
      <c r="E14" s="985"/>
      <c r="F14" s="985"/>
      <c r="G14" s="985"/>
      <c r="H14" s="985"/>
      <c r="I14" s="985"/>
      <c r="J14" s="985"/>
      <c r="K14" s="985"/>
      <c r="L14" s="990"/>
      <c r="M14" s="990"/>
      <c r="N14" s="990"/>
      <c r="O14" s="990"/>
      <c r="P14" s="990"/>
      <c r="Q14" s="990"/>
      <c r="R14" s="990"/>
      <c r="S14" s="990"/>
      <c r="T14" s="990"/>
      <c r="U14" s="990"/>
      <c r="V14" s="990"/>
      <c r="W14" s="990"/>
      <c r="X14" s="990"/>
      <c r="Y14" s="990"/>
      <c r="Z14" s="990"/>
      <c r="AA14" s="990"/>
      <c r="AB14" s="990"/>
      <c r="AC14" s="990"/>
      <c r="AD14" s="990"/>
      <c r="AE14" s="990"/>
      <c r="AF14" s="990"/>
      <c r="AG14" s="990"/>
      <c r="AH14" s="990"/>
      <c r="AI14" s="990"/>
      <c r="AJ14" s="990"/>
      <c r="AK14" s="990"/>
      <c r="AL14" s="990"/>
      <c r="AM14" s="990"/>
      <c r="AN14" s="990"/>
      <c r="AO14" s="990"/>
      <c r="AP14" s="990"/>
      <c r="AQ14" s="975"/>
      <c r="AR14" s="975"/>
      <c r="AS14" s="975"/>
      <c r="AT14" s="975"/>
      <c r="AU14" s="975"/>
      <c r="AV14" s="975"/>
      <c r="AW14" s="975"/>
      <c r="AX14" s="975"/>
      <c r="AY14" s="648"/>
      <c r="AZ14" s="649"/>
      <c r="BA14" s="976" t="str">
        <f>MID(SUVAHAVUJ!AE48,1,1)</f>
        <v xml:space="preserve"> </v>
      </c>
      <c r="BB14" s="976"/>
      <c r="BC14" s="976"/>
      <c r="BD14" s="976"/>
      <c r="BE14" s="976"/>
      <c r="BF14" s="976"/>
      <c r="BG14" s="976" t="str">
        <f>MID(SUVAHAVUJ!AE48,2,1)</f>
        <v xml:space="preserve"> </v>
      </c>
      <c r="BH14" s="976"/>
      <c r="BI14" s="976"/>
      <c r="BJ14" s="976"/>
      <c r="BK14" s="976"/>
      <c r="BL14" s="976" t="str">
        <f>MID(SUVAHAVUJ!AE48,3,1)</f>
        <v xml:space="preserve"> </v>
      </c>
      <c r="BM14" s="976"/>
      <c r="BN14" s="976"/>
      <c r="BO14" s="976"/>
      <c r="BP14" s="976"/>
      <c r="BQ14" s="976"/>
      <c r="BR14" s="976" t="str">
        <f>MID(SUVAHAVUJ!AE48,4,1)</f>
        <v xml:space="preserve"> </v>
      </c>
      <c r="BS14" s="976"/>
      <c r="BT14" s="976"/>
      <c r="BU14" s="976"/>
      <c r="BV14" s="976"/>
      <c r="BW14" s="976" t="str">
        <f>MID(SUVAHAVUJ!AE48,5,1)</f>
        <v xml:space="preserve"> </v>
      </c>
      <c r="BX14" s="976"/>
      <c r="BY14" s="976"/>
      <c r="BZ14" s="976"/>
      <c r="CA14" s="976"/>
      <c r="CB14" s="976"/>
      <c r="CC14" s="976" t="str">
        <f>MID(SUVAHAVUJ!AE48,6,1)</f>
        <v xml:space="preserve"> </v>
      </c>
      <c r="CD14" s="976"/>
      <c r="CE14" s="976"/>
      <c r="CF14" s="976"/>
      <c r="CG14" s="976"/>
      <c r="CH14" s="976" t="str">
        <f>MID(SUVAHAVUJ!AE48,7,1)</f>
        <v xml:space="preserve"> </v>
      </c>
      <c r="CI14" s="976"/>
      <c r="CJ14" s="976"/>
      <c r="CK14" s="976"/>
      <c r="CL14" s="976"/>
      <c r="CM14" s="976"/>
      <c r="CN14" s="976" t="str">
        <f>MID(SUVAHAVUJ!AE48,8,1)</f>
        <v xml:space="preserve"> </v>
      </c>
      <c r="CO14" s="976"/>
      <c r="CP14" s="976"/>
      <c r="CQ14" s="976"/>
      <c r="CR14" s="976"/>
      <c r="CS14" s="976" t="str">
        <f>MID(SUVAHAVUJ!AE48,9,1)</f>
        <v xml:space="preserve"> </v>
      </c>
      <c r="CT14" s="976"/>
      <c r="CU14" s="976"/>
      <c r="CV14" s="976"/>
      <c r="CW14" s="976"/>
      <c r="CX14" s="976"/>
      <c r="CY14" s="976" t="str">
        <f>MID(SUVAHAVUJ!AE48,10,1)</f>
        <v xml:space="preserve"> </v>
      </c>
      <c r="CZ14" s="976"/>
      <c r="DA14" s="976"/>
      <c r="DB14" s="976"/>
      <c r="DC14" s="976"/>
      <c r="DD14" s="977" t="str">
        <f>MID(SUVAHAVUJ!AE48,11,1)</f>
        <v>0</v>
      </c>
      <c r="DE14" s="977"/>
      <c r="DF14" s="977"/>
      <c r="DG14" s="977"/>
      <c r="DH14" s="977"/>
      <c r="DI14" s="977"/>
      <c r="DJ14" s="980"/>
      <c r="DK14" s="980"/>
      <c r="DL14" s="980"/>
      <c r="DM14" s="980"/>
      <c r="DN14" s="980"/>
      <c r="DO14" s="980"/>
      <c r="DP14" s="980"/>
      <c r="DQ14" s="980"/>
      <c r="DR14" s="980"/>
      <c r="DS14" s="980"/>
      <c r="DT14" s="980"/>
      <c r="DU14" s="980"/>
      <c r="DV14" s="980"/>
      <c r="DW14" s="980"/>
      <c r="DX14" s="980"/>
      <c r="DY14" s="980"/>
      <c r="DZ14" s="980"/>
      <c r="EA14" s="980"/>
      <c r="EB14" s="980"/>
      <c r="EC14" s="980"/>
      <c r="ED14" s="980"/>
      <c r="EE14" s="980"/>
      <c r="EF14" s="980"/>
      <c r="EG14" s="980"/>
      <c r="EH14" s="980"/>
      <c r="EI14" s="980"/>
      <c r="EJ14" s="980"/>
      <c r="EK14" s="980"/>
      <c r="EL14" s="980"/>
      <c r="EM14" s="980"/>
      <c r="EN14" s="648"/>
      <c r="EO14" s="649"/>
      <c r="EP14" s="976" t="str">
        <f>MID(SUVAHAVUJ!AG48,1,1)</f>
        <v xml:space="preserve"> </v>
      </c>
      <c r="EQ14" s="976"/>
      <c r="ER14" s="976"/>
      <c r="ES14" s="976"/>
      <c r="ET14" s="976"/>
      <c r="EU14" s="976"/>
      <c r="EV14" s="976" t="str">
        <f>MID(SUVAHAVUJ!AG48,2,1)</f>
        <v xml:space="preserve"> </v>
      </c>
      <c r="EW14" s="976"/>
      <c r="EX14" s="976"/>
      <c r="EY14" s="976"/>
      <c r="EZ14" s="976"/>
      <c r="FA14" s="976" t="str">
        <f>MID(SUVAHAVUJ!AG48,3,1)</f>
        <v xml:space="preserve"> </v>
      </c>
      <c r="FB14" s="976"/>
      <c r="FC14" s="976"/>
      <c r="FD14" s="976"/>
      <c r="FE14" s="976"/>
      <c r="FF14" s="976"/>
      <c r="FG14" s="976" t="str">
        <f>MID(SUVAHAVUJ!AG48,4,1)</f>
        <v xml:space="preserve"> </v>
      </c>
      <c r="FH14" s="976"/>
      <c r="FI14" s="976"/>
      <c r="FJ14" s="976"/>
      <c r="FK14" s="976"/>
      <c r="FL14" s="976" t="str">
        <f>MID(SUVAHAVUJ!AG48,5,1)</f>
        <v xml:space="preserve"> </v>
      </c>
      <c r="FM14" s="976"/>
      <c r="FN14" s="976"/>
      <c r="FO14" s="976"/>
      <c r="FP14" s="976"/>
      <c r="FQ14" s="976"/>
      <c r="FR14" s="976" t="str">
        <f>MID(SUVAHAVUJ!AG48,6,1)</f>
        <v xml:space="preserve"> </v>
      </c>
      <c r="FS14" s="976"/>
      <c r="FT14" s="976"/>
      <c r="FU14" s="976"/>
      <c r="FV14" s="976"/>
      <c r="FW14" s="976" t="str">
        <f>MID(SUVAHAVUJ!AG48,7,1)</f>
        <v xml:space="preserve"> </v>
      </c>
      <c r="FX14" s="976"/>
      <c r="FY14" s="976"/>
      <c r="FZ14" s="976"/>
      <c r="GA14" s="976"/>
      <c r="GB14" s="976"/>
      <c r="GC14" s="976" t="str">
        <f>MID(SUVAHAVUJ!AG48,8,1)</f>
        <v xml:space="preserve"> </v>
      </c>
      <c r="GD14" s="976"/>
      <c r="GE14" s="976"/>
      <c r="GF14" s="976"/>
      <c r="GG14" s="976"/>
      <c r="GH14" s="976" t="str">
        <f>MID(SUVAHAVUJ!AG48,9,1)</f>
        <v xml:space="preserve"> </v>
      </c>
      <c r="GI14" s="976"/>
      <c r="GJ14" s="976"/>
      <c r="GK14" s="976"/>
      <c r="GL14" s="976"/>
      <c r="GM14" s="976"/>
      <c r="GN14" s="976" t="str">
        <f>MID(SUVAHAVUJ!AG48,10,1)</f>
        <v xml:space="preserve"> </v>
      </c>
      <c r="GO14" s="976"/>
      <c r="GP14" s="976"/>
      <c r="GQ14" s="976"/>
      <c r="GR14" s="976"/>
      <c r="GS14" s="978" t="str">
        <f>MID(SUVAHAVUJ!AG48,11,1)</f>
        <v>0</v>
      </c>
      <c r="GT14" s="978"/>
      <c r="GU14" s="978"/>
      <c r="GV14" s="978"/>
      <c r="GW14" s="978"/>
    </row>
    <row r="15" spans="1:205" s="650" customFormat="1" ht="24" customHeight="1" x14ac:dyDescent="0.3">
      <c r="B15" s="985" t="s">
        <v>2167</v>
      </c>
      <c r="C15" s="985"/>
      <c r="D15" s="985"/>
      <c r="E15" s="985"/>
      <c r="F15" s="985"/>
      <c r="G15" s="985"/>
      <c r="H15" s="985"/>
      <c r="I15" s="985"/>
      <c r="J15" s="985"/>
      <c r="K15" s="985"/>
      <c r="L15" s="990" t="str">
        <f>SUVAHAVUJ!$D$49</f>
        <v>Ostatné pohľadávky voči prepojeným účtovným jednotkám (351A) - /391A/</v>
      </c>
      <c r="M15" s="990"/>
      <c r="N15" s="990"/>
      <c r="O15" s="990"/>
      <c r="P15" s="990"/>
      <c r="Q15" s="990"/>
      <c r="R15" s="990"/>
      <c r="S15" s="990"/>
      <c r="T15" s="990"/>
      <c r="U15" s="990"/>
      <c r="V15" s="990"/>
      <c r="W15" s="990"/>
      <c r="X15" s="990"/>
      <c r="Y15" s="990"/>
      <c r="Z15" s="990"/>
      <c r="AA15" s="990"/>
      <c r="AB15" s="990"/>
      <c r="AC15" s="990"/>
      <c r="AD15" s="990"/>
      <c r="AE15" s="990"/>
      <c r="AF15" s="990"/>
      <c r="AG15" s="990"/>
      <c r="AH15" s="990"/>
      <c r="AI15" s="990"/>
      <c r="AJ15" s="990"/>
      <c r="AK15" s="990"/>
      <c r="AL15" s="990"/>
      <c r="AM15" s="990"/>
      <c r="AN15" s="990"/>
      <c r="AO15" s="990"/>
      <c r="AP15" s="990"/>
      <c r="AQ15" s="975" t="s">
        <v>1220</v>
      </c>
      <c r="AR15" s="975"/>
      <c r="AS15" s="975"/>
      <c r="AT15" s="975"/>
      <c r="AU15" s="975"/>
      <c r="AV15" s="975"/>
      <c r="AW15" s="975"/>
      <c r="AX15" s="975"/>
      <c r="AY15" s="648"/>
      <c r="AZ15" s="649"/>
      <c r="BA15" s="976" t="str">
        <f>MID(SUVAHAVUJ!AD49,1,1)</f>
        <v xml:space="preserve"> </v>
      </c>
      <c r="BB15" s="976"/>
      <c r="BC15" s="976"/>
      <c r="BD15" s="976"/>
      <c r="BE15" s="976"/>
      <c r="BF15" s="976"/>
      <c r="BG15" s="976" t="str">
        <f>MID(SUVAHAVUJ!AD49,2,1)</f>
        <v xml:space="preserve"> </v>
      </c>
      <c r="BH15" s="976"/>
      <c r="BI15" s="976"/>
      <c r="BJ15" s="976"/>
      <c r="BK15" s="976"/>
      <c r="BL15" s="976" t="str">
        <f>MID(SUVAHAVUJ!AD49,3,1)</f>
        <v xml:space="preserve"> </v>
      </c>
      <c r="BM15" s="976"/>
      <c r="BN15" s="976"/>
      <c r="BO15" s="976"/>
      <c r="BP15" s="976"/>
      <c r="BQ15" s="976"/>
      <c r="BR15" s="976" t="str">
        <f>MID(SUVAHAVUJ!AD49,4,1)</f>
        <v xml:space="preserve"> </v>
      </c>
      <c r="BS15" s="976"/>
      <c r="BT15" s="976"/>
      <c r="BU15" s="976"/>
      <c r="BV15" s="976"/>
      <c r="BW15" s="976" t="str">
        <f>MID(SUVAHAVUJ!AD49,5,1)</f>
        <v xml:space="preserve"> </v>
      </c>
      <c r="BX15" s="976"/>
      <c r="BY15" s="976"/>
      <c r="BZ15" s="976"/>
      <c r="CA15" s="976"/>
      <c r="CB15" s="976"/>
      <c r="CC15" s="976" t="str">
        <f>MID(SUVAHAVUJ!AD49,6,1)</f>
        <v xml:space="preserve"> </v>
      </c>
      <c r="CD15" s="976"/>
      <c r="CE15" s="976"/>
      <c r="CF15" s="976"/>
      <c r="CG15" s="976"/>
      <c r="CH15" s="976" t="str">
        <f>MID(SUVAHAVUJ!AD49,7,1)</f>
        <v xml:space="preserve"> </v>
      </c>
      <c r="CI15" s="976"/>
      <c r="CJ15" s="976"/>
      <c r="CK15" s="976"/>
      <c r="CL15" s="976"/>
      <c r="CM15" s="976"/>
      <c r="CN15" s="976" t="str">
        <f>MID(SUVAHAVUJ!AD49,8,1)</f>
        <v xml:space="preserve"> </v>
      </c>
      <c r="CO15" s="976"/>
      <c r="CP15" s="976"/>
      <c r="CQ15" s="976"/>
      <c r="CR15" s="976"/>
      <c r="CS15" s="976" t="str">
        <f>MID(SUVAHAVUJ!AD49,9,1)</f>
        <v xml:space="preserve"> </v>
      </c>
      <c r="CT15" s="976"/>
      <c r="CU15" s="976"/>
      <c r="CV15" s="976"/>
      <c r="CW15" s="976"/>
      <c r="CX15" s="976"/>
      <c r="CY15" s="976" t="str">
        <f>MID(SUVAHAVUJ!AD49,10,1)</f>
        <v xml:space="preserve"> </v>
      </c>
      <c r="CZ15" s="976"/>
      <c r="DA15" s="976"/>
      <c r="DB15" s="976"/>
      <c r="DC15" s="976"/>
      <c r="DD15" s="977" t="str">
        <f>MID(SUVAHAVUJ!AD49,11,1)</f>
        <v>0</v>
      </c>
      <c r="DE15" s="977"/>
      <c r="DF15" s="977"/>
      <c r="DG15" s="977"/>
      <c r="DH15" s="977"/>
      <c r="DI15" s="977"/>
      <c r="DJ15" s="648"/>
      <c r="DK15" s="649"/>
      <c r="DL15" s="976" t="str">
        <f>MID(SUVAHAVUJ!AF49,1,1)</f>
        <v xml:space="preserve"> </v>
      </c>
      <c r="DM15" s="976"/>
      <c r="DN15" s="976"/>
      <c r="DO15" s="976"/>
      <c r="DP15" s="976"/>
      <c r="DQ15" s="976"/>
      <c r="DR15" s="976" t="str">
        <f>MID(SUVAHAVUJ!AF49,2,1)</f>
        <v xml:space="preserve"> </v>
      </c>
      <c r="DS15" s="976"/>
      <c r="DT15" s="976"/>
      <c r="DU15" s="976"/>
      <c r="DV15" s="976"/>
      <c r="DW15" s="976" t="str">
        <f>MID(SUVAHAVUJ!AF49,3,1)</f>
        <v xml:space="preserve"> </v>
      </c>
      <c r="DX15" s="976"/>
      <c r="DY15" s="976"/>
      <c r="DZ15" s="976"/>
      <c r="EA15" s="976"/>
      <c r="EB15" s="976"/>
      <c r="EC15" s="976" t="str">
        <f>MID(SUVAHAVUJ!AF49,4,1)</f>
        <v xml:space="preserve"> </v>
      </c>
      <c r="ED15" s="976"/>
      <c r="EE15" s="976"/>
      <c r="EF15" s="976"/>
      <c r="EG15" s="976"/>
      <c r="EH15" s="976" t="str">
        <f>MID(SUVAHAVUJ!AF49,5,1)</f>
        <v xml:space="preserve"> </v>
      </c>
      <c r="EI15" s="976"/>
      <c r="EJ15" s="976"/>
      <c r="EK15" s="976"/>
      <c r="EL15" s="976"/>
      <c r="EM15" s="976"/>
      <c r="EN15" s="976" t="str">
        <f>MID(SUVAHAVUJ!AF49,6,1)</f>
        <v xml:space="preserve"> </v>
      </c>
      <c r="EO15" s="976"/>
      <c r="EP15" s="976"/>
      <c r="EQ15" s="976"/>
      <c r="ER15" s="976"/>
      <c r="ES15" s="976" t="str">
        <f>MID(SUVAHAVUJ!AF49,7,1)</f>
        <v xml:space="preserve"> </v>
      </c>
      <c r="ET15" s="976"/>
      <c r="EU15" s="976"/>
      <c r="EV15" s="976"/>
      <c r="EW15" s="976"/>
      <c r="EX15" s="976"/>
      <c r="EY15" s="976" t="str">
        <f>MID(SUVAHAVUJ!AF49,8,1)</f>
        <v xml:space="preserve"> </v>
      </c>
      <c r="EZ15" s="976"/>
      <c r="FA15" s="976"/>
      <c r="FB15" s="976"/>
      <c r="FC15" s="976"/>
      <c r="FD15" s="976" t="str">
        <f>MID(SUVAHAVUJ!AF49,9,1)</f>
        <v xml:space="preserve"> </v>
      </c>
      <c r="FE15" s="976"/>
      <c r="FF15" s="976"/>
      <c r="FG15" s="976"/>
      <c r="FH15" s="976"/>
      <c r="FI15" s="976"/>
      <c r="FJ15" s="976" t="str">
        <f>MID(SUVAHAVUJ!AF49,10,1)</f>
        <v xml:space="preserve"> </v>
      </c>
      <c r="FK15" s="976"/>
      <c r="FL15" s="976"/>
      <c r="FM15" s="976"/>
      <c r="FN15" s="976"/>
      <c r="FO15" s="978" t="str">
        <f>MID(SUVAHAVUJ!AF49,11,1)</f>
        <v>0</v>
      </c>
      <c r="FP15" s="978"/>
      <c r="FQ15" s="978"/>
      <c r="FR15" s="978"/>
      <c r="FS15" s="978"/>
      <c r="FT15" s="979"/>
      <c r="FU15" s="979"/>
      <c r="FV15" s="979"/>
      <c r="FW15" s="979"/>
      <c r="FX15" s="979"/>
      <c r="FY15" s="979"/>
      <c r="FZ15" s="979"/>
      <c r="GA15" s="979"/>
      <c r="GB15" s="979"/>
      <c r="GC15" s="979"/>
      <c r="GD15" s="979"/>
      <c r="GE15" s="979"/>
      <c r="GF15" s="979"/>
      <c r="GG15" s="979"/>
      <c r="GH15" s="979"/>
      <c r="GI15" s="979"/>
      <c r="GJ15" s="979"/>
      <c r="GK15" s="979"/>
      <c r="GL15" s="979"/>
      <c r="GM15" s="979"/>
      <c r="GN15" s="979"/>
      <c r="GO15" s="979"/>
      <c r="GP15" s="979"/>
      <c r="GQ15" s="979"/>
      <c r="GR15" s="979"/>
      <c r="GS15" s="979"/>
      <c r="GT15" s="979"/>
      <c r="GU15" s="979"/>
      <c r="GV15" s="979"/>
      <c r="GW15" s="979"/>
    </row>
    <row r="16" spans="1:205" ht="24.75" customHeight="1" x14ac:dyDescent="0.3">
      <c r="B16" s="985"/>
      <c r="C16" s="985"/>
      <c r="D16" s="985"/>
      <c r="E16" s="985"/>
      <c r="F16" s="985"/>
      <c r="G16" s="985"/>
      <c r="H16" s="985"/>
      <c r="I16" s="985"/>
      <c r="J16" s="985"/>
      <c r="K16" s="985"/>
      <c r="L16" s="990"/>
      <c r="M16" s="990"/>
      <c r="N16" s="990"/>
      <c r="O16" s="990"/>
      <c r="P16" s="990"/>
      <c r="Q16" s="990"/>
      <c r="R16" s="990"/>
      <c r="S16" s="990"/>
      <c r="T16" s="990"/>
      <c r="U16" s="990"/>
      <c r="V16" s="990"/>
      <c r="W16" s="990"/>
      <c r="X16" s="990"/>
      <c r="Y16" s="990"/>
      <c r="Z16" s="990"/>
      <c r="AA16" s="990"/>
      <c r="AB16" s="990"/>
      <c r="AC16" s="990"/>
      <c r="AD16" s="990"/>
      <c r="AE16" s="990"/>
      <c r="AF16" s="990"/>
      <c r="AG16" s="990"/>
      <c r="AH16" s="990"/>
      <c r="AI16" s="990"/>
      <c r="AJ16" s="990"/>
      <c r="AK16" s="990"/>
      <c r="AL16" s="990"/>
      <c r="AM16" s="990"/>
      <c r="AN16" s="990"/>
      <c r="AO16" s="990"/>
      <c r="AP16" s="990"/>
      <c r="AQ16" s="975"/>
      <c r="AR16" s="975"/>
      <c r="AS16" s="975"/>
      <c r="AT16" s="975"/>
      <c r="AU16" s="975"/>
      <c r="AV16" s="975"/>
      <c r="AW16" s="975"/>
      <c r="AX16" s="975"/>
      <c r="AY16" s="648"/>
      <c r="AZ16" s="649"/>
      <c r="BA16" s="976" t="str">
        <f>MID(SUVAHAVUJ!AE49,1,1)</f>
        <v xml:space="preserve"> </v>
      </c>
      <c r="BB16" s="976"/>
      <c r="BC16" s="976"/>
      <c r="BD16" s="976"/>
      <c r="BE16" s="976"/>
      <c r="BF16" s="976"/>
      <c r="BG16" s="976" t="str">
        <f>MID(SUVAHAVUJ!AE49,2,1)</f>
        <v xml:space="preserve"> </v>
      </c>
      <c r="BH16" s="976"/>
      <c r="BI16" s="976"/>
      <c r="BJ16" s="976"/>
      <c r="BK16" s="976"/>
      <c r="BL16" s="976" t="str">
        <f>MID(SUVAHAVUJ!AE49,3,1)</f>
        <v xml:space="preserve"> </v>
      </c>
      <c r="BM16" s="976"/>
      <c r="BN16" s="976"/>
      <c r="BO16" s="976"/>
      <c r="BP16" s="976"/>
      <c r="BQ16" s="976"/>
      <c r="BR16" s="976" t="str">
        <f>MID(SUVAHAVUJ!AE49,4,1)</f>
        <v xml:space="preserve"> </v>
      </c>
      <c r="BS16" s="976"/>
      <c r="BT16" s="976"/>
      <c r="BU16" s="976"/>
      <c r="BV16" s="976"/>
      <c r="BW16" s="976" t="str">
        <f>MID(SUVAHAVUJ!AE49,5,1)</f>
        <v xml:space="preserve"> </v>
      </c>
      <c r="BX16" s="976"/>
      <c r="BY16" s="976"/>
      <c r="BZ16" s="976"/>
      <c r="CA16" s="976"/>
      <c r="CB16" s="976"/>
      <c r="CC16" s="976" t="str">
        <f>MID(SUVAHAVUJ!AE49,6,1)</f>
        <v xml:space="preserve"> </v>
      </c>
      <c r="CD16" s="976"/>
      <c r="CE16" s="976"/>
      <c r="CF16" s="976"/>
      <c r="CG16" s="976"/>
      <c r="CH16" s="976" t="str">
        <f>MID(SUVAHAVUJ!AE49,7,1)</f>
        <v xml:space="preserve"> </v>
      </c>
      <c r="CI16" s="976"/>
      <c r="CJ16" s="976"/>
      <c r="CK16" s="976"/>
      <c r="CL16" s="976"/>
      <c r="CM16" s="976"/>
      <c r="CN16" s="976" t="str">
        <f>MID(SUVAHAVUJ!AE49,8,1)</f>
        <v xml:space="preserve"> </v>
      </c>
      <c r="CO16" s="976"/>
      <c r="CP16" s="976"/>
      <c r="CQ16" s="976"/>
      <c r="CR16" s="976"/>
      <c r="CS16" s="976" t="str">
        <f>MID(SUVAHAVUJ!AE49,9,1)</f>
        <v xml:space="preserve"> </v>
      </c>
      <c r="CT16" s="976"/>
      <c r="CU16" s="976"/>
      <c r="CV16" s="976"/>
      <c r="CW16" s="976"/>
      <c r="CX16" s="976"/>
      <c r="CY16" s="976" t="str">
        <f>MID(SUVAHAVUJ!AE49,10,1)</f>
        <v xml:space="preserve"> </v>
      </c>
      <c r="CZ16" s="976"/>
      <c r="DA16" s="976"/>
      <c r="DB16" s="976"/>
      <c r="DC16" s="976"/>
      <c r="DD16" s="977" t="str">
        <f>MID(SUVAHAVUJ!AE49,11,1)</f>
        <v>0</v>
      </c>
      <c r="DE16" s="977"/>
      <c r="DF16" s="977"/>
      <c r="DG16" s="977"/>
      <c r="DH16" s="977"/>
      <c r="DI16" s="977"/>
      <c r="DJ16" s="980"/>
      <c r="DK16" s="980"/>
      <c r="DL16" s="980"/>
      <c r="DM16" s="980"/>
      <c r="DN16" s="980"/>
      <c r="DO16" s="980"/>
      <c r="DP16" s="980"/>
      <c r="DQ16" s="980"/>
      <c r="DR16" s="980"/>
      <c r="DS16" s="980"/>
      <c r="DT16" s="980"/>
      <c r="DU16" s="980"/>
      <c r="DV16" s="980"/>
      <c r="DW16" s="980"/>
      <c r="DX16" s="980"/>
      <c r="DY16" s="980"/>
      <c r="DZ16" s="980"/>
      <c r="EA16" s="980"/>
      <c r="EB16" s="980"/>
      <c r="EC16" s="980"/>
      <c r="ED16" s="980"/>
      <c r="EE16" s="980"/>
      <c r="EF16" s="980"/>
      <c r="EG16" s="980"/>
      <c r="EH16" s="980"/>
      <c r="EI16" s="980"/>
      <c r="EJ16" s="980"/>
      <c r="EK16" s="980"/>
      <c r="EL16" s="980"/>
      <c r="EM16" s="980"/>
      <c r="EN16" s="648"/>
      <c r="EO16" s="649"/>
      <c r="EP16" s="976" t="str">
        <f>MID(SUVAHAVUJ!AG49,1,1)</f>
        <v xml:space="preserve"> </v>
      </c>
      <c r="EQ16" s="976"/>
      <c r="ER16" s="976"/>
      <c r="ES16" s="976"/>
      <c r="ET16" s="976"/>
      <c r="EU16" s="976"/>
      <c r="EV16" s="976" t="str">
        <f>MID(SUVAHAVUJ!AG49,2,1)</f>
        <v xml:space="preserve"> </v>
      </c>
      <c r="EW16" s="976"/>
      <c r="EX16" s="976"/>
      <c r="EY16" s="976"/>
      <c r="EZ16" s="976"/>
      <c r="FA16" s="976" t="str">
        <f>MID(SUVAHAVUJ!AG49,3,1)</f>
        <v xml:space="preserve"> </v>
      </c>
      <c r="FB16" s="976"/>
      <c r="FC16" s="976"/>
      <c r="FD16" s="976"/>
      <c r="FE16" s="976"/>
      <c r="FF16" s="976"/>
      <c r="FG16" s="976" t="str">
        <f>MID(SUVAHAVUJ!AG49,4,1)</f>
        <v xml:space="preserve"> </v>
      </c>
      <c r="FH16" s="976"/>
      <c r="FI16" s="976"/>
      <c r="FJ16" s="976"/>
      <c r="FK16" s="976"/>
      <c r="FL16" s="976" t="str">
        <f>MID(SUVAHAVUJ!AG49,5,1)</f>
        <v xml:space="preserve"> </v>
      </c>
      <c r="FM16" s="976"/>
      <c r="FN16" s="976"/>
      <c r="FO16" s="976"/>
      <c r="FP16" s="976"/>
      <c r="FQ16" s="976"/>
      <c r="FR16" s="976" t="str">
        <f>MID(SUVAHAVUJ!AG49,6,1)</f>
        <v xml:space="preserve"> </v>
      </c>
      <c r="FS16" s="976"/>
      <c r="FT16" s="976"/>
      <c r="FU16" s="976"/>
      <c r="FV16" s="976"/>
      <c r="FW16" s="976" t="str">
        <f>MID(SUVAHAVUJ!AG49,7,1)</f>
        <v xml:space="preserve"> </v>
      </c>
      <c r="FX16" s="976"/>
      <c r="FY16" s="976"/>
      <c r="FZ16" s="976"/>
      <c r="GA16" s="976"/>
      <c r="GB16" s="976"/>
      <c r="GC16" s="976" t="str">
        <f>MID(SUVAHAVUJ!AG49,8,1)</f>
        <v xml:space="preserve"> </v>
      </c>
      <c r="GD16" s="976"/>
      <c r="GE16" s="976"/>
      <c r="GF16" s="976"/>
      <c r="GG16" s="976"/>
      <c r="GH16" s="976" t="str">
        <f>MID(SUVAHAVUJ!AG49,9,1)</f>
        <v xml:space="preserve"> </v>
      </c>
      <c r="GI16" s="976"/>
      <c r="GJ16" s="976"/>
      <c r="GK16" s="976"/>
      <c r="GL16" s="976"/>
      <c r="GM16" s="976"/>
      <c r="GN16" s="976" t="str">
        <f>MID(SUVAHAVUJ!AG49,10,1)</f>
        <v xml:space="preserve"> </v>
      </c>
      <c r="GO16" s="976"/>
      <c r="GP16" s="976"/>
      <c r="GQ16" s="976"/>
      <c r="GR16" s="976"/>
      <c r="GS16" s="978" t="str">
        <f>MID(SUVAHAVUJ!AG49,11,1)</f>
        <v>0</v>
      </c>
      <c r="GT16" s="978"/>
      <c r="GU16" s="978"/>
      <c r="GV16" s="978"/>
      <c r="GW16" s="978"/>
    </row>
    <row r="17" spans="2:205" s="650" customFormat="1" ht="23.25" customHeight="1" x14ac:dyDescent="0.3">
      <c r="B17" s="985" t="s">
        <v>2168</v>
      </c>
      <c r="C17" s="985"/>
      <c r="D17" s="985"/>
      <c r="E17" s="985"/>
      <c r="F17" s="985"/>
      <c r="G17" s="985"/>
      <c r="H17" s="985"/>
      <c r="I17" s="985"/>
      <c r="J17" s="985"/>
      <c r="K17" s="985"/>
      <c r="L17" s="990" t="str">
        <f>SUVAHAVUJ!$D$50</f>
        <v>Ostatné pohľadávky v rámci podielovej účasti okrem pohľadávok voči prepojeným účtovným jednotkám (351A) - /391A/</v>
      </c>
      <c r="M17" s="990"/>
      <c r="N17" s="990"/>
      <c r="O17" s="990"/>
      <c r="P17" s="990"/>
      <c r="Q17" s="990"/>
      <c r="R17" s="990"/>
      <c r="S17" s="990"/>
      <c r="T17" s="990"/>
      <c r="U17" s="990"/>
      <c r="V17" s="990"/>
      <c r="W17" s="990"/>
      <c r="X17" s="990"/>
      <c r="Y17" s="990"/>
      <c r="Z17" s="990"/>
      <c r="AA17" s="990"/>
      <c r="AB17" s="990"/>
      <c r="AC17" s="990"/>
      <c r="AD17" s="990"/>
      <c r="AE17" s="990"/>
      <c r="AF17" s="990"/>
      <c r="AG17" s="990"/>
      <c r="AH17" s="990"/>
      <c r="AI17" s="990"/>
      <c r="AJ17" s="990"/>
      <c r="AK17" s="990"/>
      <c r="AL17" s="990"/>
      <c r="AM17" s="990"/>
      <c r="AN17" s="990"/>
      <c r="AO17" s="990"/>
      <c r="AP17" s="990"/>
      <c r="AQ17" s="975" t="s">
        <v>1221</v>
      </c>
      <c r="AR17" s="975"/>
      <c r="AS17" s="975"/>
      <c r="AT17" s="975"/>
      <c r="AU17" s="975"/>
      <c r="AV17" s="975"/>
      <c r="AW17" s="975"/>
      <c r="AX17" s="975"/>
      <c r="AY17" s="648"/>
      <c r="AZ17" s="649"/>
      <c r="BA17" s="976" t="str">
        <f>MID(SUVAHAVUJ!AD50,1,1)</f>
        <v xml:space="preserve"> </v>
      </c>
      <c r="BB17" s="976"/>
      <c r="BC17" s="976"/>
      <c r="BD17" s="976"/>
      <c r="BE17" s="976"/>
      <c r="BF17" s="976"/>
      <c r="BG17" s="976" t="str">
        <f>MID(SUVAHAVUJ!AD50,2,1)</f>
        <v xml:space="preserve"> </v>
      </c>
      <c r="BH17" s="976"/>
      <c r="BI17" s="976"/>
      <c r="BJ17" s="976"/>
      <c r="BK17" s="976"/>
      <c r="BL17" s="976" t="str">
        <f>MID(SUVAHAVUJ!AD50,3,1)</f>
        <v xml:space="preserve"> </v>
      </c>
      <c r="BM17" s="976"/>
      <c r="BN17" s="976"/>
      <c r="BO17" s="976"/>
      <c r="BP17" s="976"/>
      <c r="BQ17" s="976"/>
      <c r="BR17" s="976" t="str">
        <f>MID(SUVAHAVUJ!AD50,4,1)</f>
        <v xml:space="preserve"> </v>
      </c>
      <c r="BS17" s="976"/>
      <c r="BT17" s="976"/>
      <c r="BU17" s="976"/>
      <c r="BV17" s="976"/>
      <c r="BW17" s="976" t="str">
        <f>MID(SUVAHAVUJ!AD50,5,1)</f>
        <v xml:space="preserve"> </v>
      </c>
      <c r="BX17" s="976"/>
      <c r="BY17" s="976"/>
      <c r="BZ17" s="976"/>
      <c r="CA17" s="976"/>
      <c r="CB17" s="976"/>
      <c r="CC17" s="976" t="str">
        <f>MID(SUVAHAVUJ!AD50,6,1)</f>
        <v xml:space="preserve"> </v>
      </c>
      <c r="CD17" s="976"/>
      <c r="CE17" s="976"/>
      <c r="CF17" s="976"/>
      <c r="CG17" s="976"/>
      <c r="CH17" s="976" t="str">
        <f>MID(SUVAHAVUJ!AD50,7,1)</f>
        <v xml:space="preserve"> </v>
      </c>
      <c r="CI17" s="976"/>
      <c r="CJ17" s="976"/>
      <c r="CK17" s="976"/>
      <c r="CL17" s="976"/>
      <c r="CM17" s="976"/>
      <c r="CN17" s="976" t="str">
        <f>MID(SUVAHAVUJ!AD50,8,1)</f>
        <v xml:space="preserve"> </v>
      </c>
      <c r="CO17" s="976"/>
      <c r="CP17" s="976"/>
      <c r="CQ17" s="976"/>
      <c r="CR17" s="976"/>
      <c r="CS17" s="976" t="str">
        <f>MID(SUVAHAVUJ!AD50,9,1)</f>
        <v xml:space="preserve"> </v>
      </c>
      <c r="CT17" s="976"/>
      <c r="CU17" s="976"/>
      <c r="CV17" s="976"/>
      <c r="CW17" s="976"/>
      <c r="CX17" s="976"/>
      <c r="CY17" s="976" t="str">
        <f>MID(SUVAHAVUJ!AD50,10,1)</f>
        <v xml:space="preserve"> </v>
      </c>
      <c r="CZ17" s="976"/>
      <c r="DA17" s="976"/>
      <c r="DB17" s="976"/>
      <c r="DC17" s="976"/>
      <c r="DD17" s="977" t="str">
        <f>MID(SUVAHAVUJ!AD50,11,1)</f>
        <v>0</v>
      </c>
      <c r="DE17" s="977"/>
      <c r="DF17" s="977"/>
      <c r="DG17" s="977"/>
      <c r="DH17" s="977"/>
      <c r="DI17" s="977"/>
      <c r="DJ17" s="648"/>
      <c r="DK17" s="649"/>
      <c r="DL17" s="976" t="str">
        <f>MID(SUVAHAVUJ!AF50,1,1)</f>
        <v xml:space="preserve"> </v>
      </c>
      <c r="DM17" s="976"/>
      <c r="DN17" s="976"/>
      <c r="DO17" s="976"/>
      <c r="DP17" s="976"/>
      <c r="DQ17" s="976"/>
      <c r="DR17" s="976" t="str">
        <f>MID(SUVAHAVUJ!AF50,2,1)</f>
        <v xml:space="preserve"> </v>
      </c>
      <c r="DS17" s="976"/>
      <c r="DT17" s="976"/>
      <c r="DU17" s="976"/>
      <c r="DV17" s="976"/>
      <c r="DW17" s="976" t="str">
        <f>MID(SUVAHAVUJ!AF50,3,1)</f>
        <v xml:space="preserve"> </v>
      </c>
      <c r="DX17" s="976"/>
      <c r="DY17" s="976"/>
      <c r="DZ17" s="976"/>
      <c r="EA17" s="976"/>
      <c r="EB17" s="976"/>
      <c r="EC17" s="976" t="str">
        <f>MID(SUVAHAVUJ!AF50,4,1)</f>
        <v xml:space="preserve"> </v>
      </c>
      <c r="ED17" s="976"/>
      <c r="EE17" s="976"/>
      <c r="EF17" s="976"/>
      <c r="EG17" s="976"/>
      <c r="EH17" s="976" t="str">
        <f>MID(SUVAHAVUJ!AF50,5,1)</f>
        <v xml:space="preserve"> </v>
      </c>
      <c r="EI17" s="976"/>
      <c r="EJ17" s="976"/>
      <c r="EK17" s="976"/>
      <c r="EL17" s="976"/>
      <c r="EM17" s="976"/>
      <c r="EN17" s="976" t="str">
        <f>MID(SUVAHAVUJ!AF50,6,1)</f>
        <v xml:space="preserve"> </v>
      </c>
      <c r="EO17" s="976"/>
      <c r="EP17" s="976"/>
      <c r="EQ17" s="976"/>
      <c r="ER17" s="976"/>
      <c r="ES17" s="976" t="str">
        <f>MID(SUVAHAVUJ!AF50,7,1)</f>
        <v xml:space="preserve"> </v>
      </c>
      <c r="ET17" s="976"/>
      <c r="EU17" s="976"/>
      <c r="EV17" s="976"/>
      <c r="EW17" s="976"/>
      <c r="EX17" s="976"/>
      <c r="EY17" s="976" t="str">
        <f>MID(SUVAHAVUJ!AF50,8,1)</f>
        <v xml:space="preserve"> </v>
      </c>
      <c r="EZ17" s="976"/>
      <c r="FA17" s="976"/>
      <c r="FB17" s="976"/>
      <c r="FC17" s="976"/>
      <c r="FD17" s="976" t="str">
        <f>MID(SUVAHAVUJ!AF50,9,1)</f>
        <v xml:space="preserve"> </v>
      </c>
      <c r="FE17" s="976"/>
      <c r="FF17" s="976"/>
      <c r="FG17" s="976"/>
      <c r="FH17" s="976"/>
      <c r="FI17" s="976"/>
      <c r="FJ17" s="976" t="str">
        <f>MID(SUVAHAVUJ!AF50,10,1)</f>
        <v xml:space="preserve"> </v>
      </c>
      <c r="FK17" s="976"/>
      <c r="FL17" s="976"/>
      <c r="FM17" s="976"/>
      <c r="FN17" s="976"/>
      <c r="FO17" s="978" t="str">
        <f>MID(SUVAHAVUJ!AF50,11,1)</f>
        <v>0</v>
      </c>
      <c r="FP17" s="978"/>
      <c r="FQ17" s="978"/>
      <c r="FR17" s="978"/>
      <c r="FS17" s="978"/>
      <c r="FT17" s="979"/>
      <c r="FU17" s="979"/>
      <c r="FV17" s="979"/>
      <c r="FW17" s="979"/>
      <c r="FX17" s="979"/>
      <c r="FY17" s="979"/>
      <c r="FZ17" s="979"/>
      <c r="GA17" s="979"/>
      <c r="GB17" s="979"/>
      <c r="GC17" s="979"/>
      <c r="GD17" s="979"/>
      <c r="GE17" s="979"/>
      <c r="GF17" s="979"/>
      <c r="GG17" s="979"/>
      <c r="GH17" s="979"/>
      <c r="GI17" s="979"/>
      <c r="GJ17" s="979"/>
      <c r="GK17" s="979"/>
      <c r="GL17" s="979"/>
      <c r="GM17" s="979"/>
      <c r="GN17" s="979"/>
      <c r="GO17" s="979"/>
      <c r="GP17" s="979"/>
      <c r="GQ17" s="979"/>
      <c r="GR17" s="979"/>
      <c r="GS17" s="979"/>
      <c r="GT17" s="979"/>
      <c r="GU17" s="979"/>
      <c r="GV17" s="979"/>
      <c r="GW17" s="979"/>
    </row>
    <row r="18" spans="2:205" ht="23.25" customHeight="1" x14ac:dyDescent="0.3">
      <c r="B18" s="985"/>
      <c r="C18" s="985"/>
      <c r="D18" s="985"/>
      <c r="E18" s="985"/>
      <c r="F18" s="985"/>
      <c r="G18" s="985"/>
      <c r="H18" s="985"/>
      <c r="I18" s="985"/>
      <c r="J18" s="985"/>
      <c r="K18" s="985"/>
      <c r="L18" s="990"/>
      <c r="M18" s="990"/>
      <c r="N18" s="990"/>
      <c r="O18" s="990"/>
      <c r="P18" s="990"/>
      <c r="Q18" s="990"/>
      <c r="R18" s="990"/>
      <c r="S18" s="990"/>
      <c r="T18" s="990"/>
      <c r="U18" s="990"/>
      <c r="V18" s="990"/>
      <c r="W18" s="990"/>
      <c r="X18" s="990"/>
      <c r="Y18" s="990"/>
      <c r="Z18" s="990"/>
      <c r="AA18" s="990"/>
      <c r="AB18" s="990"/>
      <c r="AC18" s="990"/>
      <c r="AD18" s="990"/>
      <c r="AE18" s="990"/>
      <c r="AF18" s="990"/>
      <c r="AG18" s="990"/>
      <c r="AH18" s="990"/>
      <c r="AI18" s="990"/>
      <c r="AJ18" s="990"/>
      <c r="AK18" s="990"/>
      <c r="AL18" s="990"/>
      <c r="AM18" s="990"/>
      <c r="AN18" s="990"/>
      <c r="AO18" s="990"/>
      <c r="AP18" s="990"/>
      <c r="AQ18" s="975"/>
      <c r="AR18" s="975"/>
      <c r="AS18" s="975"/>
      <c r="AT18" s="975"/>
      <c r="AU18" s="975"/>
      <c r="AV18" s="975"/>
      <c r="AW18" s="975"/>
      <c r="AX18" s="975"/>
      <c r="AY18" s="648"/>
      <c r="AZ18" s="649"/>
      <c r="BA18" s="976" t="str">
        <f>MID(SUVAHAVUJ!AE50,1,1)</f>
        <v xml:space="preserve"> </v>
      </c>
      <c r="BB18" s="976"/>
      <c r="BC18" s="976"/>
      <c r="BD18" s="976"/>
      <c r="BE18" s="976"/>
      <c r="BF18" s="976"/>
      <c r="BG18" s="976" t="str">
        <f>MID(SUVAHAVUJ!AE50,2,1)</f>
        <v xml:space="preserve"> </v>
      </c>
      <c r="BH18" s="976"/>
      <c r="BI18" s="976"/>
      <c r="BJ18" s="976"/>
      <c r="BK18" s="976"/>
      <c r="BL18" s="976" t="str">
        <f>MID(SUVAHAVUJ!AE50,3,1)</f>
        <v xml:space="preserve"> </v>
      </c>
      <c r="BM18" s="976"/>
      <c r="BN18" s="976"/>
      <c r="BO18" s="976"/>
      <c r="BP18" s="976"/>
      <c r="BQ18" s="976"/>
      <c r="BR18" s="976" t="str">
        <f>MID(SUVAHAVUJ!AE50,4,1)</f>
        <v xml:space="preserve"> </v>
      </c>
      <c r="BS18" s="976"/>
      <c r="BT18" s="976"/>
      <c r="BU18" s="976"/>
      <c r="BV18" s="976"/>
      <c r="BW18" s="976" t="str">
        <f>MID(SUVAHAVUJ!AE50,5,1)</f>
        <v xml:space="preserve"> </v>
      </c>
      <c r="BX18" s="976"/>
      <c r="BY18" s="976"/>
      <c r="BZ18" s="976"/>
      <c r="CA18" s="976"/>
      <c r="CB18" s="976"/>
      <c r="CC18" s="976" t="str">
        <f>MID(SUVAHAVUJ!AE50,6,1)</f>
        <v xml:space="preserve"> </v>
      </c>
      <c r="CD18" s="976"/>
      <c r="CE18" s="976"/>
      <c r="CF18" s="976"/>
      <c r="CG18" s="976"/>
      <c r="CH18" s="976" t="str">
        <f>MID(SUVAHAVUJ!AE50,7,1)</f>
        <v xml:space="preserve"> </v>
      </c>
      <c r="CI18" s="976"/>
      <c r="CJ18" s="976"/>
      <c r="CK18" s="976"/>
      <c r="CL18" s="976"/>
      <c r="CM18" s="976"/>
      <c r="CN18" s="976" t="str">
        <f>MID(SUVAHAVUJ!AE50,8,1)</f>
        <v xml:space="preserve"> </v>
      </c>
      <c r="CO18" s="976"/>
      <c r="CP18" s="976"/>
      <c r="CQ18" s="976"/>
      <c r="CR18" s="976"/>
      <c r="CS18" s="976" t="str">
        <f>MID(SUVAHAVUJ!AE50,9,1)</f>
        <v xml:space="preserve"> </v>
      </c>
      <c r="CT18" s="976"/>
      <c r="CU18" s="976"/>
      <c r="CV18" s="976"/>
      <c r="CW18" s="976"/>
      <c r="CX18" s="976"/>
      <c r="CY18" s="976" t="str">
        <f>MID(SUVAHAVUJ!AE50,10,1)</f>
        <v xml:space="preserve"> </v>
      </c>
      <c r="CZ18" s="976"/>
      <c r="DA18" s="976"/>
      <c r="DB18" s="976"/>
      <c r="DC18" s="976"/>
      <c r="DD18" s="977" t="str">
        <f>MID(SUVAHAVUJ!AE50,11,1)</f>
        <v>0</v>
      </c>
      <c r="DE18" s="977"/>
      <c r="DF18" s="977"/>
      <c r="DG18" s="977"/>
      <c r="DH18" s="977"/>
      <c r="DI18" s="977"/>
      <c r="DJ18" s="980"/>
      <c r="DK18" s="980"/>
      <c r="DL18" s="980"/>
      <c r="DM18" s="980"/>
      <c r="DN18" s="980"/>
      <c r="DO18" s="980"/>
      <c r="DP18" s="980"/>
      <c r="DQ18" s="980"/>
      <c r="DR18" s="980"/>
      <c r="DS18" s="980"/>
      <c r="DT18" s="980"/>
      <c r="DU18" s="980"/>
      <c r="DV18" s="980"/>
      <c r="DW18" s="980"/>
      <c r="DX18" s="980"/>
      <c r="DY18" s="980"/>
      <c r="DZ18" s="980"/>
      <c r="EA18" s="980"/>
      <c r="EB18" s="980"/>
      <c r="EC18" s="980"/>
      <c r="ED18" s="980"/>
      <c r="EE18" s="980"/>
      <c r="EF18" s="980"/>
      <c r="EG18" s="980"/>
      <c r="EH18" s="980"/>
      <c r="EI18" s="980"/>
      <c r="EJ18" s="980"/>
      <c r="EK18" s="980"/>
      <c r="EL18" s="980"/>
      <c r="EM18" s="980"/>
      <c r="EN18" s="648"/>
      <c r="EO18" s="649"/>
      <c r="EP18" s="976" t="str">
        <f>MID(SUVAHAVUJ!AG50,1,1)</f>
        <v xml:space="preserve"> </v>
      </c>
      <c r="EQ18" s="976"/>
      <c r="ER18" s="976"/>
      <c r="ES18" s="976"/>
      <c r="ET18" s="976"/>
      <c r="EU18" s="976"/>
      <c r="EV18" s="976" t="str">
        <f>MID(SUVAHAVUJ!AG50,2,1)</f>
        <v xml:space="preserve"> </v>
      </c>
      <c r="EW18" s="976"/>
      <c r="EX18" s="976"/>
      <c r="EY18" s="976"/>
      <c r="EZ18" s="976"/>
      <c r="FA18" s="976" t="str">
        <f>MID(SUVAHAVUJ!AG50,3,1)</f>
        <v xml:space="preserve"> </v>
      </c>
      <c r="FB18" s="976"/>
      <c r="FC18" s="976"/>
      <c r="FD18" s="976"/>
      <c r="FE18" s="976"/>
      <c r="FF18" s="976"/>
      <c r="FG18" s="976" t="str">
        <f>MID(SUVAHAVUJ!AG50,4,1)</f>
        <v xml:space="preserve"> </v>
      </c>
      <c r="FH18" s="976"/>
      <c r="FI18" s="976"/>
      <c r="FJ18" s="976"/>
      <c r="FK18" s="976"/>
      <c r="FL18" s="976" t="str">
        <f>MID(SUVAHAVUJ!AG50,5,1)</f>
        <v xml:space="preserve"> </v>
      </c>
      <c r="FM18" s="976"/>
      <c r="FN18" s="976"/>
      <c r="FO18" s="976"/>
      <c r="FP18" s="976"/>
      <c r="FQ18" s="976"/>
      <c r="FR18" s="976" t="str">
        <f>MID(SUVAHAVUJ!AG50,6,1)</f>
        <v xml:space="preserve"> </v>
      </c>
      <c r="FS18" s="976"/>
      <c r="FT18" s="976"/>
      <c r="FU18" s="976"/>
      <c r="FV18" s="976"/>
      <c r="FW18" s="976" t="str">
        <f>MID(SUVAHAVUJ!AG50,7,1)</f>
        <v xml:space="preserve"> </v>
      </c>
      <c r="FX18" s="976"/>
      <c r="FY18" s="976"/>
      <c r="FZ18" s="976"/>
      <c r="GA18" s="976"/>
      <c r="GB18" s="976"/>
      <c r="GC18" s="976" t="str">
        <f>MID(SUVAHAVUJ!AG50,8,1)</f>
        <v xml:space="preserve"> </v>
      </c>
      <c r="GD18" s="976"/>
      <c r="GE18" s="976"/>
      <c r="GF18" s="976"/>
      <c r="GG18" s="976"/>
      <c r="GH18" s="976" t="str">
        <f>MID(SUVAHAVUJ!AG50,9,1)</f>
        <v xml:space="preserve"> </v>
      </c>
      <c r="GI18" s="976"/>
      <c r="GJ18" s="976"/>
      <c r="GK18" s="976"/>
      <c r="GL18" s="976"/>
      <c r="GM18" s="976"/>
      <c r="GN18" s="976" t="str">
        <f>MID(SUVAHAVUJ!AG50,10,1)</f>
        <v xml:space="preserve"> </v>
      </c>
      <c r="GO18" s="976"/>
      <c r="GP18" s="976"/>
      <c r="GQ18" s="976"/>
      <c r="GR18" s="976"/>
      <c r="GS18" s="978" t="str">
        <f>MID(SUVAHAVUJ!AG50,11,1)</f>
        <v>0</v>
      </c>
      <c r="GT18" s="978"/>
      <c r="GU18" s="978"/>
      <c r="GV18" s="978"/>
      <c r="GW18" s="978"/>
    </row>
    <row r="19" spans="2:205" s="650" customFormat="1" ht="23.25" customHeight="1" x14ac:dyDescent="0.3">
      <c r="B19" s="985" t="s">
        <v>2169</v>
      </c>
      <c r="C19" s="985"/>
      <c r="D19" s="985"/>
      <c r="E19" s="985"/>
      <c r="F19" s="985"/>
      <c r="G19" s="985"/>
      <c r="H19" s="985"/>
      <c r="I19" s="985"/>
      <c r="J19" s="985"/>
      <c r="K19" s="985"/>
      <c r="L19" s="990" t="str">
        <f>SUVAHAVUJ!$D$51</f>
        <v>Pohľadávky voči spoločníkom, členom a združeniu (354A, 355A, 358A, 35XA) - /391A/</v>
      </c>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c r="AM19" s="990"/>
      <c r="AN19" s="990"/>
      <c r="AO19" s="990"/>
      <c r="AP19" s="990"/>
      <c r="AQ19" s="975" t="s">
        <v>1228</v>
      </c>
      <c r="AR19" s="975"/>
      <c r="AS19" s="975"/>
      <c r="AT19" s="975"/>
      <c r="AU19" s="975"/>
      <c r="AV19" s="975"/>
      <c r="AW19" s="975"/>
      <c r="AX19" s="975"/>
      <c r="AY19" s="648"/>
      <c r="AZ19" s="649"/>
      <c r="BA19" s="976" t="str">
        <f>MID(SUVAHAVUJ!AD51,1,1)</f>
        <v xml:space="preserve"> </v>
      </c>
      <c r="BB19" s="976"/>
      <c r="BC19" s="976"/>
      <c r="BD19" s="976"/>
      <c r="BE19" s="976"/>
      <c r="BF19" s="976"/>
      <c r="BG19" s="976" t="str">
        <f>MID(SUVAHAVUJ!AD51,2,1)</f>
        <v xml:space="preserve"> </v>
      </c>
      <c r="BH19" s="976"/>
      <c r="BI19" s="976"/>
      <c r="BJ19" s="976"/>
      <c r="BK19" s="976"/>
      <c r="BL19" s="976" t="str">
        <f>MID(SUVAHAVUJ!AD51,3,1)</f>
        <v xml:space="preserve"> </v>
      </c>
      <c r="BM19" s="976"/>
      <c r="BN19" s="976"/>
      <c r="BO19" s="976"/>
      <c r="BP19" s="976"/>
      <c r="BQ19" s="976"/>
      <c r="BR19" s="976" t="str">
        <f>MID(SUVAHAVUJ!AD51,4,1)</f>
        <v xml:space="preserve"> </v>
      </c>
      <c r="BS19" s="976"/>
      <c r="BT19" s="976"/>
      <c r="BU19" s="976"/>
      <c r="BV19" s="976"/>
      <c r="BW19" s="976" t="str">
        <f>MID(SUVAHAVUJ!AD51,5,1)</f>
        <v xml:space="preserve"> </v>
      </c>
      <c r="BX19" s="976"/>
      <c r="BY19" s="976"/>
      <c r="BZ19" s="976"/>
      <c r="CA19" s="976"/>
      <c r="CB19" s="976"/>
      <c r="CC19" s="976" t="str">
        <f>MID(SUVAHAVUJ!AD51,6,1)</f>
        <v xml:space="preserve"> </v>
      </c>
      <c r="CD19" s="976"/>
      <c r="CE19" s="976"/>
      <c r="CF19" s="976"/>
      <c r="CG19" s="976"/>
      <c r="CH19" s="976" t="str">
        <f>MID(SUVAHAVUJ!AD51,7,1)</f>
        <v xml:space="preserve"> </v>
      </c>
      <c r="CI19" s="976"/>
      <c r="CJ19" s="976"/>
      <c r="CK19" s="976"/>
      <c r="CL19" s="976"/>
      <c r="CM19" s="976"/>
      <c r="CN19" s="976" t="str">
        <f>MID(SUVAHAVUJ!AD51,8,1)</f>
        <v xml:space="preserve"> </v>
      </c>
      <c r="CO19" s="976"/>
      <c r="CP19" s="976"/>
      <c r="CQ19" s="976"/>
      <c r="CR19" s="976"/>
      <c r="CS19" s="976" t="str">
        <f>MID(SUVAHAVUJ!AD51,9,1)</f>
        <v xml:space="preserve"> </v>
      </c>
      <c r="CT19" s="976"/>
      <c r="CU19" s="976"/>
      <c r="CV19" s="976"/>
      <c r="CW19" s="976"/>
      <c r="CX19" s="976"/>
      <c r="CY19" s="976" t="str">
        <f>MID(SUVAHAVUJ!AD51,10,1)</f>
        <v xml:space="preserve"> </v>
      </c>
      <c r="CZ19" s="976"/>
      <c r="DA19" s="976"/>
      <c r="DB19" s="976"/>
      <c r="DC19" s="976"/>
      <c r="DD19" s="977" t="str">
        <f>MID(SUVAHAVUJ!AD51,11,1)</f>
        <v>0</v>
      </c>
      <c r="DE19" s="977"/>
      <c r="DF19" s="977"/>
      <c r="DG19" s="977"/>
      <c r="DH19" s="977"/>
      <c r="DI19" s="977"/>
      <c r="DJ19" s="648"/>
      <c r="DK19" s="649"/>
      <c r="DL19" s="976" t="str">
        <f>MID(SUVAHAVUJ!AF51,1,1)</f>
        <v xml:space="preserve"> </v>
      </c>
      <c r="DM19" s="976"/>
      <c r="DN19" s="976"/>
      <c r="DO19" s="976"/>
      <c r="DP19" s="976"/>
      <c r="DQ19" s="976"/>
      <c r="DR19" s="976" t="str">
        <f>MID(SUVAHAVUJ!AF51,2,1)</f>
        <v xml:space="preserve"> </v>
      </c>
      <c r="DS19" s="976"/>
      <c r="DT19" s="976"/>
      <c r="DU19" s="976"/>
      <c r="DV19" s="976"/>
      <c r="DW19" s="976" t="str">
        <f>MID(SUVAHAVUJ!AF51,3,1)</f>
        <v xml:space="preserve"> </v>
      </c>
      <c r="DX19" s="976"/>
      <c r="DY19" s="976"/>
      <c r="DZ19" s="976"/>
      <c r="EA19" s="976"/>
      <c r="EB19" s="976"/>
      <c r="EC19" s="976" t="str">
        <f>MID(SUVAHAVUJ!AF51,4,1)</f>
        <v xml:space="preserve"> </v>
      </c>
      <c r="ED19" s="976"/>
      <c r="EE19" s="976"/>
      <c r="EF19" s="976"/>
      <c r="EG19" s="976"/>
      <c r="EH19" s="976" t="str">
        <f>MID(SUVAHAVUJ!AF51,5,1)</f>
        <v xml:space="preserve"> </v>
      </c>
      <c r="EI19" s="976"/>
      <c r="EJ19" s="976"/>
      <c r="EK19" s="976"/>
      <c r="EL19" s="976"/>
      <c r="EM19" s="976"/>
      <c r="EN19" s="976" t="str">
        <f>MID(SUVAHAVUJ!AF51,6,1)</f>
        <v xml:space="preserve"> </v>
      </c>
      <c r="EO19" s="976"/>
      <c r="EP19" s="976"/>
      <c r="EQ19" s="976"/>
      <c r="ER19" s="976"/>
      <c r="ES19" s="976" t="str">
        <f>MID(SUVAHAVUJ!AF51,7,1)</f>
        <v xml:space="preserve"> </v>
      </c>
      <c r="ET19" s="976"/>
      <c r="EU19" s="976"/>
      <c r="EV19" s="976"/>
      <c r="EW19" s="976"/>
      <c r="EX19" s="976"/>
      <c r="EY19" s="976" t="str">
        <f>MID(SUVAHAVUJ!AF51,8,1)</f>
        <v xml:space="preserve"> </v>
      </c>
      <c r="EZ19" s="976"/>
      <c r="FA19" s="976"/>
      <c r="FB19" s="976"/>
      <c r="FC19" s="976"/>
      <c r="FD19" s="976" t="str">
        <f>MID(SUVAHAVUJ!AF51,9,1)</f>
        <v xml:space="preserve"> </v>
      </c>
      <c r="FE19" s="976"/>
      <c r="FF19" s="976"/>
      <c r="FG19" s="976"/>
      <c r="FH19" s="976"/>
      <c r="FI19" s="976"/>
      <c r="FJ19" s="976" t="str">
        <f>MID(SUVAHAVUJ!AF51,10,1)</f>
        <v xml:space="preserve"> </v>
      </c>
      <c r="FK19" s="976"/>
      <c r="FL19" s="976"/>
      <c r="FM19" s="976"/>
      <c r="FN19" s="976"/>
      <c r="FO19" s="978" t="str">
        <f>MID(SUVAHAVUJ!AF51,11,1)</f>
        <v>0</v>
      </c>
      <c r="FP19" s="978"/>
      <c r="FQ19" s="978"/>
      <c r="FR19" s="978"/>
      <c r="FS19" s="978"/>
      <c r="FT19" s="979"/>
      <c r="FU19" s="979"/>
      <c r="FV19" s="979"/>
      <c r="FW19" s="979"/>
      <c r="FX19" s="979"/>
      <c r="FY19" s="979"/>
      <c r="FZ19" s="979"/>
      <c r="GA19" s="979"/>
      <c r="GB19" s="979"/>
      <c r="GC19" s="979"/>
      <c r="GD19" s="979"/>
      <c r="GE19" s="979"/>
      <c r="GF19" s="979"/>
      <c r="GG19" s="979"/>
      <c r="GH19" s="979"/>
      <c r="GI19" s="979"/>
      <c r="GJ19" s="979"/>
      <c r="GK19" s="979"/>
      <c r="GL19" s="979"/>
      <c r="GM19" s="979"/>
      <c r="GN19" s="979"/>
      <c r="GO19" s="979"/>
      <c r="GP19" s="979"/>
      <c r="GQ19" s="979"/>
      <c r="GR19" s="979"/>
      <c r="GS19" s="979"/>
      <c r="GT19" s="979"/>
      <c r="GU19" s="979"/>
      <c r="GV19" s="979"/>
      <c r="GW19" s="979"/>
    </row>
    <row r="20" spans="2:205" ht="24" customHeight="1" x14ac:dyDescent="0.3">
      <c r="B20" s="985"/>
      <c r="C20" s="985"/>
      <c r="D20" s="985"/>
      <c r="E20" s="985"/>
      <c r="F20" s="985"/>
      <c r="G20" s="985"/>
      <c r="H20" s="985"/>
      <c r="I20" s="985"/>
      <c r="J20" s="985"/>
      <c r="K20" s="985"/>
      <c r="L20" s="990"/>
      <c r="M20" s="990"/>
      <c r="N20" s="990"/>
      <c r="O20" s="990"/>
      <c r="P20" s="990"/>
      <c r="Q20" s="990"/>
      <c r="R20" s="990"/>
      <c r="S20" s="990"/>
      <c r="T20" s="990"/>
      <c r="U20" s="990"/>
      <c r="V20" s="990"/>
      <c r="W20" s="990"/>
      <c r="X20" s="990"/>
      <c r="Y20" s="990"/>
      <c r="Z20" s="990"/>
      <c r="AA20" s="990"/>
      <c r="AB20" s="990"/>
      <c r="AC20" s="990"/>
      <c r="AD20" s="990"/>
      <c r="AE20" s="990"/>
      <c r="AF20" s="990"/>
      <c r="AG20" s="990"/>
      <c r="AH20" s="990"/>
      <c r="AI20" s="990"/>
      <c r="AJ20" s="990"/>
      <c r="AK20" s="990"/>
      <c r="AL20" s="990"/>
      <c r="AM20" s="990"/>
      <c r="AN20" s="990"/>
      <c r="AO20" s="990"/>
      <c r="AP20" s="990"/>
      <c r="AQ20" s="975"/>
      <c r="AR20" s="975"/>
      <c r="AS20" s="975"/>
      <c r="AT20" s="975"/>
      <c r="AU20" s="975"/>
      <c r="AV20" s="975"/>
      <c r="AW20" s="975"/>
      <c r="AX20" s="975"/>
      <c r="AY20" s="648"/>
      <c r="AZ20" s="649"/>
      <c r="BA20" s="976" t="str">
        <f>MID(SUVAHAVUJ!AE51,1,1)</f>
        <v xml:space="preserve"> </v>
      </c>
      <c r="BB20" s="976"/>
      <c r="BC20" s="976"/>
      <c r="BD20" s="976"/>
      <c r="BE20" s="976"/>
      <c r="BF20" s="976"/>
      <c r="BG20" s="976" t="str">
        <f>MID(SUVAHAVUJ!AE51,2,1)</f>
        <v xml:space="preserve"> </v>
      </c>
      <c r="BH20" s="976"/>
      <c r="BI20" s="976"/>
      <c r="BJ20" s="976"/>
      <c r="BK20" s="976"/>
      <c r="BL20" s="976" t="str">
        <f>MID(SUVAHAVUJ!AE51,3,1)</f>
        <v xml:space="preserve"> </v>
      </c>
      <c r="BM20" s="976"/>
      <c r="BN20" s="976"/>
      <c r="BO20" s="976"/>
      <c r="BP20" s="976"/>
      <c r="BQ20" s="976"/>
      <c r="BR20" s="976" t="str">
        <f>MID(SUVAHAVUJ!AE51,4,1)</f>
        <v xml:space="preserve"> </v>
      </c>
      <c r="BS20" s="976"/>
      <c r="BT20" s="976"/>
      <c r="BU20" s="976"/>
      <c r="BV20" s="976"/>
      <c r="BW20" s="976" t="str">
        <f>MID(SUVAHAVUJ!AE51,5,1)</f>
        <v xml:space="preserve"> </v>
      </c>
      <c r="BX20" s="976"/>
      <c r="BY20" s="976"/>
      <c r="BZ20" s="976"/>
      <c r="CA20" s="976"/>
      <c r="CB20" s="976"/>
      <c r="CC20" s="976" t="str">
        <f>MID(SUVAHAVUJ!AE51,6,1)</f>
        <v xml:space="preserve"> </v>
      </c>
      <c r="CD20" s="976"/>
      <c r="CE20" s="976"/>
      <c r="CF20" s="976"/>
      <c r="CG20" s="976"/>
      <c r="CH20" s="976" t="str">
        <f>MID(SUVAHAVUJ!AE51,7,1)</f>
        <v xml:space="preserve"> </v>
      </c>
      <c r="CI20" s="976"/>
      <c r="CJ20" s="976"/>
      <c r="CK20" s="976"/>
      <c r="CL20" s="976"/>
      <c r="CM20" s="976"/>
      <c r="CN20" s="976" t="str">
        <f>MID(SUVAHAVUJ!AE51,8,1)</f>
        <v xml:space="preserve"> </v>
      </c>
      <c r="CO20" s="976"/>
      <c r="CP20" s="976"/>
      <c r="CQ20" s="976"/>
      <c r="CR20" s="976"/>
      <c r="CS20" s="976" t="str">
        <f>MID(SUVAHAVUJ!AE51,9,1)</f>
        <v xml:space="preserve"> </v>
      </c>
      <c r="CT20" s="976"/>
      <c r="CU20" s="976"/>
      <c r="CV20" s="976"/>
      <c r="CW20" s="976"/>
      <c r="CX20" s="976"/>
      <c r="CY20" s="976" t="str">
        <f>MID(SUVAHAVUJ!AE51,10,1)</f>
        <v xml:space="preserve"> </v>
      </c>
      <c r="CZ20" s="976"/>
      <c r="DA20" s="976"/>
      <c r="DB20" s="976"/>
      <c r="DC20" s="976"/>
      <c r="DD20" s="977" t="str">
        <f>MID(SUVAHAVUJ!AE51,11,1)</f>
        <v>0</v>
      </c>
      <c r="DE20" s="977"/>
      <c r="DF20" s="977"/>
      <c r="DG20" s="977"/>
      <c r="DH20" s="977"/>
      <c r="DI20" s="977"/>
      <c r="DJ20" s="980"/>
      <c r="DK20" s="980"/>
      <c r="DL20" s="980"/>
      <c r="DM20" s="980"/>
      <c r="DN20" s="980"/>
      <c r="DO20" s="980"/>
      <c r="DP20" s="980"/>
      <c r="DQ20" s="980"/>
      <c r="DR20" s="980"/>
      <c r="DS20" s="980"/>
      <c r="DT20" s="980"/>
      <c r="DU20" s="980"/>
      <c r="DV20" s="980"/>
      <c r="DW20" s="980"/>
      <c r="DX20" s="980"/>
      <c r="DY20" s="980"/>
      <c r="DZ20" s="980"/>
      <c r="EA20" s="980"/>
      <c r="EB20" s="980"/>
      <c r="EC20" s="980"/>
      <c r="ED20" s="980"/>
      <c r="EE20" s="980"/>
      <c r="EF20" s="980"/>
      <c r="EG20" s="980"/>
      <c r="EH20" s="980"/>
      <c r="EI20" s="980"/>
      <c r="EJ20" s="980"/>
      <c r="EK20" s="980"/>
      <c r="EL20" s="980"/>
      <c r="EM20" s="980"/>
      <c r="EN20" s="648"/>
      <c r="EO20" s="649"/>
      <c r="EP20" s="976" t="str">
        <f>MID(SUVAHAVUJ!AG51,1,1)</f>
        <v xml:space="preserve"> </v>
      </c>
      <c r="EQ20" s="976"/>
      <c r="ER20" s="976"/>
      <c r="ES20" s="976"/>
      <c r="ET20" s="976"/>
      <c r="EU20" s="976"/>
      <c r="EV20" s="976" t="str">
        <f>MID(SUVAHAVUJ!AG51,2,1)</f>
        <v xml:space="preserve"> </v>
      </c>
      <c r="EW20" s="976"/>
      <c r="EX20" s="976"/>
      <c r="EY20" s="976"/>
      <c r="EZ20" s="976"/>
      <c r="FA20" s="976" t="str">
        <f>MID(SUVAHAVUJ!AG51,3,1)</f>
        <v xml:space="preserve"> </v>
      </c>
      <c r="FB20" s="976"/>
      <c r="FC20" s="976"/>
      <c r="FD20" s="976"/>
      <c r="FE20" s="976"/>
      <c r="FF20" s="976"/>
      <c r="FG20" s="976" t="str">
        <f>MID(SUVAHAVUJ!AG51,4,1)</f>
        <v xml:space="preserve"> </v>
      </c>
      <c r="FH20" s="976"/>
      <c r="FI20" s="976"/>
      <c r="FJ20" s="976"/>
      <c r="FK20" s="976"/>
      <c r="FL20" s="976" t="str">
        <f>MID(SUVAHAVUJ!AG51,5,1)</f>
        <v xml:space="preserve"> </v>
      </c>
      <c r="FM20" s="976"/>
      <c r="FN20" s="976"/>
      <c r="FO20" s="976"/>
      <c r="FP20" s="976"/>
      <c r="FQ20" s="976"/>
      <c r="FR20" s="976" t="str">
        <f>MID(SUVAHAVUJ!AG51,6,1)</f>
        <v xml:space="preserve"> </v>
      </c>
      <c r="FS20" s="976"/>
      <c r="FT20" s="976"/>
      <c r="FU20" s="976"/>
      <c r="FV20" s="976"/>
      <c r="FW20" s="976" t="str">
        <f>MID(SUVAHAVUJ!AG51,7,1)</f>
        <v xml:space="preserve"> </v>
      </c>
      <c r="FX20" s="976"/>
      <c r="FY20" s="976"/>
      <c r="FZ20" s="976"/>
      <c r="GA20" s="976"/>
      <c r="GB20" s="976"/>
      <c r="GC20" s="976" t="str">
        <f>MID(SUVAHAVUJ!AG51,8,1)</f>
        <v xml:space="preserve"> </v>
      </c>
      <c r="GD20" s="976"/>
      <c r="GE20" s="976"/>
      <c r="GF20" s="976"/>
      <c r="GG20" s="976"/>
      <c r="GH20" s="976" t="str">
        <f>MID(SUVAHAVUJ!AG51,9,1)</f>
        <v xml:space="preserve"> </v>
      </c>
      <c r="GI20" s="976"/>
      <c r="GJ20" s="976"/>
      <c r="GK20" s="976"/>
      <c r="GL20" s="976"/>
      <c r="GM20" s="976"/>
      <c r="GN20" s="976" t="str">
        <f>MID(SUVAHAVUJ!AG51,10,1)</f>
        <v xml:space="preserve"> </v>
      </c>
      <c r="GO20" s="976"/>
      <c r="GP20" s="976"/>
      <c r="GQ20" s="976"/>
      <c r="GR20" s="976"/>
      <c r="GS20" s="978" t="str">
        <f>MID(SUVAHAVUJ!AG51,11,1)</f>
        <v>0</v>
      </c>
      <c r="GT20" s="978"/>
      <c r="GU20" s="978"/>
      <c r="GV20" s="978"/>
      <c r="GW20" s="978"/>
    </row>
    <row r="21" spans="2:205" s="650" customFormat="1" ht="23.25" customHeight="1" x14ac:dyDescent="0.3">
      <c r="B21" s="985" t="s">
        <v>2171</v>
      </c>
      <c r="C21" s="985"/>
      <c r="D21" s="985"/>
      <c r="E21" s="985"/>
      <c r="F21" s="985"/>
      <c r="G21" s="985"/>
      <c r="H21" s="985"/>
      <c r="I21" s="985"/>
      <c r="J21" s="985"/>
      <c r="K21" s="985"/>
      <c r="L21" s="990" t="str">
        <f>SUVAHAVUJ!$D$52</f>
        <v>Pohľadávky z derivátových operácií (373A, 376A)</v>
      </c>
      <c r="M21" s="990"/>
      <c r="N21" s="990"/>
      <c r="O21" s="990"/>
      <c r="P21" s="990"/>
      <c r="Q21" s="990"/>
      <c r="R21" s="990"/>
      <c r="S21" s="990"/>
      <c r="T21" s="990"/>
      <c r="U21" s="990"/>
      <c r="V21" s="990"/>
      <c r="W21" s="990"/>
      <c r="X21" s="990"/>
      <c r="Y21" s="990"/>
      <c r="Z21" s="990"/>
      <c r="AA21" s="990"/>
      <c r="AB21" s="990"/>
      <c r="AC21" s="990"/>
      <c r="AD21" s="990"/>
      <c r="AE21" s="990"/>
      <c r="AF21" s="990"/>
      <c r="AG21" s="990"/>
      <c r="AH21" s="990"/>
      <c r="AI21" s="990"/>
      <c r="AJ21" s="990"/>
      <c r="AK21" s="990"/>
      <c r="AL21" s="990"/>
      <c r="AM21" s="990"/>
      <c r="AN21" s="990"/>
      <c r="AO21" s="990"/>
      <c r="AP21" s="990"/>
      <c r="AQ21" s="975" t="s">
        <v>1243</v>
      </c>
      <c r="AR21" s="975"/>
      <c r="AS21" s="975"/>
      <c r="AT21" s="975"/>
      <c r="AU21" s="975"/>
      <c r="AV21" s="975"/>
      <c r="AW21" s="975"/>
      <c r="AX21" s="975"/>
      <c r="AY21" s="648"/>
      <c r="AZ21" s="649"/>
      <c r="BA21" s="976" t="str">
        <f>MID(SUVAHAVUJ!AD52,1,1)</f>
        <v xml:space="preserve"> </v>
      </c>
      <c r="BB21" s="976"/>
      <c r="BC21" s="976"/>
      <c r="BD21" s="976"/>
      <c r="BE21" s="976"/>
      <c r="BF21" s="976"/>
      <c r="BG21" s="976" t="str">
        <f>MID(SUVAHAVUJ!AD52,2,1)</f>
        <v xml:space="preserve"> </v>
      </c>
      <c r="BH21" s="976"/>
      <c r="BI21" s="976"/>
      <c r="BJ21" s="976"/>
      <c r="BK21" s="976"/>
      <c r="BL21" s="976" t="str">
        <f>MID(SUVAHAVUJ!AD52,3,1)</f>
        <v xml:space="preserve"> </v>
      </c>
      <c r="BM21" s="976"/>
      <c r="BN21" s="976"/>
      <c r="BO21" s="976"/>
      <c r="BP21" s="976"/>
      <c r="BQ21" s="976"/>
      <c r="BR21" s="976" t="str">
        <f>MID(SUVAHAVUJ!AD52,4,1)</f>
        <v xml:space="preserve"> </v>
      </c>
      <c r="BS21" s="976"/>
      <c r="BT21" s="976"/>
      <c r="BU21" s="976"/>
      <c r="BV21" s="976"/>
      <c r="BW21" s="976" t="str">
        <f>MID(SUVAHAVUJ!AD52,5,1)</f>
        <v xml:space="preserve"> </v>
      </c>
      <c r="BX21" s="976"/>
      <c r="BY21" s="976"/>
      <c r="BZ21" s="976"/>
      <c r="CA21" s="976"/>
      <c r="CB21" s="976"/>
      <c r="CC21" s="976" t="str">
        <f>MID(SUVAHAVUJ!AD52,6,1)</f>
        <v xml:space="preserve"> </v>
      </c>
      <c r="CD21" s="976"/>
      <c r="CE21" s="976"/>
      <c r="CF21" s="976"/>
      <c r="CG21" s="976"/>
      <c r="CH21" s="976" t="str">
        <f>MID(SUVAHAVUJ!AD52,7,1)</f>
        <v xml:space="preserve"> </v>
      </c>
      <c r="CI21" s="976"/>
      <c r="CJ21" s="976"/>
      <c r="CK21" s="976"/>
      <c r="CL21" s="976"/>
      <c r="CM21" s="976"/>
      <c r="CN21" s="976" t="str">
        <f>MID(SUVAHAVUJ!AD52,8,1)</f>
        <v xml:space="preserve"> </v>
      </c>
      <c r="CO21" s="976"/>
      <c r="CP21" s="976"/>
      <c r="CQ21" s="976"/>
      <c r="CR21" s="976"/>
      <c r="CS21" s="976" t="str">
        <f>MID(SUVAHAVUJ!AD52,9,1)</f>
        <v xml:space="preserve"> </v>
      </c>
      <c r="CT21" s="976"/>
      <c r="CU21" s="976"/>
      <c r="CV21" s="976"/>
      <c r="CW21" s="976"/>
      <c r="CX21" s="976"/>
      <c r="CY21" s="976" t="str">
        <f>MID(SUVAHAVUJ!AD52,10,1)</f>
        <v xml:space="preserve"> </v>
      </c>
      <c r="CZ21" s="976"/>
      <c r="DA21" s="976"/>
      <c r="DB21" s="976"/>
      <c r="DC21" s="976"/>
      <c r="DD21" s="977" t="str">
        <f>MID(SUVAHAVUJ!AD52,11,1)</f>
        <v>0</v>
      </c>
      <c r="DE21" s="977"/>
      <c r="DF21" s="977"/>
      <c r="DG21" s="977"/>
      <c r="DH21" s="977"/>
      <c r="DI21" s="977"/>
      <c r="DJ21" s="648"/>
      <c r="DK21" s="649"/>
      <c r="DL21" s="976" t="str">
        <f>MID(SUVAHAVUJ!AF52,1,1)</f>
        <v xml:space="preserve"> </v>
      </c>
      <c r="DM21" s="976"/>
      <c r="DN21" s="976"/>
      <c r="DO21" s="976"/>
      <c r="DP21" s="976"/>
      <c r="DQ21" s="976"/>
      <c r="DR21" s="976" t="str">
        <f>MID(SUVAHAVUJ!AF52,2,1)</f>
        <v xml:space="preserve"> </v>
      </c>
      <c r="DS21" s="976"/>
      <c r="DT21" s="976"/>
      <c r="DU21" s="976"/>
      <c r="DV21" s="976"/>
      <c r="DW21" s="976" t="str">
        <f>MID(SUVAHAVUJ!AF52,3,1)</f>
        <v xml:space="preserve"> </v>
      </c>
      <c r="DX21" s="976"/>
      <c r="DY21" s="976"/>
      <c r="DZ21" s="976"/>
      <c r="EA21" s="976"/>
      <c r="EB21" s="976"/>
      <c r="EC21" s="976" t="str">
        <f>MID(SUVAHAVUJ!AF52,4,1)</f>
        <v xml:space="preserve"> </v>
      </c>
      <c r="ED21" s="976"/>
      <c r="EE21" s="976"/>
      <c r="EF21" s="976"/>
      <c r="EG21" s="976"/>
      <c r="EH21" s="976" t="str">
        <f>MID(SUVAHAVUJ!AF52,5,1)</f>
        <v xml:space="preserve"> </v>
      </c>
      <c r="EI21" s="976"/>
      <c r="EJ21" s="976"/>
      <c r="EK21" s="976"/>
      <c r="EL21" s="976"/>
      <c r="EM21" s="976"/>
      <c r="EN21" s="976" t="str">
        <f>MID(SUVAHAVUJ!AF52,6,1)</f>
        <v xml:space="preserve"> </v>
      </c>
      <c r="EO21" s="976"/>
      <c r="EP21" s="976"/>
      <c r="EQ21" s="976"/>
      <c r="ER21" s="976"/>
      <c r="ES21" s="976" t="str">
        <f>MID(SUVAHAVUJ!AF52,7,1)</f>
        <v xml:space="preserve"> </v>
      </c>
      <c r="ET21" s="976"/>
      <c r="EU21" s="976"/>
      <c r="EV21" s="976"/>
      <c r="EW21" s="976"/>
      <c r="EX21" s="976"/>
      <c r="EY21" s="976" t="str">
        <f>MID(SUVAHAVUJ!AF52,8,1)</f>
        <v xml:space="preserve"> </v>
      </c>
      <c r="EZ21" s="976"/>
      <c r="FA21" s="976"/>
      <c r="FB21" s="976"/>
      <c r="FC21" s="976"/>
      <c r="FD21" s="976" t="str">
        <f>MID(SUVAHAVUJ!AF52,9,1)</f>
        <v xml:space="preserve"> </v>
      </c>
      <c r="FE21" s="976"/>
      <c r="FF21" s="976"/>
      <c r="FG21" s="976"/>
      <c r="FH21" s="976"/>
      <c r="FI21" s="976"/>
      <c r="FJ21" s="976" t="str">
        <f>MID(SUVAHAVUJ!AF52,10,1)</f>
        <v xml:space="preserve"> </v>
      </c>
      <c r="FK21" s="976"/>
      <c r="FL21" s="976"/>
      <c r="FM21" s="976"/>
      <c r="FN21" s="976"/>
      <c r="FO21" s="978" t="str">
        <f>MID(SUVAHAVUJ!AF52,11,1)</f>
        <v>0</v>
      </c>
      <c r="FP21" s="978"/>
      <c r="FQ21" s="978"/>
      <c r="FR21" s="978"/>
      <c r="FS21" s="978"/>
      <c r="FT21" s="979"/>
      <c r="FU21" s="979"/>
      <c r="FV21" s="979"/>
      <c r="FW21" s="979"/>
      <c r="FX21" s="979"/>
      <c r="FY21" s="979"/>
      <c r="FZ21" s="979"/>
      <c r="GA21" s="979"/>
      <c r="GB21" s="979"/>
      <c r="GC21" s="979"/>
      <c r="GD21" s="979"/>
      <c r="GE21" s="979"/>
      <c r="GF21" s="979"/>
      <c r="GG21" s="979"/>
      <c r="GH21" s="979"/>
      <c r="GI21" s="979"/>
      <c r="GJ21" s="979"/>
      <c r="GK21" s="979"/>
      <c r="GL21" s="979"/>
      <c r="GM21" s="979"/>
      <c r="GN21" s="979"/>
      <c r="GO21" s="979"/>
      <c r="GP21" s="979"/>
      <c r="GQ21" s="979"/>
      <c r="GR21" s="979"/>
      <c r="GS21" s="979"/>
      <c r="GT21" s="979"/>
      <c r="GU21" s="979"/>
      <c r="GV21" s="979"/>
      <c r="GW21" s="979"/>
    </row>
    <row r="22" spans="2:205" ht="23.25" customHeight="1" x14ac:dyDescent="0.3">
      <c r="B22" s="985"/>
      <c r="C22" s="985"/>
      <c r="D22" s="985"/>
      <c r="E22" s="985"/>
      <c r="F22" s="985"/>
      <c r="G22" s="985"/>
      <c r="H22" s="985"/>
      <c r="I22" s="985"/>
      <c r="J22" s="985"/>
      <c r="K22" s="985"/>
      <c r="L22" s="990"/>
      <c r="M22" s="990"/>
      <c r="N22" s="990"/>
      <c r="O22" s="990"/>
      <c r="P22" s="990"/>
      <c r="Q22" s="990"/>
      <c r="R22" s="990"/>
      <c r="S22" s="990"/>
      <c r="T22" s="990"/>
      <c r="U22" s="990"/>
      <c r="V22" s="990"/>
      <c r="W22" s="990"/>
      <c r="X22" s="990"/>
      <c r="Y22" s="990"/>
      <c r="Z22" s="990"/>
      <c r="AA22" s="990"/>
      <c r="AB22" s="990"/>
      <c r="AC22" s="990"/>
      <c r="AD22" s="990"/>
      <c r="AE22" s="990"/>
      <c r="AF22" s="990"/>
      <c r="AG22" s="990"/>
      <c r="AH22" s="990"/>
      <c r="AI22" s="990"/>
      <c r="AJ22" s="990"/>
      <c r="AK22" s="990"/>
      <c r="AL22" s="990"/>
      <c r="AM22" s="990"/>
      <c r="AN22" s="990"/>
      <c r="AO22" s="990"/>
      <c r="AP22" s="990"/>
      <c r="AQ22" s="975"/>
      <c r="AR22" s="975"/>
      <c r="AS22" s="975"/>
      <c r="AT22" s="975"/>
      <c r="AU22" s="975"/>
      <c r="AV22" s="975"/>
      <c r="AW22" s="975"/>
      <c r="AX22" s="975"/>
      <c r="AY22" s="648"/>
      <c r="AZ22" s="649"/>
      <c r="BA22" s="976" t="str">
        <f>MID(SUVAHAVUJ!AE52,1,1)</f>
        <v xml:space="preserve"> </v>
      </c>
      <c r="BB22" s="976"/>
      <c r="BC22" s="976"/>
      <c r="BD22" s="976"/>
      <c r="BE22" s="976"/>
      <c r="BF22" s="976"/>
      <c r="BG22" s="976" t="str">
        <f>MID(SUVAHAVUJ!AE52,2,1)</f>
        <v xml:space="preserve"> </v>
      </c>
      <c r="BH22" s="976"/>
      <c r="BI22" s="976"/>
      <c r="BJ22" s="976"/>
      <c r="BK22" s="976"/>
      <c r="BL22" s="976" t="str">
        <f>MID(SUVAHAVUJ!AE52,3,1)</f>
        <v xml:space="preserve"> </v>
      </c>
      <c r="BM22" s="976"/>
      <c r="BN22" s="976"/>
      <c r="BO22" s="976"/>
      <c r="BP22" s="976"/>
      <c r="BQ22" s="976"/>
      <c r="BR22" s="976" t="str">
        <f>MID(SUVAHAVUJ!AE52,4,1)</f>
        <v xml:space="preserve"> </v>
      </c>
      <c r="BS22" s="976"/>
      <c r="BT22" s="976"/>
      <c r="BU22" s="976"/>
      <c r="BV22" s="976"/>
      <c r="BW22" s="976" t="str">
        <f>MID(SUVAHAVUJ!AE52,5,1)</f>
        <v xml:space="preserve"> </v>
      </c>
      <c r="BX22" s="976"/>
      <c r="BY22" s="976"/>
      <c r="BZ22" s="976"/>
      <c r="CA22" s="976"/>
      <c r="CB22" s="976"/>
      <c r="CC22" s="976" t="str">
        <f>MID(SUVAHAVUJ!AE52,6,1)</f>
        <v xml:space="preserve"> </v>
      </c>
      <c r="CD22" s="976"/>
      <c r="CE22" s="976"/>
      <c r="CF22" s="976"/>
      <c r="CG22" s="976"/>
      <c r="CH22" s="976" t="str">
        <f>MID(SUVAHAVUJ!AE52,7,1)</f>
        <v xml:space="preserve"> </v>
      </c>
      <c r="CI22" s="976"/>
      <c r="CJ22" s="976"/>
      <c r="CK22" s="976"/>
      <c r="CL22" s="976"/>
      <c r="CM22" s="976"/>
      <c r="CN22" s="976" t="str">
        <f>MID(SUVAHAVUJ!AE52,8,1)</f>
        <v xml:space="preserve"> </v>
      </c>
      <c r="CO22" s="976"/>
      <c r="CP22" s="976"/>
      <c r="CQ22" s="976"/>
      <c r="CR22" s="976"/>
      <c r="CS22" s="976" t="str">
        <f>MID(SUVAHAVUJ!AE52,9,1)</f>
        <v xml:space="preserve"> </v>
      </c>
      <c r="CT22" s="976"/>
      <c r="CU22" s="976"/>
      <c r="CV22" s="976"/>
      <c r="CW22" s="976"/>
      <c r="CX22" s="976"/>
      <c r="CY22" s="976" t="str">
        <f>MID(SUVAHAVUJ!AE52,10,1)</f>
        <v xml:space="preserve"> </v>
      </c>
      <c r="CZ22" s="976"/>
      <c r="DA22" s="976"/>
      <c r="DB22" s="976"/>
      <c r="DC22" s="976"/>
      <c r="DD22" s="977" t="str">
        <f>MID(SUVAHAVUJ!AE52,11,1)</f>
        <v>0</v>
      </c>
      <c r="DE22" s="977"/>
      <c r="DF22" s="977"/>
      <c r="DG22" s="977"/>
      <c r="DH22" s="977"/>
      <c r="DI22" s="977"/>
      <c r="DJ22" s="980"/>
      <c r="DK22" s="980"/>
      <c r="DL22" s="980"/>
      <c r="DM22" s="980"/>
      <c r="DN22" s="980"/>
      <c r="DO22" s="980"/>
      <c r="DP22" s="980"/>
      <c r="DQ22" s="980"/>
      <c r="DR22" s="980"/>
      <c r="DS22" s="980"/>
      <c r="DT22" s="980"/>
      <c r="DU22" s="980"/>
      <c r="DV22" s="980"/>
      <c r="DW22" s="980"/>
      <c r="DX22" s="980"/>
      <c r="DY22" s="980"/>
      <c r="DZ22" s="980"/>
      <c r="EA22" s="980"/>
      <c r="EB22" s="980"/>
      <c r="EC22" s="980"/>
      <c r="ED22" s="980"/>
      <c r="EE22" s="980"/>
      <c r="EF22" s="980"/>
      <c r="EG22" s="980"/>
      <c r="EH22" s="980"/>
      <c r="EI22" s="980"/>
      <c r="EJ22" s="980"/>
      <c r="EK22" s="980"/>
      <c r="EL22" s="980"/>
      <c r="EM22" s="980"/>
      <c r="EN22" s="648"/>
      <c r="EO22" s="649"/>
      <c r="EP22" s="976" t="str">
        <f>MID(SUVAHAVUJ!AG52,1,1)</f>
        <v xml:space="preserve"> </v>
      </c>
      <c r="EQ22" s="976"/>
      <c r="ER22" s="976"/>
      <c r="ES22" s="976"/>
      <c r="ET22" s="976"/>
      <c r="EU22" s="976"/>
      <c r="EV22" s="976" t="str">
        <f>MID(SUVAHAVUJ!AG52,2,1)</f>
        <v xml:space="preserve"> </v>
      </c>
      <c r="EW22" s="976"/>
      <c r="EX22" s="976"/>
      <c r="EY22" s="976"/>
      <c r="EZ22" s="976"/>
      <c r="FA22" s="976" t="str">
        <f>MID(SUVAHAVUJ!AG52,3,1)</f>
        <v xml:space="preserve"> </v>
      </c>
      <c r="FB22" s="976"/>
      <c r="FC22" s="976"/>
      <c r="FD22" s="976"/>
      <c r="FE22" s="976"/>
      <c r="FF22" s="976"/>
      <c r="FG22" s="976" t="str">
        <f>MID(SUVAHAVUJ!AG52,4,1)</f>
        <v xml:space="preserve"> </v>
      </c>
      <c r="FH22" s="976"/>
      <c r="FI22" s="976"/>
      <c r="FJ22" s="976"/>
      <c r="FK22" s="976"/>
      <c r="FL22" s="976" t="str">
        <f>MID(SUVAHAVUJ!AG52,5,1)</f>
        <v xml:space="preserve"> </v>
      </c>
      <c r="FM22" s="976"/>
      <c r="FN22" s="976"/>
      <c r="FO22" s="976"/>
      <c r="FP22" s="976"/>
      <c r="FQ22" s="976"/>
      <c r="FR22" s="976" t="str">
        <f>MID(SUVAHAVUJ!AG52,6,1)</f>
        <v xml:space="preserve"> </v>
      </c>
      <c r="FS22" s="976"/>
      <c r="FT22" s="976"/>
      <c r="FU22" s="976"/>
      <c r="FV22" s="976"/>
      <c r="FW22" s="976" t="str">
        <f>MID(SUVAHAVUJ!AG52,7,1)</f>
        <v xml:space="preserve"> </v>
      </c>
      <c r="FX22" s="976"/>
      <c r="FY22" s="976"/>
      <c r="FZ22" s="976"/>
      <c r="GA22" s="976"/>
      <c r="GB22" s="976"/>
      <c r="GC22" s="976" t="str">
        <f>MID(SUVAHAVUJ!AG52,8,1)</f>
        <v xml:space="preserve"> </v>
      </c>
      <c r="GD22" s="976"/>
      <c r="GE22" s="976"/>
      <c r="GF22" s="976"/>
      <c r="GG22" s="976"/>
      <c r="GH22" s="976" t="str">
        <f>MID(SUVAHAVUJ!AG52,9,1)</f>
        <v xml:space="preserve"> </v>
      </c>
      <c r="GI22" s="976"/>
      <c r="GJ22" s="976"/>
      <c r="GK22" s="976"/>
      <c r="GL22" s="976"/>
      <c r="GM22" s="976"/>
      <c r="GN22" s="976" t="str">
        <f>MID(SUVAHAVUJ!AG52,10,1)</f>
        <v xml:space="preserve"> </v>
      </c>
      <c r="GO22" s="976"/>
      <c r="GP22" s="976"/>
      <c r="GQ22" s="976"/>
      <c r="GR22" s="976"/>
      <c r="GS22" s="978" t="str">
        <f>MID(SUVAHAVUJ!AG52,11,1)</f>
        <v>0</v>
      </c>
      <c r="GT22" s="978"/>
      <c r="GU22" s="978"/>
      <c r="GV22" s="978"/>
      <c r="GW22" s="978"/>
    </row>
    <row r="23" spans="2:205" s="650" customFormat="1" ht="23.25" customHeight="1" x14ac:dyDescent="0.3">
      <c r="B23" s="985" t="s">
        <v>2172</v>
      </c>
      <c r="C23" s="985"/>
      <c r="D23" s="985"/>
      <c r="E23" s="985"/>
      <c r="F23" s="985"/>
      <c r="G23" s="985"/>
      <c r="H23" s="985"/>
      <c r="I23" s="985"/>
      <c r="J23" s="985"/>
      <c r="K23" s="985"/>
      <c r="L23" s="990" t="str">
        <f>SUVAHAVUJ!$D$53</f>
        <v>Iné pohľadávky (335A, 336A, 33XA, 371A, 374A, 375A, 378A) - /391A/</v>
      </c>
      <c r="M23" s="990"/>
      <c r="N23" s="990"/>
      <c r="O23" s="990"/>
      <c r="P23" s="990"/>
      <c r="Q23" s="990"/>
      <c r="R23" s="990"/>
      <c r="S23" s="990"/>
      <c r="T23" s="990"/>
      <c r="U23" s="990"/>
      <c r="V23" s="990"/>
      <c r="W23" s="990"/>
      <c r="X23" s="990"/>
      <c r="Y23" s="990"/>
      <c r="Z23" s="990"/>
      <c r="AA23" s="990"/>
      <c r="AB23" s="990"/>
      <c r="AC23" s="990"/>
      <c r="AD23" s="990"/>
      <c r="AE23" s="990"/>
      <c r="AF23" s="990"/>
      <c r="AG23" s="990"/>
      <c r="AH23" s="990"/>
      <c r="AI23" s="990"/>
      <c r="AJ23" s="990"/>
      <c r="AK23" s="990"/>
      <c r="AL23" s="990"/>
      <c r="AM23" s="990"/>
      <c r="AN23" s="990"/>
      <c r="AO23" s="990"/>
      <c r="AP23" s="990"/>
      <c r="AQ23" s="975" t="s">
        <v>1216</v>
      </c>
      <c r="AR23" s="975"/>
      <c r="AS23" s="975"/>
      <c r="AT23" s="975"/>
      <c r="AU23" s="975"/>
      <c r="AV23" s="975"/>
      <c r="AW23" s="975"/>
      <c r="AX23" s="975"/>
      <c r="AY23" s="648"/>
      <c r="AZ23" s="649"/>
      <c r="BA23" s="976" t="str">
        <f>MID(SUVAHAVUJ!AD53,1,1)</f>
        <v xml:space="preserve"> </v>
      </c>
      <c r="BB23" s="976"/>
      <c r="BC23" s="976"/>
      <c r="BD23" s="976"/>
      <c r="BE23" s="976"/>
      <c r="BF23" s="976"/>
      <c r="BG23" s="976" t="str">
        <f>MID(SUVAHAVUJ!AD53,2,1)</f>
        <v xml:space="preserve"> </v>
      </c>
      <c r="BH23" s="976"/>
      <c r="BI23" s="976"/>
      <c r="BJ23" s="976"/>
      <c r="BK23" s="976"/>
      <c r="BL23" s="976" t="str">
        <f>MID(SUVAHAVUJ!AD53,3,1)</f>
        <v xml:space="preserve"> </v>
      </c>
      <c r="BM23" s="976"/>
      <c r="BN23" s="976"/>
      <c r="BO23" s="976"/>
      <c r="BP23" s="976"/>
      <c r="BQ23" s="976"/>
      <c r="BR23" s="976" t="str">
        <f>MID(SUVAHAVUJ!AD53,4,1)</f>
        <v xml:space="preserve"> </v>
      </c>
      <c r="BS23" s="976"/>
      <c r="BT23" s="976"/>
      <c r="BU23" s="976"/>
      <c r="BV23" s="976"/>
      <c r="BW23" s="976" t="str">
        <f>MID(SUVAHAVUJ!AD53,5,1)</f>
        <v xml:space="preserve"> </v>
      </c>
      <c r="BX23" s="976"/>
      <c r="BY23" s="976"/>
      <c r="BZ23" s="976"/>
      <c r="CA23" s="976"/>
      <c r="CB23" s="976"/>
      <c r="CC23" s="976" t="str">
        <f>MID(SUVAHAVUJ!AD53,6,1)</f>
        <v xml:space="preserve"> </v>
      </c>
      <c r="CD23" s="976"/>
      <c r="CE23" s="976"/>
      <c r="CF23" s="976"/>
      <c r="CG23" s="976"/>
      <c r="CH23" s="976" t="str">
        <f>MID(SUVAHAVUJ!AD53,7,1)</f>
        <v xml:space="preserve"> </v>
      </c>
      <c r="CI23" s="976"/>
      <c r="CJ23" s="976"/>
      <c r="CK23" s="976"/>
      <c r="CL23" s="976"/>
      <c r="CM23" s="976"/>
      <c r="CN23" s="976" t="str">
        <f>MID(SUVAHAVUJ!AD53,8,1)</f>
        <v xml:space="preserve"> </v>
      </c>
      <c r="CO23" s="976"/>
      <c r="CP23" s="976"/>
      <c r="CQ23" s="976"/>
      <c r="CR23" s="976"/>
      <c r="CS23" s="976" t="str">
        <f>MID(SUVAHAVUJ!AD53,9,1)</f>
        <v xml:space="preserve"> </v>
      </c>
      <c r="CT23" s="976"/>
      <c r="CU23" s="976"/>
      <c r="CV23" s="976"/>
      <c r="CW23" s="976"/>
      <c r="CX23" s="976"/>
      <c r="CY23" s="976" t="str">
        <f>MID(SUVAHAVUJ!AD53,10,1)</f>
        <v xml:space="preserve"> </v>
      </c>
      <c r="CZ23" s="976"/>
      <c r="DA23" s="976"/>
      <c r="DB23" s="976"/>
      <c r="DC23" s="976"/>
      <c r="DD23" s="977" t="str">
        <f>MID(SUVAHAVUJ!AD53,11,1)</f>
        <v>0</v>
      </c>
      <c r="DE23" s="977"/>
      <c r="DF23" s="977"/>
      <c r="DG23" s="977"/>
      <c r="DH23" s="977"/>
      <c r="DI23" s="977"/>
      <c r="DJ23" s="648"/>
      <c r="DK23" s="649"/>
      <c r="DL23" s="976" t="str">
        <f>MID(SUVAHAVUJ!AF53,1,1)</f>
        <v xml:space="preserve"> </v>
      </c>
      <c r="DM23" s="976"/>
      <c r="DN23" s="976"/>
      <c r="DO23" s="976"/>
      <c r="DP23" s="976"/>
      <c r="DQ23" s="976"/>
      <c r="DR23" s="976" t="str">
        <f>MID(SUVAHAVUJ!AF53,2,1)</f>
        <v xml:space="preserve"> </v>
      </c>
      <c r="DS23" s="976"/>
      <c r="DT23" s="976"/>
      <c r="DU23" s="976"/>
      <c r="DV23" s="976"/>
      <c r="DW23" s="976" t="str">
        <f>MID(SUVAHAVUJ!AF53,3,1)</f>
        <v xml:space="preserve"> </v>
      </c>
      <c r="DX23" s="976"/>
      <c r="DY23" s="976"/>
      <c r="DZ23" s="976"/>
      <c r="EA23" s="976"/>
      <c r="EB23" s="976"/>
      <c r="EC23" s="976" t="str">
        <f>MID(SUVAHAVUJ!AF53,4,1)</f>
        <v xml:space="preserve"> </v>
      </c>
      <c r="ED23" s="976"/>
      <c r="EE23" s="976"/>
      <c r="EF23" s="976"/>
      <c r="EG23" s="976"/>
      <c r="EH23" s="976" t="str">
        <f>MID(SUVAHAVUJ!AF53,5,1)</f>
        <v xml:space="preserve"> </v>
      </c>
      <c r="EI23" s="976"/>
      <c r="EJ23" s="976"/>
      <c r="EK23" s="976"/>
      <c r="EL23" s="976"/>
      <c r="EM23" s="976"/>
      <c r="EN23" s="976" t="str">
        <f>MID(SUVAHAVUJ!AF53,6,1)</f>
        <v xml:space="preserve"> </v>
      </c>
      <c r="EO23" s="976"/>
      <c r="EP23" s="976"/>
      <c r="EQ23" s="976"/>
      <c r="ER23" s="976"/>
      <c r="ES23" s="976" t="str">
        <f>MID(SUVAHAVUJ!AF53,7,1)</f>
        <v xml:space="preserve"> </v>
      </c>
      <c r="ET23" s="976"/>
      <c r="EU23" s="976"/>
      <c r="EV23" s="976"/>
      <c r="EW23" s="976"/>
      <c r="EX23" s="976"/>
      <c r="EY23" s="976" t="str">
        <f>MID(SUVAHAVUJ!AF53,8,1)</f>
        <v xml:space="preserve"> </v>
      </c>
      <c r="EZ23" s="976"/>
      <c r="FA23" s="976"/>
      <c r="FB23" s="976"/>
      <c r="FC23" s="976"/>
      <c r="FD23" s="976" t="str">
        <f>MID(SUVAHAVUJ!AF53,9,1)</f>
        <v xml:space="preserve"> </v>
      </c>
      <c r="FE23" s="976"/>
      <c r="FF23" s="976"/>
      <c r="FG23" s="976"/>
      <c r="FH23" s="976"/>
      <c r="FI23" s="976"/>
      <c r="FJ23" s="976" t="str">
        <f>MID(SUVAHAVUJ!AF53,10,1)</f>
        <v xml:space="preserve"> </v>
      </c>
      <c r="FK23" s="976"/>
      <c r="FL23" s="976"/>
      <c r="FM23" s="976"/>
      <c r="FN23" s="976"/>
      <c r="FO23" s="978" t="str">
        <f>MID(SUVAHAVUJ!AF53,11,1)</f>
        <v>0</v>
      </c>
      <c r="FP23" s="978"/>
      <c r="FQ23" s="978"/>
      <c r="FR23" s="978"/>
      <c r="FS23" s="978"/>
      <c r="FT23" s="979"/>
      <c r="FU23" s="979"/>
      <c r="FV23" s="979"/>
      <c r="FW23" s="979"/>
      <c r="FX23" s="979"/>
      <c r="FY23" s="979"/>
      <c r="FZ23" s="979"/>
      <c r="GA23" s="979"/>
      <c r="GB23" s="979"/>
      <c r="GC23" s="979"/>
      <c r="GD23" s="979"/>
      <c r="GE23" s="979"/>
      <c r="GF23" s="979"/>
      <c r="GG23" s="979"/>
      <c r="GH23" s="979"/>
      <c r="GI23" s="979"/>
      <c r="GJ23" s="979"/>
      <c r="GK23" s="979"/>
      <c r="GL23" s="979"/>
      <c r="GM23" s="979"/>
      <c r="GN23" s="979"/>
      <c r="GO23" s="979"/>
      <c r="GP23" s="979"/>
      <c r="GQ23" s="979"/>
      <c r="GR23" s="979"/>
      <c r="GS23" s="979"/>
      <c r="GT23" s="979"/>
      <c r="GU23" s="979"/>
      <c r="GV23" s="979"/>
      <c r="GW23" s="979"/>
    </row>
    <row r="24" spans="2:205" ht="23.25" customHeight="1" x14ac:dyDescent="0.3">
      <c r="B24" s="985"/>
      <c r="C24" s="985"/>
      <c r="D24" s="985"/>
      <c r="E24" s="985"/>
      <c r="F24" s="985"/>
      <c r="G24" s="985"/>
      <c r="H24" s="985"/>
      <c r="I24" s="985"/>
      <c r="J24" s="985"/>
      <c r="K24" s="985"/>
      <c r="L24" s="990"/>
      <c r="M24" s="990"/>
      <c r="N24" s="990"/>
      <c r="O24" s="990"/>
      <c r="P24" s="990"/>
      <c r="Q24" s="990"/>
      <c r="R24" s="990"/>
      <c r="S24" s="990"/>
      <c r="T24" s="990"/>
      <c r="U24" s="990"/>
      <c r="V24" s="990"/>
      <c r="W24" s="990"/>
      <c r="X24" s="990"/>
      <c r="Y24" s="990"/>
      <c r="Z24" s="990"/>
      <c r="AA24" s="990"/>
      <c r="AB24" s="990"/>
      <c r="AC24" s="990"/>
      <c r="AD24" s="990"/>
      <c r="AE24" s="990"/>
      <c r="AF24" s="990"/>
      <c r="AG24" s="990"/>
      <c r="AH24" s="990"/>
      <c r="AI24" s="990"/>
      <c r="AJ24" s="990"/>
      <c r="AK24" s="990"/>
      <c r="AL24" s="990"/>
      <c r="AM24" s="990"/>
      <c r="AN24" s="990"/>
      <c r="AO24" s="990"/>
      <c r="AP24" s="990"/>
      <c r="AQ24" s="975"/>
      <c r="AR24" s="975"/>
      <c r="AS24" s="975"/>
      <c r="AT24" s="975"/>
      <c r="AU24" s="975"/>
      <c r="AV24" s="975"/>
      <c r="AW24" s="975"/>
      <c r="AX24" s="975"/>
      <c r="AY24" s="648"/>
      <c r="AZ24" s="649"/>
      <c r="BA24" s="976" t="str">
        <f>MID(SUVAHAVUJ!AE53,1,1)</f>
        <v xml:space="preserve"> </v>
      </c>
      <c r="BB24" s="976"/>
      <c r="BC24" s="976"/>
      <c r="BD24" s="976"/>
      <c r="BE24" s="976"/>
      <c r="BF24" s="976"/>
      <c r="BG24" s="976" t="str">
        <f>MID(SUVAHAVUJ!AE53,2,1)</f>
        <v xml:space="preserve"> </v>
      </c>
      <c r="BH24" s="976"/>
      <c r="BI24" s="976"/>
      <c r="BJ24" s="976"/>
      <c r="BK24" s="976"/>
      <c r="BL24" s="976" t="str">
        <f>MID(SUVAHAVUJ!AE53,3,1)</f>
        <v xml:space="preserve"> </v>
      </c>
      <c r="BM24" s="976"/>
      <c r="BN24" s="976"/>
      <c r="BO24" s="976"/>
      <c r="BP24" s="976"/>
      <c r="BQ24" s="976"/>
      <c r="BR24" s="976" t="str">
        <f>MID(SUVAHAVUJ!AE53,4,1)</f>
        <v xml:space="preserve"> </v>
      </c>
      <c r="BS24" s="976"/>
      <c r="BT24" s="976"/>
      <c r="BU24" s="976"/>
      <c r="BV24" s="976"/>
      <c r="BW24" s="976" t="str">
        <f>MID(SUVAHAVUJ!AE53,5,1)</f>
        <v xml:space="preserve"> </v>
      </c>
      <c r="BX24" s="976"/>
      <c r="BY24" s="976"/>
      <c r="BZ24" s="976"/>
      <c r="CA24" s="976"/>
      <c r="CB24" s="976"/>
      <c r="CC24" s="976" t="str">
        <f>MID(SUVAHAVUJ!AE53,6,1)</f>
        <v xml:space="preserve"> </v>
      </c>
      <c r="CD24" s="976"/>
      <c r="CE24" s="976"/>
      <c r="CF24" s="976"/>
      <c r="CG24" s="976"/>
      <c r="CH24" s="976" t="str">
        <f>MID(SUVAHAVUJ!AE53,7,1)</f>
        <v xml:space="preserve"> </v>
      </c>
      <c r="CI24" s="976"/>
      <c r="CJ24" s="976"/>
      <c r="CK24" s="976"/>
      <c r="CL24" s="976"/>
      <c r="CM24" s="976"/>
      <c r="CN24" s="976" t="str">
        <f>MID(SUVAHAVUJ!AE53,8,1)</f>
        <v xml:space="preserve"> </v>
      </c>
      <c r="CO24" s="976"/>
      <c r="CP24" s="976"/>
      <c r="CQ24" s="976"/>
      <c r="CR24" s="976"/>
      <c r="CS24" s="976" t="str">
        <f>MID(SUVAHAVUJ!AE53,9,1)</f>
        <v xml:space="preserve"> </v>
      </c>
      <c r="CT24" s="976"/>
      <c r="CU24" s="976"/>
      <c r="CV24" s="976"/>
      <c r="CW24" s="976"/>
      <c r="CX24" s="976"/>
      <c r="CY24" s="976" t="str">
        <f>MID(SUVAHAVUJ!AE53,10,1)</f>
        <v xml:space="preserve"> </v>
      </c>
      <c r="CZ24" s="976"/>
      <c r="DA24" s="976"/>
      <c r="DB24" s="976"/>
      <c r="DC24" s="976"/>
      <c r="DD24" s="977" t="str">
        <f>MID(SUVAHAVUJ!AE53,11,1)</f>
        <v>0</v>
      </c>
      <c r="DE24" s="977"/>
      <c r="DF24" s="977"/>
      <c r="DG24" s="977"/>
      <c r="DH24" s="977"/>
      <c r="DI24" s="977"/>
      <c r="DJ24" s="980"/>
      <c r="DK24" s="980"/>
      <c r="DL24" s="980"/>
      <c r="DM24" s="980"/>
      <c r="DN24" s="980"/>
      <c r="DO24" s="980"/>
      <c r="DP24" s="980"/>
      <c r="DQ24" s="980"/>
      <c r="DR24" s="980"/>
      <c r="DS24" s="980"/>
      <c r="DT24" s="980"/>
      <c r="DU24" s="980"/>
      <c r="DV24" s="980"/>
      <c r="DW24" s="980"/>
      <c r="DX24" s="980"/>
      <c r="DY24" s="980"/>
      <c r="DZ24" s="980"/>
      <c r="EA24" s="980"/>
      <c r="EB24" s="980"/>
      <c r="EC24" s="980"/>
      <c r="ED24" s="980"/>
      <c r="EE24" s="980"/>
      <c r="EF24" s="980"/>
      <c r="EG24" s="980"/>
      <c r="EH24" s="980"/>
      <c r="EI24" s="980"/>
      <c r="EJ24" s="980"/>
      <c r="EK24" s="980"/>
      <c r="EL24" s="980"/>
      <c r="EM24" s="980"/>
      <c r="EN24" s="648"/>
      <c r="EO24" s="649"/>
      <c r="EP24" s="976" t="str">
        <f>MID(SUVAHAVUJ!AG53,1,1)</f>
        <v xml:space="preserve"> </v>
      </c>
      <c r="EQ24" s="976"/>
      <c r="ER24" s="976"/>
      <c r="ES24" s="976"/>
      <c r="ET24" s="976"/>
      <c r="EU24" s="976"/>
      <c r="EV24" s="976" t="str">
        <f>MID(SUVAHAVUJ!AG53,2,1)</f>
        <v xml:space="preserve"> </v>
      </c>
      <c r="EW24" s="976"/>
      <c r="EX24" s="976"/>
      <c r="EY24" s="976"/>
      <c r="EZ24" s="976"/>
      <c r="FA24" s="976" t="str">
        <f>MID(SUVAHAVUJ!AG53,3,1)</f>
        <v xml:space="preserve"> </v>
      </c>
      <c r="FB24" s="976"/>
      <c r="FC24" s="976"/>
      <c r="FD24" s="976"/>
      <c r="FE24" s="976"/>
      <c r="FF24" s="976"/>
      <c r="FG24" s="976" t="str">
        <f>MID(SUVAHAVUJ!AG53,4,1)</f>
        <v xml:space="preserve"> </v>
      </c>
      <c r="FH24" s="976"/>
      <c r="FI24" s="976"/>
      <c r="FJ24" s="976"/>
      <c r="FK24" s="976"/>
      <c r="FL24" s="976" t="str">
        <f>MID(SUVAHAVUJ!AG53,5,1)</f>
        <v xml:space="preserve"> </v>
      </c>
      <c r="FM24" s="976"/>
      <c r="FN24" s="976"/>
      <c r="FO24" s="976"/>
      <c r="FP24" s="976"/>
      <c r="FQ24" s="976"/>
      <c r="FR24" s="976" t="str">
        <f>MID(SUVAHAVUJ!AG53,6,1)</f>
        <v xml:space="preserve"> </v>
      </c>
      <c r="FS24" s="976"/>
      <c r="FT24" s="976"/>
      <c r="FU24" s="976"/>
      <c r="FV24" s="976"/>
      <c r="FW24" s="976" t="str">
        <f>MID(SUVAHAVUJ!AG53,7,1)</f>
        <v xml:space="preserve"> </v>
      </c>
      <c r="FX24" s="976"/>
      <c r="FY24" s="976"/>
      <c r="FZ24" s="976"/>
      <c r="GA24" s="976"/>
      <c r="GB24" s="976"/>
      <c r="GC24" s="976" t="str">
        <f>MID(SUVAHAVUJ!AG53,8,1)</f>
        <v xml:space="preserve"> </v>
      </c>
      <c r="GD24" s="976"/>
      <c r="GE24" s="976"/>
      <c r="GF24" s="976"/>
      <c r="GG24" s="976"/>
      <c r="GH24" s="976" t="str">
        <f>MID(SUVAHAVUJ!AG53,9,1)</f>
        <v xml:space="preserve"> </v>
      </c>
      <c r="GI24" s="976"/>
      <c r="GJ24" s="976"/>
      <c r="GK24" s="976"/>
      <c r="GL24" s="976"/>
      <c r="GM24" s="976"/>
      <c r="GN24" s="976" t="str">
        <f>MID(SUVAHAVUJ!AG53,10,1)</f>
        <v xml:space="preserve"> </v>
      </c>
      <c r="GO24" s="976"/>
      <c r="GP24" s="976"/>
      <c r="GQ24" s="976"/>
      <c r="GR24" s="976"/>
      <c r="GS24" s="978" t="str">
        <f>MID(SUVAHAVUJ!AG53,11,1)</f>
        <v>0</v>
      </c>
      <c r="GT24" s="978"/>
      <c r="GU24" s="978"/>
      <c r="GV24" s="978"/>
      <c r="GW24" s="978"/>
    </row>
    <row r="25" spans="2:205" s="650" customFormat="1" ht="23.25" customHeight="1" x14ac:dyDescent="0.3">
      <c r="B25" s="985" t="s">
        <v>2177</v>
      </c>
      <c r="C25" s="985"/>
      <c r="D25" s="985"/>
      <c r="E25" s="985"/>
      <c r="F25" s="985"/>
      <c r="G25" s="985"/>
      <c r="H25" s="985"/>
      <c r="I25" s="985"/>
      <c r="J25" s="985"/>
      <c r="K25" s="985"/>
      <c r="L25" s="990" t="str">
        <f>SUVAHAVUJ!$D$54</f>
        <v>Odložená daňová pohľadávka (481A)</v>
      </c>
      <c r="M25" s="990"/>
      <c r="N25" s="990"/>
      <c r="O25" s="990"/>
      <c r="P25" s="990"/>
      <c r="Q25" s="990"/>
      <c r="R25" s="990"/>
      <c r="S25" s="990"/>
      <c r="T25" s="990"/>
      <c r="U25" s="990"/>
      <c r="V25" s="990"/>
      <c r="W25" s="990"/>
      <c r="X25" s="990"/>
      <c r="Y25" s="990"/>
      <c r="Z25" s="990"/>
      <c r="AA25" s="990"/>
      <c r="AB25" s="990"/>
      <c r="AC25" s="990"/>
      <c r="AD25" s="990"/>
      <c r="AE25" s="990"/>
      <c r="AF25" s="990"/>
      <c r="AG25" s="990"/>
      <c r="AH25" s="990"/>
      <c r="AI25" s="990"/>
      <c r="AJ25" s="990"/>
      <c r="AK25" s="990"/>
      <c r="AL25" s="990"/>
      <c r="AM25" s="990"/>
      <c r="AN25" s="990"/>
      <c r="AO25" s="990"/>
      <c r="AP25" s="990"/>
      <c r="AQ25" s="975" t="s">
        <v>1266</v>
      </c>
      <c r="AR25" s="975"/>
      <c r="AS25" s="975"/>
      <c r="AT25" s="975"/>
      <c r="AU25" s="975"/>
      <c r="AV25" s="975"/>
      <c r="AW25" s="975"/>
      <c r="AX25" s="975"/>
      <c r="AY25" s="648"/>
      <c r="AZ25" s="649"/>
      <c r="BA25" s="976" t="str">
        <f>MID(SUVAHAVUJ!AD54,1,1)</f>
        <v xml:space="preserve"> </v>
      </c>
      <c r="BB25" s="976"/>
      <c r="BC25" s="976"/>
      <c r="BD25" s="976"/>
      <c r="BE25" s="976"/>
      <c r="BF25" s="976"/>
      <c r="BG25" s="976" t="str">
        <f>MID(SUVAHAVUJ!AD54,2,1)</f>
        <v xml:space="preserve"> </v>
      </c>
      <c r="BH25" s="976"/>
      <c r="BI25" s="976"/>
      <c r="BJ25" s="976"/>
      <c r="BK25" s="976"/>
      <c r="BL25" s="976" t="str">
        <f>MID(SUVAHAVUJ!AD54,3,1)</f>
        <v xml:space="preserve"> </v>
      </c>
      <c r="BM25" s="976"/>
      <c r="BN25" s="976"/>
      <c r="BO25" s="976"/>
      <c r="BP25" s="976"/>
      <c r="BQ25" s="976"/>
      <c r="BR25" s="976" t="str">
        <f>MID(SUVAHAVUJ!AD54,4,1)</f>
        <v xml:space="preserve"> </v>
      </c>
      <c r="BS25" s="976"/>
      <c r="BT25" s="976"/>
      <c r="BU25" s="976"/>
      <c r="BV25" s="976"/>
      <c r="BW25" s="976" t="str">
        <f>MID(SUVAHAVUJ!AD54,5,1)</f>
        <v xml:space="preserve"> </v>
      </c>
      <c r="BX25" s="976"/>
      <c r="BY25" s="976"/>
      <c r="BZ25" s="976"/>
      <c r="CA25" s="976"/>
      <c r="CB25" s="976"/>
      <c r="CC25" s="976" t="str">
        <f>MID(SUVAHAVUJ!AD54,6,1)</f>
        <v xml:space="preserve"> </v>
      </c>
      <c r="CD25" s="976"/>
      <c r="CE25" s="976"/>
      <c r="CF25" s="976"/>
      <c r="CG25" s="976"/>
      <c r="CH25" s="976" t="str">
        <f>MID(SUVAHAVUJ!AD54,7,1)</f>
        <v xml:space="preserve"> </v>
      </c>
      <c r="CI25" s="976"/>
      <c r="CJ25" s="976"/>
      <c r="CK25" s="976"/>
      <c r="CL25" s="976"/>
      <c r="CM25" s="976"/>
      <c r="CN25" s="976" t="str">
        <f>MID(SUVAHAVUJ!AD54,8,1)</f>
        <v xml:space="preserve"> </v>
      </c>
      <c r="CO25" s="976"/>
      <c r="CP25" s="976"/>
      <c r="CQ25" s="976"/>
      <c r="CR25" s="976"/>
      <c r="CS25" s="976" t="str">
        <f>MID(SUVAHAVUJ!AD54,9,1)</f>
        <v xml:space="preserve"> </v>
      </c>
      <c r="CT25" s="976"/>
      <c r="CU25" s="976"/>
      <c r="CV25" s="976"/>
      <c r="CW25" s="976"/>
      <c r="CX25" s="976"/>
      <c r="CY25" s="976" t="str">
        <f>MID(SUVAHAVUJ!AD54,10,1)</f>
        <v xml:space="preserve"> </v>
      </c>
      <c r="CZ25" s="976"/>
      <c r="DA25" s="976"/>
      <c r="DB25" s="976"/>
      <c r="DC25" s="976"/>
      <c r="DD25" s="977" t="str">
        <f>MID(SUVAHAVUJ!AD54,11,1)</f>
        <v>0</v>
      </c>
      <c r="DE25" s="977"/>
      <c r="DF25" s="977"/>
      <c r="DG25" s="977"/>
      <c r="DH25" s="977"/>
      <c r="DI25" s="977"/>
      <c r="DJ25" s="648"/>
      <c r="DK25" s="649"/>
      <c r="DL25" s="976" t="str">
        <f>MID(SUVAHAVUJ!AF54,1,1)</f>
        <v xml:space="preserve"> </v>
      </c>
      <c r="DM25" s="976"/>
      <c r="DN25" s="976"/>
      <c r="DO25" s="976"/>
      <c r="DP25" s="976"/>
      <c r="DQ25" s="976"/>
      <c r="DR25" s="976" t="str">
        <f>MID(SUVAHAVUJ!AF54,2,1)</f>
        <v xml:space="preserve"> </v>
      </c>
      <c r="DS25" s="976"/>
      <c r="DT25" s="976"/>
      <c r="DU25" s="976"/>
      <c r="DV25" s="976"/>
      <c r="DW25" s="976" t="str">
        <f>MID(SUVAHAVUJ!AF54,3,1)</f>
        <v xml:space="preserve"> </v>
      </c>
      <c r="DX25" s="976"/>
      <c r="DY25" s="976"/>
      <c r="DZ25" s="976"/>
      <c r="EA25" s="976"/>
      <c r="EB25" s="976"/>
      <c r="EC25" s="976" t="str">
        <f>MID(SUVAHAVUJ!AF54,4,1)</f>
        <v xml:space="preserve"> </v>
      </c>
      <c r="ED25" s="976"/>
      <c r="EE25" s="976"/>
      <c r="EF25" s="976"/>
      <c r="EG25" s="976"/>
      <c r="EH25" s="976" t="str">
        <f>MID(SUVAHAVUJ!AF54,5,1)</f>
        <v xml:space="preserve"> </v>
      </c>
      <c r="EI25" s="976"/>
      <c r="EJ25" s="976"/>
      <c r="EK25" s="976"/>
      <c r="EL25" s="976"/>
      <c r="EM25" s="976"/>
      <c r="EN25" s="976" t="str">
        <f>MID(SUVAHAVUJ!AF54,6,1)</f>
        <v xml:space="preserve"> </v>
      </c>
      <c r="EO25" s="976"/>
      <c r="EP25" s="976"/>
      <c r="EQ25" s="976"/>
      <c r="ER25" s="976"/>
      <c r="ES25" s="976" t="str">
        <f>MID(SUVAHAVUJ!AF54,7,1)</f>
        <v xml:space="preserve"> </v>
      </c>
      <c r="ET25" s="976"/>
      <c r="EU25" s="976"/>
      <c r="EV25" s="976"/>
      <c r="EW25" s="976"/>
      <c r="EX25" s="976"/>
      <c r="EY25" s="976" t="str">
        <f>MID(SUVAHAVUJ!AF54,8,1)</f>
        <v xml:space="preserve"> </v>
      </c>
      <c r="EZ25" s="976"/>
      <c r="FA25" s="976"/>
      <c r="FB25" s="976"/>
      <c r="FC25" s="976"/>
      <c r="FD25" s="976" t="str">
        <f>MID(SUVAHAVUJ!AF54,9,1)</f>
        <v xml:space="preserve"> </v>
      </c>
      <c r="FE25" s="976"/>
      <c r="FF25" s="976"/>
      <c r="FG25" s="976"/>
      <c r="FH25" s="976"/>
      <c r="FI25" s="976"/>
      <c r="FJ25" s="976" t="str">
        <f>MID(SUVAHAVUJ!AF54,10,1)</f>
        <v xml:space="preserve"> </v>
      </c>
      <c r="FK25" s="976"/>
      <c r="FL25" s="976"/>
      <c r="FM25" s="976"/>
      <c r="FN25" s="976"/>
      <c r="FO25" s="978" t="str">
        <f>MID(SUVAHAVUJ!AF54,11,1)</f>
        <v>0</v>
      </c>
      <c r="FP25" s="978"/>
      <c r="FQ25" s="978"/>
      <c r="FR25" s="978"/>
      <c r="FS25" s="978"/>
      <c r="FT25" s="979"/>
      <c r="FU25" s="979"/>
      <c r="FV25" s="979"/>
      <c r="FW25" s="979"/>
      <c r="FX25" s="979"/>
      <c r="FY25" s="979"/>
      <c r="FZ25" s="979"/>
      <c r="GA25" s="979"/>
      <c r="GB25" s="979"/>
      <c r="GC25" s="979"/>
      <c r="GD25" s="979"/>
      <c r="GE25" s="979"/>
      <c r="GF25" s="979"/>
      <c r="GG25" s="979"/>
      <c r="GH25" s="979"/>
      <c r="GI25" s="979"/>
      <c r="GJ25" s="979"/>
      <c r="GK25" s="979"/>
      <c r="GL25" s="979"/>
      <c r="GM25" s="979"/>
      <c r="GN25" s="979"/>
      <c r="GO25" s="979"/>
      <c r="GP25" s="979"/>
      <c r="GQ25" s="979"/>
      <c r="GR25" s="979"/>
      <c r="GS25" s="979"/>
      <c r="GT25" s="979"/>
      <c r="GU25" s="979"/>
      <c r="GV25" s="979"/>
      <c r="GW25" s="979"/>
    </row>
    <row r="26" spans="2:205" ht="25.5" customHeight="1" x14ac:dyDescent="0.3">
      <c r="B26" s="985"/>
      <c r="C26" s="985"/>
      <c r="D26" s="985"/>
      <c r="E26" s="985"/>
      <c r="F26" s="985"/>
      <c r="G26" s="985"/>
      <c r="H26" s="985"/>
      <c r="I26" s="985"/>
      <c r="J26" s="985"/>
      <c r="K26" s="985"/>
      <c r="L26" s="990"/>
      <c r="M26" s="990"/>
      <c r="N26" s="990"/>
      <c r="O26" s="990"/>
      <c r="P26" s="990"/>
      <c r="Q26" s="990"/>
      <c r="R26" s="990"/>
      <c r="S26" s="990"/>
      <c r="T26" s="990"/>
      <c r="U26" s="990"/>
      <c r="V26" s="990"/>
      <c r="W26" s="990"/>
      <c r="X26" s="990"/>
      <c r="Y26" s="990"/>
      <c r="Z26" s="990"/>
      <c r="AA26" s="990"/>
      <c r="AB26" s="990"/>
      <c r="AC26" s="990"/>
      <c r="AD26" s="990"/>
      <c r="AE26" s="990"/>
      <c r="AF26" s="990"/>
      <c r="AG26" s="990"/>
      <c r="AH26" s="990"/>
      <c r="AI26" s="990"/>
      <c r="AJ26" s="990"/>
      <c r="AK26" s="990"/>
      <c r="AL26" s="990"/>
      <c r="AM26" s="990"/>
      <c r="AN26" s="990"/>
      <c r="AO26" s="990"/>
      <c r="AP26" s="990"/>
      <c r="AQ26" s="975"/>
      <c r="AR26" s="975"/>
      <c r="AS26" s="975"/>
      <c r="AT26" s="975"/>
      <c r="AU26" s="975"/>
      <c r="AV26" s="975"/>
      <c r="AW26" s="975"/>
      <c r="AX26" s="975"/>
      <c r="AY26" s="648"/>
      <c r="AZ26" s="649"/>
      <c r="BA26" s="976" t="str">
        <f>MID(SUVAHAVUJ!AE54,1,1)</f>
        <v xml:space="preserve"> </v>
      </c>
      <c r="BB26" s="976"/>
      <c r="BC26" s="976"/>
      <c r="BD26" s="976"/>
      <c r="BE26" s="976"/>
      <c r="BF26" s="976"/>
      <c r="BG26" s="976" t="str">
        <f>MID(SUVAHAVUJ!AE54,2,1)</f>
        <v xml:space="preserve"> </v>
      </c>
      <c r="BH26" s="976"/>
      <c r="BI26" s="976"/>
      <c r="BJ26" s="976"/>
      <c r="BK26" s="976"/>
      <c r="BL26" s="976" t="str">
        <f>MID(SUVAHAVUJ!AE54,3,1)</f>
        <v xml:space="preserve"> </v>
      </c>
      <c r="BM26" s="976"/>
      <c r="BN26" s="976"/>
      <c r="BO26" s="976"/>
      <c r="BP26" s="976"/>
      <c r="BQ26" s="976"/>
      <c r="BR26" s="976" t="str">
        <f>MID(SUVAHAVUJ!AE54,4,1)</f>
        <v xml:space="preserve"> </v>
      </c>
      <c r="BS26" s="976"/>
      <c r="BT26" s="976"/>
      <c r="BU26" s="976"/>
      <c r="BV26" s="976"/>
      <c r="BW26" s="976" t="str">
        <f>MID(SUVAHAVUJ!AE54,5,1)</f>
        <v xml:space="preserve"> </v>
      </c>
      <c r="BX26" s="976"/>
      <c r="BY26" s="976"/>
      <c r="BZ26" s="976"/>
      <c r="CA26" s="976"/>
      <c r="CB26" s="976"/>
      <c r="CC26" s="976" t="str">
        <f>MID(SUVAHAVUJ!AE54,6,1)</f>
        <v xml:space="preserve"> </v>
      </c>
      <c r="CD26" s="976"/>
      <c r="CE26" s="976"/>
      <c r="CF26" s="976"/>
      <c r="CG26" s="976"/>
      <c r="CH26" s="976" t="str">
        <f>MID(SUVAHAVUJ!AE54,7,1)</f>
        <v xml:space="preserve"> </v>
      </c>
      <c r="CI26" s="976"/>
      <c r="CJ26" s="976"/>
      <c r="CK26" s="976"/>
      <c r="CL26" s="976"/>
      <c r="CM26" s="976"/>
      <c r="CN26" s="976" t="str">
        <f>MID(SUVAHAVUJ!AE54,8,1)</f>
        <v xml:space="preserve"> </v>
      </c>
      <c r="CO26" s="976"/>
      <c r="CP26" s="976"/>
      <c r="CQ26" s="976"/>
      <c r="CR26" s="976"/>
      <c r="CS26" s="976" t="str">
        <f>MID(SUVAHAVUJ!AE54,9,1)</f>
        <v xml:space="preserve"> </v>
      </c>
      <c r="CT26" s="976"/>
      <c r="CU26" s="976"/>
      <c r="CV26" s="976"/>
      <c r="CW26" s="976"/>
      <c r="CX26" s="976"/>
      <c r="CY26" s="976" t="str">
        <f>MID(SUVAHAVUJ!AE54,10,1)</f>
        <v xml:space="preserve"> </v>
      </c>
      <c r="CZ26" s="976"/>
      <c r="DA26" s="976"/>
      <c r="DB26" s="976"/>
      <c r="DC26" s="976"/>
      <c r="DD26" s="977" t="str">
        <f>MID(SUVAHAVUJ!AE54,11,1)</f>
        <v>0</v>
      </c>
      <c r="DE26" s="977"/>
      <c r="DF26" s="977"/>
      <c r="DG26" s="977"/>
      <c r="DH26" s="977"/>
      <c r="DI26" s="977"/>
      <c r="DJ26" s="980"/>
      <c r="DK26" s="980"/>
      <c r="DL26" s="980"/>
      <c r="DM26" s="980"/>
      <c r="DN26" s="980"/>
      <c r="DO26" s="980"/>
      <c r="DP26" s="980"/>
      <c r="DQ26" s="980"/>
      <c r="DR26" s="980"/>
      <c r="DS26" s="980"/>
      <c r="DT26" s="980"/>
      <c r="DU26" s="980"/>
      <c r="DV26" s="980"/>
      <c r="DW26" s="980"/>
      <c r="DX26" s="980"/>
      <c r="DY26" s="980"/>
      <c r="DZ26" s="980"/>
      <c r="EA26" s="980"/>
      <c r="EB26" s="980"/>
      <c r="EC26" s="980"/>
      <c r="ED26" s="980"/>
      <c r="EE26" s="980"/>
      <c r="EF26" s="980"/>
      <c r="EG26" s="980"/>
      <c r="EH26" s="980"/>
      <c r="EI26" s="980"/>
      <c r="EJ26" s="980"/>
      <c r="EK26" s="980"/>
      <c r="EL26" s="980"/>
      <c r="EM26" s="980"/>
      <c r="EN26" s="648"/>
      <c r="EO26" s="649"/>
      <c r="EP26" s="976" t="str">
        <f>MID(SUVAHAVUJ!AG54,1,1)</f>
        <v xml:space="preserve"> </v>
      </c>
      <c r="EQ26" s="976"/>
      <c r="ER26" s="976"/>
      <c r="ES26" s="976"/>
      <c r="ET26" s="976"/>
      <c r="EU26" s="976"/>
      <c r="EV26" s="976" t="str">
        <f>MID(SUVAHAVUJ!AG54,2,1)</f>
        <v xml:space="preserve"> </v>
      </c>
      <c r="EW26" s="976"/>
      <c r="EX26" s="976"/>
      <c r="EY26" s="976"/>
      <c r="EZ26" s="976"/>
      <c r="FA26" s="976" t="str">
        <f>MID(SUVAHAVUJ!AG54,3,1)</f>
        <v xml:space="preserve"> </v>
      </c>
      <c r="FB26" s="976"/>
      <c r="FC26" s="976"/>
      <c r="FD26" s="976"/>
      <c r="FE26" s="976"/>
      <c r="FF26" s="976"/>
      <c r="FG26" s="976" t="str">
        <f>MID(SUVAHAVUJ!AG54,4,1)</f>
        <v xml:space="preserve"> </v>
      </c>
      <c r="FH26" s="976"/>
      <c r="FI26" s="976"/>
      <c r="FJ26" s="976"/>
      <c r="FK26" s="976"/>
      <c r="FL26" s="976" t="str">
        <f>MID(SUVAHAVUJ!AG54,5,1)</f>
        <v xml:space="preserve"> </v>
      </c>
      <c r="FM26" s="976"/>
      <c r="FN26" s="976"/>
      <c r="FO26" s="976"/>
      <c r="FP26" s="976"/>
      <c r="FQ26" s="976"/>
      <c r="FR26" s="976" t="str">
        <f>MID(SUVAHAVUJ!AG54,6,1)</f>
        <v xml:space="preserve"> </v>
      </c>
      <c r="FS26" s="976"/>
      <c r="FT26" s="976"/>
      <c r="FU26" s="976"/>
      <c r="FV26" s="976"/>
      <c r="FW26" s="976" t="str">
        <f>MID(SUVAHAVUJ!AG54,7,1)</f>
        <v xml:space="preserve"> </v>
      </c>
      <c r="FX26" s="976"/>
      <c r="FY26" s="976"/>
      <c r="FZ26" s="976"/>
      <c r="GA26" s="976"/>
      <c r="GB26" s="976"/>
      <c r="GC26" s="976" t="str">
        <f>MID(SUVAHAVUJ!AG54,8,1)</f>
        <v xml:space="preserve"> </v>
      </c>
      <c r="GD26" s="976"/>
      <c r="GE26" s="976"/>
      <c r="GF26" s="976"/>
      <c r="GG26" s="976"/>
      <c r="GH26" s="976" t="str">
        <f>MID(SUVAHAVUJ!AG54,9,1)</f>
        <v xml:space="preserve"> </v>
      </c>
      <c r="GI26" s="976"/>
      <c r="GJ26" s="976"/>
      <c r="GK26" s="976"/>
      <c r="GL26" s="976"/>
      <c r="GM26" s="976"/>
      <c r="GN26" s="976" t="str">
        <f>MID(SUVAHAVUJ!AG54,10,1)</f>
        <v xml:space="preserve"> </v>
      </c>
      <c r="GO26" s="976"/>
      <c r="GP26" s="976"/>
      <c r="GQ26" s="976"/>
      <c r="GR26" s="976"/>
      <c r="GS26" s="978" t="str">
        <f>MID(SUVAHAVUJ!AG54,11,1)</f>
        <v>0</v>
      </c>
      <c r="GT26" s="978"/>
      <c r="GU26" s="978"/>
      <c r="GV26" s="978"/>
      <c r="GW26" s="978"/>
    </row>
    <row r="27" spans="2:205" s="650" customFormat="1" ht="23.25" customHeight="1" x14ac:dyDescent="0.3">
      <c r="B27" s="981" t="s">
        <v>2203</v>
      </c>
      <c r="C27" s="981"/>
      <c r="D27" s="981"/>
      <c r="E27" s="981"/>
      <c r="F27" s="981"/>
      <c r="G27" s="981"/>
      <c r="H27" s="981"/>
      <c r="I27" s="981"/>
      <c r="J27" s="981"/>
      <c r="K27" s="981"/>
      <c r="L27" s="991" t="str">
        <f>SUVAHAVUJ!$D$55</f>
        <v>Krátkodobé pohľadávky súčet (r. 54 + r. 58 až r. 65)</v>
      </c>
      <c r="M27" s="991"/>
      <c r="N27" s="991"/>
      <c r="O27" s="991"/>
      <c r="P27" s="991"/>
      <c r="Q27" s="991"/>
      <c r="R27" s="991"/>
      <c r="S27" s="991"/>
      <c r="T27" s="991"/>
      <c r="U27" s="991"/>
      <c r="V27" s="991"/>
      <c r="W27" s="991"/>
      <c r="X27" s="991"/>
      <c r="Y27" s="991"/>
      <c r="Z27" s="991"/>
      <c r="AA27" s="991"/>
      <c r="AB27" s="991"/>
      <c r="AC27" s="991"/>
      <c r="AD27" s="991"/>
      <c r="AE27" s="991"/>
      <c r="AF27" s="991"/>
      <c r="AG27" s="991"/>
      <c r="AH27" s="991"/>
      <c r="AI27" s="991"/>
      <c r="AJ27" s="991"/>
      <c r="AK27" s="991"/>
      <c r="AL27" s="991"/>
      <c r="AM27" s="991"/>
      <c r="AN27" s="991"/>
      <c r="AO27" s="991"/>
      <c r="AP27" s="991"/>
      <c r="AQ27" s="975" t="s">
        <v>2202</v>
      </c>
      <c r="AR27" s="975"/>
      <c r="AS27" s="975"/>
      <c r="AT27" s="975"/>
      <c r="AU27" s="975"/>
      <c r="AV27" s="975"/>
      <c r="AW27" s="975"/>
      <c r="AX27" s="975"/>
      <c r="AY27" s="648"/>
      <c r="AZ27" s="649"/>
      <c r="BA27" s="976" t="str">
        <f>MID(SUVAHAVUJ!AD55,1,1)</f>
        <v xml:space="preserve"> </v>
      </c>
      <c r="BB27" s="976"/>
      <c r="BC27" s="976"/>
      <c r="BD27" s="976"/>
      <c r="BE27" s="976"/>
      <c r="BF27" s="976"/>
      <c r="BG27" s="976" t="str">
        <f>MID(SUVAHAVUJ!AD55,2,1)</f>
        <v xml:space="preserve"> </v>
      </c>
      <c r="BH27" s="976"/>
      <c r="BI27" s="976"/>
      <c r="BJ27" s="976"/>
      <c r="BK27" s="976"/>
      <c r="BL27" s="976" t="str">
        <f>MID(SUVAHAVUJ!AD55,3,1)</f>
        <v xml:space="preserve"> </v>
      </c>
      <c r="BM27" s="976"/>
      <c r="BN27" s="976"/>
      <c r="BO27" s="976"/>
      <c r="BP27" s="976"/>
      <c r="BQ27" s="976"/>
      <c r="BR27" s="976" t="str">
        <f>MID(SUVAHAVUJ!AD55,4,1)</f>
        <v xml:space="preserve"> </v>
      </c>
      <c r="BS27" s="976"/>
      <c r="BT27" s="976"/>
      <c r="BU27" s="976"/>
      <c r="BV27" s="976"/>
      <c r="BW27" s="976" t="str">
        <f>MID(SUVAHAVUJ!AD55,5,1)</f>
        <v xml:space="preserve"> </v>
      </c>
      <c r="BX27" s="976"/>
      <c r="BY27" s="976"/>
      <c r="BZ27" s="976"/>
      <c r="CA27" s="976"/>
      <c r="CB27" s="976"/>
      <c r="CC27" s="976" t="str">
        <f>MID(SUVAHAVUJ!AD55,6,1)</f>
        <v xml:space="preserve"> </v>
      </c>
      <c r="CD27" s="976"/>
      <c r="CE27" s="976"/>
      <c r="CF27" s="976"/>
      <c r="CG27" s="976"/>
      <c r="CH27" s="976" t="str">
        <f>MID(SUVAHAVUJ!AD55,7,1)</f>
        <v>2</v>
      </c>
      <c r="CI27" s="976"/>
      <c r="CJ27" s="976"/>
      <c r="CK27" s="976"/>
      <c r="CL27" s="976"/>
      <c r="CM27" s="976"/>
      <c r="CN27" s="976" t="str">
        <f>MID(SUVAHAVUJ!AD55,8,1)</f>
        <v>6</v>
      </c>
      <c r="CO27" s="976"/>
      <c r="CP27" s="976"/>
      <c r="CQ27" s="976"/>
      <c r="CR27" s="976"/>
      <c r="CS27" s="976" t="str">
        <f>MID(SUVAHAVUJ!AD55,9,1)</f>
        <v>1</v>
      </c>
      <c r="CT27" s="976"/>
      <c r="CU27" s="976"/>
      <c r="CV27" s="976"/>
      <c r="CW27" s="976"/>
      <c r="CX27" s="976"/>
      <c r="CY27" s="976" t="str">
        <f>MID(SUVAHAVUJ!AD55,10,1)</f>
        <v>1</v>
      </c>
      <c r="CZ27" s="976"/>
      <c r="DA27" s="976"/>
      <c r="DB27" s="976"/>
      <c r="DC27" s="976"/>
      <c r="DD27" s="977" t="str">
        <f>MID(SUVAHAVUJ!AD55,11,1)</f>
        <v>8</v>
      </c>
      <c r="DE27" s="977"/>
      <c r="DF27" s="977"/>
      <c r="DG27" s="977"/>
      <c r="DH27" s="977"/>
      <c r="DI27" s="977"/>
      <c r="DJ27" s="648"/>
      <c r="DK27" s="649"/>
      <c r="DL27" s="976" t="str">
        <f>MID(SUVAHAVUJ!AF55,1,1)</f>
        <v xml:space="preserve"> </v>
      </c>
      <c r="DM27" s="976"/>
      <c r="DN27" s="976"/>
      <c r="DO27" s="976"/>
      <c r="DP27" s="976"/>
      <c r="DQ27" s="976"/>
      <c r="DR27" s="976" t="str">
        <f>MID(SUVAHAVUJ!AF55,2,1)</f>
        <v xml:space="preserve"> </v>
      </c>
      <c r="DS27" s="976"/>
      <c r="DT27" s="976"/>
      <c r="DU27" s="976"/>
      <c r="DV27" s="976"/>
      <c r="DW27" s="976" t="str">
        <f>MID(SUVAHAVUJ!AF55,3,1)</f>
        <v xml:space="preserve"> </v>
      </c>
      <c r="DX27" s="976"/>
      <c r="DY27" s="976"/>
      <c r="DZ27" s="976"/>
      <c r="EA27" s="976"/>
      <c r="EB27" s="976"/>
      <c r="EC27" s="976" t="str">
        <f>MID(SUVAHAVUJ!AF55,4,1)</f>
        <v xml:space="preserve"> </v>
      </c>
      <c r="ED27" s="976"/>
      <c r="EE27" s="976"/>
      <c r="EF27" s="976"/>
      <c r="EG27" s="976"/>
      <c r="EH27" s="976" t="str">
        <f>MID(SUVAHAVUJ!AF55,5,1)</f>
        <v xml:space="preserve"> </v>
      </c>
      <c r="EI27" s="976"/>
      <c r="EJ27" s="976"/>
      <c r="EK27" s="976"/>
      <c r="EL27" s="976"/>
      <c r="EM27" s="976"/>
      <c r="EN27" s="976" t="str">
        <f>MID(SUVAHAVUJ!AF55,6,1)</f>
        <v xml:space="preserve"> </v>
      </c>
      <c r="EO27" s="976"/>
      <c r="EP27" s="976"/>
      <c r="EQ27" s="976"/>
      <c r="ER27" s="976"/>
      <c r="ES27" s="976" t="str">
        <f>MID(SUVAHAVUJ!AF55,7,1)</f>
        <v>2</v>
      </c>
      <c r="ET27" s="976"/>
      <c r="EU27" s="976"/>
      <c r="EV27" s="976"/>
      <c r="EW27" s="976"/>
      <c r="EX27" s="976"/>
      <c r="EY27" s="976" t="str">
        <f>MID(SUVAHAVUJ!AF55,8,1)</f>
        <v>6</v>
      </c>
      <c r="EZ27" s="976"/>
      <c r="FA27" s="976"/>
      <c r="FB27" s="976"/>
      <c r="FC27" s="976"/>
      <c r="FD27" s="976" t="str">
        <f>MID(SUVAHAVUJ!AF55,9,1)</f>
        <v>1</v>
      </c>
      <c r="FE27" s="976"/>
      <c r="FF27" s="976"/>
      <c r="FG27" s="976"/>
      <c r="FH27" s="976"/>
      <c r="FI27" s="976"/>
      <c r="FJ27" s="976" t="str">
        <f>MID(SUVAHAVUJ!AF55,10,1)</f>
        <v>1</v>
      </c>
      <c r="FK27" s="976"/>
      <c r="FL27" s="976"/>
      <c r="FM27" s="976"/>
      <c r="FN27" s="976"/>
      <c r="FO27" s="978" t="str">
        <f>MID(SUVAHAVUJ!AF55,11,1)</f>
        <v>8</v>
      </c>
      <c r="FP27" s="978"/>
      <c r="FQ27" s="978"/>
      <c r="FR27" s="978"/>
      <c r="FS27" s="978"/>
      <c r="FT27" s="979"/>
      <c r="FU27" s="979"/>
      <c r="FV27" s="979"/>
      <c r="FW27" s="979"/>
      <c r="FX27" s="979"/>
      <c r="FY27" s="979"/>
      <c r="FZ27" s="979"/>
      <c r="GA27" s="979"/>
      <c r="GB27" s="979"/>
      <c r="GC27" s="979"/>
      <c r="GD27" s="979"/>
      <c r="GE27" s="979"/>
      <c r="GF27" s="979"/>
      <c r="GG27" s="979"/>
      <c r="GH27" s="979"/>
      <c r="GI27" s="979"/>
      <c r="GJ27" s="979"/>
      <c r="GK27" s="979"/>
      <c r="GL27" s="979"/>
      <c r="GM27" s="979"/>
      <c r="GN27" s="979"/>
      <c r="GO27" s="979"/>
      <c r="GP27" s="979"/>
      <c r="GQ27" s="979"/>
      <c r="GR27" s="979"/>
      <c r="GS27" s="979"/>
      <c r="GT27" s="979"/>
      <c r="GU27" s="979"/>
      <c r="GV27" s="979"/>
      <c r="GW27" s="979"/>
    </row>
    <row r="28" spans="2:205" ht="23.25" customHeight="1" x14ac:dyDescent="0.3">
      <c r="B28" s="981"/>
      <c r="C28" s="981"/>
      <c r="D28" s="981"/>
      <c r="E28" s="981"/>
      <c r="F28" s="981"/>
      <c r="G28" s="981"/>
      <c r="H28" s="981"/>
      <c r="I28" s="981"/>
      <c r="J28" s="981"/>
      <c r="K28" s="981"/>
      <c r="L28" s="991"/>
      <c r="M28" s="991"/>
      <c r="N28" s="991"/>
      <c r="O28" s="991"/>
      <c r="P28" s="991"/>
      <c r="Q28" s="991"/>
      <c r="R28" s="991"/>
      <c r="S28" s="991"/>
      <c r="T28" s="991"/>
      <c r="U28" s="991"/>
      <c r="V28" s="991"/>
      <c r="W28" s="991"/>
      <c r="X28" s="991"/>
      <c r="Y28" s="991"/>
      <c r="Z28" s="991"/>
      <c r="AA28" s="991"/>
      <c r="AB28" s="991"/>
      <c r="AC28" s="991"/>
      <c r="AD28" s="991"/>
      <c r="AE28" s="991"/>
      <c r="AF28" s="991"/>
      <c r="AG28" s="991"/>
      <c r="AH28" s="991"/>
      <c r="AI28" s="991"/>
      <c r="AJ28" s="991"/>
      <c r="AK28" s="991"/>
      <c r="AL28" s="991"/>
      <c r="AM28" s="991"/>
      <c r="AN28" s="991"/>
      <c r="AO28" s="991"/>
      <c r="AP28" s="991"/>
      <c r="AQ28" s="975"/>
      <c r="AR28" s="975"/>
      <c r="AS28" s="975"/>
      <c r="AT28" s="975"/>
      <c r="AU28" s="975"/>
      <c r="AV28" s="975"/>
      <c r="AW28" s="975"/>
      <c r="AX28" s="975"/>
      <c r="AY28" s="648"/>
      <c r="AZ28" s="649"/>
      <c r="BA28" s="976" t="str">
        <f>MID(SUVAHAVUJ!AE55,1,1)</f>
        <v xml:space="preserve"> </v>
      </c>
      <c r="BB28" s="976"/>
      <c r="BC28" s="976"/>
      <c r="BD28" s="976"/>
      <c r="BE28" s="976"/>
      <c r="BF28" s="976"/>
      <c r="BG28" s="976" t="str">
        <f>MID(SUVAHAVUJ!AE55,2,1)</f>
        <v xml:space="preserve"> </v>
      </c>
      <c r="BH28" s="976"/>
      <c r="BI28" s="976"/>
      <c r="BJ28" s="976"/>
      <c r="BK28" s="976"/>
      <c r="BL28" s="976" t="str">
        <f>MID(SUVAHAVUJ!AE55,3,1)</f>
        <v xml:space="preserve"> </v>
      </c>
      <c r="BM28" s="976"/>
      <c r="BN28" s="976"/>
      <c r="BO28" s="976"/>
      <c r="BP28" s="976"/>
      <c r="BQ28" s="976"/>
      <c r="BR28" s="976" t="str">
        <f>MID(SUVAHAVUJ!AE55,4,1)</f>
        <v xml:space="preserve"> </v>
      </c>
      <c r="BS28" s="976"/>
      <c r="BT28" s="976"/>
      <c r="BU28" s="976"/>
      <c r="BV28" s="976"/>
      <c r="BW28" s="976" t="str">
        <f>MID(SUVAHAVUJ!AE55,5,1)</f>
        <v xml:space="preserve"> </v>
      </c>
      <c r="BX28" s="976"/>
      <c r="BY28" s="976"/>
      <c r="BZ28" s="976"/>
      <c r="CA28" s="976"/>
      <c r="CB28" s="976"/>
      <c r="CC28" s="976" t="str">
        <f>MID(SUVAHAVUJ!AE55,6,1)</f>
        <v xml:space="preserve"> </v>
      </c>
      <c r="CD28" s="976"/>
      <c r="CE28" s="976"/>
      <c r="CF28" s="976"/>
      <c r="CG28" s="976"/>
      <c r="CH28" s="976" t="str">
        <f>MID(SUVAHAVUJ!AE55,7,1)</f>
        <v xml:space="preserve"> </v>
      </c>
      <c r="CI28" s="976"/>
      <c r="CJ28" s="976"/>
      <c r="CK28" s="976"/>
      <c r="CL28" s="976"/>
      <c r="CM28" s="976"/>
      <c r="CN28" s="976" t="str">
        <f>MID(SUVAHAVUJ!AE55,8,1)</f>
        <v xml:space="preserve"> </v>
      </c>
      <c r="CO28" s="976"/>
      <c r="CP28" s="976"/>
      <c r="CQ28" s="976"/>
      <c r="CR28" s="976"/>
      <c r="CS28" s="976" t="str">
        <f>MID(SUVAHAVUJ!AE55,9,1)</f>
        <v xml:space="preserve"> </v>
      </c>
      <c r="CT28" s="976"/>
      <c r="CU28" s="976"/>
      <c r="CV28" s="976"/>
      <c r="CW28" s="976"/>
      <c r="CX28" s="976"/>
      <c r="CY28" s="976" t="str">
        <f>MID(SUVAHAVUJ!AE55,10,1)</f>
        <v xml:space="preserve"> </v>
      </c>
      <c r="CZ28" s="976"/>
      <c r="DA28" s="976"/>
      <c r="DB28" s="976"/>
      <c r="DC28" s="976"/>
      <c r="DD28" s="977" t="str">
        <f>MID(SUVAHAVUJ!AE55,11,1)</f>
        <v>0</v>
      </c>
      <c r="DE28" s="977"/>
      <c r="DF28" s="977"/>
      <c r="DG28" s="977"/>
      <c r="DH28" s="977"/>
      <c r="DI28" s="977"/>
      <c r="DJ28" s="980"/>
      <c r="DK28" s="980"/>
      <c r="DL28" s="980"/>
      <c r="DM28" s="980"/>
      <c r="DN28" s="980"/>
      <c r="DO28" s="980"/>
      <c r="DP28" s="980"/>
      <c r="DQ28" s="980"/>
      <c r="DR28" s="980"/>
      <c r="DS28" s="980"/>
      <c r="DT28" s="980"/>
      <c r="DU28" s="980"/>
      <c r="DV28" s="980"/>
      <c r="DW28" s="980"/>
      <c r="DX28" s="980"/>
      <c r="DY28" s="980"/>
      <c r="DZ28" s="980"/>
      <c r="EA28" s="980"/>
      <c r="EB28" s="980"/>
      <c r="EC28" s="980"/>
      <c r="ED28" s="980"/>
      <c r="EE28" s="980"/>
      <c r="EF28" s="980"/>
      <c r="EG28" s="980"/>
      <c r="EH28" s="980"/>
      <c r="EI28" s="980"/>
      <c r="EJ28" s="980"/>
      <c r="EK28" s="980"/>
      <c r="EL28" s="980"/>
      <c r="EM28" s="980"/>
      <c r="EN28" s="648"/>
      <c r="EO28" s="649"/>
      <c r="EP28" s="976" t="str">
        <f>MID(SUVAHAVUJ!AG55,1,1)</f>
        <v xml:space="preserve"> </v>
      </c>
      <c r="EQ28" s="976"/>
      <c r="ER28" s="976"/>
      <c r="ES28" s="976"/>
      <c r="ET28" s="976"/>
      <c r="EU28" s="976"/>
      <c r="EV28" s="976" t="str">
        <f>MID(SUVAHAVUJ!AG55,2,1)</f>
        <v xml:space="preserve"> </v>
      </c>
      <c r="EW28" s="976"/>
      <c r="EX28" s="976"/>
      <c r="EY28" s="976"/>
      <c r="EZ28" s="976"/>
      <c r="FA28" s="976" t="str">
        <f>MID(SUVAHAVUJ!AG55,3,1)</f>
        <v xml:space="preserve"> </v>
      </c>
      <c r="FB28" s="976"/>
      <c r="FC28" s="976"/>
      <c r="FD28" s="976"/>
      <c r="FE28" s="976"/>
      <c r="FF28" s="976"/>
      <c r="FG28" s="976" t="str">
        <f>MID(SUVAHAVUJ!AG55,4,1)</f>
        <v xml:space="preserve"> </v>
      </c>
      <c r="FH28" s="976"/>
      <c r="FI28" s="976"/>
      <c r="FJ28" s="976"/>
      <c r="FK28" s="976"/>
      <c r="FL28" s="976" t="str">
        <f>MID(SUVAHAVUJ!AG55,5,1)</f>
        <v xml:space="preserve"> </v>
      </c>
      <c r="FM28" s="976"/>
      <c r="FN28" s="976"/>
      <c r="FO28" s="976"/>
      <c r="FP28" s="976"/>
      <c r="FQ28" s="976"/>
      <c r="FR28" s="976" t="str">
        <f>MID(SUVAHAVUJ!AG55,6,1)</f>
        <v xml:space="preserve"> </v>
      </c>
      <c r="FS28" s="976"/>
      <c r="FT28" s="976"/>
      <c r="FU28" s="976"/>
      <c r="FV28" s="976"/>
      <c r="FW28" s="976" t="str">
        <f>MID(SUVAHAVUJ!AG55,7,1)</f>
        <v>1</v>
      </c>
      <c r="FX28" s="976"/>
      <c r="FY28" s="976"/>
      <c r="FZ28" s="976"/>
      <c r="GA28" s="976"/>
      <c r="GB28" s="976"/>
      <c r="GC28" s="976" t="str">
        <f>MID(SUVAHAVUJ!AG55,8,1)</f>
        <v>9</v>
      </c>
      <c r="GD28" s="976"/>
      <c r="GE28" s="976"/>
      <c r="GF28" s="976"/>
      <c r="GG28" s="976"/>
      <c r="GH28" s="976" t="str">
        <f>MID(SUVAHAVUJ!AG55,9,1)</f>
        <v>0</v>
      </c>
      <c r="GI28" s="976"/>
      <c r="GJ28" s="976"/>
      <c r="GK28" s="976"/>
      <c r="GL28" s="976"/>
      <c r="GM28" s="976"/>
      <c r="GN28" s="976" t="str">
        <f>MID(SUVAHAVUJ!AG55,10,1)</f>
        <v>9</v>
      </c>
      <c r="GO28" s="976"/>
      <c r="GP28" s="976"/>
      <c r="GQ28" s="976"/>
      <c r="GR28" s="976"/>
      <c r="GS28" s="978" t="str">
        <f>MID(SUVAHAVUJ!AG55,11,1)</f>
        <v>3</v>
      </c>
      <c r="GT28" s="978"/>
      <c r="GU28" s="978"/>
      <c r="GV28" s="978"/>
      <c r="GW28" s="978"/>
    </row>
    <row r="29" spans="2:205" s="650" customFormat="1" ht="24" customHeight="1" x14ac:dyDescent="0.3">
      <c r="B29" s="992" t="s">
        <v>2205</v>
      </c>
      <c r="C29" s="992"/>
      <c r="D29" s="992"/>
      <c r="E29" s="992"/>
      <c r="F29" s="992"/>
      <c r="G29" s="992"/>
      <c r="H29" s="992"/>
      <c r="I29" s="992"/>
      <c r="J29" s="992"/>
      <c r="K29" s="992"/>
      <c r="L29" s="991" t="str">
        <f>SUVAHAVUJ!$D$56</f>
        <v>Pohľadávky z obchodného styku súčet (r. 55 až r. 57)</v>
      </c>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s="991"/>
      <c r="AM29" s="991"/>
      <c r="AN29" s="991"/>
      <c r="AO29" s="991"/>
      <c r="AP29" s="991"/>
      <c r="AQ29" s="975" t="s">
        <v>2204</v>
      </c>
      <c r="AR29" s="975"/>
      <c r="AS29" s="975"/>
      <c r="AT29" s="975"/>
      <c r="AU29" s="975"/>
      <c r="AV29" s="975"/>
      <c r="AW29" s="975"/>
      <c r="AX29" s="975"/>
      <c r="AY29" s="648"/>
      <c r="AZ29" s="649"/>
      <c r="BA29" s="976" t="str">
        <f>MID(SUVAHAVUJ!AD56,1,1)</f>
        <v xml:space="preserve"> </v>
      </c>
      <c r="BB29" s="976"/>
      <c r="BC29" s="976"/>
      <c r="BD29" s="976"/>
      <c r="BE29" s="976"/>
      <c r="BF29" s="976"/>
      <c r="BG29" s="976" t="str">
        <f>MID(SUVAHAVUJ!AD56,2,1)</f>
        <v xml:space="preserve"> </v>
      </c>
      <c r="BH29" s="976"/>
      <c r="BI29" s="976"/>
      <c r="BJ29" s="976"/>
      <c r="BK29" s="976"/>
      <c r="BL29" s="976" t="str">
        <f>MID(SUVAHAVUJ!AD56,3,1)</f>
        <v xml:space="preserve"> </v>
      </c>
      <c r="BM29" s="976"/>
      <c r="BN29" s="976"/>
      <c r="BO29" s="976"/>
      <c r="BP29" s="976"/>
      <c r="BQ29" s="976"/>
      <c r="BR29" s="976" t="str">
        <f>MID(SUVAHAVUJ!AD56,4,1)</f>
        <v xml:space="preserve"> </v>
      </c>
      <c r="BS29" s="976"/>
      <c r="BT29" s="976"/>
      <c r="BU29" s="976"/>
      <c r="BV29" s="976"/>
      <c r="BW29" s="976" t="str">
        <f>MID(SUVAHAVUJ!AD56,5,1)</f>
        <v xml:space="preserve"> </v>
      </c>
      <c r="BX29" s="976"/>
      <c r="BY29" s="976"/>
      <c r="BZ29" s="976"/>
      <c r="CA29" s="976"/>
      <c r="CB29" s="976"/>
      <c r="CC29" s="976" t="str">
        <f>MID(SUVAHAVUJ!AD56,6,1)</f>
        <v xml:space="preserve"> </v>
      </c>
      <c r="CD29" s="976"/>
      <c r="CE29" s="976"/>
      <c r="CF29" s="976"/>
      <c r="CG29" s="976"/>
      <c r="CH29" s="976" t="str">
        <f>MID(SUVAHAVUJ!AD56,7,1)</f>
        <v>1</v>
      </c>
      <c r="CI29" s="976"/>
      <c r="CJ29" s="976"/>
      <c r="CK29" s="976"/>
      <c r="CL29" s="976"/>
      <c r="CM29" s="976"/>
      <c r="CN29" s="976" t="str">
        <f>MID(SUVAHAVUJ!AD56,8,1)</f>
        <v>8</v>
      </c>
      <c r="CO29" s="976"/>
      <c r="CP29" s="976"/>
      <c r="CQ29" s="976"/>
      <c r="CR29" s="976"/>
      <c r="CS29" s="976" t="str">
        <f>MID(SUVAHAVUJ!AD56,9,1)</f>
        <v>7</v>
      </c>
      <c r="CT29" s="976"/>
      <c r="CU29" s="976"/>
      <c r="CV29" s="976"/>
      <c r="CW29" s="976"/>
      <c r="CX29" s="976"/>
      <c r="CY29" s="976" t="str">
        <f>MID(SUVAHAVUJ!AD56,10,1)</f>
        <v>2</v>
      </c>
      <c r="CZ29" s="976"/>
      <c r="DA29" s="976"/>
      <c r="DB29" s="976"/>
      <c r="DC29" s="976"/>
      <c r="DD29" s="977" t="str">
        <f>MID(SUVAHAVUJ!AD56,11,1)</f>
        <v>4</v>
      </c>
      <c r="DE29" s="977"/>
      <c r="DF29" s="977"/>
      <c r="DG29" s="977"/>
      <c r="DH29" s="977"/>
      <c r="DI29" s="977"/>
      <c r="DJ29" s="648"/>
      <c r="DK29" s="649"/>
      <c r="DL29" s="976" t="str">
        <f>MID(SUVAHAVUJ!AF56,1,1)</f>
        <v xml:space="preserve"> </v>
      </c>
      <c r="DM29" s="976"/>
      <c r="DN29" s="976"/>
      <c r="DO29" s="976"/>
      <c r="DP29" s="976"/>
      <c r="DQ29" s="976"/>
      <c r="DR29" s="976" t="str">
        <f>MID(SUVAHAVUJ!AF56,2,1)</f>
        <v xml:space="preserve"> </v>
      </c>
      <c r="DS29" s="976"/>
      <c r="DT29" s="976"/>
      <c r="DU29" s="976"/>
      <c r="DV29" s="976"/>
      <c r="DW29" s="976" t="str">
        <f>MID(SUVAHAVUJ!AF56,3,1)</f>
        <v xml:space="preserve"> </v>
      </c>
      <c r="DX29" s="976"/>
      <c r="DY29" s="976"/>
      <c r="DZ29" s="976"/>
      <c r="EA29" s="976"/>
      <c r="EB29" s="976"/>
      <c r="EC29" s="976" t="str">
        <f>MID(SUVAHAVUJ!AF56,4,1)</f>
        <v xml:space="preserve"> </v>
      </c>
      <c r="ED29" s="976"/>
      <c r="EE29" s="976"/>
      <c r="EF29" s="976"/>
      <c r="EG29" s="976"/>
      <c r="EH29" s="976" t="str">
        <f>MID(SUVAHAVUJ!AF56,5,1)</f>
        <v xml:space="preserve"> </v>
      </c>
      <c r="EI29" s="976"/>
      <c r="EJ29" s="976"/>
      <c r="EK29" s="976"/>
      <c r="EL29" s="976"/>
      <c r="EM29" s="976"/>
      <c r="EN29" s="976" t="str">
        <f>MID(SUVAHAVUJ!AF56,6,1)</f>
        <v xml:space="preserve"> </v>
      </c>
      <c r="EO29" s="976"/>
      <c r="EP29" s="976"/>
      <c r="EQ29" s="976"/>
      <c r="ER29" s="976"/>
      <c r="ES29" s="976" t="str">
        <f>MID(SUVAHAVUJ!AF56,7,1)</f>
        <v>1</v>
      </c>
      <c r="ET29" s="976"/>
      <c r="EU29" s="976"/>
      <c r="EV29" s="976"/>
      <c r="EW29" s="976"/>
      <c r="EX29" s="976"/>
      <c r="EY29" s="976" t="str">
        <f>MID(SUVAHAVUJ!AF56,8,1)</f>
        <v>8</v>
      </c>
      <c r="EZ29" s="976"/>
      <c r="FA29" s="976"/>
      <c r="FB29" s="976"/>
      <c r="FC29" s="976"/>
      <c r="FD29" s="976" t="str">
        <f>MID(SUVAHAVUJ!AF56,9,1)</f>
        <v>7</v>
      </c>
      <c r="FE29" s="976"/>
      <c r="FF29" s="976"/>
      <c r="FG29" s="976"/>
      <c r="FH29" s="976"/>
      <c r="FI29" s="976"/>
      <c r="FJ29" s="976" t="str">
        <f>MID(SUVAHAVUJ!AF56,10,1)</f>
        <v>2</v>
      </c>
      <c r="FK29" s="976"/>
      <c r="FL29" s="976"/>
      <c r="FM29" s="976"/>
      <c r="FN29" s="976"/>
      <c r="FO29" s="978" t="str">
        <f>MID(SUVAHAVUJ!AF56,11,1)</f>
        <v>4</v>
      </c>
      <c r="FP29" s="978"/>
      <c r="FQ29" s="978"/>
      <c r="FR29" s="978"/>
      <c r="FS29" s="978"/>
      <c r="FT29" s="979"/>
      <c r="FU29" s="979"/>
      <c r="FV29" s="979"/>
      <c r="FW29" s="979"/>
      <c r="FX29" s="979"/>
      <c r="FY29" s="979"/>
      <c r="FZ29" s="979"/>
      <c r="GA29" s="979"/>
      <c r="GB29" s="979"/>
      <c r="GC29" s="979"/>
      <c r="GD29" s="979"/>
      <c r="GE29" s="979"/>
      <c r="GF29" s="979"/>
      <c r="GG29" s="979"/>
      <c r="GH29" s="979"/>
      <c r="GI29" s="979"/>
      <c r="GJ29" s="979"/>
      <c r="GK29" s="979"/>
      <c r="GL29" s="979"/>
      <c r="GM29" s="979"/>
      <c r="GN29" s="979"/>
      <c r="GO29" s="979"/>
      <c r="GP29" s="979"/>
      <c r="GQ29" s="979"/>
      <c r="GR29" s="979"/>
      <c r="GS29" s="979"/>
      <c r="GT29" s="979"/>
      <c r="GU29" s="979"/>
      <c r="GV29" s="979"/>
      <c r="GW29" s="979"/>
    </row>
    <row r="30" spans="2:205" ht="23.25" customHeight="1" x14ac:dyDescent="0.3">
      <c r="B30" s="992"/>
      <c r="C30" s="992"/>
      <c r="D30" s="992"/>
      <c r="E30" s="992"/>
      <c r="F30" s="992"/>
      <c r="G30" s="992"/>
      <c r="H30" s="992"/>
      <c r="I30" s="992"/>
      <c r="J30" s="992"/>
      <c r="K30" s="992"/>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c r="AL30" s="991"/>
      <c r="AM30" s="991"/>
      <c r="AN30" s="991"/>
      <c r="AO30" s="991"/>
      <c r="AP30" s="991"/>
      <c r="AQ30" s="975"/>
      <c r="AR30" s="975"/>
      <c r="AS30" s="975"/>
      <c r="AT30" s="975"/>
      <c r="AU30" s="975"/>
      <c r="AV30" s="975"/>
      <c r="AW30" s="975"/>
      <c r="AX30" s="975"/>
      <c r="AY30" s="648"/>
      <c r="AZ30" s="649"/>
      <c r="BA30" s="976" t="str">
        <f>MID(SUVAHAVUJ!AE56,1,1)</f>
        <v xml:space="preserve"> </v>
      </c>
      <c r="BB30" s="976"/>
      <c r="BC30" s="976"/>
      <c r="BD30" s="976"/>
      <c r="BE30" s="976"/>
      <c r="BF30" s="976"/>
      <c r="BG30" s="976" t="str">
        <f>MID(SUVAHAVUJ!AE56,2,1)</f>
        <v xml:space="preserve"> </v>
      </c>
      <c r="BH30" s="976"/>
      <c r="BI30" s="976"/>
      <c r="BJ30" s="976"/>
      <c r="BK30" s="976"/>
      <c r="BL30" s="976" t="str">
        <f>MID(SUVAHAVUJ!AE56,3,1)</f>
        <v xml:space="preserve"> </v>
      </c>
      <c r="BM30" s="976"/>
      <c r="BN30" s="976"/>
      <c r="BO30" s="976"/>
      <c r="BP30" s="976"/>
      <c r="BQ30" s="976"/>
      <c r="BR30" s="976" t="str">
        <f>MID(SUVAHAVUJ!AE56,4,1)</f>
        <v xml:space="preserve"> </v>
      </c>
      <c r="BS30" s="976"/>
      <c r="BT30" s="976"/>
      <c r="BU30" s="976"/>
      <c r="BV30" s="976"/>
      <c r="BW30" s="976" t="str">
        <f>MID(SUVAHAVUJ!AE56,5,1)</f>
        <v xml:space="preserve"> </v>
      </c>
      <c r="BX30" s="976"/>
      <c r="BY30" s="976"/>
      <c r="BZ30" s="976"/>
      <c r="CA30" s="976"/>
      <c r="CB30" s="976"/>
      <c r="CC30" s="976" t="str">
        <f>MID(SUVAHAVUJ!AE56,6,1)</f>
        <v xml:space="preserve"> </v>
      </c>
      <c r="CD30" s="976"/>
      <c r="CE30" s="976"/>
      <c r="CF30" s="976"/>
      <c r="CG30" s="976"/>
      <c r="CH30" s="976" t="str">
        <f>MID(SUVAHAVUJ!AE56,7,1)</f>
        <v xml:space="preserve"> </v>
      </c>
      <c r="CI30" s="976"/>
      <c r="CJ30" s="976"/>
      <c r="CK30" s="976"/>
      <c r="CL30" s="976"/>
      <c r="CM30" s="976"/>
      <c r="CN30" s="976" t="str">
        <f>MID(SUVAHAVUJ!AE56,8,1)</f>
        <v xml:space="preserve"> </v>
      </c>
      <c r="CO30" s="976"/>
      <c r="CP30" s="976"/>
      <c r="CQ30" s="976"/>
      <c r="CR30" s="976"/>
      <c r="CS30" s="976" t="str">
        <f>MID(SUVAHAVUJ!AE56,9,1)</f>
        <v xml:space="preserve"> </v>
      </c>
      <c r="CT30" s="976"/>
      <c r="CU30" s="976"/>
      <c r="CV30" s="976"/>
      <c r="CW30" s="976"/>
      <c r="CX30" s="976"/>
      <c r="CY30" s="976" t="str">
        <f>MID(SUVAHAVUJ!AE56,10,1)</f>
        <v xml:space="preserve"> </v>
      </c>
      <c r="CZ30" s="976"/>
      <c r="DA30" s="976"/>
      <c r="DB30" s="976"/>
      <c r="DC30" s="976"/>
      <c r="DD30" s="977" t="str">
        <f>MID(SUVAHAVUJ!AE56,11,1)</f>
        <v>0</v>
      </c>
      <c r="DE30" s="977"/>
      <c r="DF30" s="977"/>
      <c r="DG30" s="977"/>
      <c r="DH30" s="977"/>
      <c r="DI30" s="977"/>
      <c r="DJ30" s="980"/>
      <c r="DK30" s="980"/>
      <c r="DL30" s="980"/>
      <c r="DM30" s="980"/>
      <c r="DN30" s="980"/>
      <c r="DO30" s="980"/>
      <c r="DP30" s="980"/>
      <c r="DQ30" s="980"/>
      <c r="DR30" s="980"/>
      <c r="DS30" s="980"/>
      <c r="DT30" s="980"/>
      <c r="DU30" s="980"/>
      <c r="DV30" s="980"/>
      <c r="DW30" s="980"/>
      <c r="DX30" s="980"/>
      <c r="DY30" s="980"/>
      <c r="DZ30" s="980"/>
      <c r="EA30" s="980"/>
      <c r="EB30" s="980"/>
      <c r="EC30" s="980"/>
      <c r="ED30" s="980"/>
      <c r="EE30" s="980"/>
      <c r="EF30" s="980"/>
      <c r="EG30" s="980"/>
      <c r="EH30" s="980"/>
      <c r="EI30" s="980"/>
      <c r="EJ30" s="980"/>
      <c r="EK30" s="980"/>
      <c r="EL30" s="980"/>
      <c r="EM30" s="980"/>
      <c r="EN30" s="648"/>
      <c r="EO30" s="649"/>
      <c r="EP30" s="976" t="str">
        <f>MID(SUVAHAVUJ!AG56,1,1)</f>
        <v xml:space="preserve"> </v>
      </c>
      <c r="EQ30" s="976"/>
      <c r="ER30" s="976"/>
      <c r="ES30" s="976"/>
      <c r="ET30" s="976"/>
      <c r="EU30" s="976"/>
      <c r="EV30" s="976" t="str">
        <f>MID(SUVAHAVUJ!AG56,2,1)</f>
        <v xml:space="preserve"> </v>
      </c>
      <c r="EW30" s="976"/>
      <c r="EX30" s="976"/>
      <c r="EY30" s="976"/>
      <c r="EZ30" s="976"/>
      <c r="FA30" s="976" t="str">
        <f>MID(SUVAHAVUJ!AG56,3,1)</f>
        <v xml:space="preserve"> </v>
      </c>
      <c r="FB30" s="976"/>
      <c r="FC30" s="976"/>
      <c r="FD30" s="976"/>
      <c r="FE30" s="976"/>
      <c r="FF30" s="976"/>
      <c r="FG30" s="976" t="str">
        <f>MID(SUVAHAVUJ!AG56,4,1)</f>
        <v xml:space="preserve"> </v>
      </c>
      <c r="FH30" s="976"/>
      <c r="FI30" s="976"/>
      <c r="FJ30" s="976"/>
      <c r="FK30" s="976"/>
      <c r="FL30" s="976" t="str">
        <f>MID(SUVAHAVUJ!AG56,5,1)</f>
        <v xml:space="preserve"> </v>
      </c>
      <c r="FM30" s="976"/>
      <c r="FN30" s="976"/>
      <c r="FO30" s="976"/>
      <c r="FP30" s="976"/>
      <c r="FQ30" s="976"/>
      <c r="FR30" s="976" t="str">
        <f>MID(SUVAHAVUJ!AG56,6,1)</f>
        <v xml:space="preserve"> </v>
      </c>
      <c r="FS30" s="976"/>
      <c r="FT30" s="976"/>
      <c r="FU30" s="976"/>
      <c r="FV30" s="976"/>
      <c r="FW30" s="976" t="str">
        <f>MID(SUVAHAVUJ!AG56,7,1)</f>
        <v>1</v>
      </c>
      <c r="FX30" s="976"/>
      <c r="FY30" s="976"/>
      <c r="FZ30" s="976"/>
      <c r="GA30" s="976"/>
      <c r="GB30" s="976"/>
      <c r="GC30" s="976" t="str">
        <f>MID(SUVAHAVUJ!AG56,8,1)</f>
        <v>7</v>
      </c>
      <c r="GD30" s="976"/>
      <c r="GE30" s="976"/>
      <c r="GF30" s="976"/>
      <c r="GG30" s="976"/>
      <c r="GH30" s="976" t="str">
        <f>MID(SUVAHAVUJ!AG56,9,1)</f>
        <v>9</v>
      </c>
      <c r="GI30" s="976"/>
      <c r="GJ30" s="976"/>
      <c r="GK30" s="976"/>
      <c r="GL30" s="976"/>
      <c r="GM30" s="976"/>
      <c r="GN30" s="976" t="str">
        <f>MID(SUVAHAVUJ!AG56,10,1)</f>
        <v>9</v>
      </c>
      <c r="GO30" s="976"/>
      <c r="GP30" s="976"/>
      <c r="GQ30" s="976"/>
      <c r="GR30" s="976"/>
      <c r="GS30" s="978" t="str">
        <f>MID(SUVAHAVUJ!AG56,11,1)</f>
        <v>1</v>
      </c>
      <c r="GT30" s="978"/>
      <c r="GU30" s="978"/>
      <c r="GV30" s="978"/>
      <c r="GW30" s="978"/>
    </row>
    <row r="31" spans="2:205" s="650" customFormat="1" ht="23.25" customHeight="1" x14ac:dyDescent="0.3">
      <c r="B31" s="985" t="s">
        <v>2199</v>
      </c>
      <c r="C31" s="985"/>
      <c r="D31" s="985"/>
      <c r="E31" s="985"/>
      <c r="F31" s="985"/>
      <c r="G31" s="985"/>
      <c r="H31" s="985"/>
      <c r="I31" s="985"/>
      <c r="J31" s="985"/>
      <c r="K31" s="985"/>
      <c r="L31" s="990" t="str">
        <f>SUVAHAVUJ!$D$57</f>
        <v>Pohľadávky z obchodného styku voči prepojeným účtovným jednotkám (311A, 312A, 313A, 314A, 315A, 31XA) - /391A/</v>
      </c>
      <c r="M31" s="990"/>
      <c r="N31" s="990"/>
      <c r="O31" s="990"/>
      <c r="P31" s="990"/>
      <c r="Q31" s="990"/>
      <c r="R31" s="990"/>
      <c r="S31" s="990"/>
      <c r="T31" s="990"/>
      <c r="U31" s="990"/>
      <c r="V31" s="990"/>
      <c r="W31" s="990"/>
      <c r="X31" s="990"/>
      <c r="Y31" s="990"/>
      <c r="Z31" s="990"/>
      <c r="AA31" s="990"/>
      <c r="AB31" s="990"/>
      <c r="AC31" s="990"/>
      <c r="AD31" s="990"/>
      <c r="AE31" s="990"/>
      <c r="AF31" s="990"/>
      <c r="AG31" s="990"/>
      <c r="AH31" s="990"/>
      <c r="AI31" s="990"/>
      <c r="AJ31" s="990"/>
      <c r="AK31" s="990"/>
      <c r="AL31" s="990"/>
      <c r="AM31" s="990"/>
      <c r="AN31" s="990"/>
      <c r="AO31" s="990"/>
      <c r="AP31" s="990"/>
      <c r="AQ31" s="975" t="s">
        <v>1253</v>
      </c>
      <c r="AR31" s="975"/>
      <c r="AS31" s="975"/>
      <c r="AT31" s="975"/>
      <c r="AU31" s="975"/>
      <c r="AV31" s="975"/>
      <c r="AW31" s="975"/>
      <c r="AX31" s="975"/>
      <c r="AY31" s="648"/>
      <c r="AZ31" s="649"/>
      <c r="BA31" s="976" t="str">
        <f>MID(SUVAHAVUJ!AD57,1,1)</f>
        <v xml:space="preserve"> </v>
      </c>
      <c r="BB31" s="976"/>
      <c r="BC31" s="976"/>
      <c r="BD31" s="976"/>
      <c r="BE31" s="976"/>
      <c r="BF31" s="976"/>
      <c r="BG31" s="976" t="str">
        <f>MID(SUVAHAVUJ!AD57,2,1)</f>
        <v xml:space="preserve"> </v>
      </c>
      <c r="BH31" s="976"/>
      <c r="BI31" s="976"/>
      <c r="BJ31" s="976"/>
      <c r="BK31" s="976"/>
      <c r="BL31" s="976" t="str">
        <f>MID(SUVAHAVUJ!AD57,3,1)</f>
        <v xml:space="preserve"> </v>
      </c>
      <c r="BM31" s="976"/>
      <c r="BN31" s="976"/>
      <c r="BO31" s="976"/>
      <c r="BP31" s="976"/>
      <c r="BQ31" s="976"/>
      <c r="BR31" s="976" t="str">
        <f>MID(SUVAHAVUJ!AD57,4,1)</f>
        <v xml:space="preserve"> </v>
      </c>
      <c r="BS31" s="976"/>
      <c r="BT31" s="976"/>
      <c r="BU31" s="976"/>
      <c r="BV31" s="976"/>
      <c r="BW31" s="976" t="str">
        <f>MID(SUVAHAVUJ!AD57,5,1)</f>
        <v xml:space="preserve"> </v>
      </c>
      <c r="BX31" s="976"/>
      <c r="BY31" s="976"/>
      <c r="BZ31" s="976"/>
      <c r="CA31" s="976"/>
      <c r="CB31" s="976"/>
      <c r="CC31" s="976" t="str">
        <f>MID(SUVAHAVUJ!AD57,6,1)</f>
        <v xml:space="preserve"> </v>
      </c>
      <c r="CD31" s="976"/>
      <c r="CE31" s="976"/>
      <c r="CF31" s="976"/>
      <c r="CG31" s="976"/>
      <c r="CH31" s="976" t="str">
        <f>MID(SUVAHAVUJ!AD57,7,1)</f>
        <v>1</v>
      </c>
      <c r="CI31" s="976"/>
      <c r="CJ31" s="976"/>
      <c r="CK31" s="976"/>
      <c r="CL31" s="976"/>
      <c r="CM31" s="976"/>
      <c r="CN31" s="976" t="str">
        <f>MID(SUVAHAVUJ!AD57,8,1)</f>
        <v>8</v>
      </c>
      <c r="CO31" s="976"/>
      <c r="CP31" s="976"/>
      <c r="CQ31" s="976"/>
      <c r="CR31" s="976"/>
      <c r="CS31" s="976" t="str">
        <f>MID(SUVAHAVUJ!AD57,9,1)</f>
        <v>7</v>
      </c>
      <c r="CT31" s="976"/>
      <c r="CU31" s="976"/>
      <c r="CV31" s="976"/>
      <c r="CW31" s="976"/>
      <c r="CX31" s="976"/>
      <c r="CY31" s="976" t="str">
        <f>MID(SUVAHAVUJ!AD57,10,1)</f>
        <v>2</v>
      </c>
      <c r="CZ31" s="976"/>
      <c r="DA31" s="976"/>
      <c r="DB31" s="976"/>
      <c r="DC31" s="976"/>
      <c r="DD31" s="977" t="str">
        <f>MID(SUVAHAVUJ!AD57,11,1)</f>
        <v>4</v>
      </c>
      <c r="DE31" s="977"/>
      <c r="DF31" s="977"/>
      <c r="DG31" s="977"/>
      <c r="DH31" s="977"/>
      <c r="DI31" s="977"/>
      <c r="DJ31" s="648"/>
      <c r="DK31" s="649"/>
      <c r="DL31" s="976" t="str">
        <f>MID(SUVAHAVUJ!AF57,1,1)</f>
        <v xml:space="preserve"> </v>
      </c>
      <c r="DM31" s="976"/>
      <c r="DN31" s="976"/>
      <c r="DO31" s="976"/>
      <c r="DP31" s="976"/>
      <c r="DQ31" s="976"/>
      <c r="DR31" s="976" t="str">
        <f>MID(SUVAHAVUJ!AF57,2,1)</f>
        <v xml:space="preserve"> </v>
      </c>
      <c r="DS31" s="976"/>
      <c r="DT31" s="976"/>
      <c r="DU31" s="976"/>
      <c r="DV31" s="976"/>
      <c r="DW31" s="976" t="str">
        <f>MID(SUVAHAVUJ!AF57,3,1)</f>
        <v xml:space="preserve"> </v>
      </c>
      <c r="DX31" s="976"/>
      <c r="DY31" s="976"/>
      <c r="DZ31" s="976"/>
      <c r="EA31" s="976"/>
      <c r="EB31" s="976"/>
      <c r="EC31" s="976" t="str">
        <f>MID(SUVAHAVUJ!AF57,4,1)</f>
        <v xml:space="preserve"> </v>
      </c>
      <c r="ED31" s="976"/>
      <c r="EE31" s="976"/>
      <c r="EF31" s="976"/>
      <c r="EG31" s="976"/>
      <c r="EH31" s="976" t="str">
        <f>MID(SUVAHAVUJ!AF57,5,1)</f>
        <v xml:space="preserve"> </v>
      </c>
      <c r="EI31" s="976"/>
      <c r="EJ31" s="976"/>
      <c r="EK31" s="976"/>
      <c r="EL31" s="976"/>
      <c r="EM31" s="976"/>
      <c r="EN31" s="976" t="str">
        <f>MID(SUVAHAVUJ!AF57,6,1)</f>
        <v xml:space="preserve"> </v>
      </c>
      <c r="EO31" s="976"/>
      <c r="EP31" s="976"/>
      <c r="EQ31" s="976"/>
      <c r="ER31" s="976"/>
      <c r="ES31" s="976" t="str">
        <f>MID(SUVAHAVUJ!AF57,7,1)</f>
        <v>1</v>
      </c>
      <c r="ET31" s="976"/>
      <c r="EU31" s="976"/>
      <c r="EV31" s="976"/>
      <c r="EW31" s="976"/>
      <c r="EX31" s="976"/>
      <c r="EY31" s="976" t="str">
        <f>MID(SUVAHAVUJ!AF57,8,1)</f>
        <v>8</v>
      </c>
      <c r="EZ31" s="976"/>
      <c r="FA31" s="976"/>
      <c r="FB31" s="976"/>
      <c r="FC31" s="976"/>
      <c r="FD31" s="976" t="str">
        <f>MID(SUVAHAVUJ!AF57,9,1)</f>
        <v>7</v>
      </c>
      <c r="FE31" s="976"/>
      <c r="FF31" s="976"/>
      <c r="FG31" s="976"/>
      <c r="FH31" s="976"/>
      <c r="FI31" s="976"/>
      <c r="FJ31" s="976" t="str">
        <f>MID(SUVAHAVUJ!AF57,10,1)</f>
        <v>2</v>
      </c>
      <c r="FK31" s="976"/>
      <c r="FL31" s="976"/>
      <c r="FM31" s="976"/>
      <c r="FN31" s="976"/>
      <c r="FO31" s="978" t="str">
        <f>MID(SUVAHAVUJ!AF57,11,1)</f>
        <v>4</v>
      </c>
      <c r="FP31" s="978"/>
      <c r="FQ31" s="978"/>
      <c r="FR31" s="978"/>
      <c r="FS31" s="978"/>
      <c r="FT31" s="979"/>
      <c r="FU31" s="979"/>
      <c r="FV31" s="979"/>
      <c r="FW31" s="979"/>
      <c r="FX31" s="979"/>
      <c r="FY31" s="979"/>
      <c r="FZ31" s="979"/>
      <c r="GA31" s="979"/>
      <c r="GB31" s="979"/>
      <c r="GC31" s="979"/>
      <c r="GD31" s="979"/>
      <c r="GE31" s="979"/>
      <c r="GF31" s="979"/>
      <c r="GG31" s="979"/>
      <c r="GH31" s="979"/>
      <c r="GI31" s="979"/>
      <c r="GJ31" s="979"/>
      <c r="GK31" s="979"/>
      <c r="GL31" s="979"/>
      <c r="GM31" s="979"/>
      <c r="GN31" s="979"/>
      <c r="GO31" s="979"/>
      <c r="GP31" s="979"/>
      <c r="GQ31" s="979"/>
      <c r="GR31" s="979"/>
      <c r="GS31" s="979"/>
      <c r="GT31" s="979"/>
      <c r="GU31" s="979"/>
      <c r="GV31" s="979"/>
      <c r="GW31" s="979"/>
    </row>
    <row r="32" spans="2:205" ht="23.25" customHeight="1" x14ac:dyDescent="0.3">
      <c r="B32" s="985"/>
      <c r="C32" s="985"/>
      <c r="D32" s="985"/>
      <c r="E32" s="985"/>
      <c r="F32" s="985"/>
      <c r="G32" s="985"/>
      <c r="H32" s="985"/>
      <c r="I32" s="985"/>
      <c r="J32" s="985"/>
      <c r="K32" s="985"/>
      <c r="L32" s="990"/>
      <c r="M32" s="990"/>
      <c r="N32" s="990"/>
      <c r="O32" s="990"/>
      <c r="P32" s="990"/>
      <c r="Q32" s="990"/>
      <c r="R32" s="990"/>
      <c r="S32" s="990"/>
      <c r="T32" s="990"/>
      <c r="U32" s="990"/>
      <c r="V32" s="990"/>
      <c r="W32" s="990"/>
      <c r="X32" s="990"/>
      <c r="Y32" s="990"/>
      <c r="Z32" s="990"/>
      <c r="AA32" s="990"/>
      <c r="AB32" s="990"/>
      <c r="AC32" s="990"/>
      <c r="AD32" s="990"/>
      <c r="AE32" s="990"/>
      <c r="AF32" s="990"/>
      <c r="AG32" s="990"/>
      <c r="AH32" s="990"/>
      <c r="AI32" s="990"/>
      <c r="AJ32" s="990"/>
      <c r="AK32" s="990"/>
      <c r="AL32" s="990"/>
      <c r="AM32" s="990"/>
      <c r="AN32" s="990"/>
      <c r="AO32" s="990"/>
      <c r="AP32" s="990"/>
      <c r="AQ32" s="975"/>
      <c r="AR32" s="975"/>
      <c r="AS32" s="975"/>
      <c r="AT32" s="975"/>
      <c r="AU32" s="975"/>
      <c r="AV32" s="975"/>
      <c r="AW32" s="975"/>
      <c r="AX32" s="975"/>
      <c r="AY32" s="648"/>
      <c r="AZ32" s="649"/>
      <c r="BA32" s="976" t="str">
        <f>MID(SUVAHAVUJ!AE57,1,1)</f>
        <v xml:space="preserve"> </v>
      </c>
      <c r="BB32" s="976"/>
      <c r="BC32" s="976"/>
      <c r="BD32" s="976"/>
      <c r="BE32" s="976"/>
      <c r="BF32" s="976"/>
      <c r="BG32" s="976" t="str">
        <f>MID(SUVAHAVUJ!AE57,2,1)</f>
        <v xml:space="preserve"> </v>
      </c>
      <c r="BH32" s="976"/>
      <c r="BI32" s="976"/>
      <c r="BJ32" s="976"/>
      <c r="BK32" s="976"/>
      <c r="BL32" s="976" t="str">
        <f>MID(SUVAHAVUJ!AE57,3,1)</f>
        <v xml:space="preserve"> </v>
      </c>
      <c r="BM32" s="976"/>
      <c r="BN32" s="976"/>
      <c r="BO32" s="976"/>
      <c r="BP32" s="976"/>
      <c r="BQ32" s="976"/>
      <c r="BR32" s="976" t="str">
        <f>MID(SUVAHAVUJ!AE57,4,1)</f>
        <v xml:space="preserve"> </v>
      </c>
      <c r="BS32" s="976"/>
      <c r="BT32" s="976"/>
      <c r="BU32" s="976"/>
      <c r="BV32" s="976"/>
      <c r="BW32" s="976" t="str">
        <f>MID(SUVAHAVUJ!AE57,5,1)</f>
        <v xml:space="preserve"> </v>
      </c>
      <c r="BX32" s="976"/>
      <c r="BY32" s="976"/>
      <c r="BZ32" s="976"/>
      <c r="CA32" s="976"/>
      <c r="CB32" s="976"/>
      <c r="CC32" s="976" t="str">
        <f>MID(SUVAHAVUJ!AE57,6,1)</f>
        <v xml:space="preserve"> </v>
      </c>
      <c r="CD32" s="976"/>
      <c r="CE32" s="976"/>
      <c r="CF32" s="976"/>
      <c r="CG32" s="976"/>
      <c r="CH32" s="976" t="str">
        <f>MID(SUVAHAVUJ!AE57,7,1)</f>
        <v xml:space="preserve"> </v>
      </c>
      <c r="CI32" s="976"/>
      <c r="CJ32" s="976"/>
      <c r="CK32" s="976"/>
      <c r="CL32" s="976"/>
      <c r="CM32" s="976"/>
      <c r="CN32" s="976" t="str">
        <f>MID(SUVAHAVUJ!AE57,8,1)</f>
        <v xml:space="preserve"> </v>
      </c>
      <c r="CO32" s="976"/>
      <c r="CP32" s="976"/>
      <c r="CQ32" s="976"/>
      <c r="CR32" s="976"/>
      <c r="CS32" s="976" t="str">
        <f>MID(SUVAHAVUJ!AE57,9,1)</f>
        <v xml:space="preserve"> </v>
      </c>
      <c r="CT32" s="976"/>
      <c r="CU32" s="976"/>
      <c r="CV32" s="976"/>
      <c r="CW32" s="976"/>
      <c r="CX32" s="976"/>
      <c r="CY32" s="976" t="str">
        <f>MID(SUVAHAVUJ!AE57,10,1)</f>
        <v xml:space="preserve"> </v>
      </c>
      <c r="CZ32" s="976"/>
      <c r="DA32" s="976"/>
      <c r="DB32" s="976"/>
      <c r="DC32" s="976"/>
      <c r="DD32" s="977" t="str">
        <f>MID(SUVAHAVUJ!AE57,11,1)</f>
        <v>0</v>
      </c>
      <c r="DE32" s="977"/>
      <c r="DF32" s="977"/>
      <c r="DG32" s="977"/>
      <c r="DH32" s="977"/>
      <c r="DI32" s="977"/>
      <c r="DJ32" s="980"/>
      <c r="DK32" s="980"/>
      <c r="DL32" s="980"/>
      <c r="DM32" s="980"/>
      <c r="DN32" s="980"/>
      <c r="DO32" s="980"/>
      <c r="DP32" s="980"/>
      <c r="DQ32" s="980"/>
      <c r="DR32" s="980"/>
      <c r="DS32" s="980"/>
      <c r="DT32" s="980"/>
      <c r="DU32" s="980"/>
      <c r="DV32" s="980"/>
      <c r="DW32" s="980"/>
      <c r="DX32" s="980"/>
      <c r="DY32" s="980"/>
      <c r="DZ32" s="980"/>
      <c r="EA32" s="980"/>
      <c r="EB32" s="980"/>
      <c r="EC32" s="980"/>
      <c r="ED32" s="980"/>
      <c r="EE32" s="980"/>
      <c r="EF32" s="980"/>
      <c r="EG32" s="980"/>
      <c r="EH32" s="980"/>
      <c r="EI32" s="980"/>
      <c r="EJ32" s="980"/>
      <c r="EK32" s="980"/>
      <c r="EL32" s="980"/>
      <c r="EM32" s="980"/>
      <c r="EN32" s="648"/>
      <c r="EO32" s="649"/>
      <c r="EP32" s="976" t="str">
        <f>MID(SUVAHAVUJ!AG57,1,1)</f>
        <v xml:space="preserve"> </v>
      </c>
      <c r="EQ32" s="976"/>
      <c r="ER32" s="976"/>
      <c r="ES32" s="976"/>
      <c r="ET32" s="976"/>
      <c r="EU32" s="976"/>
      <c r="EV32" s="976" t="str">
        <f>MID(SUVAHAVUJ!AG57,2,1)</f>
        <v xml:space="preserve"> </v>
      </c>
      <c r="EW32" s="976"/>
      <c r="EX32" s="976"/>
      <c r="EY32" s="976"/>
      <c r="EZ32" s="976"/>
      <c r="FA32" s="976" t="str">
        <f>MID(SUVAHAVUJ!AG57,3,1)</f>
        <v xml:space="preserve"> </v>
      </c>
      <c r="FB32" s="976"/>
      <c r="FC32" s="976"/>
      <c r="FD32" s="976"/>
      <c r="FE32" s="976"/>
      <c r="FF32" s="976"/>
      <c r="FG32" s="976" t="str">
        <f>MID(SUVAHAVUJ!AG57,4,1)</f>
        <v xml:space="preserve"> </v>
      </c>
      <c r="FH32" s="976"/>
      <c r="FI32" s="976"/>
      <c r="FJ32" s="976"/>
      <c r="FK32" s="976"/>
      <c r="FL32" s="976" t="str">
        <f>MID(SUVAHAVUJ!AG57,5,1)</f>
        <v xml:space="preserve"> </v>
      </c>
      <c r="FM32" s="976"/>
      <c r="FN32" s="976"/>
      <c r="FO32" s="976"/>
      <c r="FP32" s="976"/>
      <c r="FQ32" s="976"/>
      <c r="FR32" s="976" t="str">
        <f>MID(SUVAHAVUJ!AG57,6,1)</f>
        <v xml:space="preserve"> </v>
      </c>
      <c r="FS32" s="976"/>
      <c r="FT32" s="976"/>
      <c r="FU32" s="976"/>
      <c r="FV32" s="976"/>
      <c r="FW32" s="976" t="str">
        <f>MID(SUVAHAVUJ!AG57,7,1)</f>
        <v>1</v>
      </c>
      <c r="FX32" s="976"/>
      <c r="FY32" s="976"/>
      <c r="FZ32" s="976"/>
      <c r="GA32" s="976"/>
      <c r="GB32" s="976"/>
      <c r="GC32" s="976" t="str">
        <f>MID(SUVAHAVUJ!AG57,8,1)</f>
        <v>7</v>
      </c>
      <c r="GD32" s="976"/>
      <c r="GE32" s="976"/>
      <c r="GF32" s="976"/>
      <c r="GG32" s="976"/>
      <c r="GH32" s="976" t="str">
        <f>MID(SUVAHAVUJ!AG57,9,1)</f>
        <v>9</v>
      </c>
      <c r="GI32" s="976"/>
      <c r="GJ32" s="976"/>
      <c r="GK32" s="976"/>
      <c r="GL32" s="976"/>
      <c r="GM32" s="976"/>
      <c r="GN32" s="976" t="str">
        <f>MID(SUVAHAVUJ!AG57,10,1)</f>
        <v>9</v>
      </c>
      <c r="GO32" s="976"/>
      <c r="GP32" s="976"/>
      <c r="GQ32" s="976"/>
      <c r="GR32" s="976"/>
      <c r="GS32" s="978" t="str">
        <f>MID(SUVAHAVUJ!AG57,11,1)</f>
        <v>1</v>
      </c>
      <c r="GT32" s="978"/>
      <c r="GU32" s="978"/>
      <c r="GV32" s="978"/>
      <c r="GW32" s="978"/>
    </row>
    <row r="33" spans="1:205" s="650" customFormat="1" ht="23.25" customHeight="1" x14ac:dyDescent="0.3">
      <c r="B33" s="985" t="s">
        <v>2200</v>
      </c>
      <c r="C33" s="985"/>
      <c r="D33" s="985"/>
      <c r="E33" s="985"/>
      <c r="F33" s="985"/>
      <c r="G33" s="985"/>
      <c r="H33" s="985"/>
      <c r="I33" s="985"/>
      <c r="J33" s="985"/>
      <c r="K33" s="985"/>
      <c r="L33" s="990" t="str">
        <f>SUVAHAVUJ!$D$58</f>
        <v>Pohľadávky z obchodného styku v rámci podielovej účasti okrem pohľadávok voči prepojeným účtovným jednotkám (311A, 312A, 313A, 314A, 315A, 31XA)
- /391A/</v>
      </c>
      <c r="M33" s="990"/>
      <c r="N33" s="990"/>
      <c r="O33" s="990"/>
      <c r="P33" s="990"/>
      <c r="Q33" s="990"/>
      <c r="R33" s="990"/>
      <c r="S33" s="990"/>
      <c r="T33" s="990"/>
      <c r="U33" s="990"/>
      <c r="V33" s="990"/>
      <c r="W33" s="990"/>
      <c r="X33" s="990"/>
      <c r="Y33" s="990"/>
      <c r="Z33" s="990"/>
      <c r="AA33" s="990"/>
      <c r="AB33" s="990"/>
      <c r="AC33" s="990"/>
      <c r="AD33" s="990"/>
      <c r="AE33" s="990"/>
      <c r="AF33" s="990"/>
      <c r="AG33" s="990"/>
      <c r="AH33" s="990"/>
      <c r="AI33" s="990"/>
      <c r="AJ33" s="990"/>
      <c r="AK33" s="990"/>
      <c r="AL33" s="990"/>
      <c r="AM33" s="990"/>
      <c r="AN33" s="990"/>
      <c r="AO33" s="990"/>
      <c r="AP33" s="990"/>
      <c r="AQ33" s="975" t="s">
        <v>1254</v>
      </c>
      <c r="AR33" s="975"/>
      <c r="AS33" s="975"/>
      <c r="AT33" s="975"/>
      <c r="AU33" s="975"/>
      <c r="AV33" s="975"/>
      <c r="AW33" s="975"/>
      <c r="AX33" s="975"/>
      <c r="AY33" s="648"/>
      <c r="AZ33" s="649"/>
      <c r="BA33" s="976" t="str">
        <f>MID(SUVAHAVUJ!AD58,1,1)</f>
        <v xml:space="preserve"> </v>
      </c>
      <c r="BB33" s="976"/>
      <c r="BC33" s="976"/>
      <c r="BD33" s="976"/>
      <c r="BE33" s="976"/>
      <c r="BF33" s="976"/>
      <c r="BG33" s="976" t="str">
        <f>MID(SUVAHAVUJ!AD58,2,1)</f>
        <v xml:space="preserve"> </v>
      </c>
      <c r="BH33" s="976"/>
      <c r="BI33" s="976"/>
      <c r="BJ33" s="976"/>
      <c r="BK33" s="976"/>
      <c r="BL33" s="976" t="str">
        <f>MID(SUVAHAVUJ!AD58,3,1)</f>
        <v xml:space="preserve"> </v>
      </c>
      <c r="BM33" s="976"/>
      <c r="BN33" s="976"/>
      <c r="BO33" s="976"/>
      <c r="BP33" s="976"/>
      <c r="BQ33" s="976"/>
      <c r="BR33" s="976" t="str">
        <f>MID(SUVAHAVUJ!AD58,4,1)</f>
        <v xml:space="preserve"> </v>
      </c>
      <c r="BS33" s="976"/>
      <c r="BT33" s="976"/>
      <c r="BU33" s="976"/>
      <c r="BV33" s="976"/>
      <c r="BW33" s="976" t="str">
        <f>MID(SUVAHAVUJ!AD58,5,1)</f>
        <v xml:space="preserve"> </v>
      </c>
      <c r="BX33" s="976"/>
      <c r="BY33" s="976"/>
      <c r="BZ33" s="976"/>
      <c r="CA33" s="976"/>
      <c r="CB33" s="976"/>
      <c r="CC33" s="976" t="str">
        <f>MID(SUVAHAVUJ!AD58,6,1)</f>
        <v xml:space="preserve"> </v>
      </c>
      <c r="CD33" s="976"/>
      <c r="CE33" s="976"/>
      <c r="CF33" s="976"/>
      <c r="CG33" s="976"/>
      <c r="CH33" s="976" t="str">
        <f>MID(SUVAHAVUJ!AD58,7,1)</f>
        <v xml:space="preserve"> </v>
      </c>
      <c r="CI33" s="976"/>
      <c r="CJ33" s="976"/>
      <c r="CK33" s="976"/>
      <c r="CL33" s="976"/>
      <c r="CM33" s="976"/>
      <c r="CN33" s="976" t="str">
        <f>MID(SUVAHAVUJ!AD58,8,1)</f>
        <v xml:space="preserve"> </v>
      </c>
      <c r="CO33" s="976"/>
      <c r="CP33" s="976"/>
      <c r="CQ33" s="976"/>
      <c r="CR33" s="976"/>
      <c r="CS33" s="976" t="str">
        <f>MID(SUVAHAVUJ!AD58,9,1)</f>
        <v xml:space="preserve"> </v>
      </c>
      <c r="CT33" s="976"/>
      <c r="CU33" s="976"/>
      <c r="CV33" s="976"/>
      <c r="CW33" s="976"/>
      <c r="CX33" s="976"/>
      <c r="CY33" s="976" t="str">
        <f>MID(SUVAHAVUJ!AD58,10,1)</f>
        <v xml:space="preserve"> </v>
      </c>
      <c r="CZ33" s="976"/>
      <c r="DA33" s="976"/>
      <c r="DB33" s="976"/>
      <c r="DC33" s="976"/>
      <c r="DD33" s="977" t="str">
        <f>MID(SUVAHAVUJ!AD58,11,1)</f>
        <v>0</v>
      </c>
      <c r="DE33" s="977"/>
      <c r="DF33" s="977"/>
      <c r="DG33" s="977"/>
      <c r="DH33" s="977"/>
      <c r="DI33" s="977"/>
      <c r="DJ33" s="648"/>
      <c r="DK33" s="649"/>
      <c r="DL33" s="976" t="str">
        <f>MID(SUVAHAVUJ!AF58,1,1)</f>
        <v xml:space="preserve"> </v>
      </c>
      <c r="DM33" s="976"/>
      <c r="DN33" s="976"/>
      <c r="DO33" s="976"/>
      <c r="DP33" s="976"/>
      <c r="DQ33" s="976"/>
      <c r="DR33" s="976" t="str">
        <f>MID(SUVAHAVUJ!AF58,2,1)</f>
        <v xml:space="preserve"> </v>
      </c>
      <c r="DS33" s="976"/>
      <c r="DT33" s="976"/>
      <c r="DU33" s="976"/>
      <c r="DV33" s="976"/>
      <c r="DW33" s="976" t="str">
        <f>MID(SUVAHAVUJ!AF58,3,1)</f>
        <v xml:space="preserve"> </v>
      </c>
      <c r="DX33" s="976"/>
      <c r="DY33" s="976"/>
      <c r="DZ33" s="976"/>
      <c r="EA33" s="976"/>
      <c r="EB33" s="976"/>
      <c r="EC33" s="976" t="str">
        <f>MID(SUVAHAVUJ!AF58,4,1)</f>
        <v xml:space="preserve"> </v>
      </c>
      <c r="ED33" s="976"/>
      <c r="EE33" s="976"/>
      <c r="EF33" s="976"/>
      <c r="EG33" s="976"/>
      <c r="EH33" s="976" t="str">
        <f>MID(SUVAHAVUJ!AF58,5,1)</f>
        <v xml:space="preserve"> </v>
      </c>
      <c r="EI33" s="976"/>
      <c r="EJ33" s="976"/>
      <c r="EK33" s="976"/>
      <c r="EL33" s="976"/>
      <c r="EM33" s="976"/>
      <c r="EN33" s="976" t="str">
        <f>MID(SUVAHAVUJ!AF58,6,1)</f>
        <v xml:space="preserve"> </v>
      </c>
      <c r="EO33" s="976"/>
      <c r="EP33" s="976"/>
      <c r="EQ33" s="976"/>
      <c r="ER33" s="976"/>
      <c r="ES33" s="976" t="str">
        <f>MID(SUVAHAVUJ!AF58,7,1)</f>
        <v xml:space="preserve"> </v>
      </c>
      <c r="ET33" s="976"/>
      <c r="EU33" s="976"/>
      <c r="EV33" s="976"/>
      <c r="EW33" s="976"/>
      <c r="EX33" s="976"/>
      <c r="EY33" s="976" t="str">
        <f>MID(SUVAHAVUJ!AF58,8,1)</f>
        <v xml:space="preserve"> </v>
      </c>
      <c r="EZ33" s="976"/>
      <c r="FA33" s="976"/>
      <c r="FB33" s="976"/>
      <c r="FC33" s="976"/>
      <c r="FD33" s="976" t="str">
        <f>MID(SUVAHAVUJ!AF58,9,1)</f>
        <v xml:space="preserve"> </v>
      </c>
      <c r="FE33" s="976"/>
      <c r="FF33" s="976"/>
      <c r="FG33" s="976"/>
      <c r="FH33" s="976"/>
      <c r="FI33" s="976"/>
      <c r="FJ33" s="976" t="str">
        <f>MID(SUVAHAVUJ!AF58,10,1)</f>
        <v xml:space="preserve"> </v>
      </c>
      <c r="FK33" s="976"/>
      <c r="FL33" s="976"/>
      <c r="FM33" s="976"/>
      <c r="FN33" s="976"/>
      <c r="FO33" s="978" t="str">
        <f>MID(SUVAHAVUJ!AF58,11,1)</f>
        <v>0</v>
      </c>
      <c r="FP33" s="978"/>
      <c r="FQ33" s="978"/>
      <c r="FR33" s="978"/>
      <c r="FS33" s="978"/>
      <c r="FT33" s="979"/>
      <c r="FU33" s="979"/>
      <c r="FV33" s="979"/>
      <c r="FW33" s="979"/>
      <c r="FX33" s="979"/>
      <c r="FY33" s="979"/>
      <c r="FZ33" s="979"/>
      <c r="GA33" s="979"/>
      <c r="GB33" s="979"/>
      <c r="GC33" s="979"/>
      <c r="GD33" s="979"/>
      <c r="GE33" s="979"/>
      <c r="GF33" s="979"/>
      <c r="GG33" s="979"/>
      <c r="GH33" s="979"/>
      <c r="GI33" s="979"/>
      <c r="GJ33" s="979"/>
      <c r="GK33" s="979"/>
      <c r="GL33" s="979"/>
      <c r="GM33" s="979"/>
      <c r="GN33" s="979"/>
      <c r="GO33" s="979"/>
      <c r="GP33" s="979"/>
      <c r="GQ33" s="979"/>
      <c r="GR33" s="979"/>
      <c r="GS33" s="979"/>
      <c r="GT33" s="979"/>
      <c r="GU33" s="979"/>
      <c r="GV33" s="979"/>
      <c r="GW33" s="979"/>
    </row>
    <row r="34" spans="1:205" ht="23.25" customHeight="1" x14ac:dyDescent="0.3">
      <c r="B34" s="985"/>
      <c r="C34" s="985"/>
      <c r="D34" s="985"/>
      <c r="E34" s="985"/>
      <c r="F34" s="985"/>
      <c r="G34" s="985"/>
      <c r="H34" s="985"/>
      <c r="I34" s="985"/>
      <c r="J34" s="985"/>
      <c r="K34" s="985"/>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75"/>
      <c r="AR34" s="975"/>
      <c r="AS34" s="975"/>
      <c r="AT34" s="975"/>
      <c r="AU34" s="975"/>
      <c r="AV34" s="975"/>
      <c r="AW34" s="975"/>
      <c r="AX34" s="975"/>
      <c r="AY34" s="648"/>
      <c r="AZ34" s="649"/>
      <c r="BA34" s="976" t="str">
        <f>MID(SUVAHAVUJ!AE58,1,1)</f>
        <v xml:space="preserve"> </v>
      </c>
      <c r="BB34" s="976"/>
      <c r="BC34" s="976"/>
      <c r="BD34" s="976"/>
      <c r="BE34" s="976"/>
      <c r="BF34" s="976"/>
      <c r="BG34" s="976" t="str">
        <f>MID(SUVAHAVUJ!AE58,2,1)</f>
        <v xml:space="preserve"> </v>
      </c>
      <c r="BH34" s="976"/>
      <c r="BI34" s="976"/>
      <c r="BJ34" s="976"/>
      <c r="BK34" s="976"/>
      <c r="BL34" s="976" t="str">
        <f>MID(SUVAHAVUJ!AE58,3,1)</f>
        <v xml:space="preserve"> </v>
      </c>
      <c r="BM34" s="976"/>
      <c r="BN34" s="976"/>
      <c r="BO34" s="976"/>
      <c r="BP34" s="976"/>
      <c r="BQ34" s="976"/>
      <c r="BR34" s="976" t="str">
        <f>MID(SUVAHAVUJ!AE58,4,1)</f>
        <v xml:space="preserve"> </v>
      </c>
      <c r="BS34" s="976"/>
      <c r="BT34" s="976"/>
      <c r="BU34" s="976"/>
      <c r="BV34" s="976"/>
      <c r="BW34" s="976" t="str">
        <f>MID(SUVAHAVUJ!AE58,5,1)</f>
        <v xml:space="preserve"> </v>
      </c>
      <c r="BX34" s="976"/>
      <c r="BY34" s="976"/>
      <c r="BZ34" s="976"/>
      <c r="CA34" s="976"/>
      <c r="CB34" s="976"/>
      <c r="CC34" s="976" t="str">
        <f>MID(SUVAHAVUJ!AE58,6,1)</f>
        <v xml:space="preserve"> </v>
      </c>
      <c r="CD34" s="976"/>
      <c r="CE34" s="976"/>
      <c r="CF34" s="976"/>
      <c r="CG34" s="976"/>
      <c r="CH34" s="976" t="str">
        <f>MID(SUVAHAVUJ!AE58,7,1)</f>
        <v xml:space="preserve"> </v>
      </c>
      <c r="CI34" s="976"/>
      <c r="CJ34" s="976"/>
      <c r="CK34" s="976"/>
      <c r="CL34" s="976"/>
      <c r="CM34" s="976"/>
      <c r="CN34" s="976" t="str">
        <f>MID(SUVAHAVUJ!AE58,8,1)</f>
        <v xml:space="preserve"> </v>
      </c>
      <c r="CO34" s="976"/>
      <c r="CP34" s="976"/>
      <c r="CQ34" s="976"/>
      <c r="CR34" s="976"/>
      <c r="CS34" s="976" t="str">
        <f>MID(SUVAHAVUJ!AE58,9,1)</f>
        <v xml:space="preserve"> </v>
      </c>
      <c r="CT34" s="976"/>
      <c r="CU34" s="976"/>
      <c r="CV34" s="976"/>
      <c r="CW34" s="976"/>
      <c r="CX34" s="976"/>
      <c r="CY34" s="976" t="str">
        <f>MID(SUVAHAVUJ!AE58,10,1)</f>
        <v xml:space="preserve"> </v>
      </c>
      <c r="CZ34" s="976"/>
      <c r="DA34" s="976"/>
      <c r="DB34" s="976"/>
      <c r="DC34" s="976"/>
      <c r="DD34" s="977" t="str">
        <f>MID(SUVAHAVUJ!AE58,11,1)</f>
        <v>0</v>
      </c>
      <c r="DE34" s="977"/>
      <c r="DF34" s="977"/>
      <c r="DG34" s="977"/>
      <c r="DH34" s="977"/>
      <c r="DI34" s="977"/>
      <c r="DJ34" s="980"/>
      <c r="DK34" s="980"/>
      <c r="DL34" s="980"/>
      <c r="DM34" s="980"/>
      <c r="DN34" s="980"/>
      <c r="DO34" s="980"/>
      <c r="DP34" s="980"/>
      <c r="DQ34" s="980"/>
      <c r="DR34" s="980"/>
      <c r="DS34" s="980"/>
      <c r="DT34" s="980"/>
      <c r="DU34" s="980"/>
      <c r="DV34" s="980"/>
      <c r="DW34" s="980"/>
      <c r="DX34" s="980"/>
      <c r="DY34" s="980"/>
      <c r="DZ34" s="980"/>
      <c r="EA34" s="980"/>
      <c r="EB34" s="980"/>
      <c r="EC34" s="980"/>
      <c r="ED34" s="980"/>
      <c r="EE34" s="980"/>
      <c r="EF34" s="980"/>
      <c r="EG34" s="980"/>
      <c r="EH34" s="980"/>
      <c r="EI34" s="980"/>
      <c r="EJ34" s="980"/>
      <c r="EK34" s="980"/>
      <c r="EL34" s="980"/>
      <c r="EM34" s="980"/>
      <c r="EN34" s="648"/>
      <c r="EO34" s="649"/>
      <c r="EP34" s="976" t="str">
        <f>MID(SUVAHAVUJ!AG58,1,1)</f>
        <v xml:space="preserve"> </v>
      </c>
      <c r="EQ34" s="976"/>
      <c r="ER34" s="976"/>
      <c r="ES34" s="976"/>
      <c r="ET34" s="976"/>
      <c r="EU34" s="976"/>
      <c r="EV34" s="976" t="str">
        <f>MID(SUVAHAVUJ!AG58,2,1)</f>
        <v xml:space="preserve"> </v>
      </c>
      <c r="EW34" s="976"/>
      <c r="EX34" s="976"/>
      <c r="EY34" s="976"/>
      <c r="EZ34" s="976"/>
      <c r="FA34" s="976" t="str">
        <f>MID(SUVAHAVUJ!AG58,3,1)</f>
        <v xml:space="preserve"> </v>
      </c>
      <c r="FB34" s="976"/>
      <c r="FC34" s="976"/>
      <c r="FD34" s="976"/>
      <c r="FE34" s="976"/>
      <c r="FF34" s="976"/>
      <c r="FG34" s="976" t="str">
        <f>MID(SUVAHAVUJ!AG58,4,1)</f>
        <v xml:space="preserve"> </v>
      </c>
      <c r="FH34" s="976"/>
      <c r="FI34" s="976"/>
      <c r="FJ34" s="976"/>
      <c r="FK34" s="976"/>
      <c r="FL34" s="976" t="str">
        <f>MID(SUVAHAVUJ!AG58,5,1)</f>
        <v xml:space="preserve"> </v>
      </c>
      <c r="FM34" s="976"/>
      <c r="FN34" s="976"/>
      <c r="FO34" s="976"/>
      <c r="FP34" s="976"/>
      <c r="FQ34" s="976"/>
      <c r="FR34" s="976" t="str">
        <f>MID(SUVAHAVUJ!AG58,6,1)</f>
        <v xml:space="preserve"> </v>
      </c>
      <c r="FS34" s="976"/>
      <c r="FT34" s="976"/>
      <c r="FU34" s="976"/>
      <c r="FV34" s="976"/>
      <c r="FW34" s="976" t="str">
        <f>MID(SUVAHAVUJ!AG58,7,1)</f>
        <v xml:space="preserve"> </v>
      </c>
      <c r="FX34" s="976"/>
      <c r="FY34" s="976"/>
      <c r="FZ34" s="976"/>
      <c r="GA34" s="976"/>
      <c r="GB34" s="976"/>
      <c r="GC34" s="976" t="str">
        <f>MID(SUVAHAVUJ!AG58,8,1)</f>
        <v xml:space="preserve"> </v>
      </c>
      <c r="GD34" s="976"/>
      <c r="GE34" s="976"/>
      <c r="GF34" s="976"/>
      <c r="GG34" s="976"/>
      <c r="GH34" s="976" t="str">
        <f>MID(SUVAHAVUJ!AG58,9,1)</f>
        <v xml:space="preserve"> </v>
      </c>
      <c r="GI34" s="976"/>
      <c r="GJ34" s="976"/>
      <c r="GK34" s="976"/>
      <c r="GL34" s="976"/>
      <c r="GM34" s="976"/>
      <c r="GN34" s="976" t="str">
        <f>MID(SUVAHAVUJ!AG58,10,1)</f>
        <v xml:space="preserve"> </v>
      </c>
      <c r="GO34" s="976"/>
      <c r="GP34" s="976"/>
      <c r="GQ34" s="976"/>
      <c r="GR34" s="976"/>
      <c r="GS34" s="978" t="str">
        <f>MID(SUVAHAVUJ!AG58,11,1)</f>
        <v>0</v>
      </c>
      <c r="GT34" s="978"/>
      <c r="GU34" s="978"/>
      <c r="GV34" s="978"/>
      <c r="GW34" s="978"/>
    </row>
    <row r="35" spans="1:205" ht="12" customHeight="1" x14ac:dyDescent="0.25">
      <c r="A35" s="650"/>
      <c r="B35" s="652"/>
      <c r="C35" s="653"/>
      <c r="D35" s="653"/>
      <c r="E35" s="653"/>
      <c r="F35" s="653"/>
      <c r="G35" s="653"/>
      <c r="H35" s="653"/>
      <c r="I35" s="653"/>
      <c r="J35" s="653"/>
      <c r="K35" s="650"/>
      <c r="L35" s="650"/>
      <c r="M35" s="650"/>
      <c r="N35" s="650"/>
      <c r="O35" s="650"/>
      <c r="P35" s="650"/>
      <c r="Q35" s="650"/>
      <c r="R35" s="650"/>
      <c r="S35" s="650"/>
      <c r="T35" s="650"/>
      <c r="U35" s="650"/>
      <c r="V35" s="650"/>
      <c r="W35" s="650"/>
      <c r="X35" s="650"/>
      <c r="Y35" s="650"/>
      <c r="Z35" s="650"/>
      <c r="AA35" s="650"/>
      <c r="AB35" s="650"/>
      <c r="AC35" s="650"/>
      <c r="AD35" s="650"/>
      <c r="AE35" s="650"/>
      <c r="AF35" s="650"/>
      <c r="AG35" s="650"/>
      <c r="AH35" s="650"/>
      <c r="AI35" s="650"/>
      <c r="AJ35" s="650"/>
      <c r="AK35" s="650"/>
      <c r="AL35" s="650"/>
      <c r="AM35" s="650"/>
      <c r="AN35" s="650"/>
      <c r="AO35" s="650"/>
      <c r="AP35" s="650"/>
      <c r="AQ35" s="650"/>
      <c r="AR35" s="650"/>
      <c r="AS35" s="650"/>
      <c r="AT35" s="650"/>
      <c r="AU35" s="650"/>
      <c r="AV35" s="650"/>
      <c r="AW35" s="650"/>
      <c r="AX35" s="650"/>
      <c r="AY35" s="650"/>
      <c r="AZ35" s="650"/>
      <c r="BA35" s="650"/>
      <c r="BB35" s="650"/>
      <c r="BC35" s="650"/>
      <c r="BD35" s="650"/>
      <c r="BE35" s="650"/>
      <c r="BF35" s="650"/>
      <c r="BG35" s="650"/>
      <c r="BH35" s="650"/>
      <c r="BI35" s="650"/>
      <c r="BJ35" s="650"/>
      <c r="BK35" s="650"/>
      <c r="BL35" s="650"/>
      <c r="BM35" s="650"/>
      <c r="BN35" s="650"/>
      <c r="BO35" s="650"/>
      <c r="BP35" s="650"/>
      <c r="BQ35" s="650"/>
      <c r="BR35" s="650"/>
      <c r="BS35" s="650"/>
      <c r="BT35" s="650"/>
      <c r="BU35" s="650"/>
      <c r="BV35" s="650"/>
      <c r="BW35" s="650"/>
      <c r="BX35" s="650"/>
      <c r="BY35" s="650"/>
      <c r="BZ35" s="650"/>
      <c r="CA35" s="650"/>
      <c r="CB35" s="650"/>
      <c r="CC35" s="650"/>
      <c r="CD35" s="650"/>
      <c r="CE35" s="650"/>
      <c r="CF35" s="650"/>
      <c r="CG35" s="650"/>
      <c r="CH35" s="650"/>
      <c r="CI35" s="650"/>
      <c r="CJ35" s="650"/>
      <c r="CK35" s="650"/>
      <c r="CL35" s="650"/>
      <c r="CM35" s="650"/>
      <c r="CN35" s="650"/>
      <c r="CO35" s="650"/>
      <c r="CP35" s="650"/>
      <c r="CQ35" s="650"/>
      <c r="CR35" s="650"/>
      <c r="CS35" s="650"/>
      <c r="CT35" s="650"/>
      <c r="CU35" s="650"/>
      <c r="CV35" s="650"/>
      <c r="CW35" s="650"/>
      <c r="CX35" s="650"/>
      <c r="CY35" s="650"/>
      <c r="CZ35" s="650"/>
      <c r="DA35" s="650"/>
      <c r="DB35" s="650"/>
      <c r="DC35" s="650"/>
      <c r="DD35" s="650"/>
      <c r="DE35" s="650"/>
      <c r="DF35" s="650"/>
      <c r="DG35" s="650"/>
      <c r="DH35" s="650"/>
      <c r="DI35" s="650"/>
      <c r="DJ35" s="650"/>
      <c r="DK35" s="650"/>
      <c r="DL35" s="650"/>
      <c r="DM35" s="650"/>
      <c r="DN35" s="650"/>
      <c r="DO35" s="650"/>
      <c r="DP35" s="650"/>
      <c r="DQ35" s="650"/>
      <c r="DR35" s="650"/>
      <c r="DS35" s="650"/>
      <c r="DT35" s="650"/>
      <c r="DU35" s="650"/>
      <c r="DV35" s="650"/>
      <c r="DW35" s="650"/>
      <c r="DX35" s="650"/>
      <c r="DY35" s="650"/>
      <c r="DZ35" s="650"/>
      <c r="EA35" s="650"/>
      <c r="EB35" s="650"/>
      <c r="EC35" s="650"/>
      <c r="ED35" s="650"/>
      <c r="EE35" s="650"/>
      <c r="EF35" s="650"/>
      <c r="EG35" s="650"/>
      <c r="EH35" s="650"/>
      <c r="EI35" s="650"/>
      <c r="EJ35" s="650"/>
      <c r="EK35" s="650"/>
      <c r="EL35" s="650"/>
      <c r="EM35" s="650"/>
      <c r="EN35" s="650"/>
      <c r="EO35" s="650"/>
      <c r="EP35" s="650"/>
      <c r="EQ35" s="650"/>
      <c r="ER35" s="650"/>
      <c r="ES35" s="650"/>
      <c r="ET35" s="650"/>
      <c r="EU35" s="650"/>
      <c r="EV35" s="650"/>
      <c r="EW35" s="650"/>
      <c r="EX35" s="650"/>
      <c r="EY35" s="650"/>
      <c r="EZ35" s="650"/>
      <c r="FA35" s="650"/>
      <c r="FB35" s="650"/>
      <c r="FC35" s="650"/>
      <c r="FD35" s="650"/>
      <c r="FE35" s="650"/>
      <c r="FF35" s="650"/>
      <c r="FG35" s="650"/>
      <c r="FH35" s="650"/>
      <c r="FI35" s="650"/>
      <c r="FJ35" s="650"/>
      <c r="FK35" s="650"/>
      <c r="FL35" s="650"/>
      <c r="FM35" s="650"/>
      <c r="FN35" s="650"/>
      <c r="FO35" s="650"/>
      <c r="FP35" s="650"/>
      <c r="FQ35" s="650"/>
      <c r="FR35" s="650"/>
      <c r="FS35" s="650"/>
      <c r="FT35" s="650"/>
      <c r="FU35" s="650"/>
      <c r="FV35" s="650"/>
      <c r="FW35" s="650"/>
      <c r="FX35" s="650"/>
      <c r="FY35" s="650"/>
      <c r="FZ35" s="650"/>
      <c r="GA35" s="650"/>
      <c r="GB35" s="650"/>
      <c r="GC35" s="650"/>
      <c r="GD35" s="650"/>
      <c r="GE35" s="650"/>
      <c r="GF35" s="650"/>
      <c r="GG35" s="650"/>
      <c r="GH35" s="650"/>
      <c r="GI35" s="650"/>
      <c r="GJ35" s="650"/>
      <c r="GK35" s="650"/>
      <c r="GL35" s="650"/>
      <c r="GM35" s="650"/>
      <c r="GN35" s="650"/>
      <c r="GO35" s="650"/>
      <c r="GP35" s="650"/>
      <c r="GQ35" s="653"/>
      <c r="GR35" s="653"/>
      <c r="GS35" s="653"/>
      <c r="GT35" s="653"/>
      <c r="GU35" s="653"/>
      <c r="GV35" s="653"/>
      <c r="GW35" s="654"/>
    </row>
    <row r="36" spans="1:205" ht="12.75" customHeight="1" x14ac:dyDescent="0.25">
      <c r="A36" s="650"/>
      <c r="B36" s="656"/>
      <c r="C36" s="657"/>
      <c r="D36" s="657"/>
      <c r="E36" s="657"/>
      <c r="F36" s="657"/>
      <c r="G36" s="657"/>
      <c r="H36" s="657"/>
      <c r="I36" s="657"/>
      <c r="J36" s="657"/>
      <c r="K36" s="650"/>
      <c r="L36" s="650"/>
      <c r="M36" s="650"/>
      <c r="N36" s="650"/>
      <c r="O36" s="650"/>
      <c r="P36" s="650"/>
      <c r="Q36" s="650"/>
      <c r="R36" s="650"/>
      <c r="S36" s="650"/>
      <c r="T36" s="650"/>
      <c r="U36" s="650"/>
      <c r="V36" s="650"/>
      <c r="W36" s="650"/>
      <c r="X36" s="650"/>
      <c r="Y36" s="650"/>
      <c r="Z36" s="650"/>
      <c r="AA36" s="650"/>
      <c r="AB36" s="650"/>
      <c r="AC36" s="650"/>
      <c r="AD36" s="650"/>
      <c r="AE36" s="650"/>
      <c r="AF36" s="650"/>
      <c r="AG36" s="650"/>
      <c r="AH36" s="650"/>
      <c r="AI36" s="650"/>
      <c r="AJ36" s="650"/>
      <c r="AK36" s="650"/>
      <c r="AL36" s="650"/>
      <c r="AM36" s="650"/>
      <c r="AN36" s="650"/>
      <c r="AO36" s="650"/>
      <c r="AP36" s="650"/>
      <c r="AQ36" s="650"/>
      <c r="AR36" s="650"/>
      <c r="AS36" s="650"/>
      <c r="AT36" s="650"/>
      <c r="AU36" s="650"/>
      <c r="AV36" s="650"/>
      <c r="AW36" s="650"/>
      <c r="AX36" s="650"/>
      <c r="AY36" s="650"/>
      <c r="AZ36" s="650"/>
      <c r="BA36" s="650"/>
      <c r="BB36" s="650"/>
      <c r="BC36" s="650"/>
      <c r="BD36" s="650"/>
      <c r="BE36" s="650"/>
      <c r="BF36" s="650"/>
      <c r="BG36" s="650"/>
      <c r="BH36" s="650"/>
      <c r="BI36" s="650"/>
      <c r="BJ36" s="650"/>
      <c r="BK36" s="650"/>
      <c r="BL36" s="650"/>
      <c r="BM36" s="650"/>
      <c r="BN36" s="650"/>
      <c r="BO36" s="650"/>
      <c r="BP36" s="650"/>
      <c r="BQ36" s="650"/>
      <c r="BR36" s="650"/>
      <c r="BS36" s="650"/>
      <c r="BT36" s="650"/>
      <c r="BU36" s="650"/>
      <c r="BV36" s="650"/>
      <c r="BW36" s="650"/>
      <c r="BX36" s="650"/>
      <c r="BY36" s="650"/>
      <c r="BZ36" s="650"/>
      <c r="CA36" s="650"/>
      <c r="CB36" s="650"/>
      <c r="CC36" s="650"/>
      <c r="CD36" s="650"/>
      <c r="CE36" s="650"/>
      <c r="CF36" s="650"/>
      <c r="CG36" s="650"/>
      <c r="CH36" s="650"/>
      <c r="CI36" s="650"/>
      <c r="CJ36" s="650"/>
      <c r="CK36" s="650"/>
      <c r="CL36" s="650"/>
      <c r="CM36" s="650"/>
      <c r="CN36" s="650"/>
      <c r="CO36" s="650"/>
      <c r="CP36" s="650"/>
      <c r="CQ36" s="650"/>
      <c r="CR36" s="650"/>
      <c r="CS36" s="650"/>
      <c r="CT36" s="650"/>
      <c r="CU36" s="650"/>
      <c r="CV36" s="650"/>
      <c r="CW36" s="650"/>
      <c r="CX36" s="650"/>
      <c r="CY36" s="650"/>
      <c r="CZ36" s="650"/>
      <c r="DA36" s="650"/>
      <c r="DB36" s="650"/>
      <c r="DC36" s="650"/>
      <c r="DD36" s="650"/>
      <c r="DE36" s="650"/>
      <c r="DF36" s="650"/>
      <c r="DG36" s="650"/>
      <c r="DH36" s="650"/>
      <c r="DI36" s="650"/>
      <c r="DJ36" s="650"/>
      <c r="DK36" s="650"/>
      <c r="DL36" s="650"/>
      <c r="DM36" s="650"/>
      <c r="DN36" s="650"/>
      <c r="DO36" s="650"/>
      <c r="DP36" s="650"/>
      <c r="DQ36" s="650"/>
      <c r="DR36" s="650"/>
      <c r="DS36" s="650"/>
      <c r="DT36" s="650"/>
      <c r="DU36" s="650"/>
      <c r="DV36" s="650"/>
      <c r="DW36" s="650"/>
      <c r="DX36" s="650"/>
      <c r="DY36" s="650"/>
      <c r="DZ36" s="650"/>
      <c r="EA36" s="650"/>
      <c r="EB36" s="650"/>
      <c r="EC36" s="650"/>
      <c r="ED36" s="650"/>
      <c r="EE36" s="650"/>
      <c r="EF36" s="650"/>
      <c r="EG36" s="650"/>
      <c r="EH36" s="650"/>
      <c r="EI36" s="650"/>
      <c r="EJ36" s="650"/>
      <c r="EK36" s="650"/>
      <c r="EL36" s="650"/>
      <c r="EM36" s="650"/>
      <c r="EN36" s="650"/>
      <c r="EO36" s="650"/>
      <c r="EP36" s="650"/>
      <c r="EQ36" s="650"/>
      <c r="ER36" s="650"/>
      <c r="ES36" s="650"/>
      <c r="ET36" s="650"/>
      <c r="EU36" s="650"/>
      <c r="EV36" s="650"/>
      <c r="EW36" s="650"/>
      <c r="EX36" s="650"/>
      <c r="EY36" s="650"/>
      <c r="EZ36" s="650"/>
      <c r="FA36" s="650"/>
      <c r="FB36" s="650"/>
      <c r="FC36" s="650"/>
      <c r="FD36" s="650"/>
      <c r="FE36" s="650"/>
      <c r="FF36" s="650"/>
      <c r="FG36" s="650"/>
      <c r="FH36" s="650"/>
      <c r="FI36" s="650"/>
      <c r="FJ36" s="650"/>
      <c r="FK36" s="650"/>
      <c r="FL36" s="650"/>
      <c r="FM36" s="650"/>
      <c r="FN36" s="650"/>
      <c r="FO36" s="650"/>
      <c r="FP36" s="650"/>
      <c r="FQ36" s="650"/>
      <c r="FR36" s="650"/>
      <c r="FS36" s="650"/>
      <c r="FT36" s="650"/>
      <c r="FU36" s="650"/>
      <c r="FV36" s="650"/>
      <c r="FW36" s="650"/>
      <c r="FX36" s="650"/>
      <c r="FY36" s="650"/>
      <c r="FZ36" s="650"/>
      <c r="GA36" s="650"/>
      <c r="GB36" s="650"/>
      <c r="GC36" s="650"/>
      <c r="GD36" s="650"/>
      <c r="GE36" s="650"/>
      <c r="GF36" s="650"/>
      <c r="GG36" s="650"/>
      <c r="GH36" s="650"/>
      <c r="GI36" s="650"/>
      <c r="GJ36" s="650"/>
      <c r="GK36" s="650"/>
      <c r="GL36" s="650"/>
      <c r="GM36" s="650"/>
      <c r="GN36" s="650"/>
      <c r="GO36" s="650"/>
      <c r="GP36" s="650"/>
      <c r="GQ36" s="657"/>
      <c r="GR36" s="657"/>
      <c r="GS36" s="657"/>
      <c r="GT36" s="657"/>
      <c r="GU36" s="657"/>
      <c r="GV36" s="657"/>
      <c r="GW36" s="658"/>
    </row>
    <row r="37" spans="1:205" ht="9" customHeight="1" x14ac:dyDescent="0.25">
      <c r="B37" s="650"/>
      <c r="C37" s="650"/>
      <c r="D37" s="650"/>
      <c r="E37" s="650"/>
      <c r="F37" s="650"/>
      <c r="G37" s="650"/>
      <c r="H37" s="650"/>
      <c r="I37" s="650"/>
      <c r="J37" s="650"/>
      <c r="K37" s="650"/>
      <c r="L37" s="650"/>
      <c r="M37" s="650"/>
      <c r="N37" s="650"/>
      <c r="O37" s="650"/>
      <c r="P37" s="650"/>
      <c r="Q37" s="650"/>
      <c r="R37" s="650"/>
      <c r="S37" s="650"/>
      <c r="T37" s="650"/>
      <c r="U37" s="650"/>
      <c r="V37" s="650"/>
      <c r="W37" s="650"/>
      <c r="X37" s="650"/>
      <c r="Y37" s="650"/>
      <c r="Z37" s="650"/>
      <c r="AA37" s="650"/>
      <c r="AB37" s="650"/>
      <c r="AC37" s="650"/>
      <c r="AD37" s="650"/>
      <c r="AE37" s="650"/>
      <c r="AF37" s="650"/>
      <c r="AG37" s="650"/>
      <c r="AH37" s="650"/>
      <c r="AI37" s="650"/>
      <c r="AJ37" s="650"/>
      <c r="AK37" s="650"/>
      <c r="AL37" s="650"/>
      <c r="AM37" s="650"/>
      <c r="AN37" s="650"/>
      <c r="AO37" s="650"/>
      <c r="AP37" s="650"/>
      <c r="AQ37" s="650"/>
      <c r="AR37" s="650"/>
      <c r="AS37" s="650"/>
      <c r="AT37" s="650"/>
      <c r="AU37" s="650"/>
      <c r="AV37" s="650"/>
      <c r="AW37" s="650"/>
      <c r="AX37" s="650"/>
      <c r="AY37" s="650"/>
      <c r="AZ37" s="650"/>
      <c r="BA37" s="650"/>
      <c r="BB37" s="650"/>
      <c r="BC37" s="650"/>
      <c r="BD37" s="650"/>
      <c r="BE37" s="650"/>
      <c r="BF37" s="650"/>
      <c r="BG37" s="650"/>
      <c r="BH37" s="650"/>
      <c r="BI37" s="650"/>
      <c r="BJ37" s="650"/>
      <c r="BK37" s="650"/>
      <c r="BL37" s="650"/>
      <c r="BM37" s="650"/>
      <c r="BN37" s="650"/>
      <c r="BO37" s="650"/>
      <c r="BP37" s="650"/>
      <c r="BQ37" s="650"/>
      <c r="BR37" s="650"/>
      <c r="BS37" s="650"/>
      <c r="BT37" s="650"/>
      <c r="BU37" s="650"/>
      <c r="BV37" s="650"/>
      <c r="BW37" s="650"/>
      <c r="BX37" s="650"/>
      <c r="BY37" s="650"/>
      <c r="BZ37" s="650"/>
      <c r="CA37" s="650"/>
      <c r="CB37" s="650"/>
      <c r="CC37" s="650"/>
      <c r="CD37" s="650"/>
      <c r="CE37" s="650"/>
      <c r="CF37" s="650"/>
      <c r="CG37" s="650"/>
      <c r="CH37" s="650"/>
      <c r="CI37" s="650"/>
      <c r="CJ37" s="650"/>
      <c r="CK37" s="650"/>
      <c r="CL37" s="650"/>
      <c r="CM37" s="650"/>
      <c r="CN37" s="650"/>
      <c r="CO37" s="650"/>
      <c r="CP37" s="650"/>
      <c r="CQ37" s="650"/>
      <c r="CR37" s="650"/>
      <c r="CS37" s="650"/>
      <c r="CT37" s="650"/>
      <c r="CU37" s="650"/>
      <c r="CV37" s="650"/>
      <c r="CW37" s="650"/>
      <c r="CX37" s="650"/>
      <c r="CY37" s="650"/>
      <c r="CZ37" s="650"/>
      <c r="DA37" s="650"/>
      <c r="DB37" s="650"/>
      <c r="DC37" s="650"/>
      <c r="DD37" s="650"/>
      <c r="DE37" s="650"/>
      <c r="DF37" s="650"/>
      <c r="DG37" s="650"/>
      <c r="DH37" s="650"/>
      <c r="DI37" s="650"/>
      <c r="DJ37" s="650"/>
      <c r="DK37" s="650"/>
      <c r="DL37" s="650"/>
      <c r="DM37" s="650"/>
      <c r="DN37" s="650"/>
      <c r="DO37" s="650"/>
      <c r="DP37" s="650"/>
      <c r="DQ37" s="650"/>
      <c r="DR37" s="650"/>
      <c r="DS37" s="650"/>
      <c r="DT37" s="650"/>
      <c r="DU37" s="650"/>
      <c r="DV37" s="650"/>
      <c r="DW37" s="650"/>
      <c r="DX37" s="650"/>
      <c r="DY37" s="650"/>
      <c r="DZ37" s="650"/>
      <c r="EA37" s="650"/>
      <c r="EB37" s="650"/>
      <c r="EC37" s="650"/>
      <c r="ED37" s="650"/>
      <c r="EE37" s="650"/>
      <c r="EF37" s="650"/>
      <c r="EG37" s="650"/>
      <c r="EH37" s="650"/>
      <c r="EI37" s="650"/>
      <c r="EJ37" s="650"/>
      <c r="EK37" s="650"/>
      <c r="EL37" s="650"/>
      <c r="EM37" s="650"/>
      <c r="EN37" s="650"/>
      <c r="EO37" s="650"/>
      <c r="EP37" s="650"/>
      <c r="EQ37" s="650"/>
      <c r="ER37" s="650"/>
      <c r="ES37" s="650"/>
      <c r="ET37" s="650"/>
      <c r="EU37" s="650"/>
      <c r="EV37" s="650"/>
      <c r="EW37" s="650"/>
      <c r="EX37" s="650"/>
      <c r="EY37" s="650"/>
      <c r="EZ37" s="650"/>
      <c r="FA37" s="650"/>
      <c r="FB37" s="650"/>
      <c r="FC37" s="650"/>
      <c r="FD37" s="650"/>
      <c r="FE37" s="650"/>
      <c r="FF37" s="650"/>
      <c r="FG37" s="650"/>
      <c r="FH37" s="650"/>
      <c r="FI37" s="650"/>
      <c r="FJ37" s="650"/>
      <c r="FK37" s="650"/>
      <c r="FL37" s="650"/>
      <c r="FM37" s="650"/>
      <c r="FN37" s="650"/>
      <c r="FO37" s="650"/>
      <c r="FP37" s="650"/>
      <c r="FQ37" s="650"/>
      <c r="FR37" s="650"/>
      <c r="FS37" s="650"/>
      <c r="FT37" s="650"/>
      <c r="FU37" s="650"/>
      <c r="FV37" s="650"/>
      <c r="FW37" s="650"/>
      <c r="FX37" s="650"/>
      <c r="FY37" s="650"/>
      <c r="FZ37" s="650"/>
      <c r="GA37" s="650"/>
      <c r="GB37" s="650"/>
      <c r="GC37" s="650"/>
      <c r="GD37" s="650"/>
      <c r="GE37" s="650"/>
      <c r="GF37" s="650"/>
      <c r="GG37" s="650"/>
      <c r="GH37" s="650"/>
      <c r="GI37" s="650"/>
      <c r="GJ37" s="650"/>
      <c r="GK37" s="650"/>
      <c r="GL37" s="650"/>
      <c r="GM37" s="650"/>
      <c r="GN37" s="650"/>
      <c r="GO37" s="650"/>
      <c r="GP37" s="650"/>
      <c r="GQ37" s="650"/>
      <c r="GR37" s="650"/>
      <c r="GS37" s="650"/>
      <c r="GT37" s="650"/>
      <c r="GU37" s="650"/>
    </row>
    <row r="38" spans="1:205" ht="3.75" customHeight="1" x14ac:dyDescent="0.25">
      <c r="B38" s="650"/>
      <c r="C38" s="650"/>
      <c r="D38" s="650"/>
      <c r="E38" s="650"/>
      <c r="F38" s="650"/>
      <c r="G38" s="650"/>
      <c r="H38" s="650"/>
      <c r="I38" s="650"/>
      <c r="J38" s="650"/>
      <c r="K38" s="650"/>
      <c r="L38" s="650"/>
      <c r="M38" s="650"/>
      <c r="N38" s="650"/>
      <c r="O38" s="650"/>
      <c r="P38" s="650"/>
      <c r="Q38" s="650"/>
      <c r="R38" s="650"/>
      <c r="S38" s="650"/>
      <c r="T38" s="650"/>
      <c r="U38" s="650"/>
      <c r="V38" s="650"/>
      <c r="W38" s="650"/>
      <c r="X38" s="650"/>
      <c r="Y38" s="650"/>
      <c r="Z38" s="650"/>
      <c r="AA38" s="650"/>
      <c r="AB38" s="650"/>
      <c r="AC38" s="650"/>
      <c r="AD38" s="650"/>
      <c r="AE38" s="650"/>
      <c r="AF38" s="650"/>
      <c r="AG38" s="650"/>
      <c r="AH38" s="650"/>
      <c r="AI38" s="650"/>
      <c r="AJ38" s="650"/>
      <c r="AK38" s="650"/>
      <c r="AL38" s="650"/>
      <c r="AM38" s="650"/>
      <c r="AN38" s="650"/>
      <c r="AO38" s="650"/>
      <c r="AP38" s="650"/>
      <c r="AQ38" s="650"/>
      <c r="AR38" s="650"/>
      <c r="AS38" s="650"/>
      <c r="AT38" s="650"/>
      <c r="AU38" s="650"/>
      <c r="AV38" s="650"/>
      <c r="AW38" s="650"/>
      <c r="AX38" s="650"/>
      <c r="AY38" s="650"/>
      <c r="AZ38" s="650"/>
      <c r="BA38" s="650"/>
      <c r="BB38" s="650"/>
      <c r="BC38" s="650"/>
      <c r="BD38" s="650"/>
      <c r="BE38" s="650"/>
      <c r="BF38" s="650"/>
      <c r="BG38" s="650"/>
      <c r="BH38" s="650"/>
      <c r="BI38" s="650"/>
      <c r="BJ38" s="650"/>
      <c r="BK38" s="650"/>
      <c r="BL38" s="650"/>
      <c r="BM38" s="650"/>
      <c r="BN38" s="650"/>
      <c r="BO38" s="650"/>
      <c r="BP38" s="650"/>
      <c r="BQ38" s="650"/>
      <c r="BR38" s="650"/>
      <c r="BS38" s="650"/>
      <c r="BT38" s="650"/>
      <c r="BU38" s="650"/>
      <c r="BV38" s="650"/>
      <c r="BW38" s="650"/>
      <c r="BX38" s="650"/>
      <c r="BY38" s="650"/>
      <c r="BZ38" s="650"/>
      <c r="CA38" s="650"/>
      <c r="CB38" s="650"/>
      <c r="CC38" s="650"/>
      <c r="CD38" s="650"/>
      <c r="CE38" s="650"/>
      <c r="CF38" s="650"/>
      <c r="CG38" s="650"/>
      <c r="CH38" s="650"/>
      <c r="CI38" s="650"/>
      <c r="CJ38" s="650"/>
      <c r="CK38" s="650"/>
      <c r="CL38" s="650"/>
      <c r="CM38" s="650"/>
      <c r="CN38" s="650"/>
      <c r="CO38" s="650"/>
      <c r="CP38" s="650"/>
      <c r="CQ38" s="650"/>
      <c r="CR38" s="650"/>
      <c r="CS38" s="650"/>
      <c r="CT38" s="650"/>
      <c r="CU38" s="650"/>
      <c r="CV38" s="650"/>
      <c r="CW38" s="650"/>
      <c r="CX38" s="650"/>
      <c r="CY38" s="650"/>
      <c r="CZ38" s="650"/>
      <c r="DA38" s="650"/>
      <c r="DB38" s="650"/>
      <c r="DC38" s="650"/>
      <c r="DD38" s="650"/>
      <c r="DE38" s="650"/>
      <c r="DF38" s="650"/>
      <c r="DG38" s="650"/>
      <c r="DH38" s="650"/>
      <c r="DI38" s="650"/>
      <c r="DJ38" s="650"/>
      <c r="DK38" s="650"/>
      <c r="DL38" s="650"/>
      <c r="DM38" s="650"/>
      <c r="DN38" s="650"/>
      <c r="DO38" s="650"/>
      <c r="DP38" s="650"/>
      <c r="DQ38" s="650"/>
      <c r="DR38" s="650"/>
      <c r="DS38" s="650"/>
      <c r="DT38" s="650"/>
      <c r="DU38" s="650"/>
      <c r="DV38" s="650"/>
      <c r="DW38" s="650"/>
      <c r="DX38" s="650"/>
      <c r="DY38" s="650"/>
      <c r="DZ38" s="650"/>
      <c r="EA38" s="650"/>
      <c r="EB38" s="650"/>
      <c r="EC38" s="650"/>
      <c r="ED38" s="650"/>
      <c r="EE38" s="650"/>
      <c r="EF38" s="650"/>
      <c r="EG38" s="650"/>
      <c r="EH38" s="650"/>
      <c r="EI38" s="650"/>
      <c r="EJ38" s="650"/>
      <c r="EK38" s="650"/>
      <c r="EL38" s="650"/>
      <c r="EM38" s="650"/>
      <c r="EN38" s="650"/>
      <c r="EO38" s="650"/>
      <c r="EP38" s="650"/>
      <c r="EQ38" s="650"/>
      <c r="ER38" s="650"/>
      <c r="ES38" s="650"/>
      <c r="ET38" s="650"/>
      <c r="EU38" s="650"/>
      <c r="EV38" s="650"/>
      <c r="EW38" s="650"/>
      <c r="EX38" s="650"/>
      <c r="EY38" s="650"/>
      <c r="EZ38" s="650"/>
      <c r="FA38" s="650"/>
      <c r="FB38" s="650"/>
      <c r="FC38" s="650"/>
      <c r="FD38" s="650"/>
      <c r="FE38" s="650"/>
      <c r="FF38" s="650"/>
      <c r="FG38" s="650"/>
      <c r="FH38" s="650"/>
      <c r="FI38" s="650"/>
      <c r="FJ38" s="650"/>
      <c r="FK38" s="650"/>
      <c r="FL38" s="650"/>
      <c r="FM38" s="650"/>
      <c r="FN38" s="650"/>
      <c r="FO38" s="650"/>
      <c r="FP38" s="650"/>
      <c r="FQ38" s="650"/>
      <c r="FR38" s="650"/>
      <c r="FS38" s="650"/>
      <c r="FT38" s="650"/>
      <c r="FU38" s="650"/>
      <c r="FV38" s="650"/>
      <c r="FW38" s="650"/>
      <c r="FX38" s="650"/>
      <c r="FY38" s="650"/>
      <c r="FZ38" s="650"/>
      <c r="GA38" s="650"/>
      <c r="GB38" s="650"/>
      <c r="GC38" s="650"/>
      <c r="GD38" s="650"/>
      <c r="GE38" s="650"/>
      <c r="GF38" s="650"/>
      <c r="GG38" s="650"/>
      <c r="GH38" s="650"/>
      <c r="GI38" s="650"/>
      <c r="GJ38" s="650"/>
      <c r="GK38" s="650"/>
      <c r="GL38" s="650"/>
      <c r="GM38" s="650"/>
      <c r="GN38" s="650"/>
      <c r="GO38" s="650"/>
      <c r="GP38" s="650"/>
      <c r="GQ38" s="650"/>
      <c r="GR38" s="650"/>
      <c r="GS38" s="650"/>
      <c r="GT38" s="650"/>
      <c r="GU38" s="650"/>
    </row>
    <row r="39" spans="1:205" ht="3.75" customHeight="1" x14ac:dyDescent="0.25"/>
    <row r="40" spans="1:205" ht="3.75" customHeight="1" x14ac:dyDescent="0.25"/>
    <row r="41" spans="1:205" ht="3.75" customHeight="1" x14ac:dyDescent="0.25"/>
    <row r="42" spans="1:205" ht="3.75" customHeight="1" x14ac:dyDescent="0.25"/>
    <row r="43" spans="1:205" ht="3.75" customHeight="1" x14ac:dyDescent="0.25"/>
    <row r="44" spans="1:205" ht="3.75" customHeight="1" x14ac:dyDescent="0.25"/>
    <row r="45" spans="1:205" ht="3.75" customHeight="1" x14ac:dyDescent="0.25"/>
    <row r="46" spans="1:205" ht="3.75" customHeight="1" x14ac:dyDescent="0.25"/>
    <row r="47" spans="1:205" ht="3.75" customHeight="1" x14ac:dyDescent="0.25"/>
    <row r="48" spans="1:205" ht="3.75" customHeight="1" x14ac:dyDescent="0.25"/>
    <row r="49" spans="43:43" ht="3.75" customHeight="1" x14ac:dyDescent="0.25"/>
    <row r="50" spans="43:43" ht="3.75" customHeight="1" x14ac:dyDescent="0.25"/>
    <row r="51" spans="43:43" ht="3.75" customHeight="1" x14ac:dyDescent="0.25"/>
    <row r="52" spans="43:43" ht="3.75" customHeight="1" x14ac:dyDescent="0.25">
      <c r="AQ52" s="659">
        <v>57</v>
      </c>
    </row>
    <row r="53" spans="43:43" ht="3.75" customHeight="1" x14ac:dyDescent="0.25"/>
    <row r="54" spans="43:43" ht="3.75" customHeight="1" x14ac:dyDescent="0.25"/>
    <row r="55" spans="43:43" ht="3.75" customHeight="1" x14ac:dyDescent="0.25"/>
    <row r="56" spans="43:43" ht="3.75" customHeight="1" x14ac:dyDescent="0.25"/>
    <row r="57" spans="43:43" ht="3.75" customHeight="1" x14ac:dyDescent="0.25"/>
    <row r="58" spans="43:43" ht="3.75" customHeight="1" x14ac:dyDescent="0.25"/>
    <row r="59" spans="43:43" ht="3.75" customHeight="1" x14ac:dyDescent="0.25"/>
    <row r="60" spans="43:43" ht="3.75" customHeight="1" x14ac:dyDescent="0.25"/>
    <row r="61" spans="43:43" ht="3.75" customHeight="1" x14ac:dyDescent="0.25"/>
    <row r="62" spans="43:43" ht="3.75" customHeight="1" x14ac:dyDescent="0.25"/>
    <row r="63" spans="43:43" ht="3.75" customHeight="1" x14ac:dyDescent="0.25"/>
    <row r="64" spans="43:43" ht="3.75" customHeight="1" x14ac:dyDescent="0.25"/>
    <row r="65" ht="3.75" customHeight="1" x14ac:dyDescent="0.25"/>
    <row r="66" ht="3.75" customHeight="1" x14ac:dyDescent="0.25"/>
    <row r="67" ht="3.75" customHeight="1" x14ac:dyDescent="0.25"/>
    <row r="68" ht="3.75" customHeight="1" x14ac:dyDescent="0.25"/>
    <row r="69" ht="3.75" customHeight="1" x14ac:dyDescent="0.25"/>
    <row r="70" ht="3.75" customHeight="1" x14ac:dyDescent="0.25"/>
    <row r="71" ht="3.75" customHeight="1" x14ac:dyDescent="0.25"/>
    <row r="72" ht="3.75" customHeight="1" x14ac:dyDescent="0.25"/>
    <row r="73" ht="3.75" customHeight="1" x14ac:dyDescent="0.25"/>
    <row r="74" ht="3.75" customHeight="1" x14ac:dyDescent="0.25"/>
    <row r="75" ht="3.75" customHeight="1" x14ac:dyDescent="0.25"/>
    <row r="76" ht="3.75" customHeight="1" x14ac:dyDescent="0.25"/>
    <row r="77" ht="3.75" customHeight="1" x14ac:dyDescent="0.25"/>
    <row r="78" ht="3.75" customHeight="1" x14ac:dyDescent="0.25"/>
    <row r="79" ht="3.75" customHeight="1" x14ac:dyDescent="0.25"/>
    <row r="80" ht="3.75" customHeight="1" x14ac:dyDescent="0.25"/>
    <row r="81" ht="3.75" customHeight="1" x14ac:dyDescent="0.25"/>
    <row r="82" ht="3.75" customHeight="1" x14ac:dyDescent="0.25"/>
    <row r="83" ht="3.75" customHeight="1" x14ac:dyDescent="0.25"/>
    <row r="84" ht="3.75" customHeight="1" x14ac:dyDescent="0.25"/>
    <row r="85" ht="3.75" customHeight="1" x14ac:dyDescent="0.25"/>
    <row r="86" ht="3.75" customHeight="1" x14ac:dyDescent="0.25"/>
    <row r="87" ht="3.75" customHeight="1" x14ac:dyDescent="0.25"/>
    <row r="88" ht="3.75" customHeight="1" x14ac:dyDescent="0.25"/>
    <row r="89" ht="3.75" customHeight="1" x14ac:dyDescent="0.25"/>
    <row r="90" ht="3.75" customHeight="1" x14ac:dyDescent="0.25"/>
    <row r="91" ht="3.75" customHeight="1" x14ac:dyDescent="0.25"/>
    <row r="92" ht="3.75" customHeight="1" x14ac:dyDescent="0.25"/>
    <row r="93" ht="3.75" customHeight="1" x14ac:dyDescent="0.25"/>
    <row r="94" ht="3.75" customHeight="1" x14ac:dyDescent="0.25"/>
    <row r="95" ht="3.75" customHeight="1" x14ac:dyDescent="0.25"/>
    <row r="96" ht="3.75" customHeight="1" x14ac:dyDescent="0.25"/>
    <row r="97" ht="3.75" customHeight="1" x14ac:dyDescent="0.25"/>
    <row r="98" ht="3.75" customHeight="1" x14ac:dyDescent="0.25"/>
    <row r="99" ht="3.75" customHeight="1" x14ac:dyDescent="0.25"/>
    <row r="100" ht="3.75" customHeight="1" x14ac:dyDescent="0.25"/>
    <row r="101" ht="3.75" customHeight="1" x14ac:dyDescent="0.25"/>
    <row r="102" ht="3.75" customHeight="1" x14ac:dyDescent="0.25"/>
    <row r="103" ht="3.75" customHeight="1" x14ac:dyDescent="0.25"/>
    <row r="104" ht="3.75" customHeight="1" x14ac:dyDescent="0.25"/>
    <row r="105" ht="3.75" customHeight="1" x14ac:dyDescent="0.25"/>
    <row r="106" ht="3.75" customHeight="1" x14ac:dyDescent="0.25"/>
    <row r="107" ht="3.75" customHeight="1" x14ac:dyDescent="0.25"/>
    <row r="108" ht="3.75" customHeight="1" x14ac:dyDescent="0.25"/>
    <row r="109" ht="3.75" customHeight="1" x14ac:dyDescent="0.25"/>
    <row r="110" ht="3.75" customHeight="1" x14ac:dyDescent="0.25"/>
    <row r="111" ht="3.75" customHeight="1" x14ac:dyDescent="0.25"/>
    <row r="112" ht="3.75" customHeight="1" x14ac:dyDescent="0.25"/>
    <row r="113" ht="3.75" customHeight="1" x14ac:dyDescent="0.25"/>
    <row r="114" ht="3.75" customHeight="1" x14ac:dyDescent="0.25"/>
    <row r="115" ht="3.75" customHeight="1" x14ac:dyDescent="0.25"/>
    <row r="116" ht="3.75" customHeight="1" x14ac:dyDescent="0.25"/>
    <row r="117" ht="3.75" customHeight="1" x14ac:dyDescent="0.25"/>
    <row r="118" ht="3.75" customHeight="1" x14ac:dyDescent="0.25"/>
    <row r="119" ht="3.75" customHeight="1" x14ac:dyDescent="0.25"/>
    <row r="120" ht="3.75" customHeight="1" x14ac:dyDescent="0.25"/>
    <row r="121" ht="3.75" customHeight="1" x14ac:dyDescent="0.25"/>
    <row r="122" ht="3.75" customHeight="1" x14ac:dyDescent="0.25"/>
    <row r="123" ht="3.75" customHeight="1" x14ac:dyDescent="0.25"/>
    <row r="124" ht="3.75" customHeight="1" x14ac:dyDescent="0.25"/>
    <row r="125" ht="3.75" customHeight="1" x14ac:dyDescent="0.25"/>
    <row r="126" ht="3.75" customHeight="1" x14ac:dyDescent="0.25"/>
    <row r="127" ht="3.75" customHeight="1" x14ac:dyDescent="0.25"/>
    <row r="128" ht="3.75" customHeight="1" x14ac:dyDescent="0.25"/>
    <row r="129" ht="3.75" customHeight="1" x14ac:dyDescent="0.25"/>
    <row r="130" ht="3.75" customHeight="1" x14ac:dyDescent="0.25"/>
    <row r="131" ht="3.75" customHeight="1" x14ac:dyDescent="0.25"/>
    <row r="132" ht="3.75" customHeight="1" x14ac:dyDescent="0.25"/>
    <row r="133" ht="3.75" customHeight="1" x14ac:dyDescent="0.25"/>
    <row r="134" ht="3.75" customHeight="1" x14ac:dyDescent="0.25"/>
    <row r="135" ht="3.75" customHeight="1" x14ac:dyDescent="0.25"/>
    <row r="136" ht="3.75" customHeight="1" x14ac:dyDescent="0.25"/>
    <row r="137" ht="3.75" customHeight="1" x14ac:dyDescent="0.25"/>
    <row r="138" ht="3.75" customHeight="1" x14ac:dyDescent="0.25"/>
    <row r="139" ht="3.75" customHeight="1" x14ac:dyDescent="0.25"/>
    <row r="140" ht="3.75" customHeight="1" x14ac:dyDescent="0.25"/>
    <row r="141" ht="3.75" customHeight="1" x14ac:dyDescent="0.25"/>
    <row r="142" ht="3.75" customHeight="1" x14ac:dyDescent="0.25"/>
    <row r="143" ht="3.75" customHeight="1" x14ac:dyDescent="0.25"/>
    <row r="144" ht="3.75" customHeight="1" x14ac:dyDescent="0.25"/>
    <row r="145" spans="10:10" ht="3.75" customHeight="1" x14ac:dyDescent="0.25"/>
    <row r="146" spans="10:10" ht="3.75" customHeight="1" x14ac:dyDescent="0.25"/>
    <row r="147" spans="10:10" ht="3.75" customHeight="1" x14ac:dyDescent="0.25">
      <c r="J147" s="659">
        <v>33</v>
      </c>
    </row>
  </sheetData>
  <mergeCells count="704">
    <mergeCell ref="FW34:GB34"/>
    <mergeCell ref="GC34:GG34"/>
    <mergeCell ref="GH34:GM34"/>
    <mergeCell ref="GN34:GR34"/>
    <mergeCell ref="GS34:GW34"/>
    <mergeCell ref="CY34:DC34"/>
    <mergeCell ref="DD34:DI34"/>
    <mergeCell ref="DJ34:EM34"/>
    <mergeCell ref="EP34:EU34"/>
    <mergeCell ref="EV34:EZ34"/>
    <mergeCell ref="FA34:FF34"/>
    <mergeCell ref="FG34:FK34"/>
    <mergeCell ref="FL34:FQ34"/>
    <mergeCell ref="FR34:FV34"/>
    <mergeCell ref="BA34:BF34"/>
    <mergeCell ref="BG34:BK34"/>
    <mergeCell ref="BL34:BQ34"/>
    <mergeCell ref="BR34:BV34"/>
    <mergeCell ref="BW34:CB34"/>
    <mergeCell ref="CC34:CG34"/>
    <mergeCell ref="CH34:CM34"/>
    <mergeCell ref="CN34:CR34"/>
    <mergeCell ref="CS34:CX34"/>
    <mergeCell ref="EC33:EG33"/>
    <mergeCell ref="EH33:EM33"/>
    <mergeCell ref="EN33:ER33"/>
    <mergeCell ref="ES33:EX33"/>
    <mergeCell ref="EY33:FC33"/>
    <mergeCell ref="FD33:FI33"/>
    <mergeCell ref="FJ33:FN33"/>
    <mergeCell ref="FO33:FS33"/>
    <mergeCell ref="FT33:GW33"/>
    <mergeCell ref="FL32:FQ32"/>
    <mergeCell ref="FR32:FV32"/>
    <mergeCell ref="FW32:GB32"/>
    <mergeCell ref="GC32:GG32"/>
    <mergeCell ref="GH32:GM32"/>
    <mergeCell ref="GN32:GR32"/>
    <mergeCell ref="GS32:GW32"/>
    <mergeCell ref="B33:K34"/>
    <mergeCell ref="L33:AP34"/>
    <mergeCell ref="AQ33:AX34"/>
    <mergeCell ref="BA33:BF33"/>
    <mergeCell ref="BG33:BK33"/>
    <mergeCell ref="BL33:BQ33"/>
    <mergeCell ref="BR33:BV33"/>
    <mergeCell ref="BW33:CB33"/>
    <mergeCell ref="CC33:CG33"/>
    <mergeCell ref="CH33:CM33"/>
    <mergeCell ref="CN33:CR33"/>
    <mergeCell ref="CS33:CX33"/>
    <mergeCell ref="CY33:DC33"/>
    <mergeCell ref="DD33:DI33"/>
    <mergeCell ref="DL33:DQ33"/>
    <mergeCell ref="DR33:DV33"/>
    <mergeCell ref="DW33:EB33"/>
    <mergeCell ref="EH31:EM31"/>
    <mergeCell ref="EN31:ER31"/>
    <mergeCell ref="ES31:EX31"/>
    <mergeCell ref="EY31:FC31"/>
    <mergeCell ref="FD31:FI31"/>
    <mergeCell ref="FJ31:FN31"/>
    <mergeCell ref="FO31:FS31"/>
    <mergeCell ref="FT31:GW31"/>
    <mergeCell ref="BA32:BF32"/>
    <mergeCell ref="BG32:BK32"/>
    <mergeCell ref="BL32:BQ32"/>
    <mergeCell ref="BR32:BV32"/>
    <mergeCell ref="BW32:CB32"/>
    <mergeCell ref="CC32:CG32"/>
    <mergeCell ref="CH32:CM32"/>
    <mergeCell ref="CN32:CR32"/>
    <mergeCell ref="CS32:CX32"/>
    <mergeCell ref="CY32:DC32"/>
    <mergeCell ref="DD32:DI32"/>
    <mergeCell ref="DJ32:EM32"/>
    <mergeCell ref="EP32:EU32"/>
    <mergeCell ref="EV32:EZ32"/>
    <mergeCell ref="FA32:FF32"/>
    <mergeCell ref="FG32:FK32"/>
    <mergeCell ref="FR30:FV30"/>
    <mergeCell ref="FW30:GB30"/>
    <mergeCell ref="GC30:GG30"/>
    <mergeCell ref="GH30:GM30"/>
    <mergeCell ref="GN30:GR30"/>
    <mergeCell ref="GS30:GW30"/>
    <mergeCell ref="B31:K32"/>
    <mergeCell ref="L31:AP32"/>
    <mergeCell ref="AQ31:AX32"/>
    <mergeCell ref="BA31:BF31"/>
    <mergeCell ref="BG31:BK31"/>
    <mergeCell ref="BL31:BQ31"/>
    <mergeCell ref="BR31:BV31"/>
    <mergeCell ref="BW31:CB31"/>
    <mergeCell ref="CC31:CG31"/>
    <mergeCell ref="CH31:CM31"/>
    <mergeCell ref="CN31:CR31"/>
    <mergeCell ref="CS31:CX31"/>
    <mergeCell ref="CY31:DC31"/>
    <mergeCell ref="DD31:DI31"/>
    <mergeCell ref="DL31:DQ31"/>
    <mergeCell ref="DR31:DV31"/>
    <mergeCell ref="DW31:EB31"/>
    <mergeCell ref="EC31:EG31"/>
    <mergeCell ref="EN29:ER29"/>
    <mergeCell ref="ES29:EX29"/>
    <mergeCell ref="EY29:FC29"/>
    <mergeCell ref="FD29:FI29"/>
    <mergeCell ref="FJ29:FN29"/>
    <mergeCell ref="FO29:FS29"/>
    <mergeCell ref="FT29:GW29"/>
    <mergeCell ref="BA30:BF30"/>
    <mergeCell ref="BG30:BK30"/>
    <mergeCell ref="BL30:BQ30"/>
    <mergeCell ref="BR30:BV30"/>
    <mergeCell ref="BW30:CB30"/>
    <mergeCell ref="CC30:CG30"/>
    <mergeCell ref="CH30:CM30"/>
    <mergeCell ref="CN30:CR30"/>
    <mergeCell ref="CS30:CX30"/>
    <mergeCell ref="CY30:DC30"/>
    <mergeCell ref="DD30:DI30"/>
    <mergeCell ref="DJ30:EM30"/>
    <mergeCell ref="EP30:EU30"/>
    <mergeCell ref="EV30:EZ30"/>
    <mergeCell ref="FA30:FF30"/>
    <mergeCell ref="FG30:FK30"/>
    <mergeCell ref="FL30:FQ30"/>
    <mergeCell ref="FW28:GB28"/>
    <mergeCell ref="GC28:GG28"/>
    <mergeCell ref="GH28:GM28"/>
    <mergeCell ref="GN28:GR28"/>
    <mergeCell ref="GS28:GW28"/>
    <mergeCell ref="B29:K30"/>
    <mergeCell ref="L29:AP30"/>
    <mergeCell ref="AQ29:AX30"/>
    <mergeCell ref="BA29:BF29"/>
    <mergeCell ref="BG29:BK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EC29:EG29"/>
    <mergeCell ref="EH29:EM29"/>
    <mergeCell ref="CY28:DC28"/>
    <mergeCell ref="DD28:DI28"/>
    <mergeCell ref="DJ28:EM28"/>
    <mergeCell ref="EP28:EU28"/>
    <mergeCell ref="EV28:EZ28"/>
    <mergeCell ref="FA28:FF28"/>
    <mergeCell ref="FG28:FK28"/>
    <mergeCell ref="FL28:FQ28"/>
    <mergeCell ref="FR28:FV28"/>
    <mergeCell ref="BA28:BF28"/>
    <mergeCell ref="BG28:BK28"/>
    <mergeCell ref="BL28:BQ28"/>
    <mergeCell ref="BR28:BV28"/>
    <mergeCell ref="BW28:CB28"/>
    <mergeCell ref="CC28:CG28"/>
    <mergeCell ref="CH28:CM28"/>
    <mergeCell ref="CN28:CR28"/>
    <mergeCell ref="CS28:CX28"/>
    <mergeCell ref="EC27:EG27"/>
    <mergeCell ref="EH27:EM27"/>
    <mergeCell ref="EN27:ER27"/>
    <mergeCell ref="ES27:EX27"/>
    <mergeCell ref="EY27:FC27"/>
    <mergeCell ref="FD27:FI27"/>
    <mergeCell ref="FJ27:FN27"/>
    <mergeCell ref="FO27:FS27"/>
    <mergeCell ref="FT27:GW27"/>
    <mergeCell ref="FL26:FQ26"/>
    <mergeCell ref="FR26:FV26"/>
    <mergeCell ref="FW26:GB26"/>
    <mergeCell ref="GC26:GG26"/>
    <mergeCell ref="GH26:GM26"/>
    <mergeCell ref="GN26:GR26"/>
    <mergeCell ref="GS26:GW26"/>
    <mergeCell ref="B27:K28"/>
    <mergeCell ref="L27:AP28"/>
    <mergeCell ref="AQ27:AX28"/>
    <mergeCell ref="BA27:BF27"/>
    <mergeCell ref="BG27:BK27"/>
    <mergeCell ref="BL27:BQ27"/>
    <mergeCell ref="BR27:BV27"/>
    <mergeCell ref="BW27:CB27"/>
    <mergeCell ref="CC27:CG27"/>
    <mergeCell ref="CH27:CM27"/>
    <mergeCell ref="CN27:CR27"/>
    <mergeCell ref="CS27:CX27"/>
    <mergeCell ref="CY27:DC27"/>
    <mergeCell ref="DD27:DI27"/>
    <mergeCell ref="DL27:DQ27"/>
    <mergeCell ref="DR27:DV27"/>
    <mergeCell ref="DW27:EB27"/>
    <mergeCell ref="EH25:EM25"/>
    <mergeCell ref="EN25:ER25"/>
    <mergeCell ref="ES25:EX25"/>
    <mergeCell ref="EY25:FC25"/>
    <mergeCell ref="FD25:FI25"/>
    <mergeCell ref="FJ25:FN25"/>
    <mergeCell ref="FO25:FS25"/>
    <mergeCell ref="FT25:GW25"/>
    <mergeCell ref="BA26:BF26"/>
    <mergeCell ref="BG26:BK26"/>
    <mergeCell ref="BL26:BQ26"/>
    <mergeCell ref="BR26:BV26"/>
    <mergeCell ref="BW26:CB26"/>
    <mergeCell ref="CC26:CG26"/>
    <mergeCell ref="CH26:CM26"/>
    <mergeCell ref="CN26:CR26"/>
    <mergeCell ref="CS26:CX26"/>
    <mergeCell ref="CY26:DC26"/>
    <mergeCell ref="DD26:DI26"/>
    <mergeCell ref="DJ26:EM26"/>
    <mergeCell ref="EP26:EU26"/>
    <mergeCell ref="EV26:EZ26"/>
    <mergeCell ref="FA26:FF26"/>
    <mergeCell ref="FG26:FK26"/>
    <mergeCell ref="FR24:FV24"/>
    <mergeCell ref="FW24:GB24"/>
    <mergeCell ref="GC24:GG24"/>
    <mergeCell ref="GH24:GM24"/>
    <mergeCell ref="GN24:GR24"/>
    <mergeCell ref="GS24:GW24"/>
    <mergeCell ref="B25:K26"/>
    <mergeCell ref="L25:AP26"/>
    <mergeCell ref="AQ25:AX26"/>
    <mergeCell ref="BA25:BF25"/>
    <mergeCell ref="BG25:BK25"/>
    <mergeCell ref="BL25:BQ25"/>
    <mergeCell ref="BR25:BV25"/>
    <mergeCell ref="BW25:CB25"/>
    <mergeCell ref="CC25:CG25"/>
    <mergeCell ref="CH25:CM25"/>
    <mergeCell ref="CN25:CR25"/>
    <mergeCell ref="CS25:CX25"/>
    <mergeCell ref="CY25:DC25"/>
    <mergeCell ref="DD25:DI25"/>
    <mergeCell ref="DL25:DQ25"/>
    <mergeCell ref="DR25:DV25"/>
    <mergeCell ref="DW25:EB25"/>
    <mergeCell ref="EC25:EG25"/>
    <mergeCell ref="EN23:ER23"/>
    <mergeCell ref="ES23:EX23"/>
    <mergeCell ref="EY23:FC23"/>
    <mergeCell ref="FD23:FI23"/>
    <mergeCell ref="FJ23:FN23"/>
    <mergeCell ref="FO23:FS23"/>
    <mergeCell ref="FT23:GW23"/>
    <mergeCell ref="BA24:BF24"/>
    <mergeCell ref="BG24:BK24"/>
    <mergeCell ref="BL24:BQ24"/>
    <mergeCell ref="BR24:BV24"/>
    <mergeCell ref="BW24:CB24"/>
    <mergeCell ref="CC24:CG24"/>
    <mergeCell ref="CH24:CM24"/>
    <mergeCell ref="CN24:CR24"/>
    <mergeCell ref="CS24:CX24"/>
    <mergeCell ref="CY24:DC24"/>
    <mergeCell ref="DD24:DI24"/>
    <mergeCell ref="DJ24:EM24"/>
    <mergeCell ref="EP24:EU24"/>
    <mergeCell ref="EV24:EZ24"/>
    <mergeCell ref="FA24:FF24"/>
    <mergeCell ref="FG24:FK24"/>
    <mergeCell ref="FL24:FQ24"/>
    <mergeCell ref="FW22:GB22"/>
    <mergeCell ref="GC22:GG22"/>
    <mergeCell ref="GH22:GM22"/>
    <mergeCell ref="GN22:GR22"/>
    <mergeCell ref="GS22:GW22"/>
    <mergeCell ref="B23:K24"/>
    <mergeCell ref="L23:AP24"/>
    <mergeCell ref="AQ23:AX24"/>
    <mergeCell ref="BA23:BF23"/>
    <mergeCell ref="BG23:BK23"/>
    <mergeCell ref="BL23:BQ23"/>
    <mergeCell ref="BR23:BV23"/>
    <mergeCell ref="BW23:CB23"/>
    <mergeCell ref="CC23:CG23"/>
    <mergeCell ref="CH23:CM23"/>
    <mergeCell ref="CN23:CR23"/>
    <mergeCell ref="CS23:CX23"/>
    <mergeCell ref="CY23:DC23"/>
    <mergeCell ref="DD23:DI23"/>
    <mergeCell ref="DL23:DQ23"/>
    <mergeCell ref="DR23:DV23"/>
    <mergeCell ref="DW23:EB23"/>
    <mergeCell ref="EC23:EG23"/>
    <mergeCell ref="EH23:EM23"/>
    <mergeCell ref="CY22:DC22"/>
    <mergeCell ref="DD22:DI22"/>
    <mergeCell ref="DJ22:EM22"/>
    <mergeCell ref="EP22:EU22"/>
    <mergeCell ref="EV22:EZ22"/>
    <mergeCell ref="FA22:FF22"/>
    <mergeCell ref="FG22:FK22"/>
    <mergeCell ref="FL22:FQ22"/>
    <mergeCell ref="FR22:FV22"/>
    <mergeCell ref="BA22:BF22"/>
    <mergeCell ref="BG22:BK22"/>
    <mergeCell ref="BL22:BQ22"/>
    <mergeCell ref="BR22:BV22"/>
    <mergeCell ref="BW22:CB22"/>
    <mergeCell ref="CC22:CG22"/>
    <mergeCell ref="CH22:CM22"/>
    <mergeCell ref="CN22:CR22"/>
    <mergeCell ref="CS22:CX22"/>
    <mergeCell ref="EC21:EG21"/>
    <mergeCell ref="EH21:EM21"/>
    <mergeCell ref="EN21:ER21"/>
    <mergeCell ref="ES21:EX21"/>
    <mergeCell ref="EY21:FC21"/>
    <mergeCell ref="FD21:FI21"/>
    <mergeCell ref="FJ21:FN21"/>
    <mergeCell ref="FO21:FS21"/>
    <mergeCell ref="FT21:GW21"/>
    <mergeCell ref="FL20:FQ20"/>
    <mergeCell ref="FR20:FV20"/>
    <mergeCell ref="FW20:GB20"/>
    <mergeCell ref="GC20:GG20"/>
    <mergeCell ref="GH20:GM20"/>
    <mergeCell ref="GN20:GR20"/>
    <mergeCell ref="GS20:GW20"/>
    <mergeCell ref="B21:K22"/>
    <mergeCell ref="L21:AP22"/>
    <mergeCell ref="AQ21:AX22"/>
    <mergeCell ref="BA21:BF21"/>
    <mergeCell ref="BG21:BK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EH19:EM19"/>
    <mergeCell ref="EN19:ER19"/>
    <mergeCell ref="ES19:EX19"/>
    <mergeCell ref="EY19:FC19"/>
    <mergeCell ref="FD19:FI19"/>
    <mergeCell ref="FJ19:FN19"/>
    <mergeCell ref="FO19:FS19"/>
    <mergeCell ref="FT19:GW19"/>
    <mergeCell ref="BA20:BF20"/>
    <mergeCell ref="BG20:BK20"/>
    <mergeCell ref="BL20:BQ20"/>
    <mergeCell ref="BR20:BV20"/>
    <mergeCell ref="BW20:CB20"/>
    <mergeCell ref="CC20:CG20"/>
    <mergeCell ref="CH20:CM20"/>
    <mergeCell ref="CN20:CR20"/>
    <mergeCell ref="CS20:CX20"/>
    <mergeCell ref="CY20:DC20"/>
    <mergeCell ref="DD20:DI20"/>
    <mergeCell ref="DJ20:EM20"/>
    <mergeCell ref="EP20:EU20"/>
    <mergeCell ref="EV20:EZ20"/>
    <mergeCell ref="FA20:FF20"/>
    <mergeCell ref="FG20:FK20"/>
    <mergeCell ref="FR18:FV18"/>
    <mergeCell ref="FW18:GB18"/>
    <mergeCell ref="GC18:GG18"/>
    <mergeCell ref="GH18:GM18"/>
    <mergeCell ref="GN18:GR18"/>
    <mergeCell ref="GS18:GW18"/>
    <mergeCell ref="B19:K20"/>
    <mergeCell ref="L19:AP20"/>
    <mergeCell ref="AQ19:AX20"/>
    <mergeCell ref="BA19:BF19"/>
    <mergeCell ref="BG19:BK19"/>
    <mergeCell ref="BL19:BQ19"/>
    <mergeCell ref="BR19:BV19"/>
    <mergeCell ref="BW19:CB19"/>
    <mergeCell ref="CC19:CG19"/>
    <mergeCell ref="CH19:CM19"/>
    <mergeCell ref="CN19:CR19"/>
    <mergeCell ref="CS19:CX19"/>
    <mergeCell ref="CY19:DC19"/>
    <mergeCell ref="DD19:DI19"/>
    <mergeCell ref="DL19:DQ19"/>
    <mergeCell ref="DR19:DV19"/>
    <mergeCell ref="DW19:EB19"/>
    <mergeCell ref="EC19:EG19"/>
    <mergeCell ref="EN17:ER17"/>
    <mergeCell ref="ES17:EX17"/>
    <mergeCell ref="EY17:FC17"/>
    <mergeCell ref="FD17:FI17"/>
    <mergeCell ref="FJ17:FN17"/>
    <mergeCell ref="FO17:FS17"/>
    <mergeCell ref="FT17:GW17"/>
    <mergeCell ref="BA18:BF18"/>
    <mergeCell ref="BG18:BK18"/>
    <mergeCell ref="BL18:BQ18"/>
    <mergeCell ref="BR18:BV18"/>
    <mergeCell ref="BW18:CB18"/>
    <mergeCell ref="CC18:CG18"/>
    <mergeCell ref="CH18:CM18"/>
    <mergeCell ref="CN18:CR18"/>
    <mergeCell ref="CS18:CX18"/>
    <mergeCell ref="CY18:DC18"/>
    <mergeCell ref="DD18:DI18"/>
    <mergeCell ref="DJ18:EM18"/>
    <mergeCell ref="EP18:EU18"/>
    <mergeCell ref="EV18:EZ18"/>
    <mergeCell ref="FA18:FF18"/>
    <mergeCell ref="FG18:FK18"/>
    <mergeCell ref="FL18:FQ18"/>
    <mergeCell ref="FW16:GB16"/>
    <mergeCell ref="GC16:GG16"/>
    <mergeCell ref="GH16:GM16"/>
    <mergeCell ref="GN16:GR16"/>
    <mergeCell ref="GS16:GW16"/>
    <mergeCell ref="B17:K18"/>
    <mergeCell ref="L17:AP18"/>
    <mergeCell ref="AQ17:AX18"/>
    <mergeCell ref="BA17:BF17"/>
    <mergeCell ref="BG17:BK17"/>
    <mergeCell ref="BL17:BQ17"/>
    <mergeCell ref="BR17:BV17"/>
    <mergeCell ref="BW17:CB17"/>
    <mergeCell ref="CC17:CG17"/>
    <mergeCell ref="CH17:CM17"/>
    <mergeCell ref="CN17:CR17"/>
    <mergeCell ref="CS17:CX17"/>
    <mergeCell ref="CY17:DC17"/>
    <mergeCell ref="DD17:DI17"/>
    <mergeCell ref="DL17:DQ17"/>
    <mergeCell ref="DR17:DV17"/>
    <mergeCell ref="DW17:EB17"/>
    <mergeCell ref="EC17:EG17"/>
    <mergeCell ref="EH17:EM17"/>
    <mergeCell ref="CY16:DC16"/>
    <mergeCell ref="DD16:DI16"/>
    <mergeCell ref="DJ16:EM16"/>
    <mergeCell ref="EP16:EU16"/>
    <mergeCell ref="EV16:EZ16"/>
    <mergeCell ref="FA16:FF16"/>
    <mergeCell ref="FG16:FK16"/>
    <mergeCell ref="FL16:FQ16"/>
    <mergeCell ref="FR16:FV16"/>
    <mergeCell ref="BA16:BF16"/>
    <mergeCell ref="BG16:BK16"/>
    <mergeCell ref="BL16:BQ16"/>
    <mergeCell ref="BR16:BV16"/>
    <mergeCell ref="BW16:CB16"/>
    <mergeCell ref="CC16:CG16"/>
    <mergeCell ref="CH16:CM16"/>
    <mergeCell ref="CN16:CR16"/>
    <mergeCell ref="CS16:CX16"/>
    <mergeCell ref="EC15:EG15"/>
    <mergeCell ref="EH15:EM15"/>
    <mergeCell ref="EN15:ER15"/>
    <mergeCell ref="ES15:EX15"/>
    <mergeCell ref="EY15:FC15"/>
    <mergeCell ref="FD15:FI15"/>
    <mergeCell ref="FJ15:FN15"/>
    <mergeCell ref="FO15:FS15"/>
    <mergeCell ref="FT15:GW15"/>
    <mergeCell ref="FL14:FQ14"/>
    <mergeCell ref="FR14:FV14"/>
    <mergeCell ref="FW14:GB14"/>
    <mergeCell ref="GC14:GG14"/>
    <mergeCell ref="GH14:GM14"/>
    <mergeCell ref="GN14:GR14"/>
    <mergeCell ref="GS14:GW14"/>
    <mergeCell ref="B15:K16"/>
    <mergeCell ref="L15:AP16"/>
    <mergeCell ref="AQ15:AX16"/>
    <mergeCell ref="BA15:BF15"/>
    <mergeCell ref="BG15:BK15"/>
    <mergeCell ref="BL15:BQ15"/>
    <mergeCell ref="BR15:BV15"/>
    <mergeCell ref="BW15:CB15"/>
    <mergeCell ref="CC15:CG15"/>
    <mergeCell ref="CH15:CM15"/>
    <mergeCell ref="CN15:CR15"/>
    <mergeCell ref="CS15:CX15"/>
    <mergeCell ref="CY15:DC15"/>
    <mergeCell ref="DD15:DI15"/>
    <mergeCell ref="DL15:DQ15"/>
    <mergeCell ref="DR15:DV15"/>
    <mergeCell ref="DW15:EB15"/>
    <mergeCell ref="EH13:EM13"/>
    <mergeCell ref="EN13:ER13"/>
    <mergeCell ref="ES13:EX13"/>
    <mergeCell ref="EY13:FC13"/>
    <mergeCell ref="FD13:FI13"/>
    <mergeCell ref="FJ13:FN13"/>
    <mergeCell ref="FO13:FS13"/>
    <mergeCell ref="FT13:GW13"/>
    <mergeCell ref="BA14:BF14"/>
    <mergeCell ref="BG14:BK14"/>
    <mergeCell ref="BL14:BQ14"/>
    <mergeCell ref="BR14:BV14"/>
    <mergeCell ref="BW14:CB14"/>
    <mergeCell ref="CC14:CG14"/>
    <mergeCell ref="CH14:CM14"/>
    <mergeCell ref="CN14:CR14"/>
    <mergeCell ref="CS14:CX14"/>
    <mergeCell ref="CY14:DC14"/>
    <mergeCell ref="DD14:DI14"/>
    <mergeCell ref="DJ14:EM14"/>
    <mergeCell ref="EP14:EU14"/>
    <mergeCell ref="EV14:EZ14"/>
    <mergeCell ref="FA14:FF14"/>
    <mergeCell ref="FG14:FK14"/>
    <mergeCell ref="FR12:FV12"/>
    <mergeCell ref="FW12:GB12"/>
    <mergeCell ref="GC12:GG12"/>
    <mergeCell ref="GH12:GM12"/>
    <mergeCell ref="GN12:GR12"/>
    <mergeCell ref="GS12:GW12"/>
    <mergeCell ref="B13:K14"/>
    <mergeCell ref="L13:AP14"/>
    <mergeCell ref="AQ13:AX14"/>
    <mergeCell ref="BA13:BF13"/>
    <mergeCell ref="BG13:BK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EC13:EG13"/>
    <mergeCell ref="EN11:ER11"/>
    <mergeCell ref="ES11:EX11"/>
    <mergeCell ref="EY11:FC11"/>
    <mergeCell ref="FD11:FI11"/>
    <mergeCell ref="FJ11:FN11"/>
    <mergeCell ref="FO11:FS11"/>
    <mergeCell ref="FT11:GW11"/>
    <mergeCell ref="BA12:BF12"/>
    <mergeCell ref="BG12:BK12"/>
    <mergeCell ref="BL12:BQ12"/>
    <mergeCell ref="BR12:BV12"/>
    <mergeCell ref="BW12:CB12"/>
    <mergeCell ref="CC12:CG12"/>
    <mergeCell ref="CH12:CM12"/>
    <mergeCell ref="CN12:CR12"/>
    <mergeCell ref="CS12:CX12"/>
    <mergeCell ref="CY12:DC12"/>
    <mergeCell ref="DD12:DI12"/>
    <mergeCell ref="DJ12:EM12"/>
    <mergeCell ref="EP12:EU12"/>
    <mergeCell ref="EV12:EZ12"/>
    <mergeCell ref="FA12:FF12"/>
    <mergeCell ref="FG12:FK12"/>
    <mergeCell ref="FL12:FQ12"/>
    <mergeCell ref="FW10:GB10"/>
    <mergeCell ref="GC10:GG10"/>
    <mergeCell ref="GH10:GM10"/>
    <mergeCell ref="GN10:GR10"/>
    <mergeCell ref="GS10:GW10"/>
    <mergeCell ref="B11:K12"/>
    <mergeCell ref="L11:AP12"/>
    <mergeCell ref="AQ11:AX12"/>
    <mergeCell ref="BA11:BF11"/>
    <mergeCell ref="BG11:BK11"/>
    <mergeCell ref="BL11:BQ11"/>
    <mergeCell ref="BR11:BV11"/>
    <mergeCell ref="BW11:CB11"/>
    <mergeCell ref="CC11:CG11"/>
    <mergeCell ref="CH11:CM11"/>
    <mergeCell ref="CN11:CR11"/>
    <mergeCell ref="CS11:CX11"/>
    <mergeCell ref="CY11:DC11"/>
    <mergeCell ref="DD11:DI11"/>
    <mergeCell ref="DL11:DQ11"/>
    <mergeCell ref="DR11:DV11"/>
    <mergeCell ref="DW11:EB11"/>
    <mergeCell ref="EC11:EG11"/>
    <mergeCell ref="EH11:EM11"/>
    <mergeCell ref="CY10:DC10"/>
    <mergeCell ref="DD10:DI10"/>
    <mergeCell ref="DJ10:EM10"/>
    <mergeCell ref="EP10:EU10"/>
    <mergeCell ref="EV10:EZ10"/>
    <mergeCell ref="FA10:FF10"/>
    <mergeCell ref="FG10:FK10"/>
    <mergeCell ref="FL10:FQ10"/>
    <mergeCell ref="FR10:FV10"/>
    <mergeCell ref="BA10:BF10"/>
    <mergeCell ref="BG10:BK10"/>
    <mergeCell ref="BL10:BQ10"/>
    <mergeCell ref="BR10:BV10"/>
    <mergeCell ref="BW10:CB10"/>
    <mergeCell ref="CC10:CG10"/>
    <mergeCell ref="CH10:CM10"/>
    <mergeCell ref="CN10:CR10"/>
    <mergeCell ref="CS10:CX10"/>
    <mergeCell ref="EC9:EG9"/>
    <mergeCell ref="EH9:EM9"/>
    <mergeCell ref="EN9:ER9"/>
    <mergeCell ref="ES9:EX9"/>
    <mergeCell ref="EY9:FC9"/>
    <mergeCell ref="FD9:FI9"/>
    <mergeCell ref="FJ9:FN9"/>
    <mergeCell ref="FO9:FS9"/>
    <mergeCell ref="FT9:GW9"/>
    <mergeCell ref="FL8:FQ8"/>
    <mergeCell ref="FR8:FV8"/>
    <mergeCell ref="FW8:GB8"/>
    <mergeCell ref="GC8:GG8"/>
    <mergeCell ref="GH8:GM8"/>
    <mergeCell ref="GN8:GR8"/>
    <mergeCell ref="GS8:GW8"/>
    <mergeCell ref="B9:K10"/>
    <mergeCell ref="L9:AP10"/>
    <mergeCell ref="AQ9:AX10"/>
    <mergeCell ref="BA9:BF9"/>
    <mergeCell ref="BG9:BK9"/>
    <mergeCell ref="BL9:BQ9"/>
    <mergeCell ref="BR9:BV9"/>
    <mergeCell ref="BW9:CB9"/>
    <mergeCell ref="CC9:CG9"/>
    <mergeCell ref="CH9:CM9"/>
    <mergeCell ref="CN9:CR9"/>
    <mergeCell ref="CS9:CX9"/>
    <mergeCell ref="CY9:DC9"/>
    <mergeCell ref="DD9:DI9"/>
    <mergeCell ref="DL9:DQ9"/>
    <mergeCell ref="DR9:DV9"/>
    <mergeCell ref="DW9:EB9"/>
    <mergeCell ref="EH7:EM7"/>
    <mergeCell ref="EN7:ER7"/>
    <mergeCell ref="ES7:EX7"/>
    <mergeCell ref="EY7:FC7"/>
    <mergeCell ref="FD7:FI7"/>
    <mergeCell ref="FJ7:FN7"/>
    <mergeCell ref="FO7:FS7"/>
    <mergeCell ref="FT7:GW7"/>
    <mergeCell ref="BA8:BF8"/>
    <mergeCell ref="BG8:BK8"/>
    <mergeCell ref="BL8:BQ8"/>
    <mergeCell ref="BR8:BV8"/>
    <mergeCell ref="BW8:CB8"/>
    <mergeCell ref="CC8:CG8"/>
    <mergeCell ref="CH8:CM8"/>
    <mergeCell ref="CN8:CR8"/>
    <mergeCell ref="CS8:CX8"/>
    <mergeCell ref="CY8:DC8"/>
    <mergeCell ref="DD8:DI8"/>
    <mergeCell ref="DJ8:EM8"/>
    <mergeCell ref="EP8:EU8"/>
    <mergeCell ref="EV8:EZ8"/>
    <mergeCell ref="FA8:FF8"/>
    <mergeCell ref="FG8:FK8"/>
    <mergeCell ref="CH7:CM7"/>
    <mergeCell ref="CN7:CR7"/>
    <mergeCell ref="CS7:CX7"/>
    <mergeCell ref="CY7:DC7"/>
    <mergeCell ref="DD7:DI7"/>
    <mergeCell ref="DL7:DQ7"/>
    <mergeCell ref="DR7:DV7"/>
    <mergeCell ref="DW7:EB7"/>
    <mergeCell ref="EC7:EG7"/>
    <mergeCell ref="B7:K8"/>
    <mergeCell ref="L7:AP8"/>
    <mergeCell ref="AQ7:AX8"/>
    <mergeCell ref="BA7:BF7"/>
    <mergeCell ref="BG7:BK7"/>
    <mergeCell ref="BL7:BQ7"/>
    <mergeCell ref="BR7:BV7"/>
    <mergeCell ref="BW7:CB7"/>
    <mergeCell ref="CC7:CG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33333333333304" right="0.70833333333333304" top="0.78749999999999998" bottom="0.78749999999999998" header="0.51180555555555496" footer="0.51180555555555496"/>
  <pageSetup paperSize="9" firstPageNumber="0" orientation="portrait" horizontalDpi="300" verticalDpi="300"/>
  <rowBreaks count="1" manualBreakCount="1">
    <brk id="36" max="16383" man="1"/>
  </rowBreaks>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Normal="100" workbookViewId="0"/>
  </sheetViews>
  <sheetFormatPr defaultRowHeight="15" x14ac:dyDescent="0.25"/>
  <cols>
    <col min="1" max="1025" width="0.42578125" customWidth="1"/>
  </cols>
  <sheetData>
    <row r="1" spans="1:205" ht="3.75" customHeight="1" x14ac:dyDescent="0.25">
      <c r="A1" s="642"/>
    </row>
    <row r="2" spans="1:205" ht="25.5" customHeight="1" x14ac:dyDescent="0.25">
      <c r="B2" s="643"/>
      <c r="C2" s="644"/>
      <c r="D2" s="644"/>
      <c r="E2" s="644"/>
      <c r="F2" s="644"/>
      <c r="G2" s="644"/>
      <c r="H2" s="644"/>
      <c r="I2" s="957" t="s">
        <v>5347</v>
      </c>
      <c r="J2" s="957"/>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K2" s="958" t="s">
        <v>2327</v>
      </c>
      <c r="AL2" s="958"/>
      <c r="AM2" s="958"/>
      <c r="AN2" s="958"/>
      <c r="AO2" s="958"/>
      <c r="AP2" s="958"/>
      <c r="AQ2" s="958"/>
      <c r="AR2" s="958"/>
      <c r="AS2" s="645"/>
      <c r="AT2" s="986" t="str">
        <f>'S 002'!$AT$2</f>
        <v>2020473411</v>
      </c>
      <c r="AU2" s="986"/>
      <c r="AV2" s="986"/>
      <c r="AW2" s="986"/>
      <c r="AX2" s="986"/>
      <c r="AY2" s="986"/>
      <c r="AZ2" s="986"/>
      <c r="BA2" s="986"/>
      <c r="BB2" s="986"/>
      <c r="BC2" s="986"/>
      <c r="BD2" s="986"/>
      <c r="BE2" s="986"/>
      <c r="BF2" s="986"/>
      <c r="BG2" s="986"/>
      <c r="BH2" s="986"/>
      <c r="BI2" s="986"/>
      <c r="BJ2" s="986"/>
      <c r="BK2" s="986"/>
      <c r="BL2" s="986"/>
      <c r="BM2" s="986"/>
      <c r="BN2" s="986"/>
      <c r="BO2" s="986"/>
      <c r="BP2" s="986"/>
      <c r="BQ2" s="986"/>
      <c r="BR2" s="986"/>
      <c r="BS2" s="986"/>
      <c r="BT2" s="986"/>
      <c r="BU2" s="986"/>
      <c r="BV2" s="986"/>
      <c r="BW2" s="986"/>
      <c r="BX2" s="986"/>
      <c r="BY2" s="986"/>
      <c r="BZ2" s="986"/>
      <c r="CA2" s="986"/>
      <c r="CB2" s="986"/>
      <c r="CC2" s="986"/>
      <c r="CD2" s="986"/>
      <c r="CE2" s="986"/>
      <c r="CF2" s="986"/>
      <c r="CG2" s="986"/>
      <c r="CH2" s="986"/>
      <c r="CI2" s="986"/>
      <c r="CJ2" s="986"/>
      <c r="CK2" s="986"/>
      <c r="CL2" s="986"/>
      <c r="CM2" s="986"/>
      <c r="CN2" s="986"/>
      <c r="CO2" s="986"/>
      <c r="CP2" s="986"/>
      <c r="CQ2" s="986"/>
      <c r="CR2" s="986"/>
      <c r="CS2" s="986"/>
      <c r="CT2" s="645"/>
      <c r="CU2" s="646"/>
      <c r="CW2" s="958" t="s">
        <v>5</v>
      </c>
      <c r="CX2" s="958"/>
      <c r="CY2" s="958"/>
      <c r="CZ2" s="958"/>
      <c r="DA2" s="958"/>
      <c r="DB2" s="958"/>
      <c r="DC2" s="958"/>
      <c r="DD2" s="645"/>
      <c r="DE2" s="986" t="str">
        <f>'S 002'!$DE$2</f>
        <v>00651052</v>
      </c>
      <c r="DF2" s="986"/>
      <c r="DG2" s="986"/>
      <c r="DH2" s="986"/>
      <c r="DI2" s="986"/>
      <c r="DJ2" s="986"/>
      <c r="DK2" s="986"/>
      <c r="DL2" s="986"/>
      <c r="DM2" s="986"/>
      <c r="DN2" s="986"/>
      <c r="DO2" s="986"/>
      <c r="DP2" s="986"/>
      <c r="DQ2" s="986"/>
      <c r="DR2" s="986"/>
      <c r="DS2" s="986"/>
      <c r="DT2" s="986"/>
      <c r="DU2" s="986"/>
      <c r="DV2" s="986"/>
      <c r="DW2" s="986"/>
      <c r="DX2" s="986"/>
      <c r="DY2" s="986"/>
      <c r="DZ2" s="986"/>
      <c r="EA2" s="986"/>
      <c r="EB2" s="986"/>
      <c r="EC2" s="986"/>
      <c r="ED2" s="986"/>
      <c r="EE2" s="986"/>
      <c r="EF2" s="986"/>
      <c r="EG2" s="986"/>
      <c r="EH2" s="986"/>
      <c r="EI2" s="986"/>
      <c r="EJ2" s="986"/>
      <c r="EK2" s="986"/>
      <c r="EL2" s="986"/>
      <c r="EM2" s="986"/>
      <c r="EN2" s="986"/>
      <c r="EO2" s="986"/>
      <c r="EP2" s="986"/>
      <c r="EQ2" s="986"/>
      <c r="ER2" s="986"/>
      <c r="ES2" s="986"/>
      <c r="ET2" s="986"/>
      <c r="EU2" s="986"/>
      <c r="EV2" s="645"/>
      <c r="EW2" s="646"/>
      <c r="GQ2" s="644"/>
      <c r="GR2" s="644"/>
      <c r="GS2" s="644"/>
      <c r="GT2" s="644"/>
      <c r="GU2" s="644"/>
      <c r="GV2" s="644"/>
      <c r="GW2" s="647"/>
    </row>
    <row r="3" spans="1:205" ht="3" customHeight="1" x14ac:dyDescent="0.25"/>
    <row r="4" spans="1:205" ht="11.25" customHeight="1" x14ac:dyDescent="0.3">
      <c r="B4" s="960" t="s">
        <v>5340</v>
      </c>
      <c r="C4" s="960"/>
      <c r="D4" s="960"/>
      <c r="E4" s="960"/>
      <c r="F4" s="960"/>
      <c r="G4" s="960"/>
      <c r="H4" s="960"/>
      <c r="I4" s="960"/>
      <c r="J4" s="960"/>
      <c r="K4" s="960"/>
      <c r="L4" s="961" t="s">
        <v>5341</v>
      </c>
      <c r="M4" s="961"/>
      <c r="N4" s="961"/>
      <c r="O4" s="961"/>
      <c r="P4" s="961"/>
      <c r="Q4" s="961"/>
      <c r="R4" s="961"/>
      <c r="S4" s="961"/>
      <c r="T4" s="961"/>
      <c r="U4" s="961"/>
      <c r="V4" s="961"/>
      <c r="W4" s="961"/>
      <c r="X4" s="961"/>
      <c r="Y4" s="961"/>
      <c r="Z4" s="961"/>
      <c r="AA4" s="961"/>
      <c r="AB4" s="961"/>
      <c r="AC4" s="961"/>
      <c r="AD4" s="961"/>
      <c r="AE4" s="961"/>
      <c r="AF4" s="961"/>
      <c r="AG4" s="961"/>
      <c r="AH4" s="961"/>
      <c r="AI4" s="961"/>
      <c r="AJ4" s="961"/>
      <c r="AK4" s="961"/>
      <c r="AL4" s="961"/>
      <c r="AM4" s="961"/>
      <c r="AN4" s="961"/>
      <c r="AO4" s="961"/>
      <c r="AP4" s="961"/>
      <c r="AQ4" s="962" t="str">
        <f>'S 003'!AQ4</f>
        <v>Číslo riadku</v>
      </c>
      <c r="AR4" s="962"/>
      <c r="AS4" s="962"/>
      <c r="AT4" s="962"/>
      <c r="AU4" s="962"/>
      <c r="AV4" s="962"/>
      <c r="AW4" s="962"/>
      <c r="AX4" s="962"/>
      <c r="AY4" s="963" t="str">
        <f>'S 003'!AY4</f>
        <v>Bežné účtovné obdobie</v>
      </c>
      <c r="AZ4" s="963"/>
      <c r="BA4" s="963"/>
      <c r="BB4" s="963"/>
      <c r="BC4" s="963"/>
      <c r="BD4" s="963"/>
      <c r="BE4" s="963"/>
      <c r="BF4" s="963"/>
      <c r="BG4" s="963"/>
      <c r="BH4" s="963"/>
      <c r="BI4" s="963"/>
      <c r="BJ4" s="963"/>
      <c r="BK4" s="963"/>
      <c r="BL4" s="963"/>
      <c r="BM4" s="963"/>
      <c r="BN4" s="963"/>
      <c r="BO4" s="963"/>
      <c r="BP4" s="963"/>
      <c r="BQ4" s="963"/>
      <c r="BR4" s="963"/>
      <c r="BS4" s="963"/>
      <c r="BT4" s="963"/>
      <c r="BU4" s="963"/>
      <c r="BV4" s="963"/>
      <c r="BW4" s="963"/>
      <c r="BX4" s="963"/>
      <c r="BY4" s="963"/>
      <c r="BZ4" s="963"/>
      <c r="CA4" s="963"/>
      <c r="CB4" s="963"/>
      <c r="CC4" s="963"/>
      <c r="CD4" s="963"/>
      <c r="CE4" s="963"/>
      <c r="CF4" s="963"/>
      <c r="CG4" s="963"/>
      <c r="CH4" s="963"/>
      <c r="CI4" s="963"/>
      <c r="CJ4" s="963"/>
      <c r="CK4" s="963"/>
      <c r="CL4" s="963"/>
      <c r="CM4" s="963"/>
      <c r="CN4" s="963"/>
      <c r="CO4" s="963"/>
      <c r="CP4" s="963"/>
      <c r="CQ4" s="963"/>
      <c r="CR4" s="963"/>
      <c r="CS4" s="963"/>
      <c r="CT4" s="963"/>
      <c r="CU4" s="963"/>
      <c r="CV4" s="963"/>
      <c r="CW4" s="963"/>
      <c r="CX4" s="963"/>
      <c r="CY4" s="963"/>
      <c r="CZ4" s="963"/>
      <c r="DA4" s="963"/>
      <c r="DB4" s="963"/>
      <c r="DC4" s="963"/>
      <c r="DD4" s="963"/>
      <c r="DE4" s="963"/>
      <c r="DF4" s="963"/>
      <c r="DG4" s="963"/>
      <c r="DH4" s="963"/>
      <c r="DI4" s="963"/>
      <c r="DJ4" s="963"/>
      <c r="DK4" s="963"/>
      <c r="DL4" s="963"/>
      <c r="DM4" s="963"/>
      <c r="DN4" s="963"/>
      <c r="DO4" s="963"/>
      <c r="DP4" s="963"/>
      <c r="DQ4" s="963"/>
      <c r="DR4" s="963"/>
      <c r="DS4" s="963"/>
      <c r="DT4" s="963"/>
      <c r="DU4" s="963"/>
      <c r="DV4" s="963"/>
      <c r="DW4" s="963"/>
      <c r="DX4" s="963"/>
      <c r="DY4" s="963"/>
      <c r="DZ4" s="963"/>
      <c r="EA4" s="963"/>
      <c r="EB4" s="963"/>
      <c r="EC4" s="963"/>
      <c r="ED4" s="963"/>
      <c r="EE4" s="963"/>
      <c r="EF4" s="963"/>
      <c r="EG4" s="963"/>
      <c r="EH4" s="963"/>
      <c r="EI4" s="963"/>
      <c r="EJ4" s="963"/>
      <c r="EK4" s="963"/>
      <c r="EL4" s="963"/>
      <c r="EM4" s="963"/>
      <c r="EN4" s="963"/>
      <c r="EO4" s="963"/>
      <c r="EP4" s="963"/>
      <c r="EQ4" s="963"/>
      <c r="ER4" s="963"/>
      <c r="ES4" s="963"/>
      <c r="ET4" s="963"/>
      <c r="EU4" s="963"/>
      <c r="EV4" s="963"/>
      <c r="EW4" s="963"/>
      <c r="EX4" s="963"/>
      <c r="EY4" s="963"/>
      <c r="EZ4" s="963"/>
      <c r="FA4" s="963"/>
      <c r="FB4" s="963"/>
      <c r="FC4" s="987">
        <f>'S 003'!FC4</f>
        <v>0</v>
      </c>
      <c r="FD4" s="987"/>
      <c r="FE4" s="987"/>
      <c r="FF4" s="987"/>
      <c r="FG4" s="987"/>
      <c r="FH4" s="987"/>
      <c r="FI4" s="987"/>
      <c r="FJ4" s="987"/>
      <c r="FK4" s="987"/>
      <c r="FL4" s="987"/>
      <c r="FM4" s="987"/>
      <c r="FN4" s="987"/>
      <c r="FO4" s="987"/>
      <c r="FP4" s="987"/>
      <c r="FQ4" s="987"/>
      <c r="FR4" s="987"/>
      <c r="FS4" s="987"/>
      <c r="FT4" s="987"/>
      <c r="FU4" s="987"/>
      <c r="FV4" s="987"/>
      <c r="FW4" s="987"/>
      <c r="FX4" s="987"/>
      <c r="FY4" s="987"/>
      <c r="FZ4" s="987"/>
      <c r="GA4" s="987"/>
      <c r="GB4" s="987"/>
      <c r="GC4" s="987"/>
      <c r="GD4" s="987"/>
      <c r="GE4" s="987"/>
      <c r="GF4" s="987"/>
      <c r="GG4" s="987"/>
      <c r="GH4" s="987"/>
      <c r="GI4" s="987"/>
      <c r="GJ4" s="987"/>
      <c r="GK4" s="987"/>
      <c r="GL4" s="987"/>
      <c r="GM4" s="987"/>
      <c r="GN4" s="987"/>
      <c r="GO4" s="987"/>
      <c r="GP4" s="987"/>
      <c r="GQ4" s="987"/>
      <c r="GR4" s="987"/>
      <c r="GS4" s="987"/>
      <c r="GT4" s="987"/>
      <c r="GU4" s="987"/>
      <c r="GV4" s="987"/>
      <c r="GW4" s="987"/>
    </row>
    <row r="5" spans="1:205" ht="11.25" customHeight="1" x14ac:dyDescent="0.3">
      <c r="B5" s="965" t="s">
        <v>5342</v>
      </c>
      <c r="C5" s="965"/>
      <c r="D5" s="965"/>
      <c r="E5" s="965"/>
      <c r="F5" s="965"/>
      <c r="G5" s="965"/>
      <c r="H5" s="965"/>
      <c r="I5" s="965"/>
      <c r="J5" s="965"/>
      <c r="K5" s="965"/>
      <c r="L5" s="961"/>
      <c r="M5" s="961"/>
      <c r="N5" s="961"/>
      <c r="O5" s="961"/>
      <c r="P5" s="961"/>
      <c r="Q5" s="961"/>
      <c r="R5" s="961"/>
      <c r="S5" s="961"/>
      <c r="T5" s="961"/>
      <c r="U5" s="961"/>
      <c r="V5" s="961"/>
      <c r="W5" s="961"/>
      <c r="X5" s="961"/>
      <c r="Y5" s="961"/>
      <c r="Z5" s="961"/>
      <c r="AA5" s="961"/>
      <c r="AB5" s="961"/>
      <c r="AC5" s="961"/>
      <c r="AD5" s="961"/>
      <c r="AE5" s="961"/>
      <c r="AF5" s="961"/>
      <c r="AG5" s="961"/>
      <c r="AH5" s="961"/>
      <c r="AI5" s="961"/>
      <c r="AJ5" s="961"/>
      <c r="AK5" s="961"/>
      <c r="AL5" s="961"/>
      <c r="AM5" s="961"/>
      <c r="AN5" s="961"/>
      <c r="AO5" s="961"/>
      <c r="AP5" s="961"/>
      <c r="AQ5" s="962"/>
      <c r="AR5" s="962"/>
      <c r="AS5" s="962"/>
      <c r="AT5" s="962"/>
      <c r="AU5" s="962"/>
      <c r="AV5" s="962"/>
      <c r="AW5" s="962"/>
      <c r="AX5" s="962"/>
      <c r="AY5" s="966">
        <f>'S 003'!AY5</f>
        <v>0</v>
      </c>
      <c r="AZ5" s="966"/>
      <c r="BA5" s="966"/>
      <c r="BB5" s="966"/>
      <c r="BC5" s="966"/>
      <c r="BD5" s="966"/>
      <c r="BE5" s="967" t="str">
        <f>'S 003'!BE5</f>
        <v>Brutto-časť 1</v>
      </c>
      <c r="BF5" s="967"/>
      <c r="BG5" s="967"/>
      <c r="BH5" s="967"/>
      <c r="BI5" s="967"/>
      <c r="BJ5" s="967"/>
      <c r="BK5" s="967"/>
      <c r="BL5" s="967"/>
      <c r="BM5" s="967"/>
      <c r="BN5" s="967"/>
      <c r="BO5" s="967"/>
      <c r="BP5" s="967"/>
      <c r="BQ5" s="967"/>
      <c r="BR5" s="967"/>
      <c r="BS5" s="967"/>
      <c r="BT5" s="967"/>
      <c r="BU5" s="967"/>
      <c r="BV5" s="967"/>
      <c r="BW5" s="967"/>
      <c r="BX5" s="967"/>
      <c r="BY5" s="967"/>
      <c r="BZ5" s="967"/>
      <c r="CA5" s="967"/>
      <c r="CB5" s="967"/>
      <c r="CC5" s="967"/>
      <c r="CD5" s="967"/>
      <c r="CE5" s="967"/>
      <c r="CF5" s="967"/>
      <c r="CG5" s="967"/>
      <c r="CH5" s="967"/>
      <c r="CI5" s="967"/>
      <c r="CJ5" s="967"/>
      <c r="CK5" s="967"/>
      <c r="CL5" s="967"/>
      <c r="CM5" s="967"/>
      <c r="CN5" s="967"/>
      <c r="CO5" s="967"/>
      <c r="CP5" s="967"/>
      <c r="CQ5" s="967"/>
      <c r="CR5" s="967"/>
      <c r="CS5" s="967"/>
      <c r="CT5" s="967"/>
      <c r="CU5" s="967"/>
      <c r="CV5" s="967"/>
      <c r="CW5" s="967"/>
      <c r="CX5" s="967"/>
      <c r="CY5" s="967"/>
      <c r="CZ5" s="967"/>
      <c r="DA5" s="967"/>
      <c r="DB5" s="967"/>
      <c r="DC5" s="967"/>
      <c r="DD5" s="967"/>
      <c r="DE5" s="967"/>
      <c r="DF5" s="967"/>
      <c r="DG5" s="967"/>
      <c r="DH5" s="967"/>
      <c r="DI5" s="967"/>
      <c r="DJ5" s="963" t="str">
        <f>'S 003'!DJ5</f>
        <v>Netto</v>
      </c>
      <c r="DK5" s="963"/>
      <c r="DL5" s="963"/>
      <c r="DM5" s="963"/>
      <c r="DN5" s="963"/>
      <c r="DO5" s="963"/>
      <c r="DP5" s="963"/>
      <c r="DQ5" s="963"/>
      <c r="DR5" s="963"/>
      <c r="DS5" s="963"/>
      <c r="DT5" s="963"/>
      <c r="DU5" s="963"/>
      <c r="DV5" s="963"/>
      <c r="DW5" s="963"/>
      <c r="DX5" s="963"/>
      <c r="DY5" s="963"/>
      <c r="DZ5" s="963"/>
      <c r="EA5" s="963"/>
      <c r="EB5" s="963"/>
      <c r="EC5" s="963"/>
      <c r="ED5" s="963"/>
      <c r="EE5" s="963"/>
      <c r="EF5" s="963"/>
      <c r="EG5" s="963"/>
      <c r="EH5" s="963"/>
      <c r="EI5" s="963"/>
      <c r="EJ5" s="963"/>
      <c r="EK5" s="963"/>
      <c r="EL5" s="963"/>
      <c r="EM5" s="963"/>
      <c r="EN5" s="963"/>
      <c r="EO5" s="963"/>
      <c r="EP5" s="963"/>
      <c r="EQ5" s="963"/>
      <c r="ER5" s="963"/>
      <c r="ES5" s="963"/>
      <c r="ET5" s="963"/>
      <c r="EU5" s="963"/>
      <c r="EV5" s="963"/>
      <c r="EW5" s="963"/>
      <c r="EX5" s="963"/>
      <c r="EY5" s="963"/>
      <c r="EZ5" s="963"/>
      <c r="FA5" s="963"/>
      <c r="FB5" s="963"/>
      <c r="FC5" s="987"/>
      <c r="FD5" s="987"/>
      <c r="FE5" s="987"/>
      <c r="FF5" s="987"/>
      <c r="FG5" s="987"/>
      <c r="FH5" s="987"/>
      <c r="FI5" s="987"/>
      <c r="FJ5" s="987"/>
      <c r="FK5" s="987"/>
      <c r="FL5" s="987"/>
      <c r="FM5" s="987"/>
      <c r="FN5" s="987"/>
      <c r="FO5" s="987"/>
      <c r="FP5" s="987"/>
      <c r="FQ5" s="987"/>
      <c r="FR5" s="987"/>
      <c r="FS5" s="987"/>
      <c r="FT5" s="987"/>
      <c r="FU5" s="987"/>
      <c r="FV5" s="987"/>
      <c r="FW5" s="987"/>
      <c r="FX5" s="987"/>
      <c r="FY5" s="987"/>
      <c r="FZ5" s="987"/>
      <c r="GA5" s="987"/>
      <c r="GB5" s="987"/>
      <c r="GC5" s="987"/>
      <c r="GD5" s="987"/>
      <c r="GE5" s="987"/>
      <c r="GF5" s="987"/>
      <c r="GG5" s="987"/>
      <c r="GH5" s="987"/>
      <c r="GI5" s="987"/>
      <c r="GJ5" s="987"/>
      <c r="GK5" s="987"/>
      <c r="GL5" s="987"/>
      <c r="GM5" s="987"/>
      <c r="GN5" s="987"/>
      <c r="GO5" s="987"/>
      <c r="GP5" s="987"/>
      <c r="GQ5" s="987"/>
      <c r="GR5" s="987"/>
      <c r="GS5" s="987"/>
      <c r="GT5" s="987"/>
      <c r="GU5" s="987"/>
      <c r="GV5" s="987"/>
      <c r="GW5" s="987"/>
    </row>
    <row r="6" spans="1:205" ht="10.5" customHeight="1" x14ac:dyDescent="0.3">
      <c r="B6" s="969" t="s">
        <v>1323</v>
      </c>
      <c r="C6" s="969"/>
      <c r="D6" s="969"/>
      <c r="E6" s="969"/>
      <c r="F6" s="969"/>
      <c r="G6" s="969"/>
      <c r="H6" s="969"/>
      <c r="I6" s="969"/>
      <c r="J6" s="969"/>
      <c r="K6" s="969"/>
      <c r="L6" s="961"/>
      <c r="M6" s="961"/>
      <c r="N6" s="961"/>
      <c r="O6" s="961"/>
      <c r="P6" s="961"/>
      <c r="Q6" s="961"/>
      <c r="R6" s="961"/>
      <c r="S6" s="961"/>
      <c r="T6" s="961"/>
      <c r="U6" s="961"/>
      <c r="V6" s="961"/>
      <c r="W6" s="961"/>
      <c r="X6" s="961"/>
      <c r="Y6" s="961"/>
      <c r="Z6" s="961"/>
      <c r="AA6" s="961"/>
      <c r="AB6" s="961"/>
      <c r="AC6" s="961"/>
      <c r="AD6" s="961"/>
      <c r="AE6" s="961"/>
      <c r="AF6" s="961"/>
      <c r="AG6" s="961"/>
      <c r="AH6" s="961"/>
      <c r="AI6" s="961"/>
      <c r="AJ6" s="961"/>
      <c r="AK6" s="961"/>
      <c r="AL6" s="961"/>
      <c r="AM6" s="961"/>
      <c r="AN6" s="961"/>
      <c r="AO6" s="961"/>
      <c r="AP6" s="961"/>
      <c r="AQ6" s="962"/>
      <c r="AR6" s="962"/>
      <c r="AS6" s="962"/>
      <c r="AT6" s="962"/>
      <c r="AU6" s="962"/>
      <c r="AV6" s="962"/>
      <c r="AW6" s="962"/>
      <c r="AX6" s="962"/>
      <c r="AY6" s="966"/>
      <c r="AZ6" s="966"/>
      <c r="BA6" s="966"/>
      <c r="BB6" s="966"/>
      <c r="BC6" s="966"/>
      <c r="BD6" s="966"/>
      <c r="BE6" s="970" t="str">
        <f>'S 003'!BE6</f>
        <v>Oprávky</v>
      </c>
      <c r="BF6" s="970"/>
      <c r="BG6" s="970"/>
      <c r="BH6" s="970"/>
      <c r="BI6" s="970"/>
      <c r="BJ6" s="970"/>
      <c r="BK6" s="970"/>
      <c r="BL6" s="970"/>
      <c r="BM6" s="970"/>
      <c r="BN6" s="970"/>
      <c r="BO6" s="970"/>
      <c r="BP6" s="970"/>
      <c r="BQ6" s="970"/>
      <c r="BR6" s="970"/>
      <c r="BS6" s="970"/>
      <c r="BT6" s="970"/>
      <c r="BU6" s="970"/>
      <c r="BV6" s="970"/>
      <c r="BW6" s="970"/>
      <c r="BX6" s="970"/>
      <c r="BY6" s="970"/>
      <c r="BZ6" s="970"/>
      <c r="CA6" s="970"/>
      <c r="CB6" s="970"/>
      <c r="CC6" s="970"/>
      <c r="CD6" s="970"/>
      <c r="CE6" s="970"/>
      <c r="CF6" s="970"/>
      <c r="CG6" s="970"/>
      <c r="CH6" s="970"/>
      <c r="CI6" s="970"/>
      <c r="CJ6" s="970"/>
      <c r="CK6" s="970"/>
      <c r="CL6" s="970"/>
      <c r="CM6" s="970"/>
      <c r="CN6" s="970"/>
      <c r="CO6" s="970"/>
      <c r="CP6" s="970"/>
      <c r="CQ6" s="970"/>
      <c r="CR6" s="970"/>
      <c r="CS6" s="970"/>
      <c r="CT6" s="970"/>
      <c r="CU6" s="970"/>
      <c r="CV6" s="970"/>
      <c r="CW6" s="970"/>
      <c r="CX6" s="970"/>
      <c r="CY6" s="970"/>
      <c r="CZ6" s="970"/>
      <c r="DA6" s="970"/>
      <c r="DB6" s="970"/>
      <c r="DC6" s="970"/>
      <c r="DD6" s="970"/>
      <c r="DE6" s="970"/>
      <c r="DF6" s="970"/>
      <c r="DG6" s="970"/>
      <c r="DH6" s="970"/>
      <c r="DI6" s="970"/>
      <c r="DJ6" s="963">
        <f>'S 003'!DJ6</f>
        <v>0</v>
      </c>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963"/>
      <c r="EU6" s="963"/>
      <c r="EV6" s="963"/>
      <c r="EW6" s="963"/>
      <c r="EX6" s="963"/>
      <c r="EY6" s="963"/>
      <c r="EZ6" s="963"/>
      <c r="FA6" s="963"/>
      <c r="FB6" s="963"/>
      <c r="FC6" s="988" t="str">
        <f>'S 003'!FC6</f>
        <v>Netto</v>
      </c>
      <c r="FD6" s="988"/>
      <c r="FE6" s="988"/>
      <c r="FF6" s="988"/>
      <c r="FG6" s="988"/>
      <c r="FH6" s="988"/>
      <c r="FI6" s="988"/>
      <c r="FJ6" s="988"/>
      <c r="FK6" s="988"/>
      <c r="FL6" s="988"/>
      <c r="FM6" s="988"/>
      <c r="FN6" s="988"/>
      <c r="FO6" s="988"/>
      <c r="FP6" s="988"/>
      <c r="FQ6" s="988"/>
      <c r="FR6" s="988"/>
      <c r="FS6" s="988"/>
      <c r="FT6" s="988"/>
      <c r="FU6" s="988"/>
      <c r="FV6" s="988"/>
      <c r="FW6" s="988"/>
      <c r="FX6" s="988"/>
      <c r="FY6" s="988"/>
      <c r="FZ6" s="988"/>
      <c r="GA6" s="988"/>
      <c r="GB6" s="988"/>
      <c r="GC6" s="988"/>
      <c r="GD6" s="988"/>
      <c r="GE6" s="988"/>
      <c r="GF6" s="988"/>
      <c r="GG6" s="988"/>
      <c r="GH6" s="988"/>
      <c r="GI6" s="988"/>
      <c r="GJ6" s="988"/>
      <c r="GK6" s="988"/>
      <c r="GL6" s="988"/>
      <c r="GM6" s="988"/>
      <c r="GN6" s="988"/>
      <c r="GO6" s="988"/>
      <c r="GP6" s="988"/>
      <c r="GQ6" s="988"/>
      <c r="GR6" s="988"/>
      <c r="GS6" s="988"/>
      <c r="GT6" s="988"/>
      <c r="GU6" s="988"/>
      <c r="GV6" s="988"/>
      <c r="GW6" s="988"/>
    </row>
    <row r="7" spans="1:205" s="650" customFormat="1" ht="25.5" customHeight="1" x14ac:dyDescent="0.3">
      <c r="B7" s="985" t="s">
        <v>2201</v>
      </c>
      <c r="C7" s="985"/>
      <c r="D7" s="985"/>
      <c r="E7" s="985"/>
      <c r="F7" s="985"/>
      <c r="G7" s="985"/>
      <c r="H7" s="985"/>
      <c r="I7" s="985"/>
      <c r="J7" s="985"/>
      <c r="K7" s="985"/>
      <c r="L7" s="990" t="str">
        <f>SUVAHAVUJ!$D$59</f>
        <v>Ostatné pohľadávky z obchodného styku (311A, 312A, 313A, 314A, 315A, 31XA) - /391A/</v>
      </c>
      <c r="M7" s="990"/>
      <c r="N7" s="990"/>
      <c r="O7" s="990"/>
      <c r="P7" s="990"/>
      <c r="Q7" s="990"/>
      <c r="R7" s="990"/>
      <c r="S7" s="990"/>
      <c r="T7" s="990"/>
      <c r="U7" s="990"/>
      <c r="V7" s="990"/>
      <c r="W7" s="990"/>
      <c r="X7" s="990"/>
      <c r="Y7" s="990"/>
      <c r="Z7" s="990"/>
      <c r="AA7" s="990"/>
      <c r="AB7" s="990"/>
      <c r="AC7" s="990"/>
      <c r="AD7" s="990"/>
      <c r="AE7" s="990"/>
      <c r="AF7" s="990"/>
      <c r="AG7" s="990"/>
      <c r="AH7" s="990"/>
      <c r="AI7" s="990"/>
      <c r="AJ7" s="990"/>
      <c r="AK7" s="990"/>
      <c r="AL7" s="990"/>
      <c r="AM7" s="990"/>
      <c r="AN7" s="990"/>
      <c r="AO7" s="990"/>
      <c r="AP7" s="990"/>
      <c r="AQ7" s="975" t="s">
        <v>1255</v>
      </c>
      <c r="AR7" s="975"/>
      <c r="AS7" s="975"/>
      <c r="AT7" s="975"/>
      <c r="AU7" s="975"/>
      <c r="AV7" s="975"/>
      <c r="AW7" s="975"/>
      <c r="AX7" s="975"/>
      <c r="AY7" s="648"/>
      <c r="AZ7" s="649"/>
      <c r="BA7" s="976" t="str">
        <f>MID(SUVAHAVUJ!AD59,1,1)</f>
        <v xml:space="preserve"> </v>
      </c>
      <c r="BB7" s="976"/>
      <c r="BC7" s="976"/>
      <c r="BD7" s="976"/>
      <c r="BE7" s="976"/>
      <c r="BF7" s="976"/>
      <c r="BG7" s="976" t="str">
        <f>MID(SUVAHAVUJ!AD59,2,1)</f>
        <v xml:space="preserve"> </v>
      </c>
      <c r="BH7" s="976"/>
      <c r="BI7" s="976"/>
      <c r="BJ7" s="976"/>
      <c r="BK7" s="976"/>
      <c r="BL7" s="976" t="str">
        <f>MID(SUVAHAVUJ!AD59,3,1)</f>
        <v xml:space="preserve"> </v>
      </c>
      <c r="BM7" s="976"/>
      <c r="BN7" s="976"/>
      <c r="BO7" s="976"/>
      <c r="BP7" s="976"/>
      <c r="BQ7" s="976"/>
      <c r="BR7" s="976" t="str">
        <f>MID(SUVAHAVUJ!AD59,4,1)</f>
        <v xml:space="preserve"> </v>
      </c>
      <c r="BS7" s="976"/>
      <c r="BT7" s="976"/>
      <c r="BU7" s="976"/>
      <c r="BV7" s="976"/>
      <c r="BW7" s="976" t="str">
        <f>MID(SUVAHAVUJ!AD59,5,1)</f>
        <v xml:space="preserve"> </v>
      </c>
      <c r="BX7" s="976"/>
      <c r="BY7" s="976"/>
      <c r="BZ7" s="976"/>
      <c r="CA7" s="976"/>
      <c r="CB7" s="976"/>
      <c r="CC7" s="976" t="str">
        <f>MID(SUVAHAVUJ!AD59,6,1)</f>
        <v xml:space="preserve"> </v>
      </c>
      <c r="CD7" s="976"/>
      <c r="CE7" s="976"/>
      <c r="CF7" s="976"/>
      <c r="CG7" s="976"/>
      <c r="CH7" s="976" t="str">
        <f>MID(SUVAHAVUJ!AD59,7,1)</f>
        <v xml:space="preserve"> </v>
      </c>
      <c r="CI7" s="976"/>
      <c r="CJ7" s="976"/>
      <c r="CK7" s="976"/>
      <c r="CL7" s="976"/>
      <c r="CM7" s="976"/>
      <c r="CN7" s="976" t="str">
        <f>MID(SUVAHAVUJ!AD59,8,1)</f>
        <v xml:space="preserve"> </v>
      </c>
      <c r="CO7" s="976"/>
      <c r="CP7" s="976"/>
      <c r="CQ7" s="976"/>
      <c r="CR7" s="976"/>
      <c r="CS7" s="976" t="str">
        <f>MID(SUVAHAVUJ!AD59,9,1)</f>
        <v xml:space="preserve"> </v>
      </c>
      <c r="CT7" s="976"/>
      <c r="CU7" s="976"/>
      <c r="CV7" s="976"/>
      <c r="CW7" s="976"/>
      <c r="CX7" s="976"/>
      <c r="CY7" s="976" t="str">
        <f>MID(SUVAHAVUJ!AD59,10,1)</f>
        <v xml:space="preserve"> </v>
      </c>
      <c r="CZ7" s="976"/>
      <c r="DA7" s="976"/>
      <c r="DB7" s="976"/>
      <c r="DC7" s="976"/>
      <c r="DD7" s="977" t="str">
        <f>MID(SUVAHAVUJ!AD59,11,1)</f>
        <v>0</v>
      </c>
      <c r="DE7" s="977"/>
      <c r="DF7" s="977"/>
      <c r="DG7" s="977"/>
      <c r="DH7" s="977"/>
      <c r="DI7" s="977"/>
      <c r="DJ7" s="648"/>
      <c r="DK7" s="649"/>
      <c r="DL7" s="976" t="str">
        <f>MID(SUVAHAVUJ!AF59,1,1)</f>
        <v xml:space="preserve"> </v>
      </c>
      <c r="DM7" s="976"/>
      <c r="DN7" s="976"/>
      <c r="DO7" s="976"/>
      <c r="DP7" s="976"/>
      <c r="DQ7" s="976"/>
      <c r="DR7" s="976" t="str">
        <f>MID(SUVAHAVUJ!AF59,2,1)</f>
        <v xml:space="preserve"> </v>
      </c>
      <c r="DS7" s="976"/>
      <c r="DT7" s="976"/>
      <c r="DU7" s="976"/>
      <c r="DV7" s="976"/>
      <c r="DW7" s="976" t="str">
        <f>MID(SUVAHAVUJ!AF59,3,1)</f>
        <v xml:space="preserve"> </v>
      </c>
      <c r="DX7" s="976"/>
      <c r="DY7" s="976"/>
      <c r="DZ7" s="976"/>
      <c r="EA7" s="976"/>
      <c r="EB7" s="976"/>
      <c r="EC7" s="976" t="str">
        <f>MID(SUVAHAVUJ!AF59,4,1)</f>
        <v xml:space="preserve"> </v>
      </c>
      <c r="ED7" s="976"/>
      <c r="EE7" s="976"/>
      <c r="EF7" s="976"/>
      <c r="EG7" s="976"/>
      <c r="EH7" s="976" t="str">
        <f>MID(SUVAHAVUJ!AF59,5,1)</f>
        <v xml:space="preserve"> </v>
      </c>
      <c r="EI7" s="976"/>
      <c r="EJ7" s="976"/>
      <c r="EK7" s="976"/>
      <c r="EL7" s="976"/>
      <c r="EM7" s="976"/>
      <c r="EN7" s="976" t="str">
        <f>MID(SUVAHAVUJ!AF59,6,1)</f>
        <v xml:space="preserve"> </v>
      </c>
      <c r="EO7" s="976"/>
      <c r="EP7" s="976"/>
      <c r="EQ7" s="976"/>
      <c r="ER7" s="976"/>
      <c r="ES7" s="976" t="str">
        <f>MID(SUVAHAVUJ!AF59,7,1)</f>
        <v xml:space="preserve"> </v>
      </c>
      <c r="ET7" s="976"/>
      <c r="EU7" s="976"/>
      <c r="EV7" s="976"/>
      <c r="EW7" s="976"/>
      <c r="EX7" s="976"/>
      <c r="EY7" s="976" t="str">
        <f>MID(SUVAHAVUJ!AF59,8,1)</f>
        <v xml:space="preserve"> </v>
      </c>
      <c r="EZ7" s="976"/>
      <c r="FA7" s="976"/>
      <c r="FB7" s="976"/>
      <c r="FC7" s="976"/>
      <c r="FD7" s="976" t="str">
        <f>MID(SUVAHAVUJ!AF59,9,1)</f>
        <v xml:space="preserve"> </v>
      </c>
      <c r="FE7" s="976"/>
      <c r="FF7" s="976"/>
      <c r="FG7" s="976"/>
      <c r="FH7" s="976"/>
      <c r="FI7" s="976"/>
      <c r="FJ7" s="976" t="str">
        <f>MID(SUVAHAVUJ!AF59,10,1)</f>
        <v xml:space="preserve"> </v>
      </c>
      <c r="FK7" s="976"/>
      <c r="FL7" s="976"/>
      <c r="FM7" s="976"/>
      <c r="FN7" s="976"/>
      <c r="FO7" s="978" t="str">
        <f>MID(SUVAHAVUJ!AF59,11,1)</f>
        <v>0</v>
      </c>
      <c r="FP7" s="978"/>
      <c r="FQ7" s="978"/>
      <c r="FR7" s="978"/>
      <c r="FS7" s="978"/>
      <c r="FT7" s="979"/>
      <c r="FU7" s="979"/>
      <c r="FV7" s="979"/>
      <c r="FW7" s="979"/>
      <c r="FX7" s="979"/>
      <c r="FY7" s="979"/>
      <c r="FZ7" s="979"/>
      <c r="GA7" s="979"/>
      <c r="GB7" s="979"/>
      <c r="GC7" s="979"/>
      <c r="GD7" s="979"/>
      <c r="GE7" s="979"/>
      <c r="GF7" s="979"/>
      <c r="GG7" s="979"/>
      <c r="GH7" s="979"/>
      <c r="GI7" s="979"/>
      <c r="GJ7" s="979"/>
      <c r="GK7" s="979"/>
      <c r="GL7" s="979"/>
      <c r="GM7" s="979"/>
      <c r="GN7" s="979"/>
      <c r="GO7" s="979"/>
      <c r="GP7" s="979"/>
      <c r="GQ7" s="979"/>
      <c r="GR7" s="979"/>
      <c r="GS7" s="979"/>
      <c r="GT7" s="979"/>
      <c r="GU7" s="979"/>
      <c r="GV7" s="979"/>
      <c r="GW7" s="979"/>
    </row>
    <row r="8" spans="1:205" ht="22.5" customHeight="1" x14ac:dyDescent="0.3">
      <c r="B8" s="985"/>
      <c r="C8" s="985"/>
      <c r="D8" s="985"/>
      <c r="E8" s="985"/>
      <c r="F8" s="985"/>
      <c r="G8" s="985"/>
      <c r="H8" s="985"/>
      <c r="I8" s="985"/>
      <c r="J8" s="985"/>
      <c r="K8" s="985"/>
      <c r="L8" s="990"/>
      <c r="M8" s="990"/>
      <c r="N8" s="990"/>
      <c r="O8" s="990"/>
      <c r="P8" s="990"/>
      <c r="Q8" s="990"/>
      <c r="R8" s="990"/>
      <c r="S8" s="990"/>
      <c r="T8" s="990"/>
      <c r="U8" s="990"/>
      <c r="V8" s="990"/>
      <c r="W8" s="990"/>
      <c r="X8" s="990"/>
      <c r="Y8" s="990"/>
      <c r="Z8" s="990"/>
      <c r="AA8" s="990"/>
      <c r="AB8" s="990"/>
      <c r="AC8" s="990"/>
      <c r="AD8" s="990"/>
      <c r="AE8" s="990"/>
      <c r="AF8" s="990"/>
      <c r="AG8" s="990"/>
      <c r="AH8" s="990"/>
      <c r="AI8" s="990"/>
      <c r="AJ8" s="990"/>
      <c r="AK8" s="990"/>
      <c r="AL8" s="990"/>
      <c r="AM8" s="990"/>
      <c r="AN8" s="990"/>
      <c r="AO8" s="990"/>
      <c r="AP8" s="990"/>
      <c r="AQ8" s="975"/>
      <c r="AR8" s="975"/>
      <c r="AS8" s="975"/>
      <c r="AT8" s="975"/>
      <c r="AU8" s="975"/>
      <c r="AV8" s="975"/>
      <c r="AW8" s="975"/>
      <c r="AX8" s="975"/>
      <c r="AY8" s="648"/>
      <c r="AZ8" s="649"/>
      <c r="BA8" s="976" t="str">
        <f>MID(SUVAHAVUJ!AE59,1,1)</f>
        <v xml:space="preserve"> </v>
      </c>
      <c r="BB8" s="976"/>
      <c r="BC8" s="976"/>
      <c r="BD8" s="976"/>
      <c r="BE8" s="976"/>
      <c r="BF8" s="976"/>
      <c r="BG8" s="976" t="str">
        <f>MID(SUVAHAVUJ!AE59,2,1)</f>
        <v xml:space="preserve"> </v>
      </c>
      <c r="BH8" s="976"/>
      <c r="BI8" s="976"/>
      <c r="BJ8" s="976"/>
      <c r="BK8" s="976"/>
      <c r="BL8" s="976" t="str">
        <f>MID(SUVAHAVUJ!AE59,3,1)</f>
        <v xml:space="preserve"> </v>
      </c>
      <c r="BM8" s="976"/>
      <c r="BN8" s="976"/>
      <c r="BO8" s="976"/>
      <c r="BP8" s="976"/>
      <c r="BQ8" s="976"/>
      <c r="BR8" s="976" t="str">
        <f>MID(SUVAHAVUJ!AE59,4,1)</f>
        <v xml:space="preserve"> </v>
      </c>
      <c r="BS8" s="976"/>
      <c r="BT8" s="976"/>
      <c r="BU8" s="976"/>
      <c r="BV8" s="976"/>
      <c r="BW8" s="976" t="str">
        <f>MID(SUVAHAVUJ!AE59,5,1)</f>
        <v xml:space="preserve"> </v>
      </c>
      <c r="BX8" s="976"/>
      <c r="BY8" s="976"/>
      <c r="BZ8" s="976"/>
      <c r="CA8" s="976"/>
      <c r="CB8" s="976"/>
      <c r="CC8" s="976" t="str">
        <f>MID(SUVAHAVUJ!AE59,6,1)</f>
        <v xml:space="preserve"> </v>
      </c>
      <c r="CD8" s="976"/>
      <c r="CE8" s="976"/>
      <c r="CF8" s="976"/>
      <c r="CG8" s="976"/>
      <c r="CH8" s="976" t="str">
        <f>MID(SUVAHAVUJ!AE59,7,1)</f>
        <v xml:space="preserve"> </v>
      </c>
      <c r="CI8" s="976"/>
      <c r="CJ8" s="976"/>
      <c r="CK8" s="976"/>
      <c r="CL8" s="976"/>
      <c r="CM8" s="976"/>
      <c r="CN8" s="976" t="str">
        <f>MID(SUVAHAVUJ!AE59,8,1)</f>
        <v xml:space="preserve"> </v>
      </c>
      <c r="CO8" s="976"/>
      <c r="CP8" s="976"/>
      <c r="CQ8" s="976"/>
      <c r="CR8" s="976"/>
      <c r="CS8" s="976" t="str">
        <f>MID(SUVAHAVUJ!AE59,9,1)</f>
        <v xml:space="preserve"> </v>
      </c>
      <c r="CT8" s="976"/>
      <c r="CU8" s="976"/>
      <c r="CV8" s="976"/>
      <c r="CW8" s="976"/>
      <c r="CX8" s="976"/>
      <c r="CY8" s="976" t="str">
        <f>MID(SUVAHAVUJ!AE59,10,1)</f>
        <v xml:space="preserve"> </v>
      </c>
      <c r="CZ8" s="976"/>
      <c r="DA8" s="976"/>
      <c r="DB8" s="976"/>
      <c r="DC8" s="976"/>
      <c r="DD8" s="977" t="str">
        <f>MID(SUVAHAVUJ!AE59,11,1)</f>
        <v>0</v>
      </c>
      <c r="DE8" s="977"/>
      <c r="DF8" s="977"/>
      <c r="DG8" s="977"/>
      <c r="DH8" s="977"/>
      <c r="DI8" s="977"/>
      <c r="DJ8" s="980"/>
      <c r="DK8" s="980"/>
      <c r="DL8" s="980"/>
      <c r="DM8" s="980"/>
      <c r="DN8" s="980"/>
      <c r="DO8" s="980"/>
      <c r="DP8" s="980"/>
      <c r="DQ8" s="980"/>
      <c r="DR8" s="980"/>
      <c r="DS8" s="980"/>
      <c r="DT8" s="980"/>
      <c r="DU8" s="980"/>
      <c r="DV8" s="980"/>
      <c r="DW8" s="980"/>
      <c r="DX8" s="980"/>
      <c r="DY8" s="980"/>
      <c r="DZ8" s="980"/>
      <c r="EA8" s="980"/>
      <c r="EB8" s="980"/>
      <c r="EC8" s="980"/>
      <c r="ED8" s="980"/>
      <c r="EE8" s="980"/>
      <c r="EF8" s="980"/>
      <c r="EG8" s="980"/>
      <c r="EH8" s="980"/>
      <c r="EI8" s="980"/>
      <c r="EJ8" s="980"/>
      <c r="EK8" s="980"/>
      <c r="EL8" s="980"/>
      <c r="EM8" s="980"/>
      <c r="EN8" s="648"/>
      <c r="EO8" s="649"/>
      <c r="EP8" s="976" t="str">
        <f>MID(SUVAHAVUJ!AG59,1,1)</f>
        <v xml:space="preserve"> </v>
      </c>
      <c r="EQ8" s="976"/>
      <c r="ER8" s="976"/>
      <c r="ES8" s="976"/>
      <c r="ET8" s="976"/>
      <c r="EU8" s="976"/>
      <c r="EV8" s="976" t="str">
        <f>MID(SUVAHAVUJ!AG59,2,1)</f>
        <v xml:space="preserve"> </v>
      </c>
      <c r="EW8" s="976"/>
      <c r="EX8" s="976"/>
      <c r="EY8" s="976"/>
      <c r="EZ8" s="976"/>
      <c r="FA8" s="976" t="str">
        <f>MID(SUVAHAVUJ!AG59,3,1)</f>
        <v xml:space="preserve"> </v>
      </c>
      <c r="FB8" s="976"/>
      <c r="FC8" s="976"/>
      <c r="FD8" s="976"/>
      <c r="FE8" s="976"/>
      <c r="FF8" s="976"/>
      <c r="FG8" s="976" t="str">
        <f>MID(SUVAHAVUJ!AG59,4,1)</f>
        <v xml:space="preserve"> </v>
      </c>
      <c r="FH8" s="976"/>
      <c r="FI8" s="976"/>
      <c r="FJ8" s="976"/>
      <c r="FK8" s="976"/>
      <c r="FL8" s="976" t="str">
        <f>MID(SUVAHAVUJ!AG59,5,1)</f>
        <v xml:space="preserve"> </v>
      </c>
      <c r="FM8" s="976"/>
      <c r="FN8" s="976"/>
      <c r="FO8" s="976"/>
      <c r="FP8" s="976"/>
      <c r="FQ8" s="976"/>
      <c r="FR8" s="976" t="str">
        <f>MID(SUVAHAVUJ!AG59,6,1)</f>
        <v xml:space="preserve"> </v>
      </c>
      <c r="FS8" s="976"/>
      <c r="FT8" s="976"/>
      <c r="FU8" s="976"/>
      <c r="FV8" s="976"/>
      <c r="FW8" s="976" t="str">
        <f>MID(SUVAHAVUJ!AG59,7,1)</f>
        <v xml:space="preserve"> </v>
      </c>
      <c r="FX8" s="976"/>
      <c r="FY8" s="976"/>
      <c r="FZ8" s="976"/>
      <c r="GA8" s="976"/>
      <c r="GB8" s="976"/>
      <c r="GC8" s="976" t="str">
        <f>MID(SUVAHAVUJ!AG59,8,1)</f>
        <v xml:space="preserve"> </v>
      </c>
      <c r="GD8" s="976"/>
      <c r="GE8" s="976"/>
      <c r="GF8" s="976"/>
      <c r="GG8" s="976"/>
      <c r="GH8" s="976" t="str">
        <f>MID(SUVAHAVUJ!AG59,9,1)</f>
        <v xml:space="preserve"> </v>
      </c>
      <c r="GI8" s="976"/>
      <c r="GJ8" s="976"/>
      <c r="GK8" s="976"/>
      <c r="GL8" s="976"/>
      <c r="GM8" s="976"/>
      <c r="GN8" s="976" t="str">
        <f>MID(SUVAHAVUJ!AG59,10,1)</f>
        <v xml:space="preserve"> </v>
      </c>
      <c r="GO8" s="976"/>
      <c r="GP8" s="976"/>
      <c r="GQ8" s="976"/>
      <c r="GR8" s="976"/>
      <c r="GS8" s="978" t="str">
        <f>MID(SUVAHAVUJ!AG59,11,1)</f>
        <v>0</v>
      </c>
      <c r="GT8" s="978"/>
      <c r="GU8" s="978"/>
      <c r="GV8" s="978"/>
      <c r="GW8" s="978"/>
    </row>
    <row r="9" spans="1:205" s="650" customFormat="1" ht="25.5" customHeight="1" x14ac:dyDescent="0.3">
      <c r="B9" s="985" t="s">
        <v>2166</v>
      </c>
      <c r="C9" s="985"/>
      <c r="D9" s="985"/>
      <c r="E9" s="985"/>
      <c r="F9" s="985"/>
      <c r="G9" s="985"/>
      <c r="H9" s="985"/>
      <c r="I9" s="985"/>
      <c r="J9" s="985"/>
      <c r="K9" s="985"/>
      <c r="L9" s="990" t="str">
        <f>SUVAHAVUJ!$D$60</f>
        <v>Čistá hodnota zákazky (316A)</v>
      </c>
      <c r="M9" s="990"/>
      <c r="N9" s="990"/>
      <c r="O9" s="990"/>
      <c r="P9" s="990"/>
      <c r="Q9" s="990"/>
      <c r="R9" s="990"/>
      <c r="S9" s="990"/>
      <c r="T9" s="990"/>
      <c r="U9" s="990"/>
      <c r="V9" s="990"/>
      <c r="W9" s="990"/>
      <c r="X9" s="990"/>
      <c r="Y9" s="990"/>
      <c r="Z9" s="990"/>
      <c r="AA9" s="990"/>
      <c r="AB9" s="990"/>
      <c r="AC9" s="990"/>
      <c r="AD9" s="990"/>
      <c r="AE9" s="990"/>
      <c r="AF9" s="990"/>
      <c r="AG9" s="990"/>
      <c r="AH9" s="990"/>
      <c r="AI9" s="990"/>
      <c r="AJ9" s="990"/>
      <c r="AK9" s="990"/>
      <c r="AL9" s="990"/>
      <c r="AM9" s="990"/>
      <c r="AN9" s="990"/>
      <c r="AO9" s="990"/>
      <c r="AP9" s="990"/>
      <c r="AQ9" s="975" t="s">
        <v>1262</v>
      </c>
      <c r="AR9" s="975"/>
      <c r="AS9" s="975"/>
      <c r="AT9" s="975"/>
      <c r="AU9" s="975"/>
      <c r="AV9" s="975"/>
      <c r="AW9" s="975"/>
      <c r="AX9" s="975"/>
      <c r="AY9" s="648"/>
      <c r="AZ9" s="649"/>
      <c r="BA9" s="976" t="str">
        <f>MID(SUVAHAVUJ!AD60,1,1)</f>
        <v xml:space="preserve"> </v>
      </c>
      <c r="BB9" s="976"/>
      <c r="BC9" s="976"/>
      <c r="BD9" s="976"/>
      <c r="BE9" s="976"/>
      <c r="BF9" s="976"/>
      <c r="BG9" s="976" t="str">
        <f>MID(SUVAHAVUJ!AD60,2,1)</f>
        <v xml:space="preserve"> </v>
      </c>
      <c r="BH9" s="976"/>
      <c r="BI9" s="976"/>
      <c r="BJ9" s="976"/>
      <c r="BK9" s="976"/>
      <c r="BL9" s="976" t="str">
        <f>MID(SUVAHAVUJ!AD60,3,1)</f>
        <v xml:space="preserve"> </v>
      </c>
      <c r="BM9" s="976"/>
      <c r="BN9" s="976"/>
      <c r="BO9" s="976"/>
      <c r="BP9" s="976"/>
      <c r="BQ9" s="976"/>
      <c r="BR9" s="976" t="str">
        <f>MID(SUVAHAVUJ!AD60,4,1)</f>
        <v xml:space="preserve"> </v>
      </c>
      <c r="BS9" s="976"/>
      <c r="BT9" s="976"/>
      <c r="BU9" s="976"/>
      <c r="BV9" s="976"/>
      <c r="BW9" s="976" t="str">
        <f>MID(SUVAHAVUJ!AD60,5,1)</f>
        <v xml:space="preserve"> </v>
      </c>
      <c r="BX9" s="976"/>
      <c r="BY9" s="976"/>
      <c r="BZ9" s="976"/>
      <c r="CA9" s="976"/>
      <c r="CB9" s="976"/>
      <c r="CC9" s="976" t="str">
        <f>MID(SUVAHAVUJ!AD60,6,1)</f>
        <v xml:space="preserve"> </v>
      </c>
      <c r="CD9" s="976"/>
      <c r="CE9" s="976"/>
      <c r="CF9" s="976"/>
      <c r="CG9" s="976"/>
      <c r="CH9" s="976" t="str">
        <f>MID(SUVAHAVUJ!AD60,7,1)</f>
        <v xml:space="preserve"> </v>
      </c>
      <c r="CI9" s="976"/>
      <c r="CJ9" s="976"/>
      <c r="CK9" s="976"/>
      <c r="CL9" s="976"/>
      <c r="CM9" s="976"/>
      <c r="CN9" s="976" t="str">
        <f>MID(SUVAHAVUJ!AD60,8,1)</f>
        <v xml:space="preserve"> </v>
      </c>
      <c r="CO9" s="976"/>
      <c r="CP9" s="976"/>
      <c r="CQ9" s="976"/>
      <c r="CR9" s="976"/>
      <c r="CS9" s="976" t="str">
        <f>MID(SUVAHAVUJ!AD60,9,1)</f>
        <v xml:space="preserve"> </v>
      </c>
      <c r="CT9" s="976"/>
      <c r="CU9" s="976"/>
      <c r="CV9" s="976"/>
      <c r="CW9" s="976"/>
      <c r="CX9" s="976"/>
      <c r="CY9" s="976" t="str">
        <f>MID(SUVAHAVUJ!AD60,10,1)</f>
        <v xml:space="preserve"> </v>
      </c>
      <c r="CZ9" s="976"/>
      <c r="DA9" s="976"/>
      <c r="DB9" s="976"/>
      <c r="DC9" s="976"/>
      <c r="DD9" s="977" t="str">
        <f>MID(SUVAHAVUJ!AD60,11,1)</f>
        <v>0</v>
      </c>
      <c r="DE9" s="977"/>
      <c r="DF9" s="977"/>
      <c r="DG9" s="977"/>
      <c r="DH9" s="977"/>
      <c r="DI9" s="977"/>
      <c r="DJ9" s="648"/>
      <c r="DK9" s="649"/>
      <c r="DL9" s="976" t="str">
        <f>MID(SUVAHAVUJ!AF60,1,1)</f>
        <v xml:space="preserve"> </v>
      </c>
      <c r="DM9" s="976"/>
      <c r="DN9" s="976"/>
      <c r="DO9" s="976"/>
      <c r="DP9" s="976"/>
      <c r="DQ9" s="976"/>
      <c r="DR9" s="976" t="str">
        <f>MID(SUVAHAVUJ!AF60,2,1)</f>
        <v xml:space="preserve"> </v>
      </c>
      <c r="DS9" s="976"/>
      <c r="DT9" s="976"/>
      <c r="DU9" s="976"/>
      <c r="DV9" s="976"/>
      <c r="DW9" s="976" t="str">
        <f>MID(SUVAHAVUJ!AF60,3,1)</f>
        <v xml:space="preserve"> </v>
      </c>
      <c r="DX9" s="976"/>
      <c r="DY9" s="976"/>
      <c r="DZ9" s="976"/>
      <c r="EA9" s="976"/>
      <c r="EB9" s="976"/>
      <c r="EC9" s="976" t="str">
        <f>MID(SUVAHAVUJ!AF60,4,1)</f>
        <v xml:space="preserve"> </v>
      </c>
      <c r="ED9" s="976"/>
      <c r="EE9" s="976"/>
      <c r="EF9" s="976"/>
      <c r="EG9" s="976"/>
      <c r="EH9" s="976" t="str">
        <f>MID(SUVAHAVUJ!AF60,5,1)</f>
        <v xml:space="preserve"> </v>
      </c>
      <c r="EI9" s="976"/>
      <c r="EJ9" s="976"/>
      <c r="EK9" s="976"/>
      <c r="EL9" s="976"/>
      <c r="EM9" s="976"/>
      <c r="EN9" s="976" t="str">
        <f>MID(SUVAHAVUJ!AF60,6,1)</f>
        <v xml:space="preserve"> </v>
      </c>
      <c r="EO9" s="976"/>
      <c r="EP9" s="976"/>
      <c r="EQ9" s="976"/>
      <c r="ER9" s="976"/>
      <c r="ES9" s="976" t="str">
        <f>MID(SUVAHAVUJ!AF60,7,1)</f>
        <v xml:space="preserve"> </v>
      </c>
      <c r="ET9" s="976"/>
      <c r="EU9" s="976"/>
      <c r="EV9" s="976"/>
      <c r="EW9" s="976"/>
      <c r="EX9" s="976"/>
      <c r="EY9" s="976" t="str">
        <f>MID(SUVAHAVUJ!AF60,8,1)</f>
        <v xml:space="preserve"> </v>
      </c>
      <c r="EZ9" s="976"/>
      <c r="FA9" s="976"/>
      <c r="FB9" s="976"/>
      <c r="FC9" s="976"/>
      <c r="FD9" s="976" t="str">
        <f>MID(SUVAHAVUJ!AF60,9,1)</f>
        <v xml:space="preserve"> </v>
      </c>
      <c r="FE9" s="976"/>
      <c r="FF9" s="976"/>
      <c r="FG9" s="976"/>
      <c r="FH9" s="976"/>
      <c r="FI9" s="976"/>
      <c r="FJ9" s="976" t="str">
        <f>MID(SUVAHAVUJ!AF60,10,1)</f>
        <v xml:space="preserve"> </v>
      </c>
      <c r="FK9" s="976"/>
      <c r="FL9" s="976"/>
      <c r="FM9" s="976"/>
      <c r="FN9" s="976"/>
      <c r="FO9" s="978" t="str">
        <f>MID(SUVAHAVUJ!AF60,11,1)</f>
        <v>0</v>
      </c>
      <c r="FP9" s="978"/>
      <c r="FQ9" s="978"/>
      <c r="FR9" s="978"/>
      <c r="FS9" s="978"/>
      <c r="FT9" s="979"/>
      <c r="FU9" s="979"/>
      <c r="FV9" s="979"/>
      <c r="FW9" s="979"/>
      <c r="FX9" s="979"/>
      <c r="FY9" s="979"/>
      <c r="FZ9" s="979"/>
      <c r="GA9" s="979"/>
      <c r="GB9" s="979"/>
      <c r="GC9" s="979"/>
      <c r="GD9" s="979"/>
      <c r="GE9" s="979"/>
      <c r="GF9" s="979"/>
      <c r="GG9" s="979"/>
      <c r="GH9" s="979"/>
      <c r="GI9" s="979"/>
      <c r="GJ9" s="979"/>
      <c r="GK9" s="979"/>
      <c r="GL9" s="979"/>
      <c r="GM9" s="979"/>
      <c r="GN9" s="979"/>
      <c r="GO9" s="979"/>
      <c r="GP9" s="979"/>
      <c r="GQ9" s="979"/>
      <c r="GR9" s="979"/>
      <c r="GS9" s="979"/>
      <c r="GT9" s="979"/>
      <c r="GU9" s="979"/>
      <c r="GV9" s="979"/>
      <c r="GW9" s="979"/>
    </row>
    <row r="10" spans="1:205" ht="21" customHeight="1" x14ac:dyDescent="0.3">
      <c r="B10" s="985"/>
      <c r="C10" s="985"/>
      <c r="D10" s="985"/>
      <c r="E10" s="985"/>
      <c r="F10" s="985"/>
      <c r="G10" s="985"/>
      <c r="H10" s="985"/>
      <c r="I10" s="985"/>
      <c r="J10" s="985"/>
      <c r="K10" s="985"/>
      <c r="L10" s="990"/>
      <c r="M10" s="990"/>
      <c r="N10" s="990"/>
      <c r="O10" s="990"/>
      <c r="P10" s="990"/>
      <c r="Q10" s="990"/>
      <c r="R10" s="990"/>
      <c r="S10" s="990"/>
      <c r="T10" s="990"/>
      <c r="U10" s="990"/>
      <c r="V10" s="990"/>
      <c r="W10" s="990"/>
      <c r="X10" s="990"/>
      <c r="Y10" s="990"/>
      <c r="Z10" s="990"/>
      <c r="AA10" s="990"/>
      <c r="AB10" s="990"/>
      <c r="AC10" s="990"/>
      <c r="AD10" s="990"/>
      <c r="AE10" s="990"/>
      <c r="AF10" s="990"/>
      <c r="AG10" s="990"/>
      <c r="AH10" s="990"/>
      <c r="AI10" s="990"/>
      <c r="AJ10" s="990"/>
      <c r="AK10" s="990"/>
      <c r="AL10" s="990"/>
      <c r="AM10" s="990"/>
      <c r="AN10" s="990"/>
      <c r="AO10" s="990"/>
      <c r="AP10" s="990"/>
      <c r="AQ10" s="975"/>
      <c r="AR10" s="975"/>
      <c r="AS10" s="975"/>
      <c r="AT10" s="975"/>
      <c r="AU10" s="975"/>
      <c r="AV10" s="975"/>
      <c r="AW10" s="975"/>
      <c r="AX10" s="975"/>
      <c r="AY10" s="648"/>
      <c r="AZ10" s="649"/>
      <c r="BA10" s="976" t="str">
        <f>MID(SUVAHAVUJ!AE60,1,1)</f>
        <v xml:space="preserve"> </v>
      </c>
      <c r="BB10" s="976"/>
      <c r="BC10" s="976"/>
      <c r="BD10" s="976"/>
      <c r="BE10" s="976"/>
      <c r="BF10" s="976"/>
      <c r="BG10" s="976" t="str">
        <f>MID(SUVAHAVUJ!AE60,2,1)</f>
        <v xml:space="preserve"> </v>
      </c>
      <c r="BH10" s="976"/>
      <c r="BI10" s="976"/>
      <c r="BJ10" s="976"/>
      <c r="BK10" s="976"/>
      <c r="BL10" s="976" t="str">
        <f>MID(SUVAHAVUJ!AE60,3,1)</f>
        <v xml:space="preserve"> </v>
      </c>
      <c r="BM10" s="976"/>
      <c r="BN10" s="976"/>
      <c r="BO10" s="976"/>
      <c r="BP10" s="976"/>
      <c r="BQ10" s="976"/>
      <c r="BR10" s="976" t="str">
        <f>MID(SUVAHAVUJ!AE60,4,1)</f>
        <v xml:space="preserve"> </v>
      </c>
      <c r="BS10" s="976"/>
      <c r="BT10" s="976"/>
      <c r="BU10" s="976"/>
      <c r="BV10" s="976"/>
      <c r="BW10" s="976" t="str">
        <f>MID(SUVAHAVUJ!AE60,5,1)</f>
        <v xml:space="preserve"> </v>
      </c>
      <c r="BX10" s="976"/>
      <c r="BY10" s="976"/>
      <c r="BZ10" s="976"/>
      <c r="CA10" s="976"/>
      <c r="CB10" s="976"/>
      <c r="CC10" s="976" t="str">
        <f>MID(SUVAHAVUJ!AE60,6,1)</f>
        <v xml:space="preserve"> </v>
      </c>
      <c r="CD10" s="976"/>
      <c r="CE10" s="976"/>
      <c r="CF10" s="976"/>
      <c r="CG10" s="976"/>
      <c r="CH10" s="976" t="str">
        <f>MID(SUVAHAVUJ!AE60,7,1)</f>
        <v xml:space="preserve"> </v>
      </c>
      <c r="CI10" s="976"/>
      <c r="CJ10" s="976"/>
      <c r="CK10" s="976"/>
      <c r="CL10" s="976"/>
      <c r="CM10" s="976"/>
      <c r="CN10" s="976" t="str">
        <f>MID(SUVAHAVUJ!AE60,8,1)</f>
        <v xml:space="preserve"> </v>
      </c>
      <c r="CO10" s="976"/>
      <c r="CP10" s="976"/>
      <c r="CQ10" s="976"/>
      <c r="CR10" s="976"/>
      <c r="CS10" s="976" t="str">
        <f>MID(SUVAHAVUJ!AE60,9,1)</f>
        <v xml:space="preserve"> </v>
      </c>
      <c r="CT10" s="976"/>
      <c r="CU10" s="976"/>
      <c r="CV10" s="976"/>
      <c r="CW10" s="976"/>
      <c r="CX10" s="976"/>
      <c r="CY10" s="976" t="str">
        <f>MID(SUVAHAVUJ!AE60,10,1)</f>
        <v xml:space="preserve"> </v>
      </c>
      <c r="CZ10" s="976"/>
      <c r="DA10" s="976"/>
      <c r="DB10" s="976"/>
      <c r="DC10" s="976"/>
      <c r="DD10" s="977" t="str">
        <f>MID(SUVAHAVUJ!AE60,11,1)</f>
        <v>0</v>
      </c>
      <c r="DE10" s="977"/>
      <c r="DF10" s="977"/>
      <c r="DG10" s="977"/>
      <c r="DH10" s="977"/>
      <c r="DI10" s="977"/>
      <c r="DJ10" s="980"/>
      <c r="DK10" s="980"/>
      <c r="DL10" s="980"/>
      <c r="DM10" s="980"/>
      <c r="DN10" s="980"/>
      <c r="DO10" s="980"/>
      <c r="DP10" s="980"/>
      <c r="DQ10" s="980"/>
      <c r="DR10" s="980"/>
      <c r="DS10" s="980"/>
      <c r="DT10" s="980"/>
      <c r="DU10" s="980"/>
      <c r="DV10" s="980"/>
      <c r="DW10" s="980"/>
      <c r="DX10" s="980"/>
      <c r="DY10" s="980"/>
      <c r="DZ10" s="980"/>
      <c r="EA10" s="980"/>
      <c r="EB10" s="980"/>
      <c r="EC10" s="980"/>
      <c r="ED10" s="980"/>
      <c r="EE10" s="980"/>
      <c r="EF10" s="980"/>
      <c r="EG10" s="980"/>
      <c r="EH10" s="980"/>
      <c r="EI10" s="980"/>
      <c r="EJ10" s="980"/>
      <c r="EK10" s="980"/>
      <c r="EL10" s="980"/>
      <c r="EM10" s="980"/>
      <c r="EN10" s="648"/>
      <c r="EO10" s="649"/>
      <c r="EP10" s="976" t="str">
        <f>MID(SUVAHAVUJ!AG60,1,1)</f>
        <v xml:space="preserve"> </v>
      </c>
      <c r="EQ10" s="976"/>
      <c r="ER10" s="976"/>
      <c r="ES10" s="976"/>
      <c r="ET10" s="976"/>
      <c r="EU10" s="976"/>
      <c r="EV10" s="976" t="str">
        <f>MID(SUVAHAVUJ!AG60,2,1)</f>
        <v xml:space="preserve"> </v>
      </c>
      <c r="EW10" s="976"/>
      <c r="EX10" s="976"/>
      <c r="EY10" s="976"/>
      <c r="EZ10" s="976"/>
      <c r="FA10" s="976" t="str">
        <f>MID(SUVAHAVUJ!AG60,3,1)</f>
        <v xml:space="preserve"> </v>
      </c>
      <c r="FB10" s="976"/>
      <c r="FC10" s="976"/>
      <c r="FD10" s="976"/>
      <c r="FE10" s="976"/>
      <c r="FF10" s="976"/>
      <c r="FG10" s="976" t="str">
        <f>MID(SUVAHAVUJ!AG60,4,1)</f>
        <v xml:space="preserve"> </v>
      </c>
      <c r="FH10" s="976"/>
      <c r="FI10" s="976"/>
      <c r="FJ10" s="976"/>
      <c r="FK10" s="976"/>
      <c r="FL10" s="976" t="str">
        <f>MID(SUVAHAVUJ!AG60,5,1)</f>
        <v xml:space="preserve"> </v>
      </c>
      <c r="FM10" s="976"/>
      <c r="FN10" s="976"/>
      <c r="FO10" s="976"/>
      <c r="FP10" s="976"/>
      <c r="FQ10" s="976"/>
      <c r="FR10" s="976" t="str">
        <f>MID(SUVAHAVUJ!AG60,6,1)</f>
        <v xml:space="preserve"> </v>
      </c>
      <c r="FS10" s="976"/>
      <c r="FT10" s="976"/>
      <c r="FU10" s="976"/>
      <c r="FV10" s="976"/>
      <c r="FW10" s="976" t="str">
        <f>MID(SUVAHAVUJ!AG60,7,1)</f>
        <v xml:space="preserve"> </v>
      </c>
      <c r="FX10" s="976"/>
      <c r="FY10" s="976"/>
      <c r="FZ10" s="976"/>
      <c r="GA10" s="976"/>
      <c r="GB10" s="976"/>
      <c r="GC10" s="976" t="str">
        <f>MID(SUVAHAVUJ!AG60,8,1)</f>
        <v xml:space="preserve"> </v>
      </c>
      <c r="GD10" s="976"/>
      <c r="GE10" s="976"/>
      <c r="GF10" s="976"/>
      <c r="GG10" s="976"/>
      <c r="GH10" s="976" t="str">
        <f>MID(SUVAHAVUJ!AG60,9,1)</f>
        <v xml:space="preserve"> </v>
      </c>
      <c r="GI10" s="976"/>
      <c r="GJ10" s="976"/>
      <c r="GK10" s="976"/>
      <c r="GL10" s="976"/>
      <c r="GM10" s="976"/>
      <c r="GN10" s="976" t="str">
        <f>MID(SUVAHAVUJ!AG60,10,1)</f>
        <v xml:space="preserve"> </v>
      </c>
      <c r="GO10" s="976"/>
      <c r="GP10" s="976"/>
      <c r="GQ10" s="976"/>
      <c r="GR10" s="976"/>
      <c r="GS10" s="978" t="str">
        <f>MID(SUVAHAVUJ!AG60,11,1)</f>
        <v>0</v>
      </c>
      <c r="GT10" s="978"/>
      <c r="GU10" s="978"/>
      <c r="GV10" s="978"/>
      <c r="GW10" s="978"/>
    </row>
    <row r="11" spans="1:205" s="650" customFormat="1" ht="23.25" customHeight="1" x14ac:dyDescent="0.3">
      <c r="B11" s="985" t="s">
        <v>2167</v>
      </c>
      <c r="C11" s="985"/>
      <c r="D11" s="985"/>
      <c r="E11" s="985"/>
      <c r="F11" s="985"/>
      <c r="G11" s="985"/>
      <c r="H11" s="985"/>
      <c r="I11" s="985"/>
      <c r="J11" s="985"/>
      <c r="K11" s="985"/>
      <c r="L11" s="990" t="str">
        <f>SUVAHAVUJ!$D$61</f>
        <v>Ostatné pohľadávky voči prepojeným účtovným jednotkám  (351A) - /391A/</v>
      </c>
      <c r="M11" s="990"/>
      <c r="N11" s="990"/>
      <c r="O11" s="990"/>
      <c r="P11" s="990"/>
      <c r="Q11" s="990"/>
      <c r="R11" s="990"/>
      <c r="S11" s="990"/>
      <c r="T11" s="990"/>
      <c r="U11" s="990"/>
      <c r="V11" s="990"/>
      <c r="W11" s="990"/>
      <c r="X11" s="990"/>
      <c r="Y11" s="990"/>
      <c r="Z11" s="990"/>
      <c r="AA11" s="990"/>
      <c r="AB11" s="990"/>
      <c r="AC11" s="990"/>
      <c r="AD11" s="990"/>
      <c r="AE11" s="990"/>
      <c r="AF11" s="990"/>
      <c r="AG11" s="990"/>
      <c r="AH11" s="990"/>
      <c r="AI11" s="990"/>
      <c r="AJ11" s="990"/>
      <c r="AK11" s="990"/>
      <c r="AL11" s="990"/>
      <c r="AM11" s="990"/>
      <c r="AN11" s="990"/>
      <c r="AO11" s="990"/>
      <c r="AP11" s="990"/>
      <c r="AQ11" s="975" t="s">
        <v>1223</v>
      </c>
      <c r="AR11" s="975"/>
      <c r="AS11" s="975"/>
      <c r="AT11" s="975"/>
      <c r="AU11" s="975"/>
      <c r="AV11" s="975"/>
      <c r="AW11" s="975"/>
      <c r="AX11" s="975"/>
      <c r="AY11" s="648"/>
      <c r="AZ11" s="649"/>
      <c r="BA11" s="976" t="str">
        <f>MID(SUVAHAVUJ!AD61,1,1)</f>
        <v xml:space="preserve"> </v>
      </c>
      <c r="BB11" s="976"/>
      <c r="BC11" s="976"/>
      <c r="BD11" s="976"/>
      <c r="BE11" s="976"/>
      <c r="BF11" s="976"/>
      <c r="BG11" s="976" t="str">
        <f>MID(SUVAHAVUJ!AD61,2,1)</f>
        <v xml:space="preserve"> </v>
      </c>
      <c r="BH11" s="976"/>
      <c r="BI11" s="976"/>
      <c r="BJ11" s="976"/>
      <c r="BK11" s="976"/>
      <c r="BL11" s="976" t="str">
        <f>MID(SUVAHAVUJ!AD61,3,1)</f>
        <v xml:space="preserve"> </v>
      </c>
      <c r="BM11" s="976"/>
      <c r="BN11" s="976"/>
      <c r="BO11" s="976"/>
      <c r="BP11" s="976"/>
      <c r="BQ11" s="976"/>
      <c r="BR11" s="976" t="str">
        <f>MID(SUVAHAVUJ!AD61,4,1)</f>
        <v xml:space="preserve"> </v>
      </c>
      <c r="BS11" s="976"/>
      <c r="BT11" s="976"/>
      <c r="BU11" s="976"/>
      <c r="BV11" s="976"/>
      <c r="BW11" s="976" t="str">
        <f>MID(SUVAHAVUJ!AD61,5,1)</f>
        <v xml:space="preserve"> </v>
      </c>
      <c r="BX11" s="976"/>
      <c r="BY11" s="976"/>
      <c r="BZ11" s="976"/>
      <c r="CA11" s="976"/>
      <c r="CB11" s="976"/>
      <c r="CC11" s="976" t="str">
        <f>MID(SUVAHAVUJ!AD61,6,1)</f>
        <v xml:space="preserve"> </v>
      </c>
      <c r="CD11" s="976"/>
      <c r="CE11" s="976"/>
      <c r="CF11" s="976"/>
      <c r="CG11" s="976"/>
      <c r="CH11" s="976" t="str">
        <f>MID(SUVAHAVUJ!AD61,7,1)</f>
        <v xml:space="preserve"> </v>
      </c>
      <c r="CI11" s="976"/>
      <c r="CJ11" s="976"/>
      <c r="CK11" s="976"/>
      <c r="CL11" s="976"/>
      <c r="CM11" s="976"/>
      <c r="CN11" s="976" t="str">
        <f>MID(SUVAHAVUJ!AD61,8,1)</f>
        <v xml:space="preserve"> </v>
      </c>
      <c r="CO11" s="976"/>
      <c r="CP11" s="976"/>
      <c r="CQ11" s="976"/>
      <c r="CR11" s="976"/>
      <c r="CS11" s="976" t="str">
        <f>MID(SUVAHAVUJ!AD61,9,1)</f>
        <v xml:space="preserve"> </v>
      </c>
      <c r="CT11" s="976"/>
      <c r="CU11" s="976"/>
      <c r="CV11" s="976"/>
      <c r="CW11" s="976"/>
      <c r="CX11" s="976"/>
      <c r="CY11" s="976" t="str">
        <f>MID(SUVAHAVUJ!AD61,10,1)</f>
        <v xml:space="preserve"> </v>
      </c>
      <c r="CZ11" s="976"/>
      <c r="DA11" s="976"/>
      <c r="DB11" s="976"/>
      <c r="DC11" s="976"/>
      <c r="DD11" s="977" t="str">
        <f>MID(SUVAHAVUJ!AD61,11,1)</f>
        <v>0</v>
      </c>
      <c r="DE11" s="977"/>
      <c r="DF11" s="977"/>
      <c r="DG11" s="977"/>
      <c r="DH11" s="977"/>
      <c r="DI11" s="977"/>
      <c r="DJ11" s="648"/>
      <c r="DK11" s="649"/>
      <c r="DL11" s="976" t="str">
        <f>MID(SUVAHAVUJ!AF61,1,1)</f>
        <v xml:space="preserve"> </v>
      </c>
      <c r="DM11" s="976"/>
      <c r="DN11" s="976"/>
      <c r="DO11" s="976"/>
      <c r="DP11" s="976"/>
      <c r="DQ11" s="976"/>
      <c r="DR11" s="976" t="str">
        <f>MID(SUVAHAVUJ!AF61,2,1)</f>
        <v xml:space="preserve"> </v>
      </c>
      <c r="DS11" s="976"/>
      <c r="DT11" s="976"/>
      <c r="DU11" s="976"/>
      <c r="DV11" s="976"/>
      <c r="DW11" s="976" t="str">
        <f>MID(SUVAHAVUJ!AF61,3,1)</f>
        <v xml:space="preserve"> </v>
      </c>
      <c r="DX11" s="976"/>
      <c r="DY11" s="976"/>
      <c r="DZ11" s="976"/>
      <c r="EA11" s="976"/>
      <c r="EB11" s="976"/>
      <c r="EC11" s="976" t="str">
        <f>MID(SUVAHAVUJ!AF61,4,1)</f>
        <v xml:space="preserve"> </v>
      </c>
      <c r="ED11" s="976"/>
      <c r="EE11" s="976"/>
      <c r="EF11" s="976"/>
      <c r="EG11" s="976"/>
      <c r="EH11" s="976" t="str">
        <f>MID(SUVAHAVUJ!AF61,5,1)</f>
        <v xml:space="preserve"> </v>
      </c>
      <c r="EI11" s="976"/>
      <c r="EJ11" s="976"/>
      <c r="EK11" s="976"/>
      <c r="EL11" s="976"/>
      <c r="EM11" s="976"/>
      <c r="EN11" s="976" t="str">
        <f>MID(SUVAHAVUJ!AF61,6,1)</f>
        <v xml:space="preserve"> </v>
      </c>
      <c r="EO11" s="976"/>
      <c r="EP11" s="976"/>
      <c r="EQ11" s="976"/>
      <c r="ER11" s="976"/>
      <c r="ES11" s="976" t="str">
        <f>MID(SUVAHAVUJ!AF61,7,1)</f>
        <v xml:space="preserve"> </v>
      </c>
      <c r="ET11" s="976"/>
      <c r="EU11" s="976"/>
      <c r="EV11" s="976"/>
      <c r="EW11" s="976"/>
      <c r="EX11" s="976"/>
      <c r="EY11" s="976" t="str">
        <f>MID(SUVAHAVUJ!AF61,8,1)</f>
        <v xml:space="preserve"> </v>
      </c>
      <c r="EZ11" s="976"/>
      <c r="FA11" s="976"/>
      <c r="FB11" s="976"/>
      <c r="FC11" s="976"/>
      <c r="FD11" s="976" t="str">
        <f>MID(SUVAHAVUJ!AF61,9,1)</f>
        <v xml:space="preserve"> </v>
      </c>
      <c r="FE11" s="976"/>
      <c r="FF11" s="976"/>
      <c r="FG11" s="976"/>
      <c r="FH11" s="976"/>
      <c r="FI11" s="976"/>
      <c r="FJ11" s="976" t="str">
        <f>MID(SUVAHAVUJ!AF61,10,1)</f>
        <v xml:space="preserve"> </v>
      </c>
      <c r="FK11" s="976"/>
      <c r="FL11" s="976"/>
      <c r="FM11" s="976"/>
      <c r="FN11" s="976"/>
      <c r="FO11" s="978" t="str">
        <f>MID(SUVAHAVUJ!AF61,11,1)</f>
        <v>0</v>
      </c>
      <c r="FP11" s="978"/>
      <c r="FQ11" s="978"/>
      <c r="FR11" s="978"/>
      <c r="FS11" s="978"/>
      <c r="FT11" s="979"/>
      <c r="FU11" s="979"/>
      <c r="FV11" s="979"/>
      <c r="FW11" s="979"/>
      <c r="FX11" s="979"/>
      <c r="FY11" s="979"/>
      <c r="FZ11" s="979"/>
      <c r="GA11" s="979"/>
      <c r="GB11" s="979"/>
      <c r="GC11" s="979"/>
      <c r="GD11" s="979"/>
      <c r="GE11" s="979"/>
      <c r="GF11" s="979"/>
      <c r="GG11" s="979"/>
      <c r="GH11" s="979"/>
      <c r="GI11" s="979"/>
      <c r="GJ11" s="979"/>
      <c r="GK11" s="979"/>
      <c r="GL11" s="979"/>
      <c r="GM11" s="979"/>
      <c r="GN11" s="979"/>
      <c r="GO11" s="979"/>
      <c r="GP11" s="979"/>
      <c r="GQ11" s="979"/>
      <c r="GR11" s="979"/>
      <c r="GS11" s="979"/>
      <c r="GT11" s="979"/>
      <c r="GU11" s="979"/>
      <c r="GV11" s="979"/>
      <c r="GW11" s="979"/>
    </row>
    <row r="12" spans="1:205" ht="23.25" customHeight="1" x14ac:dyDescent="0.3">
      <c r="B12" s="985"/>
      <c r="C12" s="985"/>
      <c r="D12" s="985"/>
      <c r="E12" s="985"/>
      <c r="F12" s="985"/>
      <c r="G12" s="985"/>
      <c r="H12" s="985"/>
      <c r="I12" s="985"/>
      <c r="J12" s="985"/>
      <c r="K12" s="985"/>
      <c r="L12" s="990"/>
      <c r="M12" s="990"/>
      <c r="N12" s="990"/>
      <c r="O12" s="990"/>
      <c r="P12" s="990"/>
      <c r="Q12" s="990"/>
      <c r="R12" s="990"/>
      <c r="S12" s="990"/>
      <c r="T12" s="990"/>
      <c r="U12" s="990"/>
      <c r="V12" s="990"/>
      <c r="W12" s="990"/>
      <c r="X12" s="990"/>
      <c r="Y12" s="990"/>
      <c r="Z12" s="990"/>
      <c r="AA12" s="990"/>
      <c r="AB12" s="990"/>
      <c r="AC12" s="990"/>
      <c r="AD12" s="990"/>
      <c r="AE12" s="990"/>
      <c r="AF12" s="990"/>
      <c r="AG12" s="990"/>
      <c r="AH12" s="990"/>
      <c r="AI12" s="990"/>
      <c r="AJ12" s="990"/>
      <c r="AK12" s="990"/>
      <c r="AL12" s="990"/>
      <c r="AM12" s="990"/>
      <c r="AN12" s="990"/>
      <c r="AO12" s="990"/>
      <c r="AP12" s="990"/>
      <c r="AQ12" s="975"/>
      <c r="AR12" s="975"/>
      <c r="AS12" s="975"/>
      <c r="AT12" s="975"/>
      <c r="AU12" s="975"/>
      <c r="AV12" s="975"/>
      <c r="AW12" s="975"/>
      <c r="AX12" s="975"/>
      <c r="AY12" s="648"/>
      <c r="AZ12" s="649"/>
      <c r="BA12" s="976" t="str">
        <f>MID(SUVAHAVUJ!AE61,1,1)</f>
        <v xml:space="preserve"> </v>
      </c>
      <c r="BB12" s="976"/>
      <c r="BC12" s="976"/>
      <c r="BD12" s="976"/>
      <c r="BE12" s="976"/>
      <c r="BF12" s="976"/>
      <c r="BG12" s="976" t="str">
        <f>MID(SUVAHAVUJ!AE61,2,1)</f>
        <v xml:space="preserve"> </v>
      </c>
      <c r="BH12" s="976"/>
      <c r="BI12" s="976"/>
      <c r="BJ12" s="976"/>
      <c r="BK12" s="976"/>
      <c r="BL12" s="976" t="str">
        <f>MID(SUVAHAVUJ!AE61,3,1)</f>
        <v xml:space="preserve"> </v>
      </c>
      <c r="BM12" s="976"/>
      <c r="BN12" s="976"/>
      <c r="BO12" s="976"/>
      <c r="BP12" s="976"/>
      <c r="BQ12" s="976"/>
      <c r="BR12" s="976" t="str">
        <f>MID(SUVAHAVUJ!AE61,4,1)</f>
        <v xml:space="preserve"> </v>
      </c>
      <c r="BS12" s="976"/>
      <c r="BT12" s="976"/>
      <c r="BU12" s="976"/>
      <c r="BV12" s="976"/>
      <c r="BW12" s="976" t="str">
        <f>MID(SUVAHAVUJ!AE61,5,1)</f>
        <v xml:space="preserve"> </v>
      </c>
      <c r="BX12" s="976"/>
      <c r="BY12" s="976"/>
      <c r="BZ12" s="976"/>
      <c r="CA12" s="976"/>
      <c r="CB12" s="976"/>
      <c r="CC12" s="976" t="str">
        <f>MID(SUVAHAVUJ!AE61,6,1)</f>
        <v xml:space="preserve"> </v>
      </c>
      <c r="CD12" s="976"/>
      <c r="CE12" s="976"/>
      <c r="CF12" s="976"/>
      <c r="CG12" s="976"/>
      <c r="CH12" s="976" t="str">
        <f>MID(SUVAHAVUJ!AE61,7,1)</f>
        <v xml:space="preserve"> </v>
      </c>
      <c r="CI12" s="976"/>
      <c r="CJ12" s="976"/>
      <c r="CK12" s="976"/>
      <c r="CL12" s="976"/>
      <c r="CM12" s="976"/>
      <c r="CN12" s="976" t="str">
        <f>MID(SUVAHAVUJ!AE61,8,1)</f>
        <v xml:space="preserve"> </v>
      </c>
      <c r="CO12" s="976"/>
      <c r="CP12" s="976"/>
      <c r="CQ12" s="976"/>
      <c r="CR12" s="976"/>
      <c r="CS12" s="976" t="str">
        <f>MID(SUVAHAVUJ!AE61,9,1)</f>
        <v xml:space="preserve"> </v>
      </c>
      <c r="CT12" s="976"/>
      <c r="CU12" s="976"/>
      <c r="CV12" s="976"/>
      <c r="CW12" s="976"/>
      <c r="CX12" s="976"/>
      <c r="CY12" s="976" t="str">
        <f>MID(SUVAHAVUJ!AE61,10,1)</f>
        <v xml:space="preserve"> </v>
      </c>
      <c r="CZ12" s="976"/>
      <c r="DA12" s="976"/>
      <c r="DB12" s="976"/>
      <c r="DC12" s="976"/>
      <c r="DD12" s="977" t="str">
        <f>MID(SUVAHAVUJ!AE61,11,1)</f>
        <v>0</v>
      </c>
      <c r="DE12" s="977"/>
      <c r="DF12" s="977"/>
      <c r="DG12" s="977"/>
      <c r="DH12" s="977"/>
      <c r="DI12" s="977"/>
      <c r="DJ12" s="980"/>
      <c r="DK12" s="980"/>
      <c r="DL12" s="980"/>
      <c r="DM12" s="980"/>
      <c r="DN12" s="980"/>
      <c r="DO12" s="980"/>
      <c r="DP12" s="980"/>
      <c r="DQ12" s="980"/>
      <c r="DR12" s="980"/>
      <c r="DS12" s="980"/>
      <c r="DT12" s="980"/>
      <c r="DU12" s="980"/>
      <c r="DV12" s="980"/>
      <c r="DW12" s="980"/>
      <c r="DX12" s="980"/>
      <c r="DY12" s="980"/>
      <c r="DZ12" s="980"/>
      <c r="EA12" s="980"/>
      <c r="EB12" s="980"/>
      <c r="EC12" s="980"/>
      <c r="ED12" s="980"/>
      <c r="EE12" s="980"/>
      <c r="EF12" s="980"/>
      <c r="EG12" s="980"/>
      <c r="EH12" s="980"/>
      <c r="EI12" s="980"/>
      <c r="EJ12" s="980"/>
      <c r="EK12" s="980"/>
      <c r="EL12" s="980"/>
      <c r="EM12" s="980"/>
      <c r="EN12" s="648"/>
      <c r="EO12" s="649"/>
      <c r="EP12" s="976" t="str">
        <f>MID(SUVAHAVUJ!AG61,1,1)</f>
        <v xml:space="preserve"> </v>
      </c>
      <c r="EQ12" s="976"/>
      <c r="ER12" s="976"/>
      <c r="ES12" s="976"/>
      <c r="ET12" s="976"/>
      <c r="EU12" s="976"/>
      <c r="EV12" s="976" t="str">
        <f>MID(SUVAHAVUJ!AG61,2,1)</f>
        <v xml:space="preserve"> </v>
      </c>
      <c r="EW12" s="976"/>
      <c r="EX12" s="976"/>
      <c r="EY12" s="976"/>
      <c r="EZ12" s="976"/>
      <c r="FA12" s="976" t="str">
        <f>MID(SUVAHAVUJ!AG61,3,1)</f>
        <v xml:space="preserve"> </v>
      </c>
      <c r="FB12" s="976"/>
      <c r="FC12" s="976"/>
      <c r="FD12" s="976"/>
      <c r="FE12" s="976"/>
      <c r="FF12" s="976"/>
      <c r="FG12" s="976" t="str">
        <f>MID(SUVAHAVUJ!AG61,4,1)</f>
        <v xml:space="preserve"> </v>
      </c>
      <c r="FH12" s="976"/>
      <c r="FI12" s="976"/>
      <c r="FJ12" s="976"/>
      <c r="FK12" s="976"/>
      <c r="FL12" s="976" t="str">
        <f>MID(SUVAHAVUJ!AG61,5,1)</f>
        <v xml:space="preserve"> </v>
      </c>
      <c r="FM12" s="976"/>
      <c r="FN12" s="976"/>
      <c r="FO12" s="976"/>
      <c r="FP12" s="976"/>
      <c r="FQ12" s="976"/>
      <c r="FR12" s="976" t="str">
        <f>MID(SUVAHAVUJ!AG61,6,1)</f>
        <v xml:space="preserve"> </v>
      </c>
      <c r="FS12" s="976"/>
      <c r="FT12" s="976"/>
      <c r="FU12" s="976"/>
      <c r="FV12" s="976"/>
      <c r="FW12" s="976" t="str">
        <f>MID(SUVAHAVUJ!AG61,7,1)</f>
        <v xml:space="preserve"> </v>
      </c>
      <c r="FX12" s="976"/>
      <c r="FY12" s="976"/>
      <c r="FZ12" s="976"/>
      <c r="GA12" s="976"/>
      <c r="GB12" s="976"/>
      <c r="GC12" s="976" t="str">
        <f>MID(SUVAHAVUJ!AG61,8,1)</f>
        <v xml:space="preserve"> </v>
      </c>
      <c r="GD12" s="976"/>
      <c r="GE12" s="976"/>
      <c r="GF12" s="976"/>
      <c r="GG12" s="976"/>
      <c r="GH12" s="976" t="str">
        <f>MID(SUVAHAVUJ!AG61,9,1)</f>
        <v xml:space="preserve"> </v>
      </c>
      <c r="GI12" s="976"/>
      <c r="GJ12" s="976"/>
      <c r="GK12" s="976"/>
      <c r="GL12" s="976"/>
      <c r="GM12" s="976"/>
      <c r="GN12" s="976" t="str">
        <f>MID(SUVAHAVUJ!AG61,10,1)</f>
        <v xml:space="preserve"> </v>
      </c>
      <c r="GO12" s="976"/>
      <c r="GP12" s="976"/>
      <c r="GQ12" s="976"/>
      <c r="GR12" s="976"/>
      <c r="GS12" s="978" t="str">
        <f>MID(SUVAHAVUJ!AG61,11,1)</f>
        <v>0</v>
      </c>
      <c r="GT12" s="978"/>
      <c r="GU12" s="978"/>
      <c r="GV12" s="978"/>
      <c r="GW12" s="978"/>
    </row>
    <row r="13" spans="1:205" s="650" customFormat="1" ht="23.25" customHeight="1" x14ac:dyDescent="0.3">
      <c r="B13" s="985" t="s">
        <v>2168</v>
      </c>
      <c r="C13" s="985"/>
      <c r="D13" s="985"/>
      <c r="E13" s="985"/>
      <c r="F13" s="985"/>
      <c r="G13" s="985"/>
      <c r="H13" s="985"/>
      <c r="I13" s="985"/>
      <c r="J13" s="985"/>
      <c r="K13" s="985"/>
      <c r="L13" s="990" t="str">
        <f>SUVAHAVUJ!$D$62</f>
        <v>Ostatné pohľadávky v rámci podielovej účasti okrem pohľadávok voči prepojeným účtovným jednotkám  (351A) - /391A/</v>
      </c>
      <c r="M13" s="990"/>
      <c r="N13" s="990"/>
      <c r="O13" s="990"/>
      <c r="P13" s="990"/>
      <c r="Q13" s="990"/>
      <c r="R13" s="990"/>
      <c r="S13" s="990"/>
      <c r="T13" s="990"/>
      <c r="U13" s="990"/>
      <c r="V13" s="990"/>
      <c r="W13" s="990"/>
      <c r="X13" s="990"/>
      <c r="Y13" s="990"/>
      <c r="Z13" s="990"/>
      <c r="AA13" s="990"/>
      <c r="AB13" s="990"/>
      <c r="AC13" s="990"/>
      <c r="AD13" s="990"/>
      <c r="AE13" s="990"/>
      <c r="AF13" s="990"/>
      <c r="AG13" s="990"/>
      <c r="AH13" s="990"/>
      <c r="AI13" s="990"/>
      <c r="AJ13" s="990"/>
      <c r="AK13" s="990"/>
      <c r="AL13" s="990"/>
      <c r="AM13" s="990"/>
      <c r="AN13" s="990"/>
      <c r="AO13" s="990"/>
      <c r="AP13" s="990"/>
      <c r="AQ13" s="975" t="s">
        <v>1224</v>
      </c>
      <c r="AR13" s="975"/>
      <c r="AS13" s="975"/>
      <c r="AT13" s="975"/>
      <c r="AU13" s="975"/>
      <c r="AV13" s="975"/>
      <c r="AW13" s="975"/>
      <c r="AX13" s="975"/>
      <c r="AY13" s="648"/>
      <c r="AZ13" s="649"/>
      <c r="BA13" s="976" t="str">
        <f>MID(SUVAHAVUJ!AD62,1,1)</f>
        <v xml:space="preserve"> </v>
      </c>
      <c r="BB13" s="976"/>
      <c r="BC13" s="976"/>
      <c r="BD13" s="976"/>
      <c r="BE13" s="976"/>
      <c r="BF13" s="976"/>
      <c r="BG13" s="976" t="str">
        <f>MID(SUVAHAVUJ!AD62,2,1)</f>
        <v xml:space="preserve"> </v>
      </c>
      <c r="BH13" s="976"/>
      <c r="BI13" s="976"/>
      <c r="BJ13" s="976"/>
      <c r="BK13" s="976"/>
      <c r="BL13" s="976" t="str">
        <f>MID(SUVAHAVUJ!AD62,3,1)</f>
        <v xml:space="preserve"> </v>
      </c>
      <c r="BM13" s="976"/>
      <c r="BN13" s="976"/>
      <c r="BO13" s="976"/>
      <c r="BP13" s="976"/>
      <c r="BQ13" s="976"/>
      <c r="BR13" s="976" t="str">
        <f>MID(SUVAHAVUJ!AD62,4,1)</f>
        <v xml:space="preserve"> </v>
      </c>
      <c r="BS13" s="976"/>
      <c r="BT13" s="976"/>
      <c r="BU13" s="976"/>
      <c r="BV13" s="976"/>
      <c r="BW13" s="976" t="str">
        <f>MID(SUVAHAVUJ!AD62,5,1)</f>
        <v xml:space="preserve"> </v>
      </c>
      <c r="BX13" s="976"/>
      <c r="BY13" s="976"/>
      <c r="BZ13" s="976"/>
      <c r="CA13" s="976"/>
      <c r="CB13" s="976"/>
      <c r="CC13" s="976" t="str">
        <f>MID(SUVAHAVUJ!AD62,6,1)</f>
        <v xml:space="preserve"> </v>
      </c>
      <c r="CD13" s="976"/>
      <c r="CE13" s="976"/>
      <c r="CF13" s="976"/>
      <c r="CG13" s="976"/>
      <c r="CH13" s="976" t="str">
        <f>MID(SUVAHAVUJ!AD62,7,1)</f>
        <v xml:space="preserve"> </v>
      </c>
      <c r="CI13" s="976"/>
      <c r="CJ13" s="976"/>
      <c r="CK13" s="976"/>
      <c r="CL13" s="976"/>
      <c r="CM13" s="976"/>
      <c r="CN13" s="976" t="str">
        <f>MID(SUVAHAVUJ!AD62,8,1)</f>
        <v xml:space="preserve"> </v>
      </c>
      <c r="CO13" s="976"/>
      <c r="CP13" s="976"/>
      <c r="CQ13" s="976"/>
      <c r="CR13" s="976"/>
      <c r="CS13" s="976" t="str">
        <f>MID(SUVAHAVUJ!AD62,9,1)</f>
        <v xml:space="preserve"> </v>
      </c>
      <c r="CT13" s="976"/>
      <c r="CU13" s="976"/>
      <c r="CV13" s="976"/>
      <c r="CW13" s="976"/>
      <c r="CX13" s="976"/>
      <c r="CY13" s="976" t="str">
        <f>MID(SUVAHAVUJ!AD62,10,1)</f>
        <v xml:space="preserve"> </v>
      </c>
      <c r="CZ13" s="976"/>
      <c r="DA13" s="976"/>
      <c r="DB13" s="976"/>
      <c r="DC13" s="976"/>
      <c r="DD13" s="977" t="str">
        <f>MID(SUVAHAVUJ!AD62,11,1)</f>
        <v>0</v>
      </c>
      <c r="DE13" s="977"/>
      <c r="DF13" s="977"/>
      <c r="DG13" s="977"/>
      <c r="DH13" s="977"/>
      <c r="DI13" s="977"/>
      <c r="DJ13" s="648"/>
      <c r="DK13" s="649"/>
      <c r="DL13" s="976" t="str">
        <f>MID(SUVAHAVUJ!AF62,1,1)</f>
        <v xml:space="preserve"> </v>
      </c>
      <c r="DM13" s="976"/>
      <c r="DN13" s="976"/>
      <c r="DO13" s="976"/>
      <c r="DP13" s="976"/>
      <c r="DQ13" s="976"/>
      <c r="DR13" s="976" t="str">
        <f>MID(SUVAHAVUJ!AF62,2,1)</f>
        <v xml:space="preserve"> </v>
      </c>
      <c r="DS13" s="976"/>
      <c r="DT13" s="976"/>
      <c r="DU13" s="976"/>
      <c r="DV13" s="976"/>
      <c r="DW13" s="976" t="str">
        <f>MID(SUVAHAVUJ!AF62,3,1)</f>
        <v xml:space="preserve"> </v>
      </c>
      <c r="DX13" s="976"/>
      <c r="DY13" s="976"/>
      <c r="DZ13" s="976"/>
      <c r="EA13" s="976"/>
      <c r="EB13" s="976"/>
      <c r="EC13" s="976" t="str">
        <f>MID(SUVAHAVUJ!AF62,4,1)</f>
        <v xml:space="preserve"> </v>
      </c>
      <c r="ED13" s="976"/>
      <c r="EE13" s="976"/>
      <c r="EF13" s="976"/>
      <c r="EG13" s="976"/>
      <c r="EH13" s="976" t="str">
        <f>MID(SUVAHAVUJ!AF62,5,1)</f>
        <v xml:space="preserve"> </v>
      </c>
      <c r="EI13" s="976"/>
      <c r="EJ13" s="976"/>
      <c r="EK13" s="976"/>
      <c r="EL13" s="976"/>
      <c r="EM13" s="976"/>
      <c r="EN13" s="976" t="str">
        <f>MID(SUVAHAVUJ!AF62,6,1)</f>
        <v xml:space="preserve"> </v>
      </c>
      <c r="EO13" s="976"/>
      <c r="EP13" s="976"/>
      <c r="EQ13" s="976"/>
      <c r="ER13" s="976"/>
      <c r="ES13" s="976" t="str">
        <f>MID(SUVAHAVUJ!AF62,7,1)</f>
        <v xml:space="preserve"> </v>
      </c>
      <c r="ET13" s="976"/>
      <c r="EU13" s="976"/>
      <c r="EV13" s="976"/>
      <c r="EW13" s="976"/>
      <c r="EX13" s="976"/>
      <c r="EY13" s="976" t="str">
        <f>MID(SUVAHAVUJ!AF62,8,1)</f>
        <v xml:space="preserve"> </v>
      </c>
      <c r="EZ13" s="976"/>
      <c r="FA13" s="976"/>
      <c r="FB13" s="976"/>
      <c r="FC13" s="976"/>
      <c r="FD13" s="976" t="str">
        <f>MID(SUVAHAVUJ!AF62,9,1)</f>
        <v xml:space="preserve"> </v>
      </c>
      <c r="FE13" s="976"/>
      <c r="FF13" s="976"/>
      <c r="FG13" s="976"/>
      <c r="FH13" s="976"/>
      <c r="FI13" s="976"/>
      <c r="FJ13" s="976" t="str">
        <f>MID(SUVAHAVUJ!AF62,10,1)</f>
        <v xml:space="preserve"> </v>
      </c>
      <c r="FK13" s="976"/>
      <c r="FL13" s="976"/>
      <c r="FM13" s="976"/>
      <c r="FN13" s="976"/>
      <c r="FO13" s="978" t="str">
        <f>MID(SUVAHAVUJ!AF62,11,1)</f>
        <v>0</v>
      </c>
      <c r="FP13" s="978"/>
      <c r="FQ13" s="978"/>
      <c r="FR13" s="978"/>
      <c r="FS13" s="978"/>
      <c r="FT13" s="979"/>
      <c r="FU13" s="979"/>
      <c r="FV13" s="979"/>
      <c r="FW13" s="979"/>
      <c r="FX13" s="979"/>
      <c r="FY13" s="979"/>
      <c r="FZ13" s="979"/>
      <c r="GA13" s="979"/>
      <c r="GB13" s="979"/>
      <c r="GC13" s="979"/>
      <c r="GD13" s="979"/>
      <c r="GE13" s="979"/>
      <c r="GF13" s="979"/>
      <c r="GG13" s="979"/>
      <c r="GH13" s="979"/>
      <c r="GI13" s="979"/>
      <c r="GJ13" s="979"/>
      <c r="GK13" s="979"/>
      <c r="GL13" s="979"/>
      <c r="GM13" s="979"/>
      <c r="GN13" s="979"/>
      <c r="GO13" s="979"/>
      <c r="GP13" s="979"/>
      <c r="GQ13" s="979"/>
      <c r="GR13" s="979"/>
      <c r="GS13" s="979"/>
      <c r="GT13" s="979"/>
      <c r="GU13" s="979"/>
      <c r="GV13" s="979"/>
      <c r="GW13" s="979"/>
    </row>
    <row r="14" spans="1:205" ht="23.25" customHeight="1" x14ac:dyDescent="0.3">
      <c r="B14" s="985"/>
      <c r="C14" s="985"/>
      <c r="D14" s="985"/>
      <c r="E14" s="985"/>
      <c r="F14" s="985"/>
      <c r="G14" s="985"/>
      <c r="H14" s="985"/>
      <c r="I14" s="985"/>
      <c r="J14" s="985"/>
      <c r="K14" s="985"/>
      <c r="L14" s="990"/>
      <c r="M14" s="990"/>
      <c r="N14" s="990"/>
      <c r="O14" s="990"/>
      <c r="P14" s="990"/>
      <c r="Q14" s="990"/>
      <c r="R14" s="990"/>
      <c r="S14" s="990"/>
      <c r="T14" s="990"/>
      <c r="U14" s="990"/>
      <c r="V14" s="990"/>
      <c r="W14" s="990"/>
      <c r="X14" s="990"/>
      <c r="Y14" s="990"/>
      <c r="Z14" s="990"/>
      <c r="AA14" s="990"/>
      <c r="AB14" s="990"/>
      <c r="AC14" s="990"/>
      <c r="AD14" s="990"/>
      <c r="AE14" s="990"/>
      <c r="AF14" s="990"/>
      <c r="AG14" s="990"/>
      <c r="AH14" s="990"/>
      <c r="AI14" s="990"/>
      <c r="AJ14" s="990"/>
      <c r="AK14" s="990"/>
      <c r="AL14" s="990"/>
      <c r="AM14" s="990"/>
      <c r="AN14" s="990"/>
      <c r="AO14" s="990"/>
      <c r="AP14" s="990"/>
      <c r="AQ14" s="975"/>
      <c r="AR14" s="975"/>
      <c r="AS14" s="975"/>
      <c r="AT14" s="975"/>
      <c r="AU14" s="975"/>
      <c r="AV14" s="975"/>
      <c r="AW14" s="975"/>
      <c r="AX14" s="975"/>
      <c r="AY14" s="648"/>
      <c r="AZ14" s="649"/>
      <c r="BA14" s="976" t="str">
        <f>MID(SUVAHAVUJ!AE62,1,1)</f>
        <v xml:space="preserve"> </v>
      </c>
      <c r="BB14" s="976"/>
      <c r="BC14" s="976"/>
      <c r="BD14" s="976"/>
      <c r="BE14" s="976"/>
      <c r="BF14" s="976"/>
      <c r="BG14" s="976" t="str">
        <f>MID(SUVAHAVUJ!AE62,2,1)</f>
        <v xml:space="preserve"> </v>
      </c>
      <c r="BH14" s="976"/>
      <c r="BI14" s="976"/>
      <c r="BJ14" s="976"/>
      <c r="BK14" s="976"/>
      <c r="BL14" s="976" t="str">
        <f>MID(SUVAHAVUJ!AE62,3,1)</f>
        <v xml:space="preserve"> </v>
      </c>
      <c r="BM14" s="976"/>
      <c r="BN14" s="976"/>
      <c r="BO14" s="976"/>
      <c r="BP14" s="976"/>
      <c r="BQ14" s="976"/>
      <c r="BR14" s="976" t="str">
        <f>MID(SUVAHAVUJ!AE62,4,1)</f>
        <v xml:space="preserve"> </v>
      </c>
      <c r="BS14" s="976"/>
      <c r="BT14" s="976"/>
      <c r="BU14" s="976"/>
      <c r="BV14" s="976"/>
      <c r="BW14" s="976" t="str">
        <f>MID(SUVAHAVUJ!AE62,5,1)</f>
        <v xml:space="preserve"> </v>
      </c>
      <c r="BX14" s="976"/>
      <c r="BY14" s="976"/>
      <c r="BZ14" s="976"/>
      <c r="CA14" s="976"/>
      <c r="CB14" s="976"/>
      <c r="CC14" s="976" t="str">
        <f>MID(SUVAHAVUJ!AE62,6,1)</f>
        <v xml:space="preserve"> </v>
      </c>
      <c r="CD14" s="976"/>
      <c r="CE14" s="976"/>
      <c r="CF14" s="976"/>
      <c r="CG14" s="976"/>
      <c r="CH14" s="976" t="str">
        <f>MID(SUVAHAVUJ!AE62,7,1)</f>
        <v xml:space="preserve"> </v>
      </c>
      <c r="CI14" s="976"/>
      <c r="CJ14" s="976"/>
      <c r="CK14" s="976"/>
      <c r="CL14" s="976"/>
      <c r="CM14" s="976"/>
      <c r="CN14" s="976" t="str">
        <f>MID(SUVAHAVUJ!AE62,8,1)</f>
        <v xml:space="preserve"> </v>
      </c>
      <c r="CO14" s="976"/>
      <c r="CP14" s="976"/>
      <c r="CQ14" s="976"/>
      <c r="CR14" s="976"/>
      <c r="CS14" s="976" t="str">
        <f>MID(SUVAHAVUJ!AE62,9,1)</f>
        <v xml:space="preserve"> </v>
      </c>
      <c r="CT14" s="976"/>
      <c r="CU14" s="976"/>
      <c r="CV14" s="976"/>
      <c r="CW14" s="976"/>
      <c r="CX14" s="976"/>
      <c r="CY14" s="976" t="str">
        <f>MID(SUVAHAVUJ!AE62,10,1)</f>
        <v xml:space="preserve"> </v>
      </c>
      <c r="CZ14" s="976"/>
      <c r="DA14" s="976"/>
      <c r="DB14" s="976"/>
      <c r="DC14" s="976"/>
      <c r="DD14" s="977" t="str">
        <f>MID(SUVAHAVUJ!AE62,11,1)</f>
        <v>0</v>
      </c>
      <c r="DE14" s="977"/>
      <c r="DF14" s="977"/>
      <c r="DG14" s="977"/>
      <c r="DH14" s="977"/>
      <c r="DI14" s="977"/>
      <c r="DJ14" s="980"/>
      <c r="DK14" s="980"/>
      <c r="DL14" s="980"/>
      <c r="DM14" s="980"/>
      <c r="DN14" s="980"/>
      <c r="DO14" s="980"/>
      <c r="DP14" s="980"/>
      <c r="DQ14" s="980"/>
      <c r="DR14" s="980"/>
      <c r="DS14" s="980"/>
      <c r="DT14" s="980"/>
      <c r="DU14" s="980"/>
      <c r="DV14" s="980"/>
      <c r="DW14" s="980"/>
      <c r="DX14" s="980"/>
      <c r="DY14" s="980"/>
      <c r="DZ14" s="980"/>
      <c r="EA14" s="980"/>
      <c r="EB14" s="980"/>
      <c r="EC14" s="980"/>
      <c r="ED14" s="980"/>
      <c r="EE14" s="980"/>
      <c r="EF14" s="980"/>
      <c r="EG14" s="980"/>
      <c r="EH14" s="980"/>
      <c r="EI14" s="980"/>
      <c r="EJ14" s="980"/>
      <c r="EK14" s="980"/>
      <c r="EL14" s="980"/>
      <c r="EM14" s="980"/>
      <c r="EN14" s="648"/>
      <c r="EO14" s="649"/>
      <c r="EP14" s="976" t="str">
        <f>MID(SUVAHAVUJ!AG62,1,1)</f>
        <v xml:space="preserve"> </v>
      </c>
      <c r="EQ14" s="976"/>
      <c r="ER14" s="976"/>
      <c r="ES14" s="976"/>
      <c r="ET14" s="976"/>
      <c r="EU14" s="976"/>
      <c r="EV14" s="976" t="str">
        <f>MID(SUVAHAVUJ!AG62,2,1)</f>
        <v xml:space="preserve"> </v>
      </c>
      <c r="EW14" s="976"/>
      <c r="EX14" s="976"/>
      <c r="EY14" s="976"/>
      <c r="EZ14" s="976"/>
      <c r="FA14" s="976" t="str">
        <f>MID(SUVAHAVUJ!AG62,3,1)</f>
        <v xml:space="preserve"> </v>
      </c>
      <c r="FB14" s="976"/>
      <c r="FC14" s="976"/>
      <c r="FD14" s="976"/>
      <c r="FE14" s="976"/>
      <c r="FF14" s="976"/>
      <c r="FG14" s="976" t="str">
        <f>MID(SUVAHAVUJ!AG62,4,1)</f>
        <v xml:space="preserve"> </v>
      </c>
      <c r="FH14" s="976"/>
      <c r="FI14" s="976"/>
      <c r="FJ14" s="976"/>
      <c r="FK14" s="976"/>
      <c r="FL14" s="976" t="str">
        <f>MID(SUVAHAVUJ!AG62,5,1)</f>
        <v xml:space="preserve"> </v>
      </c>
      <c r="FM14" s="976"/>
      <c r="FN14" s="976"/>
      <c r="FO14" s="976"/>
      <c r="FP14" s="976"/>
      <c r="FQ14" s="976"/>
      <c r="FR14" s="976" t="str">
        <f>MID(SUVAHAVUJ!AG62,6,1)</f>
        <v xml:space="preserve"> </v>
      </c>
      <c r="FS14" s="976"/>
      <c r="FT14" s="976"/>
      <c r="FU14" s="976"/>
      <c r="FV14" s="976"/>
      <c r="FW14" s="976" t="str">
        <f>MID(SUVAHAVUJ!AG62,7,1)</f>
        <v xml:space="preserve"> </v>
      </c>
      <c r="FX14" s="976"/>
      <c r="FY14" s="976"/>
      <c r="FZ14" s="976"/>
      <c r="GA14" s="976"/>
      <c r="GB14" s="976"/>
      <c r="GC14" s="976" t="str">
        <f>MID(SUVAHAVUJ!AG62,8,1)</f>
        <v xml:space="preserve"> </v>
      </c>
      <c r="GD14" s="976"/>
      <c r="GE14" s="976"/>
      <c r="GF14" s="976"/>
      <c r="GG14" s="976"/>
      <c r="GH14" s="976" t="str">
        <f>MID(SUVAHAVUJ!AG62,9,1)</f>
        <v xml:space="preserve"> </v>
      </c>
      <c r="GI14" s="976"/>
      <c r="GJ14" s="976"/>
      <c r="GK14" s="976"/>
      <c r="GL14" s="976"/>
      <c r="GM14" s="976"/>
      <c r="GN14" s="976" t="str">
        <f>MID(SUVAHAVUJ!AG62,10,1)</f>
        <v xml:space="preserve"> </v>
      </c>
      <c r="GO14" s="976"/>
      <c r="GP14" s="976"/>
      <c r="GQ14" s="976"/>
      <c r="GR14" s="976"/>
      <c r="GS14" s="978" t="str">
        <f>MID(SUVAHAVUJ!AG62,11,1)</f>
        <v>0</v>
      </c>
      <c r="GT14" s="978"/>
      <c r="GU14" s="978"/>
      <c r="GV14" s="978"/>
      <c r="GW14" s="978"/>
    </row>
    <row r="15" spans="1:205" s="650" customFormat="1" ht="24" customHeight="1" x14ac:dyDescent="0.3">
      <c r="B15" s="985" t="s">
        <v>2169</v>
      </c>
      <c r="C15" s="985"/>
      <c r="D15" s="985"/>
      <c r="E15" s="985"/>
      <c r="F15" s="985"/>
      <c r="G15" s="985"/>
      <c r="H15" s="985"/>
      <c r="I15" s="985"/>
      <c r="J15" s="985"/>
      <c r="K15" s="985"/>
      <c r="L15" s="990" t="str">
        <f>SUVAHAVUJ!$D$63</f>
        <v>Pohľadávky voči spoločníkom, členom a združeniu (354A, 355A, 358A, 35XA, 398A) - /391A/</v>
      </c>
      <c r="M15" s="990"/>
      <c r="N15" s="990"/>
      <c r="O15" s="990"/>
      <c r="P15" s="990"/>
      <c r="Q15" s="990"/>
      <c r="R15" s="990"/>
      <c r="S15" s="990"/>
      <c r="T15" s="990"/>
      <c r="U15" s="990"/>
      <c r="V15" s="990"/>
      <c r="W15" s="990"/>
      <c r="X15" s="990"/>
      <c r="Y15" s="990"/>
      <c r="Z15" s="990"/>
      <c r="AA15" s="990"/>
      <c r="AB15" s="990"/>
      <c r="AC15" s="990"/>
      <c r="AD15" s="990"/>
      <c r="AE15" s="990"/>
      <c r="AF15" s="990"/>
      <c r="AG15" s="990"/>
      <c r="AH15" s="990"/>
      <c r="AI15" s="990"/>
      <c r="AJ15" s="990"/>
      <c r="AK15" s="990"/>
      <c r="AL15" s="990"/>
      <c r="AM15" s="990"/>
      <c r="AN15" s="990"/>
      <c r="AO15" s="990"/>
      <c r="AP15" s="990"/>
      <c r="AQ15" s="975" t="s">
        <v>1229</v>
      </c>
      <c r="AR15" s="975"/>
      <c r="AS15" s="975"/>
      <c r="AT15" s="975"/>
      <c r="AU15" s="975"/>
      <c r="AV15" s="975"/>
      <c r="AW15" s="975"/>
      <c r="AX15" s="975"/>
      <c r="AY15" s="648"/>
      <c r="AZ15" s="649"/>
      <c r="BA15" s="976" t="str">
        <f>MID(SUVAHAVUJ!AD63,1,1)</f>
        <v xml:space="preserve"> </v>
      </c>
      <c r="BB15" s="976"/>
      <c r="BC15" s="976"/>
      <c r="BD15" s="976"/>
      <c r="BE15" s="976"/>
      <c r="BF15" s="976"/>
      <c r="BG15" s="976" t="str">
        <f>MID(SUVAHAVUJ!AD63,2,1)</f>
        <v xml:space="preserve"> </v>
      </c>
      <c r="BH15" s="976"/>
      <c r="BI15" s="976"/>
      <c r="BJ15" s="976"/>
      <c r="BK15" s="976"/>
      <c r="BL15" s="976" t="str">
        <f>MID(SUVAHAVUJ!AD63,3,1)</f>
        <v xml:space="preserve"> </v>
      </c>
      <c r="BM15" s="976"/>
      <c r="BN15" s="976"/>
      <c r="BO15" s="976"/>
      <c r="BP15" s="976"/>
      <c r="BQ15" s="976"/>
      <c r="BR15" s="976" t="str">
        <f>MID(SUVAHAVUJ!AD63,4,1)</f>
        <v xml:space="preserve"> </v>
      </c>
      <c r="BS15" s="976"/>
      <c r="BT15" s="976"/>
      <c r="BU15" s="976"/>
      <c r="BV15" s="976"/>
      <c r="BW15" s="976" t="str">
        <f>MID(SUVAHAVUJ!AD63,5,1)</f>
        <v xml:space="preserve"> </v>
      </c>
      <c r="BX15" s="976"/>
      <c r="BY15" s="976"/>
      <c r="BZ15" s="976"/>
      <c r="CA15" s="976"/>
      <c r="CB15" s="976"/>
      <c r="CC15" s="976" t="str">
        <f>MID(SUVAHAVUJ!AD63,6,1)</f>
        <v xml:space="preserve"> </v>
      </c>
      <c r="CD15" s="976"/>
      <c r="CE15" s="976"/>
      <c r="CF15" s="976"/>
      <c r="CG15" s="976"/>
      <c r="CH15" s="976" t="str">
        <f>MID(SUVAHAVUJ!AD63,7,1)</f>
        <v xml:space="preserve"> </v>
      </c>
      <c r="CI15" s="976"/>
      <c r="CJ15" s="976"/>
      <c r="CK15" s="976"/>
      <c r="CL15" s="976"/>
      <c r="CM15" s="976"/>
      <c r="CN15" s="976" t="str">
        <f>MID(SUVAHAVUJ!AD63,8,1)</f>
        <v xml:space="preserve"> </v>
      </c>
      <c r="CO15" s="976"/>
      <c r="CP15" s="976"/>
      <c r="CQ15" s="976"/>
      <c r="CR15" s="976"/>
      <c r="CS15" s="976" t="str">
        <f>MID(SUVAHAVUJ!AD63,9,1)</f>
        <v xml:space="preserve"> </v>
      </c>
      <c r="CT15" s="976"/>
      <c r="CU15" s="976"/>
      <c r="CV15" s="976"/>
      <c r="CW15" s="976"/>
      <c r="CX15" s="976"/>
      <c r="CY15" s="976" t="str">
        <f>MID(SUVAHAVUJ!AD63,10,1)</f>
        <v xml:space="preserve"> </v>
      </c>
      <c r="CZ15" s="976"/>
      <c r="DA15" s="976"/>
      <c r="DB15" s="976"/>
      <c r="DC15" s="976"/>
      <c r="DD15" s="977" t="str">
        <f>MID(SUVAHAVUJ!AD63,11,1)</f>
        <v>0</v>
      </c>
      <c r="DE15" s="977"/>
      <c r="DF15" s="977"/>
      <c r="DG15" s="977"/>
      <c r="DH15" s="977"/>
      <c r="DI15" s="977"/>
      <c r="DJ15" s="648"/>
      <c r="DK15" s="649"/>
      <c r="DL15" s="976" t="str">
        <f>MID(SUVAHAVUJ!AF63,1,1)</f>
        <v xml:space="preserve"> </v>
      </c>
      <c r="DM15" s="976"/>
      <c r="DN15" s="976"/>
      <c r="DO15" s="976"/>
      <c r="DP15" s="976"/>
      <c r="DQ15" s="976"/>
      <c r="DR15" s="976" t="str">
        <f>MID(SUVAHAVUJ!AF63,2,1)</f>
        <v xml:space="preserve"> </v>
      </c>
      <c r="DS15" s="976"/>
      <c r="DT15" s="976"/>
      <c r="DU15" s="976"/>
      <c r="DV15" s="976"/>
      <c r="DW15" s="976" t="str">
        <f>MID(SUVAHAVUJ!AF63,3,1)</f>
        <v xml:space="preserve"> </v>
      </c>
      <c r="DX15" s="976"/>
      <c r="DY15" s="976"/>
      <c r="DZ15" s="976"/>
      <c r="EA15" s="976"/>
      <c r="EB15" s="976"/>
      <c r="EC15" s="976" t="str">
        <f>MID(SUVAHAVUJ!AF63,4,1)</f>
        <v xml:space="preserve"> </v>
      </c>
      <c r="ED15" s="976"/>
      <c r="EE15" s="976"/>
      <c r="EF15" s="976"/>
      <c r="EG15" s="976"/>
      <c r="EH15" s="976" t="str">
        <f>MID(SUVAHAVUJ!AF63,5,1)</f>
        <v xml:space="preserve"> </v>
      </c>
      <c r="EI15" s="976"/>
      <c r="EJ15" s="976"/>
      <c r="EK15" s="976"/>
      <c r="EL15" s="976"/>
      <c r="EM15" s="976"/>
      <c r="EN15" s="976" t="str">
        <f>MID(SUVAHAVUJ!AF63,6,1)</f>
        <v xml:space="preserve"> </v>
      </c>
      <c r="EO15" s="976"/>
      <c r="EP15" s="976"/>
      <c r="EQ15" s="976"/>
      <c r="ER15" s="976"/>
      <c r="ES15" s="976" t="str">
        <f>MID(SUVAHAVUJ!AF63,7,1)</f>
        <v xml:space="preserve"> </v>
      </c>
      <c r="ET15" s="976"/>
      <c r="EU15" s="976"/>
      <c r="EV15" s="976"/>
      <c r="EW15" s="976"/>
      <c r="EX15" s="976"/>
      <c r="EY15" s="976" t="str">
        <f>MID(SUVAHAVUJ!AF63,8,1)</f>
        <v xml:space="preserve"> </v>
      </c>
      <c r="EZ15" s="976"/>
      <c r="FA15" s="976"/>
      <c r="FB15" s="976"/>
      <c r="FC15" s="976"/>
      <c r="FD15" s="976" t="str">
        <f>MID(SUVAHAVUJ!AF63,9,1)</f>
        <v xml:space="preserve"> </v>
      </c>
      <c r="FE15" s="976"/>
      <c r="FF15" s="976"/>
      <c r="FG15" s="976"/>
      <c r="FH15" s="976"/>
      <c r="FI15" s="976"/>
      <c r="FJ15" s="976" t="str">
        <f>MID(SUVAHAVUJ!AF63,10,1)</f>
        <v xml:space="preserve"> </v>
      </c>
      <c r="FK15" s="976"/>
      <c r="FL15" s="976"/>
      <c r="FM15" s="976"/>
      <c r="FN15" s="976"/>
      <c r="FO15" s="978" t="str">
        <f>MID(SUVAHAVUJ!AF63,11,1)</f>
        <v>0</v>
      </c>
      <c r="FP15" s="978"/>
      <c r="FQ15" s="978"/>
      <c r="FR15" s="978"/>
      <c r="FS15" s="978"/>
      <c r="FT15" s="979"/>
      <c r="FU15" s="979"/>
      <c r="FV15" s="979"/>
      <c r="FW15" s="979"/>
      <c r="FX15" s="979"/>
      <c r="FY15" s="979"/>
      <c r="FZ15" s="979"/>
      <c r="GA15" s="979"/>
      <c r="GB15" s="979"/>
      <c r="GC15" s="979"/>
      <c r="GD15" s="979"/>
      <c r="GE15" s="979"/>
      <c r="GF15" s="979"/>
      <c r="GG15" s="979"/>
      <c r="GH15" s="979"/>
      <c r="GI15" s="979"/>
      <c r="GJ15" s="979"/>
      <c r="GK15" s="979"/>
      <c r="GL15" s="979"/>
      <c r="GM15" s="979"/>
      <c r="GN15" s="979"/>
      <c r="GO15" s="979"/>
      <c r="GP15" s="979"/>
      <c r="GQ15" s="979"/>
      <c r="GR15" s="979"/>
      <c r="GS15" s="979"/>
      <c r="GT15" s="979"/>
      <c r="GU15" s="979"/>
      <c r="GV15" s="979"/>
      <c r="GW15" s="979"/>
    </row>
    <row r="16" spans="1:205" ht="24.75" customHeight="1" x14ac:dyDescent="0.3">
      <c r="B16" s="985"/>
      <c r="C16" s="985"/>
      <c r="D16" s="985"/>
      <c r="E16" s="985"/>
      <c r="F16" s="985"/>
      <c r="G16" s="985"/>
      <c r="H16" s="985"/>
      <c r="I16" s="985"/>
      <c r="J16" s="985"/>
      <c r="K16" s="985"/>
      <c r="L16" s="990"/>
      <c r="M16" s="990"/>
      <c r="N16" s="990"/>
      <c r="O16" s="990"/>
      <c r="P16" s="990"/>
      <c r="Q16" s="990"/>
      <c r="R16" s="990"/>
      <c r="S16" s="990"/>
      <c r="T16" s="990"/>
      <c r="U16" s="990"/>
      <c r="V16" s="990"/>
      <c r="W16" s="990"/>
      <c r="X16" s="990"/>
      <c r="Y16" s="990"/>
      <c r="Z16" s="990"/>
      <c r="AA16" s="990"/>
      <c r="AB16" s="990"/>
      <c r="AC16" s="990"/>
      <c r="AD16" s="990"/>
      <c r="AE16" s="990"/>
      <c r="AF16" s="990"/>
      <c r="AG16" s="990"/>
      <c r="AH16" s="990"/>
      <c r="AI16" s="990"/>
      <c r="AJ16" s="990"/>
      <c r="AK16" s="990"/>
      <c r="AL16" s="990"/>
      <c r="AM16" s="990"/>
      <c r="AN16" s="990"/>
      <c r="AO16" s="990"/>
      <c r="AP16" s="990"/>
      <c r="AQ16" s="975"/>
      <c r="AR16" s="975"/>
      <c r="AS16" s="975"/>
      <c r="AT16" s="975"/>
      <c r="AU16" s="975"/>
      <c r="AV16" s="975"/>
      <c r="AW16" s="975"/>
      <c r="AX16" s="975"/>
      <c r="AY16" s="648"/>
      <c r="AZ16" s="649"/>
      <c r="BA16" s="976" t="str">
        <f>MID(SUVAHAVUJ!AE63,1,1)</f>
        <v xml:space="preserve"> </v>
      </c>
      <c r="BB16" s="976"/>
      <c r="BC16" s="976"/>
      <c r="BD16" s="976"/>
      <c r="BE16" s="976"/>
      <c r="BF16" s="976"/>
      <c r="BG16" s="976" t="str">
        <f>MID(SUVAHAVUJ!AE63,2,1)</f>
        <v xml:space="preserve"> </v>
      </c>
      <c r="BH16" s="976"/>
      <c r="BI16" s="976"/>
      <c r="BJ16" s="976"/>
      <c r="BK16" s="976"/>
      <c r="BL16" s="976" t="str">
        <f>MID(SUVAHAVUJ!AE63,3,1)</f>
        <v xml:space="preserve"> </v>
      </c>
      <c r="BM16" s="976"/>
      <c r="BN16" s="976"/>
      <c r="BO16" s="976"/>
      <c r="BP16" s="976"/>
      <c r="BQ16" s="976"/>
      <c r="BR16" s="976" t="str">
        <f>MID(SUVAHAVUJ!AE63,4,1)</f>
        <v xml:space="preserve"> </v>
      </c>
      <c r="BS16" s="976"/>
      <c r="BT16" s="976"/>
      <c r="BU16" s="976"/>
      <c r="BV16" s="976"/>
      <c r="BW16" s="976" t="str">
        <f>MID(SUVAHAVUJ!AE63,5,1)</f>
        <v xml:space="preserve"> </v>
      </c>
      <c r="BX16" s="976"/>
      <c r="BY16" s="976"/>
      <c r="BZ16" s="976"/>
      <c r="CA16" s="976"/>
      <c r="CB16" s="976"/>
      <c r="CC16" s="976" t="str">
        <f>MID(SUVAHAVUJ!AE63,6,1)</f>
        <v xml:space="preserve"> </v>
      </c>
      <c r="CD16" s="976"/>
      <c r="CE16" s="976"/>
      <c r="CF16" s="976"/>
      <c r="CG16" s="976"/>
      <c r="CH16" s="976" t="str">
        <f>MID(SUVAHAVUJ!AE63,7,1)</f>
        <v xml:space="preserve"> </v>
      </c>
      <c r="CI16" s="976"/>
      <c r="CJ16" s="976"/>
      <c r="CK16" s="976"/>
      <c r="CL16" s="976"/>
      <c r="CM16" s="976"/>
      <c r="CN16" s="976" t="str">
        <f>MID(SUVAHAVUJ!AE63,8,1)</f>
        <v xml:space="preserve"> </v>
      </c>
      <c r="CO16" s="976"/>
      <c r="CP16" s="976"/>
      <c r="CQ16" s="976"/>
      <c r="CR16" s="976"/>
      <c r="CS16" s="976" t="str">
        <f>MID(SUVAHAVUJ!AE63,9,1)</f>
        <v xml:space="preserve"> </v>
      </c>
      <c r="CT16" s="976"/>
      <c r="CU16" s="976"/>
      <c r="CV16" s="976"/>
      <c r="CW16" s="976"/>
      <c r="CX16" s="976"/>
      <c r="CY16" s="976" t="str">
        <f>MID(SUVAHAVUJ!AE63,10,1)</f>
        <v xml:space="preserve"> </v>
      </c>
      <c r="CZ16" s="976"/>
      <c r="DA16" s="976"/>
      <c r="DB16" s="976"/>
      <c r="DC16" s="976"/>
      <c r="DD16" s="977" t="str">
        <f>MID(SUVAHAVUJ!AE63,11,1)</f>
        <v>0</v>
      </c>
      <c r="DE16" s="977"/>
      <c r="DF16" s="977"/>
      <c r="DG16" s="977"/>
      <c r="DH16" s="977"/>
      <c r="DI16" s="977"/>
      <c r="DJ16" s="980"/>
      <c r="DK16" s="980"/>
      <c r="DL16" s="980"/>
      <c r="DM16" s="980"/>
      <c r="DN16" s="980"/>
      <c r="DO16" s="980"/>
      <c r="DP16" s="980"/>
      <c r="DQ16" s="980"/>
      <c r="DR16" s="980"/>
      <c r="DS16" s="980"/>
      <c r="DT16" s="980"/>
      <c r="DU16" s="980"/>
      <c r="DV16" s="980"/>
      <c r="DW16" s="980"/>
      <c r="DX16" s="980"/>
      <c r="DY16" s="980"/>
      <c r="DZ16" s="980"/>
      <c r="EA16" s="980"/>
      <c r="EB16" s="980"/>
      <c r="EC16" s="980"/>
      <c r="ED16" s="980"/>
      <c r="EE16" s="980"/>
      <c r="EF16" s="980"/>
      <c r="EG16" s="980"/>
      <c r="EH16" s="980"/>
      <c r="EI16" s="980"/>
      <c r="EJ16" s="980"/>
      <c r="EK16" s="980"/>
      <c r="EL16" s="980"/>
      <c r="EM16" s="980"/>
      <c r="EN16" s="648"/>
      <c r="EO16" s="649"/>
      <c r="EP16" s="976" t="str">
        <f>MID(SUVAHAVUJ!AG63,1,1)</f>
        <v xml:space="preserve"> </v>
      </c>
      <c r="EQ16" s="976"/>
      <c r="ER16" s="976"/>
      <c r="ES16" s="976"/>
      <c r="ET16" s="976"/>
      <c r="EU16" s="976"/>
      <c r="EV16" s="976" t="str">
        <f>MID(SUVAHAVUJ!AG63,2,1)</f>
        <v xml:space="preserve"> </v>
      </c>
      <c r="EW16" s="976"/>
      <c r="EX16" s="976"/>
      <c r="EY16" s="976"/>
      <c r="EZ16" s="976"/>
      <c r="FA16" s="976" t="str">
        <f>MID(SUVAHAVUJ!AG63,3,1)</f>
        <v xml:space="preserve"> </v>
      </c>
      <c r="FB16" s="976"/>
      <c r="FC16" s="976"/>
      <c r="FD16" s="976"/>
      <c r="FE16" s="976"/>
      <c r="FF16" s="976"/>
      <c r="FG16" s="976" t="str">
        <f>MID(SUVAHAVUJ!AG63,4,1)</f>
        <v xml:space="preserve"> </v>
      </c>
      <c r="FH16" s="976"/>
      <c r="FI16" s="976"/>
      <c r="FJ16" s="976"/>
      <c r="FK16" s="976"/>
      <c r="FL16" s="976" t="str">
        <f>MID(SUVAHAVUJ!AG63,5,1)</f>
        <v xml:space="preserve"> </v>
      </c>
      <c r="FM16" s="976"/>
      <c r="FN16" s="976"/>
      <c r="FO16" s="976"/>
      <c r="FP16" s="976"/>
      <c r="FQ16" s="976"/>
      <c r="FR16" s="976" t="str">
        <f>MID(SUVAHAVUJ!AG63,6,1)</f>
        <v xml:space="preserve"> </v>
      </c>
      <c r="FS16" s="976"/>
      <c r="FT16" s="976"/>
      <c r="FU16" s="976"/>
      <c r="FV16" s="976"/>
      <c r="FW16" s="976" t="str">
        <f>MID(SUVAHAVUJ!AG63,7,1)</f>
        <v xml:space="preserve"> </v>
      </c>
      <c r="FX16" s="976"/>
      <c r="FY16" s="976"/>
      <c r="FZ16" s="976"/>
      <c r="GA16" s="976"/>
      <c r="GB16" s="976"/>
      <c r="GC16" s="976" t="str">
        <f>MID(SUVAHAVUJ!AG63,8,1)</f>
        <v xml:space="preserve"> </v>
      </c>
      <c r="GD16" s="976"/>
      <c r="GE16" s="976"/>
      <c r="GF16" s="976"/>
      <c r="GG16" s="976"/>
      <c r="GH16" s="976" t="str">
        <f>MID(SUVAHAVUJ!AG63,9,1)</f>
        <v xml:space="preserve"> </v>
      </c>
      <c r="GI16" s="976"/>
      <c r="GJ16" s="976"/>
      <c r="GK16" s="976"/>
      <c r="GL16" s="976"/>
      <c r="GM16" s="976"/>
      <c r="GN16" s="976" t="str">
        <f>MID(SUVAHAVUJ!AG63,10,1)</f>
        <v xml:space="preserve"> </v>
      </c>
      <c r="GO16" s="976"/>
      <c r="GP16" s="976"/>
      <c r="GQ16" s="976"/>
      <c r="GR16" s="976"/>
      <c r="GS16" s="978" t="str">
        <f>MID(SUVAHAVUJ!AG63,11,1)</f>
        <v>0</v>
      </c>
      <c r="GT16" s="978"/>
      <c r="GU16" s="978"/>
      <c r="GV16" s="978"/>
      <c r="GW16" s="978"/>
    </row>
    <row r="17" spans="2:205" s="650" customFormat="1" ht="23.25" customHeight="1" x14ac:dyDescent="0.3">
      <c r="B17" s="985" t="s">
        <v>2171</v>
      </c>
      <c r="C17" s="985"/>
      <c r="D17" s="985"/>
      <c r="E17" s="985"/>
      <c r="F17" s="985"/>
      <c r="G17" s="985"/>
      <c r="H17" s="985"/>
      <c r="I17" s="985"/>
      <c r="J17" s="985"/>
      <c r="K17" s="985"/>
      <c r="L17" s="990" t="str">
        <f>SUVAHAVUJ!$D$64</f>
        <v>Sociálne poistenie (336A) - /391A/</v>
      </c>
      <c r="M17" s="990"/>
      <c r="N17" s="990"/>
      <c r="O17" s="990"/>
      <c r="P17" s="990"/>
      <c r="Q17" s="990"/>
      <c r="R17" s="990"/>
      <c r="S17" s="990"/>
      <c r="T17" s="990"/>
      <c r="U17" s="990"/>
      <c r="V17" s="990"/>
      <c r="W17" s="990"/>
      <c r="X17" s="990"/>
      <c r="Y17" s="990"/>
      <c r="Z17" s="990"/>
      <c r="AA17" s="990"/>
      <c r="AB17" s="990"/>
      <c r="AC17" s="990"/>
      <c r="AD17" s="990"/>
      <c r="AE17" s="990"/>
      <c r="AF17" s="990"/>
      <c r="AG17" s="990"/>
      <c r="AH17" s="990"/>
      <c r="AI17" s="990"/>
      <c r="AJ17" s="990"/>
      <c r="AK17" s="990"/>
      <c r="AL17" s="990"/>
      <c r="AM17" s="990"/>
      <c r="AN17" s="990"/>
      <c r="AO17" s="990"/>
      <c r="AP17" s="990"/>
      <c r="AQ17" s="975" t="s">
        <v>1256</v>
      </c>
      <c r="AR17" s="975"/>
      <c r="AS17" s="975"/>
      <c r="AT17" s="975"/>
      <c r="AU17" s="975"/>
      <c r="AV17" s="975"/>
      <c r="AW17" s="975"/>
      <c r="AX17" s="975"/>
      <c r="AY17" s="648"/>
      <c r="AZ17" s="649"/>
      <c r="BA17" s="976" t="str">
        <f>MID(SUVAHAVUJ!AD64,1,1)</f>
        <v xml:space="preserve"> </v>
      </c>
      <c r="BB17" s="976"/>
      <c r="BC17" s="976"/>
      <c r="BD17" s="976"/>
      <c r="BE17" s="976"/>
      <c r="BF17" s="976"/>
      <c r="BG17" s="976" t="str">
        <f>MID(SUVAHAVUJ!AD64,2,1)</f>
        <v xml:space="preserve"> </v>
      </c>
      <c r="BH17" s="976"/>
      <c r="BI17" s="976"/>
      <c r="BJ17" s="976"/>
      <c r="BK17" s="976"/>
      <c r="BL17" s="976" t="str">
        <f>MID(SUVAHAVUJ!AD64,3,1)</f>
        <v xml:space="preserve"> </v>
      </c>
      <c r="BM17" s="976"/>
      <c r="BN17" s="976"/>
      <c r="BO17" s="976"/>
      <c r="BP17" s="976"/>
      <c r="BQ17" s="976"/>
      <c r="BR17" s="976" t="str">
        <f>MID(SUVAHAVUJ!AD64,4,1)</f>
        <v xml:space="preserve"> </v>
      </c>
      <c r="BS17" s="976"/>
      <c r="BT17" s="976"/>
      <c r="BU17" s="976"/>
      <c r="BV17" s="976"/>
      <c r="BW17" s="976" t="str">
        <f>MID(SUVAHAVUJ!AD64,5,1)</f>
        <v xml:space="preserve"> </v>
      </c>
      <c r="BX17" s="976"/>
      <c r="BY17" s="976"/>
      <c r="BZ17" s="976"/>
      <c r="CA17" s="976"/>
      <c r="CB17" s="976"/>
      <c r="CC17" s="976" t="str">
        <f>MID(SUVAHAVUJ!AD64,6,1)</f>
        <v xml:space="preserve"> </v>
      </c>
      <c r="CD17" s="976"/>
      <c r="CE17" s="976"/>
      <c r="CF17" s="976"/>
      <c r="CG17" s="976"/>
      <c r="CH17" s="976" t="str">
        <f>MID(SUVAHAVUJ!AD64,7,1)</f>
        <v xml:space="preserve"> </v>
      </c>
      <c r="CI17" s="976"/>
      <c r="CJ17" s="976"/>
      <c r="CK17" s="976"/>
      <c r="CL17" s="976"/>
      <c r="CM17" s="976"/>
      <c r="CN17" s="976" t="str">
        <f>MID(SUVAHAVUJ!AD64,8,1)</f>
        <v xml:space="preserve"> </v>
      </c>
      <c r="CO17" s="976"/>
      <c r="CP17" s="976"/>
      <c r="CQ17" s="976"/>
      <c r="CR17" s="976"/>
      <c r="CS17" s="976" t="str">
        <f>MID(SUVAHAVUJ!AD64,9,1)</f>
        <v xml:space="preserve"> </v>
      </c>
      <c r="CT17" s="976"/>
      <c r="CU17" s="976"/>
      <c r="CV17" s="976"/>
      <c r="CW17" s="976"/>
      <c r="CX17" s="976"/>
      <c r="CY17" s="976" t="str">
        <f>MID(SUVAHAVUJ!AD64,10,1)</f>
        <v xml:space="preserve"> </v>
      </c>
      <c r="CZ17" s="976"/>
      <c r="DA17" s="976"/>
      <c r="DB17" s="976"/>
      <c r="DC17" s="976"/>
      <c r="DD17" s="977" t="str">
        <f>MID(SUVAHAVUJ!AD64,11,1)</f>
        <v>0</v>
      </c>
      <c r="DE17" s="977"/>
      <c r="DF17" s="977"/>
      <c r="DG17" s="977"/>
      <c r="DH17" s="977"/>
      <c r="DI17" s="977"/>
      <c r="DJ17" s="648"/>
      <c r="DK17" s="649"/>
      <c r="DL17" s="976" t="str">
        <f>MID(SUVAHAVUJ!AF64,1,1)</f>
        <v xml:space="preserve"> </v>
      </c>
      <c r="DM17" s="976"/>
      <c r="DN17" s="976"/>
      <c r="DO17" s="976"/>
      <c r="DP17" s="976"/>
      <c r="DQ17" s="976"/>
      <c r="DR17" s="976" t="str">
        <f>MID(SUVAHAVUJ!AF64,2,1)</f>
        <v xml:space="preserve"> </v>
      </c>
      <c r="DS17" s="976"/>
      <c r="DT17" s="976"/>
      <c r="DU17" s="976"/>
      <c r="DV17" s="976"/>
      <c r="DW17" s="976" t="str">
        <f>MID(SUVAHAVUJ!AF64,3,1)</f>
        <v xml:space="preserve"> </v>
      </c>
      <c r="DX17" s="976"/>
      <c r="DY17" s="976"/>
      <c r="DZ17" s="976"/>
      <c r="EA17" s="976"/>
      <c r="EB17" s="976"/>
      <c r="EC17" s="976" t="str">
        <f>MID(SUVAHAVUJ!AF64,4,1)</f>
        <v xml:space="preserve"> </v>
      </c>
      <c r="ED17" s="976"/>
      <c r="EE17" s="976"/>
      <c r="EF17" s="976"/>
      <c r="EG17" s="976"/>
      <c r="EH17" s="976" t="str">
        <f>MID(SUVAHAVUJ!AF64,5,1)</f>
        <v xml:space="preserve"> </v>
      </c>
      <c r="EI17" s="976"/>
      <c r="EJ17" s="976"/>
      <c r="EK17" s="976"/>
      <c r="EL17" s="976"/>
      <c r="EM17" s="976"/>
      <c r="EN17" s="976" t="str">
        <f>MID(SUVAHAVUJ!AF64,6,1)</f>
        <v xml:space="preserve"> </v>
      </c>
      <c r="EO17" s="976"/>
      <c r="EP17" s="976"/>
      <c r="EQ17" s="976"/>
      <c r="ER17" s="976"/>
      <c r="ES17" s="976" t="str">
        <f>MID(SUVAHAVUJ!AF64,7,1)</f>
        <v xml:space="preserve"> </v>
      </c>
      <c r="ET17" s="976"/>
      <c r="EU17" s="976"/>
      <c r="EV17" s="976"/>
      <c r="EW17" s="976"/>
      <c r="EX17" s="976"/>
      <c r="EY17" s="976" t="str">
        <f>MID(SUVAHAVUJ!AF64,8,1)</f>
        <v xml:space="preserve"> </v>
      </c>
      <c r="EZ17" s="976"/>
      <c r="FA17" s="976"/>
      <c r="FB17" s="976"/>
      <c r="FC17" s="976"/>
      <c r="FD17" s="976" t="str">
        <f>MID(SUVAHAVUJ!AF64,9,1)</f>
        <v xml:space="preserve"> </v>
      </c>
      <c r="FE17" s="976"/>
      <c r="FF17" s="976"/>
      <c r="FG17" s="976"/>
      <c r="FH17" s="976"/>
      <c r="FI17" s="976"/>
      <c r="FJ17" s="976" t="str">
        <f>MID(SUVAHAVUJ!AF64,10,1)</f>
        <v xml:space="preserve"> </v>
      </c>
      <c r="FK17" s="976"/>
      <c r="FL17" s="976"/>
      <c r="FM17" s="976"/>
      <c r="FN17" s="976"/>
      <c r="FO17" s="978" t="str">
        <f>MID(SUVAHAVUJ!AF64,11,1)</f>
        <v>0</v>
      </c>
      <c r="FP17" s="978"/>
      <c r="FQ17" s="978"/>
      <c r="FR17" s="978"/>
      <c r="FS17" s="978"/>
      <c r="FT17" s="979"/>
      <c r="FU17" s="979"/>
      <c r="FV17" s="979"/>
      <c r="FW17" s="979"/>
      <c r="FX17" s="979"/>
      <c r="FY17" s="979"/>
      <c r="FZ17" s="979"/>
      <c r="GA17" s="979"/>
      <c r="GB17" s="979"/>
      <c r="GC17" s="979"/>
      <c r="GD17" s="979"/>
      <c r="GE17" s="979"/>
      <c r="GF17" s="979"/>
      <c r="GG17" s="979"/>
      <c r="GH17" s="979"/>
      <c r="GI17" s="979"/>
      <c r="GJ17" s="979"/>
      <c r="GK17" s="979"/>
      <c r="GL17" s="979"/>
      <c r="GM17" s="979"/>
      <c r="GN17" s="979"/>
      <c r="GO17" s="979"/>
      <c r="GP17" s="979"/>
      <c r="GQ17" s="979"/>
      <c r="GR17" s="979"/>
      <c r="GS17" s="979"/>
      <c r="GT17" s="979"/>
      <c r="GU17" s="979"/>
      <c r="GV17" s="979"/>
      <c r="GW17" s="979"/>
    </row>
    <row r="18" spans="2:205" ht="23.25" customHeight="1" x14ac:dyDescent="0.3">
      <c r="B18" s="985"/>
      <c r="C18" s="985"/>
      <c r="D18" s="985"/>
      <c r="E18" s="985"/>
      <c r="F18" s="985"/>
      <c r="G18" s="985"/>
      <c r="H18" s="985"/>
      <c r="I18" s="985"/>
      <c r="J18" s="985"/>
      <c r="K18" s="985"/>
      <c r="L18" s="990"/>
      <c r="M18" s="990"/>
      <c r="N18" s="990"/>
      <c r="O18" s="990"/>
      <c r="P18" s="990"/>
      <c r="Q18" s="990"/>
      <c r="R18" s="990"/>
      <c r="S18" s="990"/>
      <c r="T18" s="990"/>
      <c r="U18" s="990"/>
      <c r="V18" s="990"/>
      <c r="W18" s="990"/>
      <c r="X18" s="990"/>
      <c r="Y18" s="990"/>
      <c r="Z18" s="990"/>
      <c r="AA18" s="990"/>
      <c r="AB18" s="990"/>
      <c r="AC18" s="990"/>
      <c r="AD18" s="990"/>
      <c r="AE18" s="990"/>
      <c r="AF18" s="990"/>
      <c r="AG18" s="990"/>
      <c r="AH18" s="990"/>
      <c r="AI18" s="990"/>
      <c r="AJ18" s="990"/>
      <c r="AK18" s="990"/>
      <c r="AL18" s="990"/>
      <c r="AM18" s="990"/>
      <c r="AN18" s="990"/>
      <c r="AO18" s="990"/>
      <c r="AP18" s="990"/>
      <c r="AQ18" s="975"/>
      <c r="AR18" s="975"/>
      <c r="AS18" s="975"/>
      <c r="AT18" s="975"/>
      <c r="AU18" s="975"/>
      <c r="AV18" s="975"/>
      <c r="AW18" s="975"/>
      <c r="AX18" s="975"/>
      <c r="AY18" s="648"/>
      <c r="AZ18" s="649"/>
      <c r="BA18" s="976" t="str">
        <f>MID(SUVAHAVUJ!AE64,1,1)</f>
        <v xml:space="preserve"> </v>
      </c>
      <c r="BB18" s="976"/>
      <c r="BC18" s="976"/>
      <c r="BD18" s="976"/>
      <c r="BE18" s="976"/>
      <c r="BF18" s="976"/>
      <c r="BG18" s="976" t="str">
        <f>MID(SUVAHAVUJ!AE64,2,1)</f>
        <v xml:space="preserve"> </v>
      </c>
      <c r="BH18" s="976"/>
      <c r="BI18" s="976"/>
      <c r="BJ18" s="976"/>
      <c r="BK18" s="976"/>
      <c r="BL18" s="976" t="str">
        <f>MID(SUVAHAVUJ!AE64,3,1)</f>
        <v xml:space="preserve"> </v>
      </c>
      <c r="BM18" s="976"/>
      <c r="BN18" s="976"/>
      <c r="BO18" s="976"/>
      <c r="BP18" s="976"/>
      <c r="BQ18" s="976"/>
      <c r="BR18" s="976" t="str">
        <f>MID(SUVAHAVUJ!AE64,4,1)</f>
        <v xml:space="preserve"> </v>
      </c>
      <c r="BS18" s="976"/>
      <c r="BT18" s="976"/>
      <c r="BU18" s="976"/>
      <c r="BV18" s="976"/>
      <c r="BW18" s="976" t="str">
        <f>MID(SUVAHAVUJ!AE64,5,1)</f>
        <v xml:space="preserve"> </v>
      </c>
      <c r="BX18" s="976"/>
      <c r="BY18" s="976"/>
      <c r="BZ18" s="976"/>
      <c r="CA18" s="976"/>
      <c r="CB18" s="976"/>
      <c r="CC18" s="976" t="str">
        <f>MID(SUVAHAVUJ!AE64,6,1)</f>
        <v xml:space="preserve"> </v>
      </c>
      <c r="CD18" s="976"/>
      <c r="CE18" s="976"/>
      <c r="CF18" s="976"/>
      <c r="CG18" s="976"/>
      <c r="CH18" s="976" t="str">
        <f>MID(SUVAHAVUJ!AE64,7,1)</f>
        <v xml:space="preserve"> </v>
      </c>
      <c r="CI18" s="976"/>
      <c r="CJ18" s="976"/>
      <c r="CK18" s="976"/>
      <c r="CL18" s="976"/>
      <c r="CM18" s="976"/>
      <c r="CN18" s="976" t="str">
        <f>MID(SUVAHAVUJ!AE64,8,1)</f>
        <v xml:space="preserve"> </v>
      </c>
      <c r="CO18" s="976"/>
      <c r="CP18" s="976"/>
      <c r="CQ18" s="976"/>
      <c r="CR18" s="976"/>
      <c r="CS18" s="976" t="str">
        <f>MID(SUVAHAVUJ!AE64,9,1)</f>
        <v xml:space="preserve"> </v>
      </c>
      <c r="CT18" s="976"/>
      <c r="CU18" s="976"/>
      <c r="CV18" s="976"/>
      <c r="CW18" s="976"/>
      <c r="CX18" s="976"/>
      <c r="CY18" s="976" t="str">
        <f>MID(SUVAHAVUJ!AE64,10,1)</f>
        <v xml:space="preserve"> </v>
      </c>
      <c r="CZ18" s="976"/>
      <c r="DA18" s="976"/>
      <c r="DB18" s="976"/>
      <c r="DC18" s="976"/>
      <c r="DD18" s="977" t="str">
        <f>MID(SUVAHAVUJ!AE64,11,1)</f>
        <v>0</v>
      </c>
      <c r="DE18" s="977"/>
      <c r="DF18" s="977"/>
      <c r="DG18" s="977"/>
      <c r="DH18" s="977"/>
      <c r="DI18" s="977"/>
      <c r="DJ18" s="980"/>
      <c r="DK18" s="980"/>
      <c r="DL18" s="980"/>
      <c r="DM18" s="980"/>
      <c r="DN18" s="980"/>
      <c r="DO18" s="980"/>
      <c r="DP18" s="980"/>
      <c r="DQ18" s="980"/>
      <c r="DR18" s="980"/>
      <c r="DS18" s="980"/>
      <c r="DT18" s="980"/>
      <c r="DU18" s="980"/>
      <c r="DV18" s="980"/>
      <c r="DW18" s="980"/>
      <c r="DX18" s="980"/>
      <c r="DY18" s="980"/>
      <c r="DZ18" s="980"/>
      <c r="EA18" s="980"/>
      <c r="EB18" s="980"/>
      <c r="EC18" s="980"/>
      <c r="ED18" s="980"/>
      <c r="EE18" s="980"/>
      <c r="EF18" s="980"/>
      <c r="EG18" s="980"/>
      <c r="EH18" s="980"/>
      <c r="EI18" s="980"/>
      <c r="EJ18" s="980"/>
      <c r="EK18" s="980"/>
      <c r="EL18" s="980"/>
      <c r="EM18" s="980"/>
      <c r="EN18" s="648"/>
      <c r="EO18" s="649"/>
      <c r="EP18" s="976" t="str">
        <f>MID(SUVAHAVUJ!AG64,1,1)</f>
        <v xml:space="preserve"> </v>
      </c>
      <c r="EQ18" s="976"/>
      <c r="ER18" s="976"/>
      <c r="ES18" s="976"/>
      <c r="ET18" s="976"/>
      <c r="EU18" s="976"/>
      <c r="EV18" s="976" t="str">
        <f>MID(SUVAHAVUJ!AG64,2,1)</f>
        <v xml:space="preserve"> </v>
      </c>
      <c r="EW18" s="976"/>
      <c r="EX18" s="976"/>
      <c r="EY18" s="976"/>
      <c r="EZ18" s="976"/>
      <c r="FA18" s="976" t="str">
        <f>MID(SUVAHAVUJ!AG64,3,1)</f>
        <v xml:space="preserve"> </v>
      </c>
      <c r="FB18" s="976"/>
      <c r="FC18" s="976"/>
      <c r="FD18" s="976"/>
      <c r="FE18" s="976"/>
      <c r="FF18" s="976"/>
      <c r="FG18" s="976" t="str">
        <f>MID(SUVAHAVUJ!AG64,4,1)</f>
        <v xml:space="preserve"> </v>
      </c>
      <c r="FH18" s="976"/>
      <c r="FI18" s="976"/>
      <c r="FJ18" s="976"/>
      <c r="FK18" s="976"/>
      <c r="FL18" s="976" t="str">
        <f>MID(SUVAHAVUJ!AG64,5,1)</f>
        <v xml:space="preserve"> </v>
      </c>
      <c r="FM18" s="976"/>
      <c r="FN18" s="976"/>
      <c r="FO18" s="976"/>
      <c r="FP18" s="976"/>
      <c r="FQ18" s="976"/>
      <c r="FR18" s="976" t="str">
        <f>MID(SUVAHAVUJ!AG64,6,1)</f>
        <v xml:space="preserve"> </v>
      </c>
      <c r="FS18" s="976"/>
      <c r="FT18" s="976"/>
      <c r="FU18" s="976"/>
      <c r="FV18" s="976"/>
      <c r="FW18" s="976" t="str">
        <f>MID(SUVAHAVUJ!AG64,7,1)</f>
        <v xml:space="preserve"> </v>
      </c>
      <c r="FX18" s="976"/>
      <c r="FY18" s="976"/>
      <c r="FZ18" s="976"/>
      <c r="GA18" s="976"/>
      <c r="GB18" s="976"/>
      <c r="GC18" s="976" t="str">
        <f>MID(SUVAHAVUJ!AG64,8,1)</f>
        <v xml:space="preserve"> </v>
      </c>
      <c r="GD18" s="976"/>
      <c r="GE18" s="976"/>
      <c r="GF18" s="976"/>
      <c r="GG18" s="976"/>
      <c r="GH18" s="976" t="str">
        <f>MID(SUVAHAVUJ!AG64,9,1)</f>
        <v xml:space="preserve"> </v>
      </c>
      <c r="GI18" s="976"/>
      <c r="GJ18" s="976"/>
      <c r="GK18" s="976"/>
      <c r="GL18" s="976"/>
      <c r="GM18" s="976"/>
      <c r="GN18" s="976" t="str">
        <f>MID(SUVAHAVUJ!AG64,10,1)</f>
        <v xml:space="preserve"> </v>
      </c>
      <c r="GO18" s="976"/>
      <c r="GP18" s="976"/>
      <c r="GQ18" s="976"/>
      <c r="GR18" s="976"/>
      <c r="GS18" s="978" t="str">
        <f>MID(SUVAHAVUJ!AG64,11,1)</f>
        <v>0</v>
      </c>
      <c r="GT18" s="978"/>
      <c r="GU18" s="978"/>
      <c r="GV18" s="978"/>
      <c r="GW18" s="978"/>
    </row>
    <row r="19" spans="2:205" s="650" customFormat="1" ht="23.25" customHeight="1" x14ac:dyDescent="0.3">
      <c r="B19" s="985" t="s">
        <v>2172</v>
      </c>
      <c r="C19" s="985"/>
      <c r="D19" s="985"/>
      <c r="E19" s="985"/>
      <c r="F19" s="985"/>
      <c r="G19" s="985"/>
      <c r="H19" s="985"/>
      <c r="I19" s="985"/>
      <c r="J19" s="985"/>
      <c r="K19" s="985"/>
      <c r="L19" s="990" t="str">
        <f>SUVAHAVUJ!$D$65</f>
        <v>Daňové pohľadávky a dotácie (341, 342, 343, 345, 346, 347) - /391A/</v>
      </c>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c r="AM19" s="990"/>
      <c r="AN19" s="990"/>
      <c r="AO19" s="990"/>
      <c r="AP19" s="990"/>
      <c r="AQ19" s="975" t="s">
        <v>1258</v>
      </c>
      <c r="AR19" s="975"/>
      <c r="AS19" s="975"/>
      <c r="AT19" s="975"/>
      <c r="AU19" s="975"/>
      <c r="AV19" s="975"/>
      <c r="AW19" s="975"/>
      <c r="AX19" s="975"/>
      <c r="AY19" s="648"/>
      <c r="AZ19" s="649"/>
      <c r="BA19" s="976" t="str">
        <f>MID(SUVAHAVUJ!AD65,1,1)</f>
        <v xml:space="preserve"> </v>
      </c>
      <c r="BB19" s="976"/>
      <c r="BC19" s="976"/>
      <c r="BD19" s="976"/>
      <c r="BE19" s="976"/>
      <c r="BF19" s="976"/>
      <c r="BG19" s="976" t="str">
        <f>MID(SUVAHAVUJ!AD65,2,1)</f>
        <v xml:space="preserve"> </v>
      </c>
      <c r="BH19" s="976"/>
      <c r="BI19" s="976"/>
      <c r="BJ19" s="976"/>
      <c r="BK19" s="976"/>
      <c r="BL19" s="976" t="str">
        <f>MID(SUVAHAVUJ!AD65,3,1)</f>
        <v xml:space="preserve"> </v>
      </c>
      <c r="BM19" s="976"/>
      <c r="BN19" s="976"/>
      <c r="BO19" s="976"/>
      <c r="BP19" s="976"/>
      <c r="BQ19" s="976"/>
      <c r="BR19" s="976" t="str">
        <f>MID(SUVAHAVUJ!AD65,4,1)</f>
        <v xml:space="preserve"> </v>
      </c>
      <c r="BS19" s="976"/>
      <c r="BT19" s="976"/>
      <c r="BU19" s="976"/>
      <c r="BV19" s="976"/>
      <c r="BW19" s="976" t="str">
        <f>MID(SUVAHAVUJ!AD65,5,1)</f>
        <v xml:space="preserve"> </v>
      </c>
      <c r="BX19" s="976"/>
      <c r="BY19" s="976"/>
      <c r="BZ19" s="976"/>
      <c r="CA19" s="976"/>
      <c r="CB19" s="976"/>
      <c r="CC19" s="976" t="str">
        <f>MID(SUVAHAVUJ!AD65,6,1)</f>
        <v xml:space="preserve"> </v>
      </c>
      <c r="CD19" s="976"/>
      <c r="CE19" s="976"/>
      <c r="CF19" s="976"/>
      <c r="CG19" s="976"/>
      <c r="CH19" s="976" t="str">
        <f>MID(SUVAHAVUJ!AD65,7,1)</f>
        <v xml:space="preserve"> </v>
      </c>
      <c r="CI19" s="976"/>
      <c r="CJ19" s="976"/>
      <c r="CK19" s="976"/>
      <c r="CL19" s="976"/>
      <c r="CM19" s="976"/>
      <c r="CN19" s="976" t="str">
        <f>MID(SUVAHAVUJ!AD65,8,1)</f>
        <v>4</v>
      </c>
      <c r="CO19" s="976"/>
      <c r="CP19" s="976"/>
      <c r="CQ19" s="976"/>
      <c r="CR19" s="976"/>
      <c r="CS19" s="976" t="str">
        <f>MID(SUVAHAVUJ!AD65,9,1)</f>
        <v>7</v>
      </c>
      <c r="CT19" s="976"/>
      <c r="CU19" s="976"/>
      <c r="CV19" s="976"/>
      <c r="CW19" s="976"/>
      <c r="CX19" s="976"/>
      <c r="CY19" s="976" t="str">
        <f>MID(SUVAHAVUJ!AD65,10,1)</f>
        <v>6</v>
      </c>
      <c r="CZ19" s="976"/>
      <c r="DA19" s="976"/>
      <c r="DB19" s="976"/>
      <c r="DC19" s="976"/>
      <c r="DD19" s="977" t="str">
        <f>MID(SUVAHAVUJ!AD65,11,1)</f>
        <v>8</v>
      </c>
      <c r="DE19" s="977"/>
      <c r="DF19" s="977"/>
      <c r="DG19" s="977"/>
      <c r="DH19" s="977"/>
      <c r="DI19" s="977"/>
      <c r="DJ19" s="648"/>
      <c r="DK19" s="649"/>
      <c r="DL19" s="976" t="str">
        <f>MID(SUVAHAVUJ!AF65,1,1)</f>
        <v xml:space="preserve"> </v>
      </c>
      <c r="DM19" s="976"/>
      <c r="DN19" s="976"/>
      <c r="DO19" s="976"/>
      <c r="DP19" s="976"/>
      <c r="DQ19" s="976"/>
      <c r="DR19" s="976" t="str">
        <f>MID(SUVAHAVUJ!AF65,2,1)</f>
        <v xml:space="preserve"> </v>
      </c>
      <c r="DS19" s="976"/>
      <c r="DT19" s="976"/>
      <c r="DU19" s="976"/>
      <c r="DV19" s="976"/>
      <c r="DW19" s="976" t="str">
        <f>MID(SUVAHAVUJ!AF65,3,1)</f>
        <v xml:space="preserve"> </v>
      </c>
      <c r="DX19" s="976"/>
      <c r="DY19" s="976"/>
      <c r="DZ19" s="976"/>
      <c r="EA19" s="976"/>
      <c r="EB19" s="976"/>
      <c r="EC19" s="976" t="str">
        <f>MID(SUVAHAVUJ!AF65,4,1)</f>
        <v xml:space="preserve"> </v>
      </c>
      <c r="ED19" s="976"/>
      <c r="EE19" s="976"/>
      <c r="EF19" s="976"/>
      <c r="EG19" s="976"/>
      <c r="EH19" s="976" t="str">
        <f>MID(SUVAHAVUJ!AF65,5,1)</f>
        <v xml:space="preserve"> </v>
      </c>
      <c r="EI19" s="976"/>
      <c r="EJ19" s="976"/>
      <c r="EK19" s="976"/>
      <c r="EL19" s="976"/>
      <c r="EM19" s="976"/>
      <c r="EN19" s="976" t="str">
        <f>MID(SUVAHAVUJ!AF65,6,1)</f>
        <v xml:space="preserve"> </v>
      </c>
      <c r="EO19" s="976"/>
      <c r="EP19" s="976"/>
      <c r="EQ19" s="976"/>
      <c r="ER19" s="976"/>
      <c r="ES19" s="976" t="str">
        <f>MID(SUVAHAVUJ!AF65,7,1)</f>
        <v xml:space="preserve"> </v>
      </c>
      <c r="ET19" s="976"/>
      <c r="EU19" s="976"/>
      <c r="EV19" s="976"/>
      <c r="EW19" s="976"/>
      <c r="EX19" s="976"/>
      <c r="EY19" s="976" t="str">
        <f>MID(SUVAHAVUJ!AF65,8,1)</f>
        <v>4</v>
      </c>
      <c r="EZ19" s="976"/>
      <c r="FA19" s="976"/>
      <c r="FB19" s="976"/>
      <c r="FC19" s="976"/>
      <c r="FD19" s="976" t="str">
        <f>MID(SUVAHAVUJ!AF65,9,1)</f>
        <v>7</v>
      </c>
      <c r="FE19" s="976"/>
      <c r="FF19" s="976"/>
      <c r="FG19" s="976"/>
      <c r="FH19" s="976"/>
      <c r="FI19" s="976"/>
      <c r="FJ19" s="976" t="str">
        <f>MID(SUVAHAVUJ!AF65,10,1)</f>
        <v>6</v>
      </c>
      <c r="FK19" s="976"/>
      <c r="FL19" s="976"/>
      <c r="FM19" s="976"/>
      <c r="FN19" s="976"/>
      <c r="FO19" s="978" t="str">
        <f>MID(SUVAHAVUJ!AF65,11,1)</f>
        <v>8</v>
      </c>
      <c r="FP19" s="978"/>
      <c r="FQ19" s="978"/>
      <c r="FR19" s="978"/>
      <c r="FS19" s="978"/>
      <c r="FT19" s="979"/>
      <c r="FU19" s="979"/>
      <c r="FV19" s="979"/>
      <c r="FW19" s="979"/>
      <c r="FX19" s="979"/>
      <c r="FY19" s="979"/>
      <c r="FZ19" s="979"/>
      <c r="GA19" s="979"/>
      <c r="GB19" s="979"/>
      <c r="GC19" s="979"/>
      <c r="GD19" s="979"/>
      <c r="GE19" s="979"/>
      <c r="GF19" s="979"/>
      <c r="GG19" s="979"/>
      <c r="GH19" s="979"/>
      <c r="GI19" s="979"/>
      <c r="GJ19" s="979"/>
      <c r="GK19" s="979"/>
      <c r="GL19" s="979"/>
      <c r="GM19" s="979"/>
      <c r="GN19" s="979"/>
      <c r="GO19" s="979"/>
      <c r="GP19" s="979"/>
      <c r="GQ19" s="979"/>
      <c r="GR19" s="979"/>
      <c r="GS19" s="979"/>
      <c r="GT19" s="979"/>
      <c r="GU19" s="979"/>
      <c r="GV19" s="979"/>
      <c r="GW19" s="979"/>
    </row>
    <row r="20" spans="2:205" ht="24" customHeight="1" x14ac:dyDescent="0.3">
      <c r="B20" s="985"/>
      <c r="C20" s="985"/>
      <c r="D20" s="985"/>
      <c r="E20" s="985"/>
      <c r="F20" s="985"/>
      <c r="G20" s="985"/>
      <c r="H20" s="985"/>
      <c r="I20" s="985"/>
      <c r="J20" s="985"/>
      <c r="K20" s="985"/>
      <c r="L20" s="990"/>
      <c r="M20" s="990"/>
      <c r="N20" s="990"/>
      <c r="O20" s="990"/>
      <c r="P20" s="990"/>
      <c r="Q20" s="990"/>
      <c r="R20" s="990"/>
      <c r="S20" s="990"/>
      <c r="T20" s="990"/>
      <c r="U20" s="990"/>
      <c r="V20" s="990"/>
      <c r="W20" s="990"/>
      <c r="X20" s="990"/>
      <c r="Y20" s="990"/>
      <c r="Z20" s="990"/>
      <c r="AA20" s="990"/>
      <c r="AB20" s="990"/>
      <c r="AC20" s="990"/>
      <c r="AD20" s="990"/>
      <c r="AE20" s="990"/>
      <c r="AF20" s="990"/>
      <c r="AG20" s="990"/>
      <c r="AH20" s="990"/>
      <c r="AI20" s="990"/>
      <c r="AJ20" s="990"/>
      <c r="AK20" s="990"/>
      <c r="AL20" s="990"/>
      <c r="AM20" s="990"/>
      <c r="AN20" s="990"/>
      <c r="AO20" s="990"/>
      <c r="AP20" s="990"/>
      <c r="AQ20" s="975"/>
      <c r="AR20" s="975"/>
      <c r="AS20" s="975"/>
      <c r="AT20" s="975"/>
      <c r="AU20" s="975"/>
      <c r="AV20" s="975"/>
      <c r="AW20" s="975"/>
      <c r="AX20" s="975"/>
      <c r="AY20" s="648"/>
      <c r="AZ20" s="649"/>
      <c r="BA20" s="976" t="str">
        <f>MID(SUVAHAVUJ!AE65,1,1)</f>
        <v xml:space="preserve"> </v>
      </c>
      <c r="BB20" s="976"/>
      <c r="BC20" s="976"/>
      <c r="BD20" s="976"/>
      <c r="BE20" s="976"/>
      <c r="BF20" s="976"/>
      <c r="BG20" s="976" t="str">
        <f>MID(SUVAHAVUJ!AE65,2,1)</f>
        <v xml:space="preserve"> </v>
      </c>
      <c r="BH20" s="976"/>
      <c r="BI20" s="976"/>
      <c r="BJ20" s="976"/>
      <c r="BK20" s="976"/>
      <c r="BL20" s="976" t="str">
        <f>MID(SUVAHAVUJ!AE65,3,1)</f>
        <v xml:space="preserve"> </v>
      </c>
      <c r="BM20" s="976"/>
      <c r="BN20" s="976"/>
      <c r="BO20" s="976"/>
      <c r="BP20" s="976"/>
      <c r="BQ20" s="976"/>
      <c r="BR20" s="976" t="str">
        <f>MID(SUVAHAVUJ!AE65,4,1)</f>
        <v xml:space="preserve"> </v>
      </c>
      <c r="BS20" s="976"/>
      <c r="BT20" s="976"/>
      <c r="BU20" s="976"/>
      <c r="BV20" s="976"/>
      <c r="BW20" s="976" t="str">
        <f>MID(SUVAHAVUJ!AE65,5,1)</f>
        <v xml:space="preserve"> </v>
      </c>
      <c r="BX20" s="976"/>
      <c r="BY20" s="976"/>
      <c r="BZ20" s="976"/>
      <c r="CA20" s="976"/>
      <c r="CB20" s="976"/>
      <c r="CC20" s="976" t="str">
        <f>MID(SUVAHAVUJ!AE65,6,1)</f>
        <v xml:space="preserve"> </v>
      </c>
      <c r="CD20" s="976"/>
      <c r="CE20" s="976"/>
      <c r="CF20" s="976"/>
      <c r="CG20" s="976"/>
      <c r="CH20" s="976" t="str">
        <f>MID(SUVAHAVUJ!AE65,7,1)</f>
        <v xml:space="preserve"> </v>
      </c>
      <c r="CI20" s="976"/>
      <c r="CJ20" s="976"/>
      <c r="CK20" s="976"/>
      <c r="CL20" s="976"/>
      <c r="CM20" s="976"/>
      <c r="CN20" s="976" t="str">
        <f>MID(SUVAHAVUJ!AE65,8,1)</f>
        <v xml:space="preserve"> </v>
      </c>
      <c r="CO20" s="976"/>
      <c r="CP20" s="976"/>
      <c r="CQ20" s="976"/>
      <c r="CR20" s="976"/>
      <c r="CS20" s="976" t="str">
        <f>MID(SUVAHAVUJ!AE65,9,1)</f>
        <v xml:space="preserve"> </v>
      </c>
      <c r="CT20" s="976"/>
      <c r="CU20" s="976"/>
      <c r="CV20" s="976"/>
      <c r="CW20" s="976"/>
      <c r="CX20" s="976"/>
      <c r="CY20" s="976" t="str">
        <f>MID(SUVAHAVUJ!AE65,10,1)</f>
        <v xml:space="preserve"> </v>
      </c>
      <c r="CZ20" s="976"/>
      <c r="DA20" s="976"/>
      <c r="DB20" s="976"/>
      <c r="DC20" s="976"/>
      <c r="DD20" s="977" t="str">
        <f>MID(SUVAHAVUJ!AE65,11,1)</f>
        <v>0</v>
      </c>
      <c r="DE20" s="977"/>
      <c r="DF20" s="977"/>
      <c r="DG20" s="977"/>
      <c r="DH20" s="977"/>
      <c r="DI20" s="977"/>
      <c r="DJ20" s="980"/>
      <c r="DK20" s="980"/>
      <c r="DL20" s="980"/>
      <c r="DM20" s="980"/>
      <c r="DN20" s="980"/>
      <c r="DO20" s="980"/>
      <c r="DP20" s="980"/>
      <c r="DQ20" s="980"/>
      <c r="DR20" s="980"/>
      <c r="DS20" s="980"/>
      <c r="DT20" s="980"/>
      <c r="DU20" s="980"/>
      <c r="DV20" s="980"/>
      <c r="DW20" s="980"/>
      <c r="DX20" s="980"/>
      <c r="DY20" s="980"/>
      <c r="DZ20" s="980"/>
      <c r="EA20" s="980"/>
      <c r="EB20" s="980"/>
      <c r="EC20" s="980"/>
      <c r="ED20" s="980"/>
      <c r="EE20" s="980"/>
      <c r="EF20" s="980"/>
      <c r="EG20" s="980"/>
      <c r="EH20" s="980"/>
      <c r="EI20" s="980"/>
      <c r="EJ20" s="980"/>
      <c r="EK20" s="980"/>
      <c r="EL20" s="980"/>
      <c r="EM20" s="980"/>
      <c r="EN20" s="648"/>
      <c r="EO20" s="649"/>
      <c r="EP20" s="976" t="str">
        <f>MID(SUVAHAVUJ!AG65,1,1)</f>
        <v xml:space="preserve"> </v>
      </c>
      <c r="EQ20" s="976"/>
      <c r="ER20" s="976"/>
      <c r="ES20" s="976"/>
      <c r="ET20" s="976"/>
      <c r="EU20" s="976"/>
      <c r="EV20" s="976" t="str">
        <f>MID(SUVAHAVUJ!AG65,2,1)</f>
        <v xml:space="preserve"> </v>
      </c>
      <c r="EW20" s="976"/>
      <c r="EX20" s="976"/>
      <c r="EY20" s="976"/>
      <c r="EZ20" s="976"/>
      <c r="FA20" s="976" t="str">
        <f>MID(SUVAHAVUJ!AG65,3,1)</f>
        <v xml:space="preserve"> </v>
      </c>
      <c r="FB20" s="976"/>
      <c r="FC20" s="976"/>
      <c r="FD20" s="976"/>
      <c r="FE20" s="976"/>
      <c r="FF20" s="976"/>
      <c r="FG20" s="976" t="str">
        <f>MID(SUVAHAVUJ!AG65,4,1)</f>
        <v xml:space="preserve"> </v>
      </c>
      <c r="FH20" s="976"/>
      <c r="FI20" s="976"/>
      <c r="FJ20" s="976"/>
      <c r="FK20" s="976"/>
      <c r="FL20" s="976" t="str">
        <f>MID(SUVAHAVUJ!AG65,5,1)</f>
        <v xml:space="preserve"> </v>
      </c>
      <c r="FM20" s="976"/>
      <c r="FN20" s="976"/>
      <c r="FO20" s="976"/>
      <c r="FP20" s="976"/>
      <c r="FQ20" s="976"/>
      <c r="FR20" s="976" t="str">
        <f>MID(SUVAHAVUJ!AG65,6,1)</f>
        <v xml:space="preserve"> </v>
      </c>
      <c r="FS20" s="976"/>
      <c r="FT20" s="976"/>
      <c r="FU20" s="976"/>
      <c r="FV20" s="976"/>
      <c r="FW20" s="976" t="str">
        <f>MID(SUVAHAVUJ!AG65,7,1)</f>
        <v xml:space="preserve"> </v>
      </c>
      <c r="FX20" s="976"/>
      <c r="FY20" s="976"/>
      <c r="FZ20" s="976"/>
      <c r="GA20" s="976"/>
      <c r="GB20" s="976"/>
      <c r="GC20" s="976" t="str">
        <f>MID(SUVAHAVUJ!AG65,8,1)</f>
        <v>1</v>
      </c>
      <c r="GD20" s="976"/>
      <c r="GE20" s="976"/>
      <c r="GF20" s="976"/>
      <c r="GG20" s="976"/>
      <c r="GH20" s="976" t="str">
        <f>MID(SUVAHAVUJ!AG65,9,1)</f>
        <v>4</v>
      </c>
      <c r="GI20" s="976"/>
      <c r="GJ20" s="976"/>
      <c r="GK20" s="976"/>
      <c r="GL20" s="976"/>
      <c r="GM20" s="976"/>
      <c r="GN20" s="976" t="str">
        <f>MID(SUVAHAVUJ!AG65,10,1)</f>
        <v>3</v>
      </c>
      <c r="GO20" s="976"/>
      <c r="GP20" s="976"/>
      <c r="GQ20" s="976"/>
      <c r="GR20" s="976"/>
      <c r="GS20" s="978" t="str">
        <f>MID(SUVAHAVUJ!AG65,11,1)</f>
        <v>6</v>
      </c>
      <c r="GT20" s="978"/>
      <c r="GU20" s="978"/>
      <c r="GV20" s="978"/>
      <c r="GW20" s="978"/>
    </row>
    <row r="21" spans="2:205" s="650" customFormat="1" ht="23.25" customHeight="1" x14ac:dyDescent="0.3">
      <c r="B21" s="985" t="s">
        <v>2177</v>
      </c>
      <c r="C21" s="985"/>
      <c r="D21" s="985"/>
      <c r="E21" s="985"/>
      <c r="F21" s="985"/>
      <c r="G21" s="985"/>
      <c r="H21" s="985"/>
      <c r="I21" s="985"/>
      <c r="J21" s="985"/>
      <c r="K21" s="985"/>
      <c r="L21" s="990" t="str">
        <f>SUVAHAVUJ!$D$66</f>
        <v>Pohľadávky z derivátových operácií (373A, 376A)</v>
      </c>
      <c r="M21" s="990"/>
      <c r="N21" s="990"/>
      <c r="O21" s="990"/>
      <c r="P21" s="990"/>
      <c r="Q21" s="990"/>
      <c r="R21" s="990"/>
      <c r="S21" s="990"/>
      <c r="T21" s="990"/>
      <c r="U21" s="990"/>
      <c r="V21" s="990"/>
      <c r="W21" s="990"/>
      <c r="X21" s="990"/>
      <c r="Y21" s="990"/>
      <c r="Z21" s="990"/>
      <c r="AA21" s="990"/>
      <c r="AB21" s="990"/>
      <c r="AC21" s="990"/>
      <c r="AD21" s="990"/>
      <c r="AE21" s="990"/>
      <c r="AF21" s="990"/>
      <c r="AG21" s="990"/>
      <c r="AH21" s="990"/>
      <c r="AI21" s="990"/>
      <c r="AJ21" s="990"/>
      <c r="AK21" s="990"/>
      <c r="AL21" s="990"/>
      <c r="AM21" s="990"/>
      <c r="AN21" s="990"/>
      <c r="AO21" s="990"/>
      <c r="AP21" s="990"/>
      <c r="AQ21" s="975" t="s">
        <v>1244</v>
      </c>
      <c r="AR21" s="975"/>
      <c r="AS21" s="975"/>
      <c r="AT21" s="975"/>
      <c r="AU21" s="975"/>
      <c r="AV21" s="975"/>
      <c r="AW21" s="975"/>
      <c r="AX21" s="975"/>
      <c r="AY21" s="648"/>
      <c r="AZ21" s="649"/>
      <c r="BA21" s="976" t="str">
        <f>MID(SUVAHAVUJ!AD66,1,1)</f>
        <v xml:space="preserve"> </v>
      </c>
      <c r="BB21" s="976"/>
      <c r="BC21" s="976"/>
      <c r="BD21" s="976"/>
      <c r="BE21" s="976"/>
      <c r="BF21" s="976"/>
      <c r="BG21" s="976" t="str">
        <f>MID(SUVAHAVUJ!AD66,2,1)</f>
        <v xml:space="preserve"> </v>
      </c>
      <c r="BH21" s="976"/>
      <c r="BI21" s="976"/>
      <c r="BJ21" s="976"/>
      <c r="BK21" s="976"/>
      <c r="BL21" s="976" t="str">
        <f>MID(SUVAHAVUJ!AD66,3,1)</f>
        <v xml:space="preserve"> </v>
      </c>
      <c r="BM21" s="976"/>
      <c r="BN21" s="976"/>
      <c r="BO21" s="976"/>
      <c r="BP21" s="976"/>
      <c r="BQ21" s="976"/>
      <c r="BR21" s="976" t="str">
        <f>MID(SUVAHAVUJ!AD66,4,1)</f>
        <v xml:space="preserve"> </v>
      </c>
      <c r="BS21" s="976"/>
      <c r="BT21" s="976"/>
      <c r="BU21" s="976"/>
      <c r="BV21" s="976"/>
      <c r="BW21" s="976" t="str">
        <f>MID(SUVAHAVUJ!AD66,5,1)</f>
        <v xml:space="preserve"> </v>
      </c>
      <c r="BX21" s="976"/>
      <c r="BY21" s="976"/>
      <c r="BZ21" s="976"/>
      <c r="CA21" s="976"/>
      <c r="CB21" s="976"/>
      <c r="CC21" s="976" t="str">
        <f>MID(SUVAHAVUJ!AD66,6,1)</f>
        <v xml:space="preserve"> </v>
      </c>
      <c r="CD21" s="976"/>
      <c r="CE21" s="976"/>
      <c r="CF21" s="976"/>
      <c r="CG21" s="976"/>
      <c r="CH21" s="976" t="str">
        <f>MID(SUVAHAVUJ!AD66,7,1)</f>
        <v xml:space="preserve"> </v>
      </c>
      <c r="CI21" s="976"/>
      <c r="CJ21" s="976"/>
      <c r="CK21" s="976"/>
      <c r="CL21" s="976"/>
      <c r="CM21" s="976"/>
      <c r="CN21" s="976" t="str">
        <f>MID(SUVAHAVUJ!AD66,8,1)</f>
        <v xml:space="preserve"> </v>
      </c>
      <c r="CO21" s="976"/>
      <c r="CP21" s="976"/>
      <c r="CQ21" s="976"/>
      <c r="CR21" s="976"/>
      <c r="CS21" s="976" t="str">
        <f>MID(SUVAHAVUJ!AD66,9,1)</f>
        <v xml:space="preserve"> </v>
      </c>
      <c r="CT21" s="976"/>
      <c r="CU21" s="976"/>
      <c r="CV21" s="976"/>
      <c r="CW21" s="976"/>
      <c r="CX21" s="976"/>
      <c r="CY21" s="976" t="str">
        <f>MID(SUVAHAVUJ!AD66,10,1)</f>
        <v xml:space="preserve"> </v>
      </c>
      <c r="CZ21" s="976"/>
      <c r="DA21" s="976"/>
      <c r="DB21" s="976"/>
      <c r="DC21" s="976"/>
      <c r="DD21" s="977" t="str">
        <f>MID(SUVAHAVUJ!AD66,11,1)</f>
        <v>0</v>
      </c>
      <c r="DE21" s="977"/>
      <c r="DF21" s="977"/>
      <c r="DG21" s="977"/>
      <c r="DH21" s="977"/>
      <c r="DI21" s="977"/>
      <c r="DJ21" s="648"/>
      <c r="DK21" s="649"/>
      <c r="DL21" s="976" t="str">
        <f>MID(SUVAHAVUJ!AF66,1,1)</f>
        <v xml:space="preserve"> </v>
      </c>
      <c r="DM21" s="976"/>
      <c r="DN21" s="976"/>
      <c r="DO21" s="976"/>
      <c r="DP21" s="976"/>
      <c r="DQ21" s="976"/>
      <c r="DR21" s="976" t="str">
        <f>MID(SUVAHAVUJ!AF66,2,1)</f>
        <v xml:space="preserve"> </v>
      </c>
      <c r="DS21" s="976"/>
      <c r="DT21" s="976"/>
      <c r="DU21" s="976"/>
      <c r="DV21" s="976"/>
      <c r="DW21" s="976" t="str">
        <f>MID(SUVAHAVUJ!AF66,3,1)</f>
        <v xml:space="preserve"> </v>
      </c>
      <c r="DX21" s="976"/>
      <c r="DY21" s="976"/>
      <c r="DZ21" s="976"/>
      <c r="EA21" s="976"/>
      <c r="EB21" s="976"/>
      <c r="EC21" s="976" t="str">
        <f>MID(SUVAHAVUJ!AF66,4,1)</f>
        <v xml:space="preserve"> </v>
      </c>
      <c r="ED21" s="976"/>
      <c r="EE21" s="976"/>
      <c r="EF21" s="976"/>
      <c r="EG21" s="976"/>
      <c r="EH21" s="976" t="str">
        <f>MID(SUVAHAVUJ!AF66,5,1)</f>
        <v xml:space="preserve"> </v>
      </c>
      <c r="EI21" s="976"/>
      <c r="EJ21" s="976"/>
      <c r="EK21" s="976"/>
      <c r="EL21" s="976"/>
      <c r="EM21" s="976"/>
      <c r="EN21" s="976" t="str">
        <f>MID(SUVAHAVUJ!AF66,6,1)</f>
        <v xml:space="preserve"> </v>
      </c>
      <c r="EO21" s="976"/>
      <c r="EP21" s="976"/>
      <c r="EQ21" s="976"/>
      <c r="ER21" s="976"/>
      <c r="ES21" s="976" t="str">
        <f>MID(SUVAHAVUJ!AF66,7,1)</f>
        <v xml:space="preserve"> </v>
      </c>
      <c r="ET21" s="976"/>
      <c r="EU21" s="976"/>
      <c r="EV21" s="976"/>
      <c r="EW21" s="976"/>
      <c r="EX21" s="976"/>
      <c r="EY21" s="976" t="str">
        <f>MID(SUVAHAVUJ!AF66,8,1)</f>
        <v xml:space="preserve"> </v>
      </c>
      <c r="EZ21" s="976"/>
      <c r="FA21" s="976"/>
      <c r="FB21" s="976"/>
      <c r="FC21" s="976"/>
      <c r="FD21" s="976" t="str">
        <f>MID(SUVAHAVUJ!AF66,9,1)</f>
        <v xml:space="preserve"> </v>
      </c>
      <c r="FE21" s="976"/>
      <c r="FF21" s="976"/>
      <c r="FG21" s="976"/>
      <c r="FH21" s="976"/>
      <c r="FI21" s="976"/>
      <c r="FJ21" s="976" t="str">
        <f>MID(SUVAHAVUJ!AF66,10,1)</f>
        <v xml:space="preserve"> </v>
      </c>
      <c r="FK21" s="976"/>
      <c r="FL21" s="976"/>
      <c r="FM21" s="976"/>
      <c r="FN21" s="976"/>
      <c r="FO21" s="978" t="str">
        <f>MID(SUVAHAVUJ!AF66,11,1)</f>
        <v>0</v>
      </c>
      <c r="FP21" s="978"/>
      <c r="FQ21" s="978"/>
      <c r="FR21" s="978"/>
      <c r="FS21" s="978"/>
      <c r="FT21" s="979"/>
      <c r="FU21" s="979"/>
      <c r="FV21" s="979"/>
      <c r="FW21" s="979"/>
      <c r="FX21" s="979"/>
      <c r="FY21" s="979"/>
      <c r="FZ21" s="979"/>
      <c r="GA21" s="979"/>
      <c r="GB21" s="979"/>
      <c r="GC21" s="979"/>
      <c r="GD21" s="979"/>
      <c r="GE21" s="979"/>
      <c r="GF21" s="979"/>
      <c r="GG21" s="979"/>
      <c r="GH21" s="979"/>
      <c r="GI21" s="979"/>
      <c r="GJ21" s="979"/>
      <c r="GK21" s="979"/>
      <c r="GL21" s="979"/>
      <c r="GM21" s="979"/>
      <c r="GN21" s="979"/>
      <c r="GO21" s="979"/>
      <c r="GP21" s="979"/>
      <c r="GQ21" s="979"/>
      <c r="GR21" s="979"/>
      <c r="GS21" s="979"/>
      <c r="GT21" s="979"/>
      <c r="GU21" s="979"/>
      <c r="GV21" s="979"/>
      <c r="GW21" s="979"/>
    </row>
    <row r="22" spans="2:205" ht="23.25" customHeight="1" x14ac:dyDescent="0.3">
      <c r="B22" s="985"/>
      <c r="C22" s="985"/>
      <c r="D22" s="985"/>
      <c r="E22" s="985"/>
      <c r="F22" s="985"/>
      <c r="G22" s="985"/>
      <c r="H22" s="985"/>
      <c r="I22" s="985"/>
      <c r="J22" s="985"/>
      <c r="K22" s="985"/>
      <c r="L22" s="990"/>
      <c r="M22" s="990"/>
      <c r="N22" s="990"/>
      <c r="O22" s="990"/>
      <c r="P22" s="990"/>
      <c r="Q22" s="990"/>
      <c r="R22" s="990"/>
      <c r="S22" s="990"/>
      <c r="T22" s="990"/>
      <c r="U22" s="990"/>
      <c r="V22" s="990"/>
      <c r="W22" s="990"/>
      <c r="X22" s="990"/>
      <c r="Y22" s="990"/>
      <c r="Z22" s="990"/>
      <c r="AA22" s="990"/>
      <c r="AB22" s="990"/>
      <c r="AC22" s="990"/>
      <c r="AD22" s="990"/>
      <c r="AE22" s="990"/>
      <c r="AF22" s="990"/>
      <c r="AG22" s="990"/>
      <c r="AH22" s="990"/>
      <c r="AI22" s="990"/>
      <c r="AJ22" s="990"/>
      <c r="AK22" s="990"/>
      <c r="AL22" s="990"/>
      <c r="AM22" s="990"/>
      <c r="AN22" s="990"/>
      <c r="AO22" s="990"/>
      <c r="AP22" s="990"/>
      <c r="AQ22" s="975"/>
      <c r="AR22" s="975"/>
      <c r="AS22" s="975"/>
      <c r="AT22" s="975"/>
      <c r="AU22" s="975"/>
      <c r="AV22" s="975"/>
      <c r="AW22" s="975"/>
      <c r="AX22" s="975"/>
      <c r="AY22" s="648"/>
      <c r="AZ22" s="649"/>
      <c r="BA22" s="976" t="str">
        <f>MID(SUVAHAVUJ!AE66,1,1)</f>
        <v xml:space="preserve"> </v>
      </c>
      <c r="BB22" s="976"/>
      <c r="BC22" s="976"/>
      <c r="BD22" s="976"/>
      <c r="BE22" s="976"/>
      <c r="BF22" s="976"/>
      <c r="BG22" s="976" t="str">
        <f>MID(SUVAHAVUJ!AE66,2,1)</f>
        <v xml:space="preserve"> </v>
      </c>
      <c r="BH22" s="976"/>
      <c r="BI22" s="976"/>
      <c r="BJ22" s="976"/>
      <c r="BK22" s="976"/>
      <c r="BL22" s="976" t="str">
        <f>MID(SUVAHAVUJ!AE66,3,1)</f>
        <v xml:space="preserve"> </v>
      </c>
      <c r="BM22" s="976"/>
      <c r="BN22" s="976"/>
      <c r="BO22" s="976"/>
      <c r="BP22" s="976"/>
      <c r="BQ22" s="976"/>
      <c r="BR22" s="976" t="str">
        <f>MID(SUVAHAVUJ!AE66,4,1)</f>
        <v xml:space="preserve"> </v>
      </c>
      <c r="BS22" s="976"/>
      <c r="BT22" s="976"/>
      <c r="BU22" s="976"/>
      <c r="BV22" s="976"/>
      <c r="BW22" s="976" t="str">
        <f>MID(SUVAHAVUJ!AE66,5,1)</f>
        <v xml:space="preserve"> </v>
      </c>
      <c r="BX22" s="976"/>
      <c r="BY22" s="976"/>
      <c r="BZ22" s="976"/>
      <c r="CA22" s="976"/>
      <c r="CB22" s="976"/>
      <c r="CC22" s="976" t="str">
        <f>MID(SUVAHAVUJ!AE66,6,1)</f>
        <v xml:space="preserve"> </v>
      </c>
      <c r="CD22" s="976"/>
      <c r="CE22" s="976"/>
      <c r="CF22" s="976"/>
      <c r="CG22" s="976"/>
      <c r="CH22" s="976" t="str">
        <f>MID(SUVAHAVUJ!AE66,7,1)</f>
        <v xml:space="preserve"> </v>
      </c>
      <c r="CI22" s="976"/>
      <c r="CJ22" s="976"/>
      <c r="CK22" s="976"/>
      <c r="CL22" s="976"/>
      <c r="CM22" s="976"/>
      <c r="CN22" s="976" t="str">
        <f>MID(SUVAHAVUJ!AE66,8,1)</f>
        <v xml:space="preserve"> </v>
      </c>
      <c r="CO22" s="976"/>
      <c r="CP22" s="976"/>
      <c r="CQ22" s="976"/>
      <c r="CR22" s="976"/>
      <c r="CS22" s="976" t="str">
        <f>MID(SUVAHAVUJ!AE66,9,1)</f>
        <v xml:space="preserve"> </v>
      </c>
      <c r="CT22" s="976"/>
      <c r="CU22" s="976"/>
      <c r="CV22" s="976"/>
      <c r="CW22" s="976"/>
      <c r="CX22" s="976"/>
      <c r="CY22" s="976" t="str">
        <f>MID(SUVAHAVUJ!AE66,10,1)</f>
        <v xml:space="preserve"> </v>
      </c>
      <c r="CZ22" s="976"/>
      <c r="DA22" s="976"/>
      <c r="DB22" s="976"/>
      <c r="DC22" s="976"/>
      <c r="DD22" s="977" t="str">
        <f>MID(SUVAHAVUJ!AE66,11,1)</f>
        <v>0</v>
      </c>
      <c r="DE22" s="977"/>
      <c r="DF22" s="977"/>
      <c r="DG22" s="977"/>
      <c r="DH22" s="977"/>
      <c r="DI22" s="977"/>
      <c r="DJ22" s="980"/>
      <c r="DK22" s="980"/>
      <c r="DL22" s="980"/>
      <c r="DM22" s="980"/>
      <c r="DN22" s="980"/>
      <c r="DO22" s="980"/>
      <c r="DP22" s="980"/>
      <c r="DQ22" s="980"/>
      <c r="DR22" s="980"/>
      <c r="DS22" s="980"/>
      <c r="DT22" s="980"/>
      <c r="DU22" s="980"/>
      <c r="DV22" s="980"/>
      <c r="DW22" s="980"/>
      <c r="DX22" s="980"/>
      <c r="DY22" s="980"/>
      <c r="DZ22" s="980"/>
      <c r="EA22" s="980"/>
      <c r="EB22" s="980"/>
      <c r="EC22" s="980"/>
      <c r="ED22" s="980"/>
      <c r="EE22" s="980"/>
      <c r="EF22" s="980"/>
      <c r="EG22" s="980"/>
      <c r="EH22" s="980"/>
      <c r="EI22" s="980"/>
      <c r="EJ22" s="980"/>
      <c r="EK22" s="980"/>
      <c r="EL22" s="980"/>
      <c r="EM22" s="980"/>
      <c r="EN22" s="648"/>
      <c r="EO22" s="649"/>
      <c r="EP22" s="976" t="str">
        <f>MID(SUVAHAVUJ!AG66,1,1)</f>
        <v xml:space="preserve"> </v>
      </c>
      <c r="EQ22" s="976"/>
      <c r="ER22" s="976"/>
      <c r="ES22" s="976"/>
      <c r="ET22" s="976"/>
      <c r="EU22" s="976"/>
      <c r="EV22" s="976" t="str">
        <f>MID(SUVAHAVUJ!AG66,2,1)</f>
        <v xml:space="preserve"> </v>
      </c>
      <c r="EW22" s="976"/>
      <c r="EX22" s="976"/>
      <c r="EY22" s="976"/>
      <c r="EZ22" s="976"/>
      <c r="FA22" s="976" t="str">
        <f>MID(SUVAHAVUJ!AG66,3,1)</f>
        <v xml:space="preserve"> </v>
      </c>
      <c r="FB22" s="976"/>
      <c r="FC22" s="976"/>
      <c r="FD22" s="976"/>
      <c r="FE22" s="976"/>
      <c r="FF22" s="976"/>
      <c r="FG22" s="976" t="str">
        <f>MID(SUVAHAVUJ!AG66,4,1)</f>
        <v xml:space="preserve"> </v>
      </c>
      <c r="FH22" s="976"/>
      <c r="FI22" s="976"/>
      <c r="FJ22" s="976"/>
      <c r="FK22" s="976"/>
      <c r="FL22" s="976" t="str">
        <f>MID(SUVAHAVUJ!AG66,5,1)</f>
        <v xml:space="preserve"> </v>
      </c>
      <c r="FM22" s="976"/>
      <c r="FN22" s="976"/>
      <c r="FO22" s="976"/>
      <c r="FP22" s="976"/>
      <c r="FQ22" s="976"/>
      <c r="FR22" s="976" t="str">
        <f>MID(SUVAHAVUJ!AG66,6,1)</f>
        <v xml:space="preserve"> </v>
      </c>
      <c r="FS22" s="976"/>
      <c r="FT22" s="976"/>
      <c r="FU22" s="976"/>
      <c r="FV22" s="976"/>
      <c r="FW22" s="976" t="str">
        <f>MID(SUVAHAVUJ!AG66,7,1)</f>
        <v xml:space="preserve"> </v>
      </c>
      <c r="FX22" s="976"/>
      <c r="FY22" s="976"/>
      <c r="FZ22" s="976"/>
      <c r="GA22" s="976"/>
      <c r="GB22" s="976"/>
      <c r="GC22" s="976" t="str">
        <f>MID(SUVAHAVUJ!AG66,8,1)</f>
        <v xml:space="preserve"> </v>
      </c>
      <c r="GD22" s="976"/>
      <c r="GE22" s="976"/>
      <c r="GF22" s="976"/>
      <c r="GG22" s="976"/>
      <c r="GH22" s="976" t="str">
        <f>MID(SUVAHAVUJ!AG66,9,1)</f>
        <v xml:space="preserve"> </v>
      </c>
      <c r="GI22" s="976"/>
      <c r="GJ22" s="976"/>
      <c r="GK22" s="976"/>
      <c r="GL22" s="976"/>
      <c r="GM22" s="976"/>
      <c r="GN22" s="976" t="str">
        <f>MID(SUVAHAVUJ!AG66,10,1)</f>
        <v xml:space="preserve"> </v>
      </c>
      <c r="GO22" s="976"/>
      <c r="GP22" s="976"/>
      <c r="GQ22" s="976"/>
      <c r="GR22" s="976"/>
      <c r="GS22" s="978" t="str">
        <f>MID(SUVAHAVUJ!AG66,11,1)</f>
        <v>0</v>
      </c>
      <c r="GT22" s="978"/>
      <c r="GU22" s="978"/>
      <c r="GV22" s="978"/>
      <c r="GW22" s="978"/>
    </row>
    <row r="23" spans="2:205" s="650" customFormat="1" ht="23.25" customHeight="1" x14ac:dyDescent="0.3">
      <c r="B23" s="985" t="s">
        <v>2178</v>
      </c>
      <c r="C23" s="985"/>
      <c r="D23" s="985"/>
      <c r="E23" s="985"/>
      <c r="F23" s="985"/>
      <c r="G23" s="985"/>
      <c r="H23" s="985"/>
      <c r="I23" s="985"/>
      <c r="J23" s="985"/>
      <c r="K23" s="985"/>
      <c r="L23" s="990" t="str">
        <f>SUVAHAVUJ!$D$67</f>
        <v>Iné pohľadávky (335A, 33XA, 371A, 374A, 375A,  378A)
- /391A/</v>
      </c>
      <c r="M23" s="990"/>
      <c r="N23" s="990"/>
      <c r="O23" s="990"/>
      <c r="P23" s="990"/>
      <c r="Q23" s="990"/>
      <c r="R23" s="990"/>
      <c r="S23" s="990"/>
      <c r="T23" s="990"/>
      <c r="U23" s="990"/>
      <c r="V23" s="990"/>
      <c r="W23" s="990"/>
      <c r="X23" s="990"/>
      <c r="Y23" s="990"/>
      <c r="Z23" s="990"/>
      <c r="AA23" s="990"/>
      <c r="AB23" s="990"/>
      <c r="AC23" s="990"/>
      <c r="AD23" s="990"/>
      <c r="AE23" s="990"/>
      <c r="AF23" s="990"/>
      <c r="AG23" s="990"/>
      <c r="AH23" s="990"/>
      <c r="AI23" s="990"/>
      <c r="AJ23" s="990"/>
      <c r="AK23" s="990"/>
      <c r="AL23" s="990"/>
      <c r="AM23" s="990"/>
      <c r="AN23" s="990"/>
      <c r="AO23" s="990"/>
      <c r="AP23" s="990"/>
      <c r="AQ23" s="975" t="s">
        <v>1218</v>
      </c>
      <c r="AR23" s="975"/>
      <c r="AS23" s="975"/>
      <c r="AT23" s="975"/>
      <c r="AU23" s="975"/>
      <c r="AV23" s="975"/>
      <c r="AW23" s="975"/>
      <c r="AX23" s="975"/>
      <c r="AY23" s="648"/>
      <c r="AZ23" s="649"/>
      <c r="BA23" s="976" t="str">
        <f>MID(SUVAHAVUJ!AD67,1,1)</f>
        <v xml:space="preserve"> </v>
      </c>
      <c r="BB23" s="976"/>
      <c r="BC23" s="976"/>
      <c r="BD23" s="976"/>
      <c r="BE23" s="976"/>
      <c r="BF23" s="976"/>
      <c r="BG23" s="976" t="str">
        <f>MID(SUVAHAVUJ!AD67,2,1)</f>
        <v xml:space="preserve"> </v>
      </c>
      <c r="BH23" s="976"/>
      <c r="BI23" s="976"/>
      <c r="BJ23" s="976"/>
      <c r="BK23" s="976"/>
      <c r="BL23" s="976" t="str">
        <f>MID(SUVAHAVUJ!AD67,3,1)</f>
        <v xml:space="preserve"> </v>
      </c>
      <c r="BM23" s="976"/>
      <c r="BN23" s="976"/>
      <c r="BO23" s="976"/>
      <c r="BP23" s="976"/>
      <c r="BQ23" s="976"/>
      <c r="BR23" s="976" t="str">
        <f>MID(SUVAHAVUJ!AD67,4,1)</f>
        <v xml:space="preserve"> </v>
      </c>
      <c r="BS23" s="976"/>
      <c r="BT23" s="976"/>
      <c r="BU23" s="976"/>
      <c r="BV23" s="976"/>
      <c r="BW23" s="976" t="str">
        <f>MID(SUVAHAVUJ!AD67,5,1)</f>
        <v xml:space="preserve"> </v>
      </c>
      <c r="BX23" s="976"/>
      <c r="BY23" s="976"/>
      <c r="BZ23" s="976"/>
      <c r="CA23" s="976"/>
      <c r="CB23" s="976"/>
      <c r="CC23" s="976" t="str">
        <f>MID(SUVAHAVUJ!AD67,6,1)</f>
        <v xml:space="preserve"> </v>
      </c>
      <c r="CD23" s="976"/>
      <c r="CE23" s="976"/>
      <c r="CF23" s="976"/>
      <c r="CG23" s="976"/>
      <c r="CH23" s="976" t="str">
        <f>MID(SUVAHAVUJ!AD67,7,1)</f>
        <v xml:space="preserve"> </v>
      </c>
      <c r="CI23" s="976"/>
      <c r="CJ23" s="976"/>
      <c r="CK23" s="976"/>
      <c r="CL23" s="976"/>
      <c r="CM23" s="976"/>
      <c r="CN23" s="976" t="str">
        <f>MID(SUVAHAVUJ!AD67,8,1)</f>
        <v>2</v>
      </c>
      <c r="CO23" s="976"/>
      <c r="CP23" s="976"/>
      <c r="CQ23" s="976"/>
      <c r="CR23" s="976"/>
      <c r="CS23" s="976" t="str">
        <f>MID(SUVAHAVUJ!AD67,9,1)</f>
        <v>6</v>
      </c>
      <c r="CT23" s="976"/>
      <c r="CU23" s="976"/>
      <c r="CV23" s="976"/>
      <c r="CW23" s="976"/>
      <c r="CX23" s="976"/>
      <c r="CY23" s="976" t="str">
        <f>MID(SUVAHAVUJ!AD67,10,1)</f>
        <v>2</v>
      </c>
      <c r="CZ23" s="976"/>
      <c r="DA23" s="976"/>
      <c r="DB23" s="976"/>
      <c r="DC23" s="976"/>
      <c r="DD23" s="977" t="str">
        <f>MID(SUVAHAVUJ!AD67,11,1)</f>
        <v>6</v>
      </c>
      <c r="DE23" s="977"/>
      <c r="DF23" s="977"/>
      <c r="DG23" s="977"/>
      <c r="DH23" s="977"/>
      <c r="DI23" s="977"/>
      <c r="DJ23" s="648"/>
      <c r="DK23" s="649"/>
      <c r="DL23" s="976" t="str">
        <f>MID(SUVAHAVUJ!AF67,1,1)</f>
        <v xml:space="preserve"> </v>
      </c>
      <c r="DM23" s="976"/>
      <c r="DN23" s="976"/>
      <c r="DO23" s="976"/>
      <c r="DP23" s="976"/>
      <c r="DQ23" s="976"/>
      <c r="DR23" s="976" t="str">
        <f>MID(SUVAHAVUJ!AF67,2,1)</f>
        <v xml:space="preserve"> </v>
      </c>
      <c r="DS23" s="976"/>
      <c r="DT23" s="976"/>
      <c r="DU23" s="976"/>
      <c r="DV23" s="976"/>
      <c r="DW23" s="976" t="str">
        <f>MID(SUVAHAVUJ!AF67,3,1)</f>
        <v xml:space="preserve"> </v>
      </c>
      <c r="DX23" s="976"/>
      <c r="DY23" s="976"/>
      <c r="DZ23" s="976"/>
      <c r="EA23" s="976"/>
      <c r="EB23" s="976"/>
      <c r="EC23" s="976" t="str">
        <f>MID(SUVAHAVUJ!AF67,4,1)</f>
        <v xml:space="preserve"> </v>
      </c>
      <c r="ED23" s="976"/>
      <c r="EE23" s="976"/>
      <c r="EF23" s="976"/>
      <c r="EG23" s="976"/>
      <c r="EH23" s="976" t="str">
        <f>MID(SUVAHAVUJ!AF67,5,1)</f>
        <v xml:space="preserve"> </v>
      </c>
      <c r="EI23" s="976"/>
      <c r="EJ23" s="976"/>
      <c r="EK23" s="976"/>
      <c r="EL23" s="976"/>
      <c r="EM23" s="976"/>
      <c r="EN23" s="976" t="str">
        <f>MID(SUVAHAVUJ!AF67,6,1)</f>
        <v xml:space="preserve"> </v>
      </c>
      <c r="EO23" s="976"/>
      <c r="EP23" s="976"/>
      <c r="EQ23" s="976"/>
      <c r="ER23" s="976"/>
      <c r="ES23" s="976" t="str">
        <f>MID(SUVAHAVUJ!AF67,7,1)</f>
        <v xml:space="preserve"> </v>
      </c>
      <c r="ET23" s="976"/>
      <c r="EU23" s="976"/>
      <c r="EV23" s="976"/>
      <c r="EW23" s="976"/>
      <c r="EX23" s="976"/>
      <c r="EY23" s="976" t="str">
        <f>MID(SUVAHAVUJ!AF67,8,1)</f>
        <v>2</v>
      </c>
      <c r="EZ23" s="976"/>
      <c r="FA23" s="976"/>
      <c r="FB23" s="976"/>
      <c r="FC23" s="976"/>
      <c r="FD23" s="976" t="str">
        <f>MID(SUVAHAVUJ!AF67,9,1)</f>
        <v>6</v>
      </c>
      <c r="FE23" s="976"/>
      <c r="FF23" s="976"/>
      <c r="FG23" s="976"/>
      <c r="FH23" s="976"/>
      <c r="FI23" s="976"/>
      <c r="FJ23" s="976" t="str">
        <f>MID(SUVAHAVUJ!AF67,10,1)</f>
        <v>2</v>
      </c>
      <c r="FK23" s="976"/>
      <c r="FL23" s="976"/>
      <c r="FM23" s="976"/>
      <c r="FN23" s="976"/>
      <c r="FO23" s="978" t="str">
        <f>MID(SUVAHAVUJ!AF67,11,1)</f>
        <v>6</v>
      </c>
      <c r="FP23" s="978"/>
      <c r="FQ23" s="978"/>
      <c r="FR23" s="978"/>
      <c r="FS23" s="978"/>
      <c r="FT23" s="979"/>
      <c r="FU23" s="979"/>
      <c r="FV23" s="979"/>
      <c r="FW23" s="979"/>
      <c r="FX23" s="979"/>
      <c r="FY23" s="979"/>
      <c r="FZ23" s="979"/>
      <c r="GA23" s="979"/>
      <c r="GB23" s="979"/>
      <c r="GC23" s="979"/>
      <c r="GD23" s="979"/>
      <c r="GE23" s="979"/>
      <c r="GF23" s="979"/>
      <c r="GG23" s="979"/>
      <c r="GH23" s="979"/>
      <c r="GI23" s="979"/>
      <c r="GJ23" s="979"/>
      <c r="GK23" s="979"/>
      <c r="GL23" s="979"/>
      <c r="GM23" s="979"/>
      <c r="GN23" s="979"/>
      <c r="GO23" s="979"/>
      <c r="GP23" s="979"/>
      <c r="GQ23" s="979"/>
      <c r="GR23" s="979"/>
      <c r="GS23" s="979"/>
      <c r="GT23" s="979"/>
      <c r="GU23" s="979"/>
      <c r="GV23" s="979"/>
      <c r="GW23" s="979"/>
    </row>
    <row r="24" spans="2:205" ht="23.25" customHeight="1" x14ac:dyDescent="0.3">
      <c r="B24" s="985"/>
      <c r="C24" s="985"/>
      <c r="D24" s="985"/>
      <c r="E24" s="985"/>
      <c r="F24" s="985"/>
      <c r="G24" s="985"/>
      <c r="H24" s="985"/>
      <c r="I24" s="985"/>
      <c r="J24" s="985"/>
      <c r="K24" s="985"/>
      <c r="L24" s="990"/>
      <c r="M24" s="990"/>
      <c r="N24" s="990"/>
      <c r="O24" s="990"/>
      <c r="P24" s="990"/>
      <c r="Q24" s="990"/>
      <c r="R24" s="990"/>
      <c r="S24" s="990"/>
      <c r="T24" s="990"/>
      <c r="U24" s="990"/>
      <c r="V24" s="990"/>
      <c r="W24" s="990"/>
      <c r="X24" s="990"/>
      <c r="Y24" s="990"/>
      <c r="Z24" s="990"/>
      <c r="AA24" s="990"/>
      <c r="AB24" s="990"/>
      <c r="AC24" s="990"/>
      <c r="AD24" s="990"/>
      <c r="AE24" s="990"/>
      <c r="AF24" s="990"/>
      <c r="AG24" s="990"/>
      <c r="AH24" s="990"/>
      <c r="AI24" s="990"/>
      <c r="AJ24" s="990"/>
      <c r="AK24" s="990"/>
      <c r="AL24" s="990"/>
      <c r="AM24" s="990"/>
      <c r="AN24" s="990"/>
      <c r="AO24" s="990"/>
      <c r="AP24" s="990"/>
      <c r="AQ24" s="975"/>
      <c r="AR24" s="975"/>
      <c r="AS24" s="975"/>
      <c r="AT24" s="975"/>
      <c r="AU24" s="975"/>
      <c r="AV24" s="975"/>
      <c r="AW24" s="975"/>
      <c r="AX24" s="975"/>
      <c r="AY24" s="648"/>
      <c r="AZ24" s="649"/>
      <c r="BA24" s="976" t="str">
        <f>MID(SUVAHAVUJ!AE67,1,1)</f>
        <v xml:space="preserve"> </v>
      </c>
      <c r="BB24" s="976"/>
      <c r="BC24" s="976"/>
      <c r="BD24" s="976"/>
      <c r="BE24" s="976"/>
      <c r="BF24" s="976"/>
      <c r="BG24" s="976" t="str">
        <f>MID(SUVAHAVUJ!AE67,2,1)</f>
        <v xml:space="preserve"> </v>
      </c>
      <c r="BH24" s="976"/>
      <c r="BI24" s="976"/>
      <c r="BJ24" s="976"/>
      <c r="BK24" s="976"/>
      <c r="BL24" s="976" t="str">
        <f>MID(SUVAHAVUJ!AE67,3,1)</f>
        <v xml:space="preserve"> </v>
      </c>
      <c r="BM24" s="976"/>
      <c r="BN24" s="976"/>
      <c r="BO24" s="976"/>
      <c r="BP24" s="976"/>
      <c r="BQ24" s="976"/>
      <c r="BR24" s="976" t="str">
        <f>MID(SUVAHAVUJ!AE67,4,1)</f>
        <v xml:space="preserve"> </v>
      </c>
      <c r="BS24" s="976"/>
      <c r="BT24" s="976"/>
      <c r="BU24" s="976"/>
      <c r="BV24" s="976"/>
      <c r="BW24" s="976" t="str">
        <f>MID(SUVAHAVUJ!AE67,5,1)</f>
        <v xml:space="preserve"> </v>
      </c>
      <c r="BX24" s="976"/>
      <c r="BY24" s="976"/>
      <c r="BZ24" s="976"/>
      <c r="CA24" s="976"/>
      <c r="CB24" s="976"/>
      <c r="CC24" s="976" t="str">
        <f>MID(SUVAHAVUJ!AE67,6,1)</f>
        <v xml:space="preserve"> </v>
      </c>
      <c r="CD24" s="976"/>
      <c r="CE24" s="976"/>
      <c r="CF24" s="976"/>
      <c r="CG24" s="976"/>
      <c r="CH24" s="976" t="str">
        <f>MID(SUVAHAVUJ!AE67,7,1)</f>
        <v xml:space="preserve"> </v>
      </c>
      <c r="CI24" s="976"/>
      <c r="CJ24" s="976"/>
      <c r="CK24" s="976"/>
      <c r="CL24" s="976"/>
      <c r="CM24" s="976"/>
      <c r="CN24" s="976" t="str">
        <f>MID(SUVAHAVUJ!AE67,8,1)</f>
        <v xml:space="preserve"> </v>
      </c>
      <c r="CO24" s="976"/>
      <c r="CP24" s="976"/>
      <c r="CQ24" s="976"/>
      <c r="CR24" s="976"/>
      <c r="CS24" s="976" t="str">
        <f>MID(SUVAHAVUJ!AE67,9,1)</f>
        <v xml:space="preserve"> </v>
      </c>
      <c r="CT24" s="976"/>
      <c r="CU24" s="976"/>
      <c r="CV24" s="976"/>
      <c r="CW24" s="976"/>
      <c r="CX24" s="976"/>
      <c r="CY24" s="976" t="str">
        <f>MID(SUVAHAVUJ!AE67,10,1)</f>
        <v xml:space="preserve"> </v>
      </c>
      <c r="CZ24" s="976"/>
      <c r="DA24" s="976"/>
      <c r="DB24" s="976"/>
      <c r="DC24" s="976"/>
      <c r="DD24" s="977" t="str">
        <f>MID(SUVAHAVUJ!AE67,11,1)</f>
        <v>0</v>
      </c>
      <c r="DE24" s="977"/>
      <c r="DF24" s="977"/>
      <c r="DG24" s="977"/>
      <c r="DH24" s="977"/>
      <c r="DI24" s="977"/>
      <c r="DJ24" s="980"/>
      <c r="DK24" s="980"/>
      <c r="DL24" s="980"/>
      <c r="DM24" s="980"/>
      <c r="DN24" s="980"/>
      <c r="DO24" s="980"/>
      <c r="DP24" s="980"/>
      <c r="DQ24" s="980"/>
      <c r="DR24" s="980"/>
      <c r="DS24" s="980"/>
      <c r="DT24" s="980"/>
      <c r="DU24" s="980"/>
      <c r="DV24" s="980"/>
      <c r="DW24" s="980"/>
      <c r="DX24" s="980"/>
      <c r="DY24" s="980"/>
      <c r="DZ24" s="980"/>
      <c r="EA24" s="980"/>
      <c r="EB24" s="980"/>
      <c r="EC24" s="980"/>
      <c r="ED24" s="980"/>
      <c r="EE24" s="980"/>
      <c r="EF24" s="980"/>
      <c r="EG24" s="980"/>
      <c r="EH24" s="980"/>
      <c r="EI24" s="980"/>
      <c r="EJ24" s="980"/>
      <c r="EK24" s="980"/>
      <c r="EL24" s="980"/>
      <c r="EM24" s="980"/>
      <c r="EN24" s="648"/>
      <c r="EO24" s="649"/>
      <c r="EP24" s="976" t="str">
        <f>MID(SUVAHAVUJ!AG67,1,1)</f>
        <v xml:space="preserve"> </v>
      </c>
      <c r="EQ24" s="976"/>
      <c r="ER24" s="976"/>
      <c r="ES24" s="976"/>
      <c r="ET24" s="976"/>
      <c r="EU24" s="976"/>
      <c r="EV24" s="976" t="str">
        <f>MID(SUVAHAVUJ!AG67,2,1)</f>
        <v xml:space="preserve"> </v>
      </c>
      <c r="EW24" s="976"/>
      <c r="EX24" s="976"/>
      <c r="EY24" s="976"/>
      <c r="EZ24" s="976"/>
      <c r="FA24" s="976" t="str">
        <f>MID(SUVAHAVUJ!AG67,3,1)</f>
        <v xml:space="preserve"> </v>
      </c>
      <c r="FB24" s="976"/>
      <c r="FC24" s="976"/>
      <c r="FD24" s="976"/>
      <c r="FE24" s="976"/>
      <c r="FF24" s="976"/>
      <c r="FG24" s="976" t="str">
        <f>MID(SUVAHAVUJ!AG67,4,1)</f>
        <v xml:space="preserve"> </v>
      </c>
      <c r="FH24" s="976"/>
      <c r="FI24" s="976"/>
      <c r="FJ24" s="976"/>
      <c r="FK24" s="976"/>
      <c r="FL24" s="976" t="str">
        <f>MID(SUVAHAVUJ!AG67,5,1)</f>
        <v xml:space="preserve"> </v>
      </c>
      <c r="FM24" s="976"/>
      <c r="FN24" s="976"/>
      <c r="FO24" s="976"/>
      <c r="FP24" s="976"/>
      <c r="FQ24" s="976"/>
      <c r="FR24" s="976" t="str">
        <f>MID(SUVAHAVUJ!AG67,6,1)</f>
        <v xml:space="preserve"> </v>
      </c>
      <c r="FS24" s="976"/>
      <c r="FT24" s="976"/>
      <c r="FU24" s="976"/>
      <c r="FV24" s="976"/>
      <c r="FW24" s="976" t="str">
        <f>MID(SUVAHAVUJ!AG67,7,1)</f>
        <v xml:space="preserve"> </v>
      </c>
      <c r="FX24" s="976"/>
      <c r="FY24" s="976"/>
      <c r="FZ24" s="976"/>
      <c r="GA24" s="976"/>
      <c r="GB24" s="976"/>
      <c r="GC24" s="976" t="str">
        <f>MID(SUVAHAVUJ!AG67,8,1)</f>
        <v>-</v>
      </c>
      <c r="GD24" s="976"/>
      <c r="GE24" s="976"/>
      <c r="GF24" s="976"/>
      <c r="GG24" s="976"/>
      <c r="GH24" s="976" t="str">
        <f>MID(SUVAHAVUJ!AG67,9,1)</f>
        <v>3</v>
      </c>
      <c r="GI24" s="976"/>
      <c r="GJ24" s="976"/>
      <c r="GK24" s="976"/>
      <c r="GL24" s="976"/>
      <c r="GM24" s="976"/>
      <c r="GN24" s="976" t="str">
        <f>MID(SUVAHAVUJ!AG67,10,1)</f>
        <v>3</v>
      </c>
      <c r="GO24" s="976"/>
      <c r="GP24" s="976"/>
      <c r="GQ24" s="976"/>
      <c r="GR24" s="976"/>
      <c r="GS24" s="978" t="str">
        <f>MID(SUVAHAVUJ!AG67,11,1)</f>
        <v>4</v>
      </c>
      <c r="GT24" s="978"/>
      <c r="GU24" s="978"/>
      <c r="GV24" s="978"/>
      <c r="GW24" s="978"/>
    </row>
    <row r="25" spans="2:205" s="650" customFormat="1" ht="23.25" customHeight="1" x14ac:dyDescent="0.3">
      <c r="B25" s="992" t="s">
        <v>2207</v>
      </c>
      <c r="C25" s="992"/>
      <c r="D25" s="992"/>
      <c r="E25" s="992"/>
      <c r="F25" s="992"/>
      <c r="G25" s="992"/>
      <c r="H25" s="992"/>
      <c r="I25" s="992"/>
      <c r="J25" s="992"/>
      <c r="K25" s="992"/>
      <c r="L25" s="991" t="str">
        <f>SUVAHAVUJ!$D$68</f>
        <v>Krátkodobý finančný majetok súčet (r . 67 až r. 70)</v>
      </c>
      <c r="M25" s="991"/>
      <c r="N25" s="991"/>
      <c r="O25" s="991"/>
      <c r="P25" s="991"/>
      <c r="Q25" s="991"/>
      <c r="R25" s="991"/>
      <c r="S25" s="991"/>
      <c r="T25" s="991"/>
      <c r="U25" s="991"/>
      <c r="V25" s="991"/>
      <c r="W25" s="991"/>
      <c r="X25" s="991"/>
      <c r="Y25" s="991"/>
      <c r="Z25" s="991"/>
      <c r="AA25" s="991"/>
      <c r="AB25" s="991"/>
      <c r="AC25" s="991"/>
      <c r="AD25" s="991"/>
      <c r="AE25" s="991"/>
      <c r="AF25" s="991"/>
      <c r="AG25" s="991"/>
      <c r="AH25" s="991"/>
      <c r="AI25" s="991"/>
      <c r="AJ25" s="991"/>
      <c r="AK25" s="991"/>
      <c r="AL25" s="991"/>
      <c r="AM25" s="991"/>
      <c r="AN25" s="991"/>
      <c r="AO25" s="991"/>
      <c r="AP25" s="991"/>
      <c r="AQ25" s="975" t="s">
        <v>2206</v>
      </c>
      <c r="AR25" s="975"/>
      <c r="AS25" s="975"/>
      <c r="AT25" s="975"/>
      <c r="AU25" s="975"/>
      <c r="AV25" s="975"/>
      <c r="AW25" s="975"/>
      <c r="AX25" s="975"/>
      <c r="AY25" s="648"/>
      <c r="AZ25" s="649"/>
      <c r="BA25" s="976" t="str">
        <f>MID(SUVAHAVUJ!AD68,1,1)</f>
        <v xml:space="preserve"> </v>
      </c>
      <c r="BB25" s="976"/>
      <c r="BC25" s="976"/>
      <c r="BD25" s="976"/>
      <c r="BE25" s="976"/>
      <c r="BF25" s="976"/>
      <c r="BG25" s="976" t="str">
        <f>MID(SUVAHAVUJ!AD68,2,1)</f>
        <v xml:space="preserve"> </v>
      </c>
      <c r="BH25" s="976"/>
      <c r="BI25" s="976"/>
      <c r="BJ25" s="976"/>
      <c r="BK25" s="976"/>
      <c r="BL25" s="976" t="str">
        <f>MID(SUVAHAVUJ!AD68,3,1)</f>
        <v xml:space="preserve"> </v>
      </c>
      <c r="BM25" s="976"/>
      <c r="BN25" s="976"/>
      <c r="BO25" s="976"/>
      <c r="BP25" s="976"/>
      <c r="BQ25" s="976"/>
      <c r="BR25" s="976" t="str">
        <f>MID(SUVAHAVUJ!AD68,4,1)</f>
        <v xml:space="preserve"> </v>
      </c>
      <c r="BS25" s="976"/>
      <c r="BT25" s="976"/>
      <c r="BU25" s="976"/>
      <c r="BV25" s="976"/>
      <c r="BW25" s="976" t="str">
        <f>MID(SUVAHAVUJ!AD68,5,1)</f>
        <v xml:space="preserve"> </v>
      </c>
      <c r="BX25" s="976"/>
      <c r="BY25" s="976"/>
      <c r="BZ25" s="976"/>
      <c r="CA25" s="976"/>
      <c r="CB25" s="976"/>
      <c r="CC25" s="976" t="str">
        <f>MID(SUVAHAVUJ!AD68,6,1)</f>
        <v xml:space="preserve"> </v>
      </c>
      <c r="CD25" s="976"/>
      <c r="CE25" s="976"/>
      <c r="CF25" s="976"/>
      <c r="CG25" s="976"/>
      <c r="CH25" s="976" t="str">
        <f>MID(SUVAHAVUJ!AD68,7,1)</f>
        <v xml:space="preserve"> </v>
      </c>
      <c r="CI25" s="976"/>
      <c r="CJ25" s="976"/>
      <c r="CK25" s="976"/>
      <c r="CL25" s="976"/>
      <c r="CM25" s="976"/>
      <c r="CN25" s="976" t="str">
        <f>MID(SUVAHAVUJ!AD68,8,1)</f>
        <v xml:space="preserve"> </v>
      </c>
      <c r="CO25" s="976"/>
      <c r="CP25" s="976"/>
      <c r="CQ25" s="976"/>
      <c r="CR25" s="976"/>
      <c r="CS25" s="976" t="str">
        <f>MID(SUVAHAVUJ!AD68,9,1)</f>
        <v xml:space="preserve"> </v>
      </c>
      <c r="CT25" s="976"/>
      <c r="CU25" s="976"/>
      <c r="CV25" s="976"/>
      <c r="CW25" s="976"/>
      <c r="CX25" s="976"/>
      <c r="CY25" s="976" t="str">
        <f>MID(SUVAHAVUJ!AD68,10,1)</f>
        <v xml:space="preserve"> </v>
      </c>
      <c r="CZ25" s="976"/>
      <c r="DA25" s="976"/>
      <c r="DB25" s="976"/>
      <c r="DC25" s="976"/>
      <c r="DD25" s="977" t="str">
        <f>MID(SUVAHAVUJ!AD68,11,1)</f>
        <v>0</v>
      </c>
      <c r="DE25" s="977"/>
      <c r="DF25" s="977"/>
      <c r="DG25" s="977"/>
      <c r="DH25" s="977"/>
      <c r="DI25" s="977"/>
      <c r="DJ25" s="648"/>
      <c r="DK25" s="649"/>
      <c r="DL25" s="976" t="str">
        <f>MID(SUVAHAVUJ!AF68,1,1)</f>
        <v xml:space="preserve"> </v>
      </c>
      <c r="DM25" s="976"/>
      <c r="DN25" s="976"/>
      <c r="DO25" s="976"/>
      <c r="DP25" s="976"/>
      <c r="DQ25" s="976"/>
      <c r="DR25" s="976" t="str">
        <f>MID(SUVAHAVUJ!AF68,2,1)</f>
        <v xml:space="preserve"> </v>
      </c>
      <c r="DS25" s="976"/>
      <c r="DT25" s="976"/>
      <c r="DU25" s="976"/>
      <c r="DV25" s="976"/>
      <c r="DW25" s="976" t="str">
        <f>MID(SUVAHAVUJ!AF68,3,1)</f>
        <v xml:space="preserve"> </v>
      </c>
      <c r="DX25" s="976"/>
      <c r="DY25" s="976"/>
      <c r="DZ25" s="976"/>
      <c r="EA25" s="976"/>
      <c r="EB25" s="976"/>
      <c r="EC25" s="976" t="str">
        <f>MID(SUVAHAVUJ!AF68,4,1)</f>
        <v xml:space="preserve"> </v>
      </c>
      <c r="ED25" s="976"/>
      <c r="EE25" s="976"/>
      <c r="EF25" s="976"/>
      <c r="EG25" s="976"/>
      <c r="EH25" s="976" t="str">
        <f>MID(SUVAHAVUJ!AF68,5,1)</f>
        <v xml:space="preserve"> </v>
      </c>
      <c r="EI25" s="976"/>
      <c r="EJ25" s="976"/>
      <c r="EK25" s="976"/>
      <c r="EL25" s="976"/>
      <c r="EM25" s="976"/>
      <c r="EN25" s="976" t="str">
        <f>MID(SUVAHAVUJ!AF68,6,1)</f>
        <v xml:space="preserve"> </v>
      </c>
      <c r="EO25" s="976"/>
      <c r="EP25" s="976"/>
      <c r="EQ25" s="976"/>
      <c r="ER25" s="976"/>
      <c r="ES25" s="976" t="str">
        <f>MID(SUVAHAVUJ!AF68,7,1)</f>
        <v xml:space="preserve"> </v>
      </c>
      <c r="ET25" s="976"/>
      <c r="EU25" s="976"/>
      <c r="EV25" s="976"/>
      <c r="EW25" s="976"/>
      <c r="EX25" s="976"/>
      <c r="EY25" s="976" t="str">
        <f>MID(SUVAHAVUJ!AF68,8,1)</f>
        <v xml:space="preserve"> </v>
      </c>
      <c r="EZ25" s="976"/>
      <c r="FA25" s="976"/>
      <c r="FB25" s="976"/>
      <c r="FC25" s="976"/>
      <c r="FD25" s="976" t="str">
        <f>MID(SUVAHAVUJ!AF68,9,1)</f>
        <v xml:space="preserve"> </v>
      </c>
      <c r="FE25" s="976"/>
      <c r="FF25" s="976"/>
      <c r="FG25" s="976"/>
      <c r="FH25" s="976"/>
      <c r="FI25" s="976"/>
      <c r="FJ25" s="976" t="str">
        <f>MID(SUVAHAVUJ!AF68,10,1)</f>
        <v xml:space="preserve"> </v>
      </c>
      <c r="FK25" s="976"/>
      <c r="FL25" s="976"/>
      <c r="FM25" s="976"/>
      <c r="FN25" s="976"/>
      <c r="FO25" s="978" t="str">
        <f>MID(SUVAHAVUJ!AF68,11,1)</f>
        <v>0</v>
      </c>
      <c r="FP25" s="978"/>
      <c r="FQ25" s="978"/>
      <c r="FR25" s="978"/>
      <c r="FS25" s="978"/>
      <c r="FT25" s="979"/>
      <c r="FU25" s="979"/>
      <c r="FV25" s="979"/>
      <c r="FW25" s="979"/>
      <c r="FX25" s="979"/>
      <c r="FY25" s="979"/>
      <c r="FZ25" s="979"/>
      <c r="GA25" s="979"/>
      <c r="GB25" s="979"/>
      <c r="GC25" s="979"/>
      <c r="GD25" s="979"/>
      <c r="GE25" s="979"/>
      <c r="GF25" s="979"/>
      <c r="GG25" s="979"/>
      <c r="GH25" s="979"/>
      <c r="GI25" s="979"/>
      <c r="GJ25" s="979"/>
      <c r="GK25" s="979"/>
      <c r="GL25" s="979"/>
      <c r="GM25" s="979"/>
      <c r="GN25" s="979"/>
      <c r="GO25" s="979"/>
      <c r="GP25" s="979"/>
      <c r="GQ25" s="979"/>
      <c r="GR25" s="979"/>
      <c r="GS25" s="979"/>
      <c r="GT25" s="979"/>
      <c r="GU25" s="979"/>
      <c r="GV25" s="979"/>
      <c r="GW25" s="979"/>
    </row>
    <row r="26" spans="2:205" ht="25.5" customHeight="1" x14ac:dyDescent="0.3">
      <c r="B26" s="992"/>
      <c r="C26" s="992"/>
      <c r="D26" s="992"/>
      <c r="E26" s="992"/>
      <c r="F26" s="992"/>
      <c r="G26" s="992"/>
      <c r="H26" s="992"/>
      <c r="I26" s="992"/>
      <c r="J26" s="992"/>
      <c r="K26" s="992"/>
      <c r="L26" s="991"/>
      <c r="M26" s="991"/>
      <c r="N26" s="991"/>
      <c r="O26" s="991"/>
      <c r="P26" s="991"/>
      <c r="Q26" s="991"/>
      <c r="R26" s="991"/>
      <c r="S26" s="991"/>
      <c r="T26" s="991"/>
      <c r="U26" s="991"/>
      <c r="V26" s="991"/>
      <c r="W26" s="991"/>
      <c r="X26" s="991"/>
      <c r="Y26" s="991"/>
      <c r="Z26" s="991"/>
      <c r="AA26" s="991"/>
      <c r="AB26" s="991"/>
      <c r="AC26" s="991"/>
      <c r="AD26" s="991"/>
      <c r="AE26" s="991"/>
      <c r="AF26" s="991"/>
      <c r="AG26" s="991"/>
      <c r="AH26" s="991"/>
      <c r="AI26" s="991"/>
      <c r="AJ26" s="991"/>
      <c r="AK26" s="991"/>
      <c r="AL26" s="991"/>
      <c r="AM26" s="991"/>
      <c r="AN26" s="991"/>
      <c r="AO26" s="991"/>
      <c r="AP26" s="991"/>
      <c r="AQ26" s="975"/>
      <c r="AR26" s="975"/>
      <c r="AS26" s="975"/>
      <c r="AT26" s="975"/>
      <c r="AU26" s="975"/>
      <c r="AV26" s="975"/>
      <c r="AW26" s="975"/>
      <c r="AX26" s="975"/>
      <c r="AY26" s="648"/>
      <c r="AZ26" s="649"/>
      <c r="BA26" s="976" t="str">
        <f>MID(SUVAHAVUJ!AE68,1,1)</f>
        <v xml:space="preserve"> </v>
      </c>
      <c r="BB26" s="976"/>
      <c r="BC26" s="976"/>
      <c r="BD26" s="976"/>
      <c r="BE26" s="976"/>
      <c r="BF26" s="976"/>
      <c r="BG26" s="976" t="str">
        <f>MID(SUVAHAVUJ!AE68,2,1)</f>
        <v xml:space="preserve"> </v>
      </c>
      <c r="BH26" s="976"/>
      <c r="BI26" s="976"/>
      <c r="BJ26" s="976"/>
      <c r="BK26" s="976"/>
      <c r="BL26" s="976" t="str">
        <f>MID(SUVAHAVUJ!AE68,3,1)</f>
        <v xml:space="preserve"> </v>
      </c>
      <c r="BM26" s="976"/>
      <c r="BN26" s="976"/>
      <c r="BO26" s="976"/>
      <c r="BP26" s="976"/>
      <c r="BQ26" s="976"/>
      <c r="BR26" s="976" t="str">
        <f>MID(SUVAHAVUJ!AE68,4,1)</f>
        <v xml:space="preserve"> </v>
      </c>
      <c r="BS26" s="976"/>
      <c r="BT26" s="976"/>
      <c r="BU26" s="976"/>
      <c r="BV26" s="976"/>
      <c r="BW26" s="976" t="str">
        <f>MID(SUVAHAVUJ!AE68,5,1)</f>
        <v xml:space="preserve"> </v>
      </c>
      <c r="BX26" s="976"/>
      <c r="BY26" s="976"/>
      <c r="BZ26" s="976"/>
      <c r="CA26" s="976"/>
      <c r="CB26" s="976"/>
      <c r="CC26" s="976" t="str">
        <f>MID(SUVAHAVUJ!AE68,6,1)</f>
        <v xml:space="preserve"> </v>
      </c>
      <c r="CD26" s="976"/>
      <c r="CE26" s="976"/>
      <c r="CF26" s="976"/>
      <c r="CG26" s="976"/>
      <c r="CH26" s="976" t="str">
        <f>MID(SUVAHAVUJ!AE68,7,1)</f>
        <v xml:space="preserve"> </v>
      </c>
      <c r="CI26" s="976"/>
      <c r="CJ26" s="976"/>
      <c r="CK26" s="976"/>
      <c r="CL26" s="976"/>
      <c r="CM26" s="976"/>
      <c r="CN26" s="976" t="str">
        <f>MID(SUVAHAVUJ!AE68,8,1)</f>
        <v xml:space="preserve"> </v>
      </c>
      <c r="CO26" s="976"/>
      <c r="CP26" s="976"/>
      <c r="CQ26" s="976"/>
      <c r="CR26" s="976"/>
      <c r="CS26" s="976" t="str">
        <f>MID(SUVAHAVUJ!AE68,9,1)</f>
        <v xml:space="preserve"> </v>
      </c>
      <c r="CT26" s="976"/>
      <c r="CU26" s="976"/>
      <c r="CV26" s="976"/>
      <c r="CW26" s="976"/>
      <c r="CX26" s="976"/>
      <c r="CY26" s="976" t="str">
        <f>MID(SUVAHAVUJ!AE68,10,1)</f>
        <v xml:space="preserve"> </v>
      </c>
      <c r="CZ26" s="976"/>
      <c r="DA26" s="976"/>
      <c r="DB26" s="976"/>
      <c r="DC26" s="976"/>
      <c r="DD26" s="977" t="str">
        <f>MID(SUVAHAVUJ!AE68,11,1)</f>
        <v>0</v>
      </c>
      <c r="DE26" s="977"/>
      <c r="DF26" s="977"/>
      <c r="DG26" s="977"/>
      <c r="DH26" s="977"/>
      <c r="DI26" s="977"/>
      <c r="DJ26" s="980"/>
      <c r="DK26" s="980"/>
      <c r="DL26" s="980"/>
      <c r="DM26" s="980"/>
      <c r="DN26" s="980"/>
      <c r="DO26" s="980"/>
      <c r="DP26" s="980"/>
      <c r="DQ26" s="980"/>
      <c r="DR26" s="980"/>
      <c r="DS26" s="980"/>
      <c r="DT26" s="980"/>
      <c r="DU26" s="980"/>
      <c r="DV26" s="980"/>
      <c r="DW26" s="980"/>
      <c r="DX26" s="980"/>
      <c r="DY26" s="980"/>
      <c r="DZ26" s="980"/>
      <c r="EA26" s="980"/>
      <c r="EB26" s="980"/>
      <c r="EC26" s="980"/>
      <c r="ED26" s="980"/>
      <c r="EE26" s="980"/>
      <c r="EF26" s="980"/>
      <c r="EG26" s="980"/>
      <c r="EH26" s="980"/>
      <c r="EI26" s="980"/>
      <c r="EJ26" s="980"/>
      <c r="EK26" s="980"/>
      <c r="EL26" s="980"/>
      <c r="EM26" s="980"/>
      <c r="EN26" s="648"/>
      <c r="EO26" s="649"/>
      <c r="EP26" s="976" t="str">
        <f>MID(SUVAHAVUJ!AG68,1,1)</f>
        <v xml:space="preserve"> </v>
      </c>
      <c r="EQ26" s="976"/>
      <c r="ER26" s="976"/>
      <c r="ES26" s="976"/>
      <c r="ET26" s="976"/>
      <c r="EU26" s="976"/>
      <c r="EV26" s="976" t="str">
        <f>MID(SUVAHAVUJ!AG68,2,1)</f>
        <v xml:space="preserve"> </v>
      </c>
      <c r="EW26" s="976"/>
      <c r="EX26" s="976"/>
      <c r="EY26" s="976"/>
      <c r="EZ26" s="976"/>
      <c r="FA26" s="976" t="str">
        <f>MID(SUVAHAVUJ!AG68,3,1)</f>
        <v xml:space="preserve"> </v>
      </c>
      <c r="FB26" s="976"/>
      <c r="FC26" s="976"/>
      <c r="FD26" s="976"/>
      <c r="FE26" s="976"/>
      <c r="FF26" s="976"/>
      <c r="FG26" s="976" t="str">
        <f>MID(SUVAHAVUJ!AG68,4,1)</f>
        <v xml:space="preserve"> </v>
      </c>
      <c r="FH26" s="976"/>
      <c r="FI26" s="976"/>
      <c r="FJ26" s="976"/>
      <c r="FK26" s="976"/>
      <c r="FL26" s="976" t="str">
        <f>MID(SUVAHAVUJ!AG68,5,1)</f>
        <v xml:space="preserve"> </v>
      </c>
      <c r="FM26" s="976"/>
      <c r="FN26" s="976"/>
      <c r="FO26" s="976"/>
      <c r="FP26" s="976"/>
      <c r="FQ26" s="976"/>
      <c r="FR26" s="976" t="str">
        <f>MID(SUVAHAVUJ!AG68,6,1)</f>
        <v xml:space="preserve"> </v>
      </c>
      <c r="FS26" s="976"/>
      <c r="FT26" s="976"/>
      <c r="FU26" s="976"/>
      <c r="FV26" s="976"/>
      <c r="FW26" s="976" t="str">
        <f>MID(SUVAHAVUJ!AG68,7,1)</f>
        <v xml:space="preserve"> </v>
      </c>
      <c r="FX26" s="976"/>
      <c r="FY26" s="976"/>
      <c r="FZ26" s="976"/>
      <c r="GA26" s="976"/>
      <c r="GB26" s="976"/>
      <c r="GC26" s="976" t="str">
        <f>MID(SUVAHAVUJ!AG68,8,1)</f>
        <v xml:space="preserve"> </v>
      </c>
      <c r="GD26" s="976"/>
      <c r="GE26" s="976"/>
      <c r="GF26" s="976"/>
      <c r="GG26" s="976"/>
      <c r="GH26" s="976" t="str">
        <f>MID(SUVAHAVUJ!AG68,9,1)</f>
        <v xml:space="preserve"> </v>
      </c>
      <c r="GI26" s="976"/>
      <c r="GJ26" s="976"/>
      <c r="GK26" s="976"/>
      <c r="GL26" s="976"/>
      <c r="GM26" s="976"/>
      <c r="GN26" s="976" t="str">
        <f>MID(SUVAHAVUJ!AG68,10,1)</f>
        <v xml:space="preserve"> </v>
      </c>
      <c r="GO26" s="976"/>
      <c r="GP26" s="976"/>
      <c r="GQ26" s="976"/>
      <c r="GR26" s="976"/>
      <c r="GS26" s="978" t="str">
        <f>MID(SUVAHAVUJ!AG68,11,1)</f>
        <v>0</v>
      </c>
      <c r="GT26" s="978"/>
      <c r="GU26" s="978"/>
      <c r="GV26" s="978"/>
      <c r="GW26" s="978"/>
    </row>
    <row r="27" spans="2:205" s="650" customFormat="1" ht="23.25" customHeight="1" x14ac:dyDescent="0.3">
      <c r="B27" s="989" t="s">
        <v>2209</v>
      </c>
      <c r="C27" s="989"/>
      <c r="D27" s="989"/>
      <c r="E27" s="989"/>
      <c r="F27" s="989"/>
      <c r="G27" s="989"/>
      <c r="H27" s="989"/>
      <c r="I27" s="989"/>
      <c r="J27" s="989"/>
      <c r="K27" s="989"/>
      <c r="L27" s="990" t="str">
        <f>SUVAHAVUJ!$D$69</f>
        <v>Krátkodobý finančný majetok v prepojených účtovných jednotkách (251A, 253A, 256A, 257A, 25XA)
- /291A, 29XA/</v>
      </c>
      <c r="M27" s="990"/>
      <c r="N27" s="990"/>
      <c r="O27" s="990"/>
      <c r="P27" s="990"/>
      <c r="Q27" s="990"/>
      <c r="R27" s="990"/>
      <c r="S27" s="990"/>
      <c r="T27" s="990"/>
      <c r="U27" s="990"/>
      <c r="V27" s="990"/>
      <c r="W27" s="990"/>
      <c r="X27" s="990"/>
      <c r="Y27" s="990"/>
      <c r="Z27" s="990"/>
      <c r="AA27" s="990"/>
      <c r="AB27" s="990"/>
      <c r="AC27" s="990"/>
      <c r="AD27" s="990"/>
      <c r="AE27" s="990"/>
      <c r="AF27" s="990"/>
      <c r="AG27" s="990"/>
      <c r="AH27" s="990"/>
      <c r="AI27" s="990"/>
      <c r="AJ27" s="990"/>
      <c r="AK27" s="990"/>
      <c r="AL27" s="990"/>
      <c r="AM27" s="990"/>
      <c r="AN27" s="990"/>
      <c r="AO27" s="990"/>
      <c r="AP27" s="990"/>
      <c r="AQ27" s="975" t="s">
        <v>2208</v>
      </c>
      <c r="AR27" s="975"/>
      <c r="AS27" s="975"/>
      <c r="AT27" s="975"/>
      <c r="AU27" s="975"/>
      <c r="AV27" s="975"/>
      <c r="AW27" s="975"/>
      <c r="AX27" s="975"/>
      <c r="AY27" s="648"/>
      <c r="AZ27" s="649"/>
      <c r="BA27" s="976" t="str">
        <f>MID(SUVAHAVUJ!AD69,1,1)</f>
        <v xml:space="preserve"> </v>
      </c>
      <c r="BB27" s="976"/>
      <c r="BC27" s="976"/>
      <c r="BD27" s="976"/>
      <c r="BE27" s="976"/>
      <c r="BF27" s="976"/>
      <c r="BG27" s="976" t="str">
        <f>MID(SUVAHAVUJ!AD69,2,1)</f>
        <v xml:space="preserve"> </v>
      </c>
      <c r="BH27" s="976"/>
      <c r="BI27" s="976"/>
      <c r="BJ27" s="976"/>
      <c r="BK27" s="976"/>
      <c r="BL27" s="976" t="str">
        <f>MID(SUVAHAVUJ!AD69,3,1)</f>
        <v xml:space="preserve"> </v>
      </c>
      <c r="BM27" s="976"/>
      <c r="BN27" s="976"/>
      <c r="BO27" s="976"/>
      <c r="BP27" s="976"/>
      <c r="BQ27" s="976"/>
      <c r="BR27" s="976" t="str">
        <f>MID(SUVAHAVUJ!AD69,4,1)</f>
        <v xml:space="preserve"> </v>
      </c>
      <c r="BS27" s="976"/>
      <c r="BT27" s="976"/>
      <c r="BU27" s="976"/>
      <c r="BV27" s="976"/>
      <c r="BW27" s="976" t="str">
        <f>MID(SUVAHAVUJ!AD69,5,1)</f>
        <v xml:space="preserve"> </v>
      </c>
      <c r="BX27" s="976"/>
      <c r="BY27" s="976"/>
      <c r="BZ27" s="976"/>
      <c r="CA27" s="976"/>
      <c r="CB27" s="976"/>
      <c r="CC27" s="976" t="str">
        <f>MID(SUVAHAVUJ!AD69,6,1)</f>
        <v xml:space="preserve"> </v>
      </c>
      <c r="CD27" s="976"/>
      <c r="CE27" s="976"/>
      <c r="CF27" s="976"/>
      <c r="CG27" s="976"/>
      <c r="CH27" s="976" t="str">
        <f>MID(SUVAHAVUJ!AD69,7,1)</f>
        <v xml:space="preserve"> </v>
      </c>
      <c r="CI27" s="976"/>
      <c r="CJ27" s="976"/>
      <c r="CK27" s="976"/>
      <c r="CL27" s="976"/>
      <c r="CM27" s="976"/>
      <c r="CN27" s="976" t="str">
        <f>MID(SUVAHAVUJ!AD69,8,1)</f>
        <v xml:space="preserve"> </v>
      </c>
      <c r="CO27" s="976"/>
      <c r="CP27" s="976"/>
      <c r="CQ27" s="976"/>
      <c r="CR27" s="976"/>
      <c r="CS27" s="976" t="str">
        <f>MID(SUVAHAVUJ!AD69,9,1)</f>
        <v xml:space="preserve"> </v>
      </c>
      <c r="CT27" s="976"/>
      <c r="CU27" s="976"/>
      <c r="CV27" s="976"/>
      <c r="CW27" s="976"/>
      <c r="CX27" s="976"/>
      <c r="CY27" s="976" t="str">
        <f>MID(SUVAHAVUJ!AD69,10,1)</f>
        <v xml:space="preserve"> </v>
      </c>
      <c r="CZ27" s="976"/>
      <c r="DA27" s="976"/>
      <c r="DB27" s="976"/>
      <c r="DC27" s="976"/>
      <c r="DD27" s="977" t="str">
        <f>MID(SUVAHAVUJ!AD69,11,1)</f>
        <v>0</v>
      </c>
      <c r="DE27" s="977"/>
      <c r="DF27" s="977"/>
      <c r="DG27" s="977"/>
      <c r="DH27" s="977"/>
      <c r="DI27" s="977"/>
      <c r="DJ27" s="648"/>
      <c r="DK27" s="649"/>
      <c r="DL27" s="976" t="str">
        <f>MID(SUVAHAVUJ!AF69,1,1)</f>
        <v xml:space="preserve"> </v>
      </c>
      <c r="DM27" s="976"/>
      <c r="DN27" s="976"/>
      <c r="DO27" s="976"/>
      <c r="DP27" s="976"/>
      <c r="DQ27" s="976"/>
      <c r="DR27" s="976" t="str">
        <f>MID(SUVAHAVUJ!AF69,2,1)</f>
        <v xml:space="preserve"> </v>
      </c>
      <c r="DS27" s="976"/>
      <c r="DT27" s="976"/>
      <c r="DU27" s="976"/>
      <c r="DV27" s="976"/>
      <c r="DW27" s="976" t="str">
        <f>MID(SUVAHAVUJ!AF69,3,1)</f>
        <v xml:space="preserve"> </v>
      </c>
      <c r="DX27" s="976"/>
      <c r="DY27" s="976"/>
      <c r="DZ27" s="976"/>
      <c r="EA27" s="976"/>
      <c r="EB27" s="976"/>
      <c r="EC27" s="976" t="str">
        <f>MID(SUVAHAVUJ!AF69,4,1)</f>
        <v xml:space="preserve"> </v>
      </c>
      <c r="ED27" s="976"/>
      <c r="EE27" s="976"/>
      <c r="EF27" s="976"/>
      <c r="EG27" s="976"/>
      <c r="EH27" s="976" t="str">
        <f>MID(SUVAHAVUJ!AF69,5,1)</f>
        <v xml:space="preserve"> </v>
      </c>
      <c r="EI27" s="976"/>
      <c r="EJ27" s="976"/>
      <c r="EK27" s="976"/>
      <c r="EL27" s="976"/>
      <c r="EM27" s="976"/>
      <c r="EN27" s="976" t="str">
        <f>MID(SUVAHAVUJ!AF69,6,1)</f>
        <v xml:space="preserve"> </v>
      </c>
      <c r="EO27" s="976"/>
      <c r="EP27" s="976"/>
      <c r="EQ27" s="976"/>
      <c r="ER27" s="976"/>
      <c r="ES27" s="976" t="str">
        <f>MID(SUVAHAVUJ!AF69,7,1)</f>
        <v xml:space="preserve"> </v>
      </c>
      <c r="ET27" s="976"/>
      <c r="EU27" s="976"/>
      <c r="EV27" s="976"/>
      <c r="EW27" s="976"/>
      <c r="EX27" s="976"/>
      <c r="EY27" s="976" t="str">
        <f>MID(SUVAHAVUJ!AF69,8,1)</f>
        <v xml:space="preserve"> </v>
      </c>
      <c r="EZ27" s="976"/>
      <c r="FA27" s="976"/>
      <c r="FB27" s="976"/>
      <c r="FC27" s="976"/>
      <c r="FD27" s="976" t="str">
        <f>MID(SUVAHAVUJ!AF69,9,1)</f>
        <v xml:space="preserve"> </v>
      </c>
      <c r="FE27" s="976"/>
      <c r="FF27" s="976"/>
      <c r="FG27" s="976"/>
      <c r="FH27" s="976"/>
      <c r="FI27" s="976"/>
      <c r="FJ27" s="976" t="str">
        <f>MID(SUVAHAVUJ!AF69,10,1)</f>
        <v xml:space="preserve"> </v>
      </c>
      <c r="FK27" s="976"/>
      <c r="FL27" s="976"/>
      <c r="FM27" s="976"/>
      <c r="FN27" s="976"/>
      <c r="FO27" s="978" t="str">
        <f>MID(SUVAHAVUJ!AF69,11,1)</f>
        <v>0</v>
      </c>
      <c r="FP27" s="978"/>
      <c r="FQ27" s="978"/>
      <c r="FR27" s="978"/>
      <c r="FS27" s="978"/>
      <c r="FT27" s="979"/>
      <c r="FU27" s="979"/>
      <c r="FV27" s="979"/>
      <c r="FW27" s="979"/>
      <c r="FX27" s="979"/>
      <c r="FY27" s="979"/>
      <c r="FZ27" s="979"/>
      <c r="GA27" s="979"/>
      <c r="GB27" s="979"/>
      <c r="GC27" s="979"/>
      <c r="GD27" s="979"/>
      <c r="GE27" s="979"/>
      <c r="GF27" s="979"/>
      <c r="GG27" s="979"/>
      <c r="GH27" s="979"/>
      <c r="GI27" s="979"/>
      <c r="GJ27" s="979"/>
      <c r="GK27" s="979"/>
      <c r="GL27" s="979"/>
      <c r="GM27" s="979"/>
      <c r="GN27" s="979"/>
      <c r="GO27" s="979"/>
      <c r="GP27" s="979"/>
      <c r="GQ27" s="979"/>
      <c r="GR27" s="979"/>
      <c r="GS27" s="979"/>
      <c r="GT27" s="979"/>
      <c r="GU27" s="979"/>
      <c r="GV27" s="979"/>
      <c r="GW27" s="979"/>
    </row>
    <row r="28" spans="2:205" ht="23.25" customHeight="1" x14ac:dyDescent="0.3">
      <c r="B28" s="989"/>
      <c r="C28" s="989"/>
      <c r="D28" s="989"/>
      <c r="E28" s="989"/>
      <c r="F28" s="989"/>
      <c r="G28" s="989"/>
      <c r="H28" s="989"/>
      <c r="I28" s="989"/>
      <c r="J28" s="989"/>
      <c r="K28" s="989"/>
      <c r="L28" s="990"/>
      <c r="M28" s="990"/>
      <c r="N28" s="990"/>
      <c r="O28" s="990"/>
      <c r="P28" s="990"/>
      <c r="Q28" s="990"/>
      <c r="R28" s="990"/>
      <c r="S28" s="990"/>
      <c r="T28" s="990"/>
      <c r="U28" s="990"/>
      <c r="V28" s="990"/>
      <c r="W28" s="990"/>
      <c r="X28" s="990"/>
      <c r="Y28" s="990"/>
      <c r="Z28" s="990"/>
      <c r="AA28" s="990"/>
      <c r="AB28" s="990"/>
      <c r="AC28" s="990"/>
      <c r="AD28" s="990"/>
      <c r="AE28" s="990"/>
      <c r="AF28" s="990"/>
      <c r="AG28" s="990"/>
      <c r="AH28" s="990"/>
      <c r="AI28" s="990"/>
      <c r="AJ28" s="990"/>
      <c r="AK28" s="990"/>
      <c r="AL28" s="990"/>
      <c r="AM28" s="990"/>
      <c r="AN28" s="990"/>
      <c r="AO28" s="990"/>
      <c r="AP28" s="990"/>
      <c r="AQ28" s="975"/>
      <c r="AR28" s="975"/>
      <c r="AS28" s="975"/>
      <c r="AT28" s="975"/>
      <c r="AU28" s="975"/>
      <c r="AV28" s="975"/>
      <c r="AW28" s="975"/>
      <c r="AX28" s="975"/>
      <c r="AY28" s="648"/>
      <c r="AZ28" s="649"/>
      <c r="BA28" s="976" t="str">
        <f>MID(SUVAHAVUJ!AE69,1,1)</f>
        <v xml:space="preserve"> </v>
      </c>
      <c r="BB28" s="976"/>
      <c r="BC28" s="976"/>
      <c r="BD28" s="976"/>
      <c r="BE28" s="976"/>
      <c r="BF28" s="976"/>
      <c r="BG28" s="976" t="str">
        <f>MID(SUVAHAVUJ!AE69,2,1)</f>
        <v xml:space="preserve"> </v>
      </c>
      <c r="BH28" s="976"/>
      <c r="BI28" s="976"/>
      <c r="BJ28" s="976"/>
      <c r="BK28" s="976"/>
      <c r="BL28" s="976" t="str">
        <f>MID(SUVAHAVUJ!AE69,3,1)</f>
        <v xml:space="preserve"> </v>
      </c>
      <c r="BM28" s="976"/>
      <c r="BN28" s="976"/>
      <c r="BO28" s="976"/>
      <c r="BP28" s="976"/>
      <c r="BQ28" s="976"/>
      <c r="BR28" s="976" t="str">
        <f>MID(SUVAHAVUJ!AE69,4,1)</f>
        <v xml:space="preserve"> </v>
      </c>
      <c r="BS28" s="976"/>
      <c r="BT28" s="976"/>
      <c r="BU28" s="976"/>
      <c r="BV28" s="976"/>
      <c r="BW28" s="976" t="str">
        <f>MID(SUVAHAVUJ!AE69,5,1)</f>
        <v xml:space="preserve"> </v>
      </c>
      <c r="BX28" s="976"/>
      <c r="BY28" s="976"/>
      <c r="BZ28" s="976"/>
      <c r="CA28" s="976"/>
      <c r="CB28" s="976"/>
      <c r="CC28" s="976" t="str">
        <f>MID(SUVAHAVUJ!AE69,6,1)</f>
        <v xml:space="preserve"> </v>
      </c>
      <c r="CD28" s="976"/>
      <c r="CE28" s="976"/>
      <c r="CF28" s="976"/>
      <c r="CG28" s="976"/>
      <c r="CH28" s="976" t="str">
        <f>MID(SUVAHAVUJ!AE69,7,1)</f>
        <v xml:space="preserve"> </v>
      </c>
      <c r="CI28" s="976"/>
      <c r="CJ28" s="976"/>
      <c r="CK28" s="976"/>
      <c r="CL28" s="976"/>
      <c r="CM28" s="976"/>
      <c r="CN28" s="976" t="str">
        <f>MID(SUVAHAVUJ!AE69,8,1)</f>
        <v xml:space="preserve"> </v>
      </c>
      <c r="CO28" s="976"/>
      <c r="CP28" s="976"/>
      <c r="CQ28" s="976"/>
      <c r="CR28" s="976"/>
      <c r="CS28" s="976" t="str">
        <f>MID(SUVAHAVUJ!AE69,9,1)</f>
        <v xml:space="preserve"> </v>
      </c>
      <c r="CT28" s="976"/>
      <c r="CU28" s="976"/>
      <c r="CV28" s="976"/>
      <c r="CW28" s="976"/>
      <c r="CX28" s="976"/>
      <c r="CY28" s="976" t="str">
        <f>MID(SUVAHAVUJ!AE69,10,1)</f>
        <v xml:space="preserve"> </v>
      </c>
      <c r="CZ28" s="976"/>
      <c r="DA28" s="976"/>
      <c r="DB28" s="976"/>
      <c r="DC28" s="976"/>
      <c r="DD28" s="977" t="str">
        <f>MID(SUVAHAVUJ!AE69,11,1)</f>
        <v>0</v>
      </c>
      <c r="DE28" s="977"/>
      <c r="DF28" s="977"/>
      <c r="DG28" s="977"/>
      <c r="DH28" s="977"/>
      <c r="DI28" s="977"/>
      <c r="DJ28" s="980"/>
      <c r="DK28" s="980"/>
      <c r="DL28" s="980"/>
      <c r="DM28" s="980"/>
      <c r="DN28" s="980"/>
      <c r="DO28" s="980"/>
      <c r="DP28" s="980"/>
      <c r="DQ28" s="980"/>
      <c r="DR28" s="980"/>
      <c r="DS28" s="980"/>
      <c r="DT28" s="980"/>
      <c r="DU28" s="980"/>
      <c r="DV28" s="980"/>
      <c r="DW28" s="980"/>
      <c r="DX28" s="980"/>
      <c r="DY28" s="980"/>
      <c r="DZ28" s="980"/>
      <c r="EA28" s="980"/>
      <c r="EB28" s="980"/>
      <c r="EC28" s="980"/>
      <c r="ED28" s="980"/>
      <c r="EE28" s="980"/>
      <c r="EF28" s="980"/>
      <c r="EG28" s="980"/>
      <c r="EH28" s="980"/>
      <c r="EI28" s="980"/>
      <c r="EJ28" s="980"/>
      <c r="EK28" s="980"/>
      <c r="EL28" s="980"/>
      <c r="EM28" s="980"/>
      <c r="EN28" s="648"/>
      <c r="EO28" s="649"/>
      <c r="EP28" s="976" t="str">
        <f>MID(SUVAHAVUJ!AG69,1,1)</f>
        <v xml:space="preserve"> </v>
      </c>
      <c r="EQ28" s="976"/>
      <c r="ER28" s="976"/>
      <c r="ES28" s="976"/>
      <c r="ET28" s="976"/>
      <c r="EU28" s="976"/>
      <c r="EV28" s="976" t="str">
        <f>MID(SUVAHAVUJ!AG69,2,1)</f>
        <v xml:space="preserve"> </v>
      </c>
      <c r="EW28" s="976"/>
      <c r="EX28" s="976"/>
      <c r="EY28" s="976"/>
      <c r="EZ28" s="976"/>
      <c r="FA28" s="976" t="str">
        <f>MID(SUVAHAVUJ!AG69,3,1)</f>
        <v xml:space="preserve"> </v>
      </c>
      <c r="FB28" s="976"/>
      <c r="FC28" s="976"/>
      <c r="FD28" s="976"/>
      <c r="FE28" s="976"/>
      <c r="FF28" s="976"/>
      <c r="FG28" s="976" t="str">
        <f>MID(SUVAHAVUJ!AG69,4,1)</f>
        <v xml:space="preserve"> </v>
      </c>
      <c r="FH28" s="976"/>
      <c r="FI28" s="976"/>
      <c r="FJ28" s="976"/>
      <c r="FK28" s="976"/>
      <c r="FL28" s="976" t="str">
        <f>MID(SUVAHAVUJ!AG69,5,1)</f>
        <v xml:space="preserve"> </v>
      </c>
      <c r="FM28" s="976"/>
      <c r="FN28" s="976"/>
      <c r="FO28" s="976"/>
      <c r="FP28" s="976"/>
      <c r="FQ28" s="976"/>
      <c r="FR28" s="976" t="str">
        <f>MID(SUVAHAVUJ!AG69,6,1)</f>
        <v xml:space="preserve"> </v>
      </c>
      <c r="FS28" s="976"/>
      <c r="FT28" s="976"/>
      <c r="FU28" s="976"/>
      <c r="FV28" s="976"/>
      <c r="FW28" s="976" t="str">
        <f>MID(SUVAHAVUJ!AG69,7,1)</f>
        <v xml:space="preserve"> </v>
      </c>
      <c r="FX28" s="976"/>
      <c r="FY28" s="976"/>
      <c r="FZ28" s="976"/>
      <c r="GA28" s="976"/>
      <c r="GB28" s="976"/>
      <c r="GC28" s="976" t="str">
        <f>MID(SUVAHAVUJ!AG69,8,1)</f>
        <v xml:space="preserve"> </v>
      </c>
      <c r="GD28" s="976"/>
      <c r="GE28" s="976"/>
      <c r="GF28" s="976"/>
      <c r="GG28" s="976"/>
      <c r="GH28" s="976" t="str">
        <f>MID(SUVAHAVUJ!AG69,9,1)</f>
        <v xml:space="preserve"> </v>
      </c>
      <c r="GI28" s="976"/>
      <c r="GJ28" s="976"/>
      <c r="GK28" s="976"/>
      <c r="GL28" s="976"/>
      <c r="GM28" s="976"/>
      <c r="GN28" s="976" t="str">
        <f>MID(SUVAHAVUJ!AG69,10,1)</f>
        <v xml:space="preserve"> </v>
      </c>
      <c r="GO28" s="976"/>
      <c r="GP28" s="976"/>
      <c r="GQ28" s="976"/>
      <c r="GR28" s="976"/>
      <c r="GS28" s="978" t="str">
        <f>MID(SUVAHAVUJ!AG69,11,1)</f>
        <v>0</v>
      </c>
      <c r="GT28" s="978"/>
      <c r="GU28" s="978"/>
      <c r="GV28" s="978"/>
      <c r="GW28" s="978"/>
    </row>
    <row r="29" spans="2:205" s="650" customFormat="1" ht="24" customHeight="1" x14ac:dyDescent="0.3">
      <c r="B29" s="985" t="s">
        <v>2166</v>
      </c>
      <c r="C29" s="985"/>
      <c r="D29" s="985"/>
      <c r="E29" s="985"/>
      <c r="F29" s="985"/>
      <c r="G29" s="985"/>
      <c r="H29" s="985"/>
      <c r="I29" s="985"/>
      <c r="J29" s="985"/>
      <c r="K29" s="985"/>
      <c r="L29" s="990" t="str">
        <f>SUVAHAVUJ!$D$70</f>
        <v>Krátkodobý finančný majetok bez krátkodobého finančného majetku v prepojených účtovných jednotkách (251A, 253A, 256A, 257A, 25XA)
- /291A, 29XA/</v>
      </c>
      <c r="M29" s="990"/>
      <c r="N29" s="990"/>
      <c r="O29" s="990"/>
      <c r="P29" s="990"/>
      <c r="Q29" s="990"/>
      <c r="R29" s="990"/>
      <c r="S29" s="990"/>
      <c r="T29" s="990"/>
      <c r="U29" s="990"/>
      <c r="V29" s="990"/>
      <c r="W29" s="990"/>
      <c r="X29" s="990"/>
      <c r="Y29" s="990"/>
      <c r="Z29" s="990"/>
      <c r="AA29" s="990"/>
      <c r="AB29" s="990"/>
      <c r="AC29" s="990"/>
      <c r="AD29" s="990"/>
      <c r="AE29" s="990"/>
      <c r="AF29" s="990"/>
      <c r="AG29" s="990"/>
      <c r="AH29" s="990"/>
      <c r="AI29" s="990"/>
      <c r="AJ29" s="990"/>
      <c r="AK29" s="990"/>
      <c r="AL29" s="990"/>
      <c r="AM29" s="990"/>
      <c r="AN29" s="990"/>
      <c r="AO29" s="990"/>
      <c r="AP29" s="990"/>
      <c r="AQ29" s="975" t="s">
        <v>2210</v>
      </c>
      <c r="AR29" s="975"/>
      <c r="AS29" s="975"/>
      <c r="AT29" s="975"/>
      <c r="AU29" s="975"/>
      <c r="AV29" s="975"/>
      <c r="AW29" s="975"/>
      <c r="AX29" s="975"/>
      <c r="AY29" s="648"/>
      <c r="AZ29" s="649"/>
      <c r="BA29" s="976" t="str">
        <f>MID(SUVAHAVUJ!AD70,1,1)</f>
        <v xml:space="preserve"> </v>
      </c>
      <c r="BB29" s="976"/>
      <c r="BC29" s="976"/>
      <c r="BD29" s="976"/>
      <c r="BE29" s="976"/>
      <c r="BF29" s="976"/>
      <c r="BG29" s="976" t="str">
        <f>MID(SUVAHAVUJ!AD70,2,1)</f>
        <v xml:space="preserve"> </v>
      </c>
      <c r="BH29" s="976"/>
      <c r="BI29" s="976"/>
      <c r="BJ29" s="976"/>
      <c r="BK29" s="976"/>
      <c r="BL29" s="976" t="str">
        <f>MID(SUVAHAVUJ!AD70,3,1)</f>
        <v xml:space="preserve"> </v>
      </c>
      <c r="BM29" s="976"/>
      <c r="BN29" s="976"/>
      <c r="BO29" s="976"/>
      <c r="BP29" s="976"/>
      <c r="BQ29" s="976"/>
      <c r="BR29" s="976" t="str">
        <f>MID(SUVAHAVUJ!AD70,4,1)</f>
        <v xml:space="preserve"> </v>
      </c>
      <c r="BS29" s="976"/>
      <c r="BT29" s="976"/>
      <c r="BU29" s="976"/>
      <c r="BV29" s="976"/>
      <c r="BW29" s="976" t="str">
        <f>MID(SUVAHAVUJ!AD70,5,1)</f>
        <v xml:space="preserve"> </v>
      </c>
      <c r="BX29" s="976"/>
      <c r="BY29" s="976"/>
      <c r="BZ29" s="976"/>
      <c r="CA29" s="976"/>
      <c r="CB29" s="976"/>
      <c r="CC29" s="976" t="str">
        <f>MID(SUVAHAVUJ!AD70,6,1)</f>
        <v xml:space="preserve"> </v>
      </c>
      <c r="CD29" s="976"/>
      <c r="CE29" s="976"/>
      <c r="CF29" s="976"/>
      <c r="CG29" s="976"/>
      <c r="CH29" s="976" t="str">
        <f>MID(SUVAHAVUJ!AD70,7,1)</f>
        <v xml:space="preserve"> </v>
      </c>
      <c r="CI29" s="976"/>
      <c r="CJ29" s="976"/>
      <c r="CK29" s="976"/>
      <c r="CL29" s="976"/>
      <c r="CM29" s="976"/>
      <c r="CN29" s="976" t="str">
        <f>MID(SUVAHAVUJ!AD70,8,1)</f>
        <v xml:space="preserve"> </v>
      </c>
      <c r="CO29" s="976"/>
      <c r="CP29" s="976"/>
      <c r="CQ29" s="976"/>
      <c r="CR29" s="976"/>
      <c r="CS29" s="976" t="str">
        <f>MID(SUVAHAVUJ!AD70,9,1)</f>
        <v xml:space="preserve"> </v>
      </c>
      <c r="CT29" s="976"/>
      <c r="CU29" s="976"/>
      <c r="CV29" s="976"/>
      <c r="CW29" s="976"/>
      <c r="CX29" s="976"/>
      <c r="CY29" s="976" t="str">
        <f>MID(SUVAHAVUJ!AD70,10,1)</f>
        <v xml:space="preserve"> </v>
      </c>
      <c r="CZ29" s="976"/>
      <c r="DA29" s="976"/>
      <c r="DB29" s="976"/>
      <c r="DC29" s="976"/>
      <c r="DD29" s="977" t="str">
        <f>MID(SUVAHAVUJ!AD70,11,1)</f>
        <v>0</v>
      </c>
      <c r="DE29" s="977"/>
      <c r="DF29" s="977"/>
      <c r="DG29" s="977"/>
      <c r="DH29" s="977"/>
      <c r="DI29" s="977"/>
      <c r="DJ29" s="648"/>
      <c r="DK29" s="649"/>
      <c r="DL29" s="976" t="str">
        <f>MID(SUVAHAVUJ!AF70,1,1)</f>
        <v xml:space="preserve"> </v>
      </c>
      <c r="DM29" s="976"/>
      <c r="DN29" s="976"/>
      <c r="DO29" s="976"/>
      <c r="DP29" s="976"/>
      <c r="DQ29" s="976"/>
      <c r="DR29" s="976" t="str">
        <f>MID(SUVAHAVUJ!AF70,2,1)</f>
        <v xml:space="preserve"> </v>
      </c>
      <c r="DS29" s="976"/>
      <c r="DT29" s="976"/>
      <c r="DU29" s="976"/>
      <c r="DV29" s="976"/>
      <c r="DW29" s="976" t="str">
        <f>MID(SUVAHAVUJ!AF70,3,1)</f>
        <v xml:space="preserve"> </v>
      </c>
      <c r="DX29" s="976"/>
      <c r="DY29" s="976"/>
      <c r="DZ29" s="976"/>
      <c r="EA29" s="976"/>
      <c r="EB29" s="976"/>
      <c r="EC29" s="976" t="str">
        <f>MID(SUVAHAVUJ!AF70,4,1)</f>
        <v xml:space="preserve"> </v>
      </c>
      <c r="ED29" s="976"/>
      <c r="EE29" s="976"/>
      <c r="EF29" s="976"/>
      <c r="EG29" s="976"/>
      <c r="EH29" s="976" t="str">
        <f>MID(SUVAHAVUJ!AF70,5,1)</f>
        <v xml:space="preserve"> </v>
      </c>
      <c r="EI29" s="976"/>
      <c r="EJ29" s="976"/>
      <c r="EK29" s="976"/>
      <c r="EL29" s="976"/>
      <c r="EM29" s="976"/>
      <c r="EN29" s="976" t="str">
        <f>MID(SUVAHAVUJ!AF70,6,1)</f>
        <v xml:space="preserve"> </v>
      </c>
      <c r="EO29" s="976"/>
      <c r="EP29" s="976"/>
      <c r="EQ29" s="976"/>
      <c r="ER29" s="976"/>
      <c r="ES29" s="976" t="str">
        <f>MID(SUVAHAVUJ!AF70,7,1)</f>
        <v xml:space="preserve"> </v>
      </c>
      <c r="ET29" s="976"/>
      <c r="EU29" s="976"/>
      <c r="EV29" s="976"/>
      <c r="EW29" s="976"/>
      <c r="EX29" s="976"/>
      <c r="EY29" s="976" t="str">
        <f>MID(SUVAHAVUJ!AF70,8,1)</f>
        <v xml:space="preserve"> </v>
      </c>
      <c r="EZ29" s="976"/>
      <c r="FA29" s="976"/>
      <c r="FB29" s="976"/>
      <c r="FC29" s="976"/>
      <c r="FD29" s="976" t="str">
        <f>MID(SUVAHAVUJ!AF70,9,1)</f>
        <v xml:space="preserve"> </v>
      </c>
      <c r="FE29" s="976"/>
      <c r="FF29" s="976"/>
      <c r="FG29" s="976"/>
      <c r="FH29" s="976"/>
      <c r="FI29" s="976"/>
      <c r="FJ29" s="976" t="str">
        <f>MID(SUVAHAVUJ!AF70,10,1)</f>
        <v xml:space="preserve"> </v>
      </c>
      <c r="FK29" s="976"/>
      <c r="FL29" s="976"/>
      <c r="FM29" s="976"/>
      <c r="FN29" s="976"/>
      <c r="FO29" s="978" t="str">
        <f>MID(SUVAHAVUJ!AF70,11,1)</f>
        <v>0</v>
      </c>
      <c r="FP29" s="978"/>
      <c r="FQ29" s="978"/>
      <c r="FR29" s="978"/>
      <c r="FS29" s="978"/>
      <c r="FT29" s="979"/>
      <c r="FU29" s="979"/>
      <c r="FV29" s="979"/>
      <c r="FW29" s="979"/>
      <c r="FX29" s="979"/>
      <c r="FY29" s="979"/>
      <c r="FZ29" s="979"/>
      <c r="GA29" s="979"/>
      <c r="GB29" s="979"/>
      <c r="GC29" s="979"/>
      <c r="GD29" s="979"/>
      <c r="GE29" s="979"/>
      <c r="GF29" s="979"/>
      <c r="GG29" s="979"/>
      <c r="GH29" s="979"/>
      <c r="GI29" s="979"/>
      <c r="GJ29" s="979"/>
      <c r="GK29" s="979"/>
      <c r="GL29" s="979"/>
      <c r="GM29" s="979"/>
      <c r="GN29" s="979"/>
      <c r="GO29" s="979"/>
      <c r="GP29" s="979"/>
      <c r="GQ29" s="979"/>
      <c r="GR29" s="979"/>
      <c r="GS29" s="979"/>
      <c r="GT29" s="979"/>
      <c r="GU29" s="979"/>
      <c r="GV29" s="979"/>
      <c r="GW29" s="979"/>
    </row>
    <row r="30" spans="2:205" ht="23.25" customHeight="1" x14ac:dyDescent="0.3">
      <c r="B30" s="985"/>
      <c r="C30" s="985"/>
      <c r="D30" s="985"/>
      <c r="E30" s="985"/>
      <c r="F30" s="985"/>
      <c r="G30" s="985"/>
      <c r="H30" s="985"/>
      <c r="I30" s="985"/>
      <c r="J30" s="985"/>
      <c r="K30" s="985"/>
      <c r="L30" s="990"/>
      <c r="M30" s="990"/>
      <c r="N30" s="990"/>
      <c r="O30" s="990"/>
      <c r="P30" s="990"/>
      <c r="Q30" s="990"/>
      <c r="R30" s="990"/>
      <c r="S30" s="990"/>
      <c r="T30" s="990"/>
      <c r="U30" s="990"/>
      <c r="V30" s="990"/>
      <c r="W30" s="990"/>
      <c r="X30" s="990"/>
      <c r="Y30" s="990"/>
      <c r="Z30" s="990"/>
      <c r="AA30" s="990"/>
      <c r="AB30" s="990"/>
      <c r="AC30" s="990"/>
      <c r="AD30" s="990"/>
      <c r="AE30" s="990"/>
      <c r="AF30" s="990"/>
      <c r="AG30" s="990"/>
      <c r="AH30" s="990"/>
      <c r="AI30" s="990"/>
      <c r="AJ30" s="990"/>
      <c r="AK30" s="990"/>
      <c r="AL30" s="990"/>
      <c r="AM30" s="990"/>
      <c r="AN30" s="990"/>
      <c r="AO30" s="990"/>
      <c r="AP30" s="990"/>
      <c r="AQ30" s="975"/>
      <c r="AR30" s="975"/>
      <c r="AS30" s="975"/>
      <c r="AT30" s="975"/>
      <c r="AU30" s="975"/>
      <c r="AV30" s="975"/>
      <c r="AW30" s="975"/>
      <c r="AX30" s="975"/>
      <c r="AY30" s="648"/>
      <c r="AZ30" s="649"/>
      <c r="BA30" s="976" t="str">
        <f>MID(SUVAHAVUJ!AE70,1,1)</f>
        <v xml:space="preserve"> </v>
      </c>
      <c r="BB30" s="976"/>
      <c r="BC30" s="976"/>
      <c r="BD30" s="976"/>
      <c r="BE30" s="976"/>
      <c r="BF30" s="976"/>
      <c r="BG30" s="976" t="str">
        <f>MID(SUVAHAVUJ!AE70,2,1)</f>
        <v xml:space="preserve"> </v>
      </c>
      <c r="BH30" s="976"/>
      <c r="BI30" s="976"/>
      <c r="BJ30" s="976"/>
      <c r="BK30" s="976"/>
      <c r="BL30" s="976" t="str">
        <f>MID(SUVAHAVUJ!AE70,3,1)</f>
        <v xml:space="preserve"> </v>
      </c>
      <c r="BM30" s="976"/>
      <c r="BN30" s="976"/>
      <c r="BO30" s="976"/>
      <c r="BP30" s="976"/>
      <c r="BQ30" s="976"/>
      <c r="BR30" s="976" t="str">
        <f>MID(SUVAHAVUJ!AE70,4,1)</f>
        <v xml:space="preserve"> </v>
      </c>
      <c r="BS30" s="976"/>
      <c r="BT30" s="976"/>
      <c r="BU30" s="976"/>
      <c r="BV30" s="976"/>
      <c r="BW30" s="976" t="str">
        <f>MID(SUVAHAVUJ!AE70,5,1)</f>
        <v xml:space="preserve"> </v>
      </c>
      <c r="BX30" s="976"/>
      <c r="BY30" s="976"/>
      <c r="BZ30" s="976"/>
      <c r="CA30" s="976"/>
      <c r="CB30" s="976"/>
      <c r="CC30" s="976" t="str">
        <f>MID(SUVAHAVUJ!AE70,6,1)</f>
        <v xml:space="preserve"> </v>
      </c>
      <c r="CD30" s="976"/>
      <c r="CE30" s="976"/>
      <c r="CF30" s="976"/>
      <c r="CG30" s="976"/>
      <c r="CH30" s="976" t="str">
        <f>MID(SUVAHAVUJ!AE70,7,1)</f>
        <v xml:space="preserve"> </v>
      </c>
      <c r="CI30" s="976"/>
      <c r="CJ30" s="976"/>
      <c r="CK30" s="976"/>
      <c r="CL30" s="976"/>
      <c r="CM30" s="976"/>
      <c r="CN30" s="976" t="str">
        <f>MID(SUVAHAVUJ!AE70,8,1)</f>
        <v xml:space="preserve"> </v>
      </c>
      <c r="CO30" s="976"/>
      <c r="CP30" s="976"/>
      <c r="CQ30" s="976"/>
      <c r="CR30" s="976"/>
      <c r="CS30" s="976" t="str">
        <f>MID(SUVAHAVUJ!AE70,9,1)</f>
        <v xml:space="preserve"> </v>
      </c>
      <c r="CT30" s="976"/>
      <c r="CU30" s="976"/>
      <c r="CV30" s="976"/>
      <c r="CW30" s="976"/>
      <c r="CX30" s="976"/>
      <c r="CY30" s="976" t="str">
        <f>MID(SUVAHAVUJ!AE70,10,1)</f>
        <v xml:space="preserve"> </v>
      </c>
      <c r="CZ30" s="976"/>
      <c r="DA30" s="976"/>
      <c r="DB30" s="976"/>
      <c r="DC30" s="976"/>
      <c r="DD30" s="977" t="str">
        <f>MID(SUVAHAVUJ!AE70,11,1)</f>
        <v>0</v>
      </c>
      <c r="DE30" s="977"/>
      <c r="DF30" s="977"/>
      <c r="DG30" s="977"/>
      <c r="DH30" s="977"/>
      <c r="DI30" s="977"/>
      <c r="DJ30" s="980"/>
      <c r="DK30" s="980"/>
      <c r="DL30" s="980"/>
      <c r="DM30" s="980"/>
      <c r="DN30" s="980"/>
      <c r="DO30" s="980"/>
      <c r="DP30" s="980"/>
      <c r="DQ30" s="980"/>
      <c r="DR30" s="980"/>
      <c r="DS30" s="980"/>
      <c r="DT30" s="980"/>
      <c r="DU30" s="980"/>
      <c r="DV30" s="980"/>
      <c r="DW30" s="980"/>
      <c r="DX30" s="980"/>
      <c r="DY30" s="980"/>
      <c r="DZ30" s="980"/>
      <c r="EA30" s="980"/>
      <c r="EB30" s="980"/>
      <c r="EC30" s="980"/>
      <c r="ED30" s="980"/>
      <c r="EE30" s="980"/>
      <c r="EF30" s="980"/>
      <c r="EG30" s="980"/>
      <c r="EH30" s="980"/>
      <c r="EI30" s="980"/>
      <c r="EJ30" s="980"/>
      <c r="EK30" s="980"/>
      <c r="EL30" s="980"/>
      <c r="EM30" s="980"/>
      <c r="EN30" s="648"/>
      <c r="EO30" s="649"/>
      <c r="EP30" s="976" t="str">
        <f>MID(SUVAHAVUJ!AG70,1,1)</f>
        <v xml:space="preserve"> </v>
      </c>
      <c r="EQ30" s="976"/>
      <c r="ER30" s="976"/>
      <c r="ES30" s="976"/>
      <c r="ET30" s="976"/>
      <c r="EU30" s="976"/>
      <c r="EV30" s="976" t="str">
        <f>MID(SUVAHAVUJ!AG70,2,1)</f>
        <v xml:space="preserve"> </v>
      </c>
      <c r="EW30" s="976"/>
      <c r="EX30" s="976"/>
      <c r="EY30" s="976"/>
      <c r="EZ30" s="976"/>
      <c r="FA30" s="976" t="str">
        <f>MID(SUVAHAVUJ!AG70,3,1)</f>
        <v xml:space="preserve"> </v>
      </c>
      <c r="FB30" s="976"/>
      <c r="FC30" s="976"/>
      <c r="FD30" s="976"/>
      <c r="FE30" s="976"/>
      <c r="FF30" s="976"/>
      <c r="FG30" s="976" t="str">
        <f>MID(SUVAHAVUJ!AG70,4,1)</f>
        <v xml:space="preserve"> </v>
      </c>
      <c r="FH30" s="976"/>
      <c r="FI30" s="976"/>
      <c r="FJ30" s="976"/>
      <c r="FK30" s="976"/>
      <c r="FL30" s="976" t="str">
        <f>MID(SUVAHAVUJ!AG70,5,1)</f>
        <v xml:space="preserve"> </v>
      </c>
      <c r="FM30" s="976"/>
      <c r="FN30" s="976"/>
      <c r="FO30" s="976"/>
      <c r="FP30" s="976"/>
      <c r="FQ30" s="976"/>
      <c r="FR30" s="976" t="str">
        <f>MID(SUVAHAVUJ!AG70,6,1)</f>
        <v xml:space="preserve"> </v>
      </c>
      <c r="FS30" s="976"/>
      <c r="FT30" s="976"/>
      <c r="FU30" s="976"/>
      <c r="FV30" s="976"/>
      <c r="FW30" s="976" t="str">
        <f>MID(SUVAHAVUJ!AG70,7,1)</f>
        <v xml:space="preserve"> </v>
      </c>
      <c r="FX30" s="976"/>
      <c r="FY30" s="976"/>
      <c r="FZ30" s="976"/>
      <c r="GA30" s="976"/>
      <c r="GB30" s="976"/>
      <c r="GC30" s="976" t="str">
        <f>MID(SUVAHAVUJ!AG70,8,1)</f>
        <v xml:space="preserve"> </v>
      </c>
      <c r="GD30" s="976"/>
      <c r="GE30" s="976"/>
      <c r="GF30" s="976"/>
      <c r="GG30" s="976"/>
      <c r="GH30" s="976" t="str">
        <f>MID(SUVAHAVUJ!AG70,9,1)</f>
        <v xml:space="preserve"> </v>
      </c>
      <c r="GI30" s="976"/>
      <c r="GJ30" s="976"/>
      <c r="GK30" s="976"/>
      <c r="GL30" s="976"/>
      <c r="GM30" s="976"/>
      <c r="GN30" s="976" t="str">
        <f>MID(SUVAHAVUJ!AG70,10,1)</f>
        <v xml:space="preserve"> </v>
      </c>
      <c r="GO30" s="976"/>
      <c r="GP30" s="976"/>
      <c r="GQ30" s="976"/>
      <c r="GR30" s="976"/>
      <c r="GS30" s="978" t="str">
        <f>MID(SUVAHAVUJ!AG70,11,1)</f>
        <v>0</v>
      </c>
      <c r="GT30" s="978"/>
      <c r="GU30" s="978"/>
      <c r="GV30" s="978"/>
      <c r="GW30" s="978"/>
    </row>
    <row r="31" spans="2:205" s="650" customFormat="1" ht="23.25" customHeight="1" x14ac:dyDescent="0.3">
      <c r="B31" s="985" t="s">
        <v>2167</v>
      </c>
      <c r="C31" s="985"/>
      <c r="D31" s="985"/>
      <c r="E31" s="985"/>
      <c r="F31" s="985"/>
      <c r="G31" s="985"/>
      <c r="H31" s="985"/>
      <c r="I31" s="985"/>
      <c r="J31" s="985"/>
      <c r="K31" s="985"/>
      <c r="L31" s="990" t="str">
        <f>SUVAHAVUJ!$D$71</f>
        <v>Vlastné akcie a vlastné obchodné podiely (252)</v>
      </c>
      <c r="M31" s="990"/>
      <c r="N31" s="990"/>
      <c r="O31" s="990"/>
      <c r="P31" s="990"/>
      <c r="Q31" s="990"/>
      <c r="R31" s="990"/>
      <c r="S31" s="990"/>
      <c r="T31" s="990"/>
      <c r="U31" s="990"/>
      <c r="V31" s="990"/>
      <c r="W31" s="990"/>
      <c r="X31" s="990"/>
      <c r="Y31" s="990"/>
      <c r="Z31" s="990"/>
      <c r="AA31" s="990"/>
      <c r="AB31" s="990"/>
      <c r="AC31" s="990"/>
      <c r="AD31" s="990"/>
      <c r="AE31" s="990"/>
      <c r="AF31" s="990"/>
      <c r="AG31" s="990"/>
      <c r="AH31" s="990"/>
      <c r="AI31" s="990"/>
      <c r="AJ31" s="990"/>
      <c r="AK31" s="990"/>
      <c r="AL31" s="990"/>
      <c r="AM31" s="990"/>
      <c r="AN31" s="990"/>
      <c r="AO31" s="990"/>
      <c r="AP31" s="990"/>
      <c r="AQ31" s="975" t="s">
        <v>2211</v>
      </c>
      <c r="AR31" s="975"/>
      <c r="AS31" s="975"/>
      <c r="AT31" s="975"/>
      <c r="AU31" s="975"/>
      <c r="AV31" s="975"/>
      <c r="AW31" s="975"/>
      <c r="AX31" s="975"/>
      <c r="AY31" s="648"/>
      <c r="AZ31" s="649"/>
      <c r="BA31" s="976" t="str">
        <f>MID(SUVAHAVUJ!AD71,1,1)</f>
        <v xml:space="preserve"> </v>
      </c>
      <c r="BB31" s="976"/>
      <c r="BC31" s="976"/>
      <c r="BD31" s="976"/>
      <c r="BE31" s="976"/>
      <c r="BF31" s="976"/>
      <c r="BG31" s="976" t="str">
        <f>MID(SUVAHAVUJ!AD71,2,1)</f>
        <v xml:space="preserve"> </v>
      </c>
      <c r="BH31" s="976"/>
      <c r="BI31" s="976"/>
      <c r="BJ31" s="976"/>
      <c r="BK31" s="976"/>
      <c r="BL31" s="976" t="str">
        <f>MID(SUVAHAVUJ!AD71,3,1)</f>
        <v xml:space="preserve"> </v>
      </c>
      <c r="BM31" s="976"/>
      <c r="BN31" s="976"/>
      <c r="BO31" s="976"/>
      <c r="BP31" s="976"/>
      <c r="BQ31" s="976"/>
      <c r="BR31" s="976" t="str">
        <f>MID(SUVAHAVUJ!AD71,4,1)</f>
        <v xml:space="preserve"> </v>
      </c>
      <c r="BS31" s="976"/>
      <c r="BT31" s="976"/>
      <c r="BU31" s="976"/>
      <c r="BV31" s="976"/>
      <c r="BW31" s="976" t="str">
        <f>MID(SUVAHAVUJ!AD71,5,1)</f>
        <v xml:space="preserve"> </v>
      </c>
      <c r="BX31" s="976"/>
      <c r="BY31" s="976"/>
      <c r="BZ31" s="976"/>
      <c r="CA31" s="976"/>
      <c r="CB31" s="976"/>
      <c r="CC31" s="976" t="str">
        <f>MID(SUVAHAVUJ!AD71,6,1)</f>
        <v xml:space="preserve"> </v>
      </c>
      <c r="CD31" s="976"/>
      <c r="CE31" s="976"/>
      <c r="CF31" s="976"/>
      <c r="CG31" s="976"/>
      <c r="CH31" s="976" t="str">
        <f>MID(SUVAHAVUJ!AD71,7,1)</f>
        <v xml:space="preserve"> </v>
      </c>
      <c r="CI31" s="976"/>
      <c r="CJ31" s="976"/>
      <c r="CK31" s="976"/>
      <c r="CL31" s="976"/>
      <c r="CM31" s="976"/>
      <c r="CN31" s="976" t="str">
        <f>MID(SUVAHAVUJ!AD71,8,1)</f>
        <v xml:space="preserve"> </v>
      </c>
      <c r="CO31" s="976"/>
      <c r="CP31" s="976"/>
      <c r="CQ31" s="976"/>
      <c r="CR31" s="976"/>
      <c r="CS31" s="976" t="str">
        <f>MID(SUVAHAVUJ!AD71,9,1)</f>
        <v xml:space="preserve"> </v>
      </c>
      <c r="CT31" s="976"/>
      <c r="CU31" s="976"/>
      <c r="CV31" s="976"/>
      <c r="CW31" s="976"/>
      <c r="CX31" s="976"/>
      <c r="CY31" s="976" t="str">
        <f>MID(SUVAHAVUJ!AD71,10,1)</f>
        <v xml:space="preserve"> </v>
      </c>
      <c r="CZ31" s="976"/>
      <c r="DA31" s="976"/>
      <c r="DB31" s="976"/>
      <c r="DC31" s="976"/>
      <c r="DD31" s="977" t="str">
        <f>MID(SUVAHAVUJ!AD71,11,1)</f>
        <v>0</v>
      </c>
      <c r="DE31" s="977"/>
      <c r="DF31" s="977"/>
      <c r="DG31" s="977"/>
      <c r="DH31" s="977"/>
      <c r="DI31" s="977"/>
      <c r="DJ31" s="648"/>
      <c r="DK31" s="649"/>
      <c r="DL31" s="976" t="str">
        <f>MID(SUVAHAVUJ!AF71,1,1)</f>
        <v xml:space="preserve"> </v>
      </c>
      <c r="DM31" s="976"/>
      <c r="DN31" s="976"/>
      <c r="DO31" s="976"/>
      <c r="DP31" s="976"/>
      <c r="DQ31" s="976"/>
      <c r="DR31" s="976" t="str">
        <f>MID(SUVAHAVUJ!AF71,2,1)</f>
        <v xml:space="preserve"> </v>
      </c>
      <c r="DS31" s="976"/>
      <c r="DT31" s="976"/>
      <c r="DU31" s="976"/>
      <c r="DV31" s="976"/>
      <c r="DW31" s="976" t="str">
        <f>MID(SUVAHAVUJ!AF71,3,1)</f>
        <v xml:space="preserve"> </v>
      </c>
      <c r="DX31" s="976"/>
      <c r="DY31" s="976"/>
      <c r="DZ31" s="976"/>
      <c r="EA31" s="976"/>
      <c r="EB31" s="976"/>
      <c r="EC31" s="976" t="str">
        <f>MID(SUVAHAVUJ!AF71,4,1)</f>
        <v xml:space="preserve"> </v>
      </c>
      <c r="ED31" s="976"/>
      <c r="EE31" s="976"/>
      <c r="EF31" s="976"/>
      <c r="EG31" s="976"/>
      <c r="EH31" s="976" t="str">
        <f>MID(SUVAHAVUJ!AF71,5,1)</f>
        <v xml:space="preserve"> </v>
      </c>
      <c r="EI31" s="976"/>
      <c r="EJ31" s="976"/>
      <c r="EK31" s="976"/>
      <c r="EL31" s="976"/>
      <c r="EM31" s="976"/>
      <c r="EN31" s="976" t="str">
        <f>MID(SUVAHAVUJ!AF71,6,1)</f>
        <v xml:space="preserve"> </v>
      </c>
      <c r="EO31" s="976"/>
      <c r="EP31" s="976"/>
      <c r="EQ31" s="976"/>
      <c r="ER31" s="976"/>
      <c r="ES31" s="976" t="str">
        <f>MID(SUVAHAVUJ!AF71,7,1)</f>
        <v xml:space="preserve"> </v>
      </c>
      <c r="ET31" s="976"/>
      <c r="EU31" s="976"/>
      <c r="EV31" s="976"/>
      <c r="EW31" s="976"/>
      <c r="EX31" s="976"/>
      <c r="EY31" s="976" t="str">
        <f>MID(SUVAHAVUJ!AF71,8,1)</f>
        <v xml:space="preserve"> </v>
      </c>
      <c r="EZ31" s="976"/>
      <c r="FA31" s="976"/>
      <c r="FB31" s="976"/>
      <c r="FC31" s="976"/>
      <c r="FD31" s="976" t="str">
        <f>MID(SUVAHAVUJ!AF71,9,1)</f>
        <v xml:space="preserve"> </v>
      </c>
      <c r="FE31" s="976"/>
      <c r="FF31" s="976"/>
      <c r="FG31" s="976"/>
      <c r="FH31" s="976"/>
      <c r="FI31" s="976"/>
      <c r="FJ31" s="976" t="str">
        <f>MID(SUVAHAVUJ!AF71,10,1)</f>
        <v xml:space="preserve"> </v>
      </c>
      <c r="FK31" s="976"/>
      <c r="FL31" s="976"/>
      <c r="FM31" s="976"/>
      <c r="FN31" s="976"/>
      <c r="FO31" s="978" t="str">
        <f>MID(SUVAHAVUJ!AF71,11,1)</f>
        <v>0</v>
      </c>
      <c r="FP31" s="978"/>
      <c r="FQ31" s="978"/>
      <c r="FR31" s="978"/>
      <c r="FS31" s="978"/>
      <c r="FT31" s="979"/>
      <c r="FU31" s="979"/>
      <c r="FV31" s="979"/>
      <c r="FW31" s="979"/>
      <c r="FX31" s="979"/>
      <c r="FY31" s="979"/>
      <c r="FZ31" s="979"/>
      <c r="GA31" s="979"/>
      <c r="GB31" s="979"/>
      <c r="GC31" s="979"/>
      <c r="GD31" s="979"/>
      <c r="GE31" s="979"/>
      <c r="GF31" s="979"/>
      <c r="GG31" s="979"/>
      <c r="GH31" s="979"/>
      <c r="GI31" s="979"/>
      <c r="GJ31" s="979"/>
      <c r="GK31" s="979"/>
      <c r="GL31" s="979"/>
      <c r="GM31" s="979"/>
      <c r="GN31" s="979"/>
      <c r="GO31" s="979"/>
      <c r="GP31" s="979"/>
      <c r="GQ31" s="979"/>
      <c r="GR31" s="979"/>
      <c r="GS31" s="979"/>
      <c r="GT31" s="979"/>
      <c r="GU31" s="979"/>
      <c r="GV31" s="979"/>
      <c r="GW31" s="979"/>
    </row>
    <row r="32" spans="2:205" ht="23.25" customHeight="1" x14ac:dyDescent="0.3">
      <c r="B32" s="985"/>
      <c r="C32" s="985"/>
      <c r="D32" s="985"/>
      <c r="E32" s="985"/>
      <c r="F32" s="985"/>
      <c r="G32" s="985"/>
      <c r="H32" s="985"/>
      <c r="I32" s="985"/>
      <c r="J32" s="985"/>
      <c r="K32" s="985"/>
      <c r="L32" s="990"/>
      <c r="M32" s="990"/>
      <c r="N32" s="990"/>
      <c r="O32" s="990"/>
      <c r="P32" s="990"/>
      <c r="Q32" s="990"/>
      <c r="R32" s="990"/>
      <c r="S32" s="990"/>
      <c r="T32" s="990"/>
      <c r="U32" s="990"/>
      <c r="V32" s="990"/>
      <c r="W32" s="990"/>
      <c r="X32" s="990"/>
      <c r="Y32" s="990"/>
      <c r="Z32" s="990"/>
      <c r="AA32" s="990"/>
      <c r="AB32" s="990"/>
      <c r="AC32" s="990"/>
      <c r="AD32" s="990"/>
      <c r="AE32" s="990"/>
      <c r="AF32" s="990"/>
      <c r="AG32" s="990"/>
      <c r="AH32" s="990"/>
      <c r="AI32" s="990"/>
      <c r="AJ32" s="990"/>
      <c r="AK32" s="990"/>
      <c r="AL32" s="990"/>
      <c r="AM32" s="990"/>
      <c r="AN32" s="990"/>
      <c r="AO32" s="990"/>
      <c r="AP32" s="990"/>
      <c r="AQ32" s="975"/>
      <c r="AR32" s="975"/>
      <c r="AS32" s="975"/>
      <c r="AT32" s="975"/>
      <c r="AU32" s="975"/>
      <c r="AV32" s="975"/>
      <c r="AW32" s="975"/>
      <c r="AX32" s="975"/>
      <c r="AY32" s="648"/>
      <c r="AZ32" s="649"/>
      <c r="BA32" s="976" t="str">
        <f>MID(SUVAHAVUJ!AE71,1,1)</f>
        <v xml:space="preserve"> </v>
      </c>
      <c r="BB32" s="976"/>
      <c r="BC32" s="976"/>
      <c r="BD32" s="976"/>
      <c r="BE32" s="976"/>
      <c r="BF32" s="976"/>
      <c r="BG32" s="976" t="str">
        <f>MID(SUVAHAVUJ!AE71,2,1)</f>
        <v xml:space="preserve"> </v>
      </c>
      <c r="BH32" s="976"/>
      <c r="BI32" s="976"/>
      <c r="BJ32" s="976"/>
      <c r="BK32" s="976"/>
      <c r="BL32" s="976" t="str">
        <f>MID(SUVAHAVUJ!AE71,3,1)</f>
        <v xml:space="preserve"> </v>
      </c>
      <c r="BM32" s="976"/>
      <c r="BN32" s="976"/>
      <c r="BO32" s="976"/>
      <c r="BP32" s="976"/>
      <c r="BQ32" s="976"/>
      <c r="BR32" s="976" t="str">
        <f>MID(SUVAHAVUJ!AE71,4,1)</f>
        <v xml:space="preserve"> </v>
      </c>
      <c r="BS32" s="976"/>
      <c r="BT32" s="976"/>
      <c r="BU32" s="976"/>
      <c r="BV32" s="976"/>
      <c r="BW32" s="976" t="str">
        <f>MID(SUVAHAVUJ!AE71,5,1)</f>
        <v xml:space="preserve"> </v>
      </c>
      <c r="BX32" s="976"/>
      <c r="BY32" s="976"/>
      <c r="BZ32" s="976"/>
      <c r="CA32" s="976"/>
      <c r="CB32" s="976"/>
      <c r="CC32" s="976" t="str">
        <f>MID(SUVAHAVUJ!AE71,6,1)</f>
        <v xml:space="preserve"> </v>
      </c>
      <c r="CD32" s="976"/>
      <c r="CE32" s="976"/>
      <c r="CF32" s="976"/>
      <c r="CG32" s="976"/>
      <c r="CH32" s="976" t="str">
        <f>MID(SUVAHAVUJ!AE71,7,1)</f>
        <v xml:space="preserve"> </v>
      </c>
      <c r="CI32" s="976"/>
      <c r="CJ32" s="976"/>
      <c r="CK32" s="976"/>
      <c r="CL32" s="976"/>
      <c r="CM32" s="976"/>
      <c r="CN32" s="976" t="str">
        <f>MID(SUVAHAVUJ!AE71,8,1)</f>
        <v xml:space="preserve"> </v>
      </c>
      <c r="CO32" s="976"/>
      <c r="CP32" s="976"/>
      <c r="CQ32" s="976"/>
      <c r="CR32" s="976"/>
      <c r="CS32" s="976" t="str">
        <f>MID(SUVAHAVUJ!AE71,9,1)</f>
        <v xml:space="preserve"> </v>
      </c>
      <c r="CT32" s="976"/>
      <c r="CU32" s="976"/>
      <c r="CV32" s="976"/>
      <c r="CW32" s="976"/>
      <c r="CX32" s="976"/>
      <c r="CY32" s="976" t="str">
        <f>MID(SUVAHAVUJ!AE71,10,1)</f>
        <v xml:space="preserve"> </v>
      </c>
      <c r="CZ32" s="976"/>
      <c r="DA32" s="976"/>
      <c r="DB32" s="976"/>
      <c r="DC32" s="976"/>
      <c r="DD32" s="977" t="str">
        <f>MID(SUVAHAVUJ!AE71,11,1)</f>
        <v>0</v>
      </c>
      <c r="DE32" s="977"/>
      <c r="DF32" s="977"/>
      <c r="DG32" s="977"/>
      <c r="DH32" s="977"/>
      <c r="DI32" s="977"/>
      <c r="DJ32" s="980"/>
      <c r="DK32" s="980"/>
      <c r="DL32" s="980"/>
      <c r="DM32" s="980"/>
      <c r="DN32" s="980"/>
      <c r="DO32" s="980"/>
      <c r="DP32" s="980"/>
      <c r="DQ32" s="980"/>
      <c r="DR32" s="980"/>
      <c r="DS32" s="980"/>
      <c r="DT32" s="980"/>
      <c r="DU32" s="980"/>
      <c r="DV32" s="980"/>
      <c r="DW32" s="980"/>
      <c r="DX32" s="980"/>
      <c r="DY32" s="980"/>
      <c r="DZ32" s="980"/>
      <c r="EA32" s="980"/>
      <c r="EB32" s="980"/>
      <c r="EC32" s="980"/>
      <c r="ED32" s="980"/>
      <c r="EE32" s="980"/>
      <c r="EF32" s="980"/>
      <c r="EG32" s="980"/>
      <c r="EH32" s="980"/>
      <c r="EI32" s="980"/>
      <c r="EJ32" s="980"/>
      <c r="EK32" s="980"/>
      <c r="EL32" s="980"/>
      <c r="EM32" s="980"/>
      <c r="EN32" s="648"/>
      <c r="EO32" s="649"/>
      <c r="EP32" s="976" t="str">
        <f>MID(SUVAHAVUJ!AG71,1,1)</f>
        <v xml:space="preserve"> </v>
      </c>
      <c r="EQ32" s="976"/>
      <c r="ER32" s="976"/>
      <c r="ES32" s="976"/>
      <c r="ET32" s="976"/>
      <c r="EU32" s="976"/>
      <c r="EV32" s="976" t="str">
        <f>MID(SUVAHAVUJ!AG71,2,1)</f>
        <v xml:space="preserve"> </v>
      </c>
      <c r="EW32" s="976"/>
      <c r="EX32" s="976"/>
      <c r="EY32" s="976"/>
      <c r="EZ32" s="976"/>
      <c r="FA32" s="976" t="str">
        <f>MID(SUVAHAVUJ!AG71,3,1)</f>
        <v xml:space="preserve"> </v>
      </c>
      <c r="FB32" s="976"/>
      <c r="FC32" s="976"/>
      <c r="FD32" s="976"/>
      <c r="FE32" s="976"/>
      <c r="FF32" s="976"/>
      <c r="FG32" s="976" t="str">
        <f>MID(SUVAHAVUJ!AG71,4,1)</f>
        <v xml:space="preserve"> </v>
      </c>
      <c r="FH32" s="976"/>
      <c r="FI32" s="976"/>
      <c r="FJ32" s="976"/>
      <c r="FK32" s="976"/>
      <c r="FL32" s="976" t="str">
        <f>MID(SUVAHAVUJ!AG71,5,1)</f>
        <v xml:space="preserve"> </v>
      </c>
      <c r="FM32" s="976"/>
      <c r="FN32" s="976"/>
      <c r="FO32" s="976"/>
      <c r="FP32" s="976"/>
      <c r="FQ32" s="976"/>
      <c r="FR32" s="976" t="str">
        <f>MID(SUVAHAVUJ!AG71,6,1)</f>
        <v xml:space="preserve"> </v>
      </c>
      <c r="FS32" s="976"/>
      <c r="FT32" s="976"/>
      <c r="FU32" s="976"/>
      <c r="FV32" s="976"/>
      <c r="FW32" s="976" t="str">
        <f>MID(SUVAHAVUJ!AG71,7,1)</f>
        <v xml:space="preserve"> </v>
      </c>
      <c r="FX32" s="976"/>
      <c r="FY32" s="976"/>
      <c r="FZ32" s="976"/>
      <c r="GA32" s="976"/>
      <c r="GB32" s="976"/>
      <c r="GC32" s="976" t="str">
        <f>MID(SUVAHAVUJ!AG71,8,1)</f>
        <v xml:space="preserve"> </v>
      </c>
      <c r="GD32" s="976"/>
      <c r="GE32" s="976"/>
      <c r="GF32" s="976"/>
      <c r="GG32" s="976"/>
      <c r="GH32" s="976" t="str">
        <f>MID(SUVAHAVUJ!AG71,9,1)</f>
        <v xml:space="preserve"> </v>
      </c>
      <c r="GI32" s="976"/>
      <c r="GJ32" s="976"/>
      <c r="GK32" s="976"/>
      <c r="GL32" s="976"/>
      <c r="GM32" s="976"/>
      <c r="GN32" s="976" t="str">
        <f>MID(SUVAHAVUJ!AG71,10,1)</f>
        <v xml:space="preserve"> </v>
      </c>
      <c r="GO32" s="976"/>
      <c r="GP32" s="976"/>
      <c r="GQ32" s="976"/>
      <c r="GR32" s="976"/>
      <c r="GS32" s="978" t="str">
        <f>MID(SUVAHAVUJ!AG71,11,1)</f>
        <v>0</v>
      </c>
      <c r="GT32" s="978"/>
      <c r="GU32" s="978"/>
      <c r="GV32" s="978"/>
      <c r="GW32" s="978"/>
    </row>
    <row r="33" spans="1:205" s="650" customFormat="1" ht="23.25" customHeight="1" x14ac:dyDescent="0.3">
      <c r="B33" s="985" t="s">
        <v>2168</v>
      </c>
      <c r="C33" s="985"/>
      <c r="D33" s="985"/>
      <c r="E33" s="985"/>
      <c r="F33" s="985"/>
      <c r="G33" s="985"/>
      <c r="H33" s="985"/>
      <c r="I33" s="985"/>
      <c r="J33" s="985"/>
      <c r="K33" s="985"/>
      <c r="L33" s="990" t="str">
        <f>SUVAHAVUJ!$D$72</f>
        <v>Obstarávaný krátkodobý finančný majetok 
(259, 314A) - /291A/</v>
      </c>
      <c r="M33" s="990"/>
      <c r="N33" s="990"/>
      <c r="O33" s="990"/>
      <c r="P33" s="990"/>
      <c r="Q33" s="990"/>
      <c r="R33" s="990"/>
      <c r="S33" s="990"/>
      <c r="T33" s="990"/>
      <c r="U33" s="990"/>
      <c r="V33" s="990"/>
      <c r="W33" s="990"/>
      <c r="X33" s="990"/>
      <c r="Y33" s="990"/>
      <c r="Z33" s="990"/>
      <c r="AA33" s="990"/>
      <c r="AB33" s="990"/>
      <c r="AC33" s="990"/>
      <c r="AD33" s="990"/>
      <c r="AE33" s="990"/>
      <c r="AF33" s="990"/>
      <c r="AG33" s="990"/>
      <c r="AH33" s="990"/>
      <c r="AI33" s="990"/>
      <c r="AJ33" s="990"/>
      <c r="AK33" s="990"/>
      <c r="AL33" s="990"/>
      <c r="AM33" s="990"/>
      <c r="AN33" s="990"/>
      <c r="AO33" s="990"/>
      <c r="AP33" s="990"/>
      <c r="AQ33" s="975" t="s">
        <v>1257</v>
      </c>
      <c r="AR33" s="975"/>
      <c r="AS33" s="975"/>
      <c r="AT33" s="975"/>
      <c r="AU33" s="975"/>
      <c r="AV33" s="975"/>
      <c r="AW33" s="975"/>
      <c r="AX33" s="975"/>
      <c r="AY33" s="648"/>
      <c r="AZ33" s="649"/>
      <c r="BA33" s="976" t="str">
        <f>MID(SUVAHAVUJ!AD72,1,1)</f>
        <v xml:space="preserve"> </v>
      </c>
      <c r="BB33" s="976"/>
      <c r="BC33" s="976"/>
      <c r="BD33" s="976"/>
      <c r="BE33" s="976"/>
      <c r="BF33" s="976"/>
      <c r="BG33" s="976" t="str">
        <f>MID(SUVAHAVUJ!AD72,2,1)</f>
        <v xml:space="preserve"> </v>
      </c>
      <c r="BH33" s="976"/>
      <c r="BI33" s="976"/>
      <c r="BJ33" s="976"/>
      <c r="BK33" s="976"/>
      <c r="BL33" s="976" t="str">
        <f>MID(SUVAHAVUJ!AD72,3,1)</f>
        <v xml:space="preserve"> </v>
      </c>
      <c r="BM33" s="976"/>
      <c r="BN33" s="976"/>
      <c r="BO33" s="976"/>
      <c r="BP33" s="976"/>
      <c r="BQ33" s="976"/>
      <c r="BR33" s="976" t="str">
        <f>MID(SUVAHAVUJ!AD72,4,1)</f>
        <v xml:space="preserve"> </v>
      </c>
      <c r="BS33" s="976"/>
      <c r="BT33" s="976"/>
      <c r="BU33" s="976"/>
      <c r="BV33" s="976"/>
      <c r="BW33" s="976" t="str">
        <f>MID(SUVAHAVUJ!AD72,5,1)</f>
        <v xml:space="preserve"> </v>
      </c>
      <c r="BX33" s="976"/>
      <c r="BY33" s="976"/>
      <c r="BZ33" s="976"/>
      <c r="CA33" s="976"/>
      <c r="CB33" s="976"/>
      <c r="CC33" s="976" t="str">
        <f>MID(SUVAHAVUJ!AD72,6,1)</f>
        <v xml:space="preserve"> </v>
      </c>
      <c r="CD33" s="976"/>
      <c r="CE33" s="976"/>
      <c r="CF33" s="976"/>
      <c r="CG33" s="976"/>
      <c r="CH33" s="976" t="str">
        <f>MID(SUVAHAVUJ!AD72,7,1)</f>
        <v xml:space="preserve"> </v>
      </c>
      <c r="CI33" s="976"/>
      <c r="CJ33" s="976"/>
      <c r="CK33" s="976"/>
      <c r="CL33" s="976"/>
      <c r="CM33" s="976"/>
      <c r="CN33" s="976" t="str">
        <f>MID(SUVAHAVUJ!AD72,8,1)</f>
        <v xml:space="preserve"> </v>
      </c>
      <c r="CO33" s="976"/>
      <c r="CP33" s="976"/>
      <c r="CQ33" s="976"/>
      <c r="CR33" s="976"/>
      <c r="CS33" s="976" t="str">
        <f>MID(SUVAHAVUJ!AD72,9,1)</f>
        <v xml:space="preserve"> </v>
      </c>
      <c r="CT33" s="976"/>
      <c r="CU33" s="976"/>
      <c r="CV33" s="976"/>
      <c r="CW33" s="976"/>
      <c r="CX33" s="976"/>
      <c r="CY33" s="976" t="str">
        <f>MID(SUVAHAVUJ!AD72,10,1)</f>
        <v xml:space="preserve"> </v>
      </c>
      <c r="CZ33" s="976"/>
      <c r="DA33" s="976"/>
      <c r="DB33" s="976"/>
      <c r="DC33" s="976"/>
      <c r="DD33" s="977" t="str">
        <f>MID(SUVAHAVUJ!AD72,11,1)</f>
        <v>0</v>
      </c>
      <c r="DE33" s="977"/>
      <c r="DF33" s="977"/>
      <c r="DG33" s="977"/>
      <c r="DH33" s="977"/>
      <c r="DI33" s="977"/>
      <c r="DJ33" s="648"/>
      <c r="DK33" s="649"/>
      <c r="DL33" s="976" t="str">
        <f>MID(SUVAHAVUJ!AF72,1,1)</f>
        <v xml:space="preserve"> </v>
      </c>
      <c r="DM33" s="976"/>
      <c r="DN33" s="976"/>
      <c r="DO33" s="976"/>
      <c r="DP33" s="976"/>
      <c r="DQ33" s="976"/>
      <c r="DR33" s="976" t="str">
        <f>MID(SUVAHAVUJ!AF72,2,1)</f>
        <v xml:space="preserve"> </v>
      </c>
      <c r="DS33" s="976"/>
      <c r="DT33" s="976"/>
      <c r="DU33" s="976"/>
      <c r="DV33" s="976"/>
      <c r="DW33" s="976" t="str">
        <f>MID(SUVAHAVUJ!AF72,3,1)</f>
        <v xml:space="preserve"> </v>
      </c>
      <c r="DX33" s="976"/>
      <c r="DY33" s="976"/>
      <c r="DZ33" s="976"/>
      <c r="EA33" s="976"/>
      <c r="EB33" s="976"/>
      <c r="EC33" s="976" t="str">
        <f>MID(SUVAHAVUJ!AF72,4,1)</f>
        <v xml:space="preserve"> </v>
      </c>
      <c r="ED33" s="976"/>
      <c r="EE33" s="976"/>
      <c r="EF33" s="976"/>
      <c r="EG33" s="976"/>
      <c r="EH33" s="976" t="str">
        <f>MID(SUVAHAVUJ!AF72,5,1)</f>
        <v xml:space="preserve"> </v>
      </c>
      <c r="EI33" s="976"/>
      <c r="EJ33" s="976"/>
      <c r="EK33" s="976"/>
      <c r="EL33" s="976"/>
      <c r="EM33" s="976"/>
      <c r="EN33" s="976" t="str">
        <f>MID(SUVAHAVUJ!AF72,6,1)</f>
        <v xml:space="preserve"> </v>
      </c>
      <c r="EO33" s="976"/>
      <c r="EP33" s="976"/>
      <c r="EQ33" s="976"/>
      <c r="ER33" s="976"/>
      <c r="ES33" s="976" t="str">
        <f>MID(SUVAHAVUJ!AF72,7,1)</f>
        <v xml:space="preserve"> </v>
      </c>
      <c r="ET33" s="976"/>
      <c r="EU33" s="976"/>
      <c r="EV33" s="976"/>
      <c r="EW33" s="976"/>
      <c r="EX33" s="976"/>
      <c r="EY33" s="976" t="str">
        <f>MID(SUVAHAVUJ!AF72,8,1)</f>
        <v xml:space="preserve"> </v>
      </c>
      <c r="EZ33" s="976"/>
      <c r="FA33" s="976"/>
      <c r="FB33" s="976"/>
      <c r="FC33" s="976"/>
      <c r="FD33" s="976" t="str">
        <f>MID(SUVAHAVUJ!AF72,9,1)</f>
        <v xml:space="preserve"> </v>
      </c>
      <c r="FE33" s="976"/>
      <c r="FF33" s="976"/>
      <c r="FG33" s="976"/>
      <c r="FH33" s="976"/>
      <c r="FI33" s="976"/>
      <c r="FJ33" s="976" t="str">
        <f>MID(SUVAHAVUJ!AF72,10,1)</f>
        <v xml:space="preserve"> </v>
      </c>
      <c r="FK33" s="976"/>
      <c r="FL33" s="976"/>
      <c r="FM33" s="976"/>
      <c r="FN33" s="976"/>
      <c r="FO33" s="978" t="str">
        <f>MID(SUVAHAVUJ!AF72,11,1)</f>
        <v>0</v>
      </c>
      <c r="FP33" s="978"/>
      <c r="FQ33" s="978"/>
      <c r="FR33" s="978"/>
      <c r="FS33" s="978"/>
      <c r="FT33" s="979"/>
      <c r="FU33" s="979"/>
      <c r="FV33" s="979"/>
      <c r="FW33" s="979"/>
      <c r="FX33" s="979"/>
      <c r="FY33" s="979"/>
      <c r="FZ33" s="979"/>
      <c r="GA33" s="979"/>
      <c r="GB33" s="979"/>
      <c r="GC33" s="979"/>
      <c r="GD33" s="979"/>
      <c r="GE33" s="979"/>
      <c r="GF33" s="979"/>
      <c r="GG33" s="979"/>
      <c r="GH33" s="979"/>
      <c r="GI33" s="979"/>
      <c r="GJ33" s="979"/>
      <c r="GK33" s="979"/>
      <c r="GL33" s="979"/>
      <c r="GM33" s="979"/>
      <c r="GN33" s="979"/>
      <c r="GO33" s="979"/>
      <c r="GP33" s="979"/>
      <c r="GQ33" s="979"/>
      <c r="GR33" s="979"/>
      <c r="GS33" s="979"/>
      <c r="GT33" s="979"/>
      <c r="GU33" s="979"/>
      <c r="GV33" s="979"/>
      <c r="GW33" s="979"/>
    </row>
    <row r="34" spans="1:205" ht="23.25" customHeight="1" x14ac:dyDescent="0.3">
      <c r="B34" s="985"/>
      <c r="C34" s="985"/>
      <c r="D34" s="985"/>
      <c r="E34" s="985"/>
      <c r="F34" s="985"/>
      <c r="G34" s="985"/>
      <c r="H34" s="985"/>
      <c r="I34" s="985"/>
      <c r="J34" s="985"/>
      <c r="K34" s="985"/>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75"/>
      <c r="AR34" s="975"/>
      <c r="AS34" s="975"/>
      <c r="AT34" s="975"/>
      <c r="AU34" s="975"/>
      <c r="AV34" s="975"/>
      <c r="AW34" s="975"/>
      <c r="AX34" s="975"/>
      <c r="AY34" s="648"/>
      <c r="AZ34" s="649"/>
      <c r="BA34" s="976" t="str">
        <f>MID(SUVAHAVUJ!AE72,1,1)</f>
        <v xml:space="preserve"> </v>
      </c>
      <c r="BB34" s="976"/>
      <c r="BC34" s="976"/>
      <c r="BD34" s="976"/>
      <c r="BE34" s="976"/>
      <c r="BF34" s="976"/>
      <c r="BG34" s="976" t="str">
        <f>MID(SUVAHAVUJ!AE72,2,1)</f>
        <v xml:space="preserve"> </v>
      </c>
      <c r="BH34" s="976"/>
      <c r="BI34" s="976"/>
      <c r="BJ34" s="976"/>
      <c r="BK34" s="976"/>
      <c r="BL34" s="976" t="str">
        <f>MID(SUVAHAVUJ!AE72,3,1)</f>
        <v xml:space="preserve"> </v>
      </c>
      <c r="BM34" s="976"/>
      <c r="BN34" s="976"/>
      <c r="BO34" s="976"/>
      <c r="BP34" s="976"/>
      <c r="BQ34" s="976"/>
      <c r="BR34" s="976" t="str">
        <f>MID(SUVAHAVUJ!AE72,4,1)</f>
        <v xml:space="preserve"> </v>
      </c>
      <c r="BS34" s="976"/>
      <c r="BT34" s="976"/>
      <c r="BU34" s="976"/>
      <c r="BV34" s="976"/>
      <c r="BW34" s="976" t="str">
        <f>MID(SUVAHAVUJ!AE72,5,1)</f>
        <v xml:space="preserve"> </v>
      </c>
      <c r="BX34" s="976"/>
      <c r="BY34" s="976"/>
      <c r="BZ34" s="976"/>
      <c r="CA34" s="976"/>
      <c r="CB34" s="976"/>
      <c r="CC34" s="976" t="str">
        <f>MID(SUVAHAVUJ!AE72,6,1)</f>
        <v xml:space="preserve"> </v>
      </c>
      <c r="CD34" s="976"/>
      <c r="CE34" s="976"/>
      <c r="CF34" s="976"/>
      <c r="CG34" s="976"/>
      <c r="CH34" s="976" t="str">
        <f>MID(SUVAHAVUJ!AE72,7,1)</f>
        <v xml:space="preserve"> </v>
      </c>
      <c r="CI34" s="976"/>
      <c r="CJ34" s="976"/>
      <c r="CK34" s="976"/>
      <c r="CL34" s="976"/>
      <c r="CM34" s="976"/>
      <c r="CN34" s="976" t="str">
        <f>MID(SUVAHAVUJ!AE72,8,1)</f>
        <v xml:space="preserve"> </v>
      </c>
      <c r="CO34" s="976"/>
      <c r="CP34" s="976"/>
      <c r="CQ34" s="976"/>
      <c r="CR34" s="976"/>
      <c r="CS34" s="976" t="str">
        <f>MID(SUVAHAVUJ!AE72,9,1)</f>
        <v xml:space="preserve"> </v>
      </c>
      <c r="CT34" s="976"/>
      <c r="CU34" s="976"/>
      <c r="CV34" s="976"/>
      <c r="CW34" s="976"/>
      <c r="CX34" s="976"/>
      <c r="CY34" s="976" t="str">
        <f>MID(SUVAHAVUJ!AE72,10,1)</f>
        <v xml:space="preserve"> </v>
      </c>
      <c r="CZ34" s="976"/>
      <c r="DA34" s="976"/>
      <c r="DB34" s="976"/>
      <c r="DC34" s="976"/>
      <c r="DD34" s="977" t="str">
        <f>MID(SUVAHAVUJ!AE72,11,1)</f>
        <v>0</v>
      </c>
      <c r="DE34" s="977"/>
      <c r="DF34" s="977"/>
      <c r="DG34" s="977"/>
      <c r="DH34" s="977"/>
      <c r="DI34" s="977"/>
      <c r="DJ34" s="980"/>
      <c r="DK34" s="980"/>
      <c r="DL34" s="980"/>
      <c r="DM34" s="980"/>
      <c r="DN34" s="980"/>
      <c r="DO34" s="980"/>
      <c r="DP34" s="980"/>
      <c r="DQ34" s="980"/>
      <c r="DR34" s="980"/>
      <c r="DS34" s="980"/>
      <c r="DT34" s="980"/>
      <c r="DU34" s="980"/>
      <c r="DV34" s="980"/>
      <c r="DW34" s="980"/>
      <c r="DX34" s="980"/>
      <c r="DY34" s="980"/>
      <c r="DZ34" s="980"/>
      <c r="EA34" s="980"/>
      <c r="EB34" s="980"/>
      <c r="EC34" s="980"/>
      <c r="ED34" s="980"/>
      <c r="EE34" s="980"/>
      <c r="EF34" s="980"/>
      <c r="EG34" s="980"/>
      <c r="EH34" s="980"/>
      <c r="EI34" s="980"/>
      <c r="EJ34" s="980"/>
      <c r="EK34" s="980"/>
      <c r="EL34" s="980"/>
      <c r="EM34" s="980"/>
      <c r="EN34" s="648"/>
      <c r="EO34" s="649"/>
      <c r="EP34" s="976" t="str">
        <f>MID(SUVAHAVUJ!AG72,1,1)</f>
        <v xml:space="preserve"> </v>
      </c>
      <c r="EQ34" s="976"/>
      <c r="ER34" s="976"/>
      <c r="ES34" s="976"/>
      <c r="ET34" s="976"/>
      <c r="EU34" s="976"/>
      <c r="EV34" s="976" t="str">
        <f>MID(SUVAHAVUJ!AG72,2,1)</f>
        <v xml:space="preserve"> </v>
      </c>
      <c r="EW34" s="976"/>
      <c r="EX34" s="976"/>
      <c r="EY34" s="976"/>
      <c r="EZ34" s="976"/>
      <c r="FA34" s="976" t="str">
        <f>MID(SUVAHAVUJ!AG72,3,1)</f>
        <v xml:space="preserve"> </v>
      </c>
      <c r="FB34" s="976"/>
      <c r="FC34" s="976"/>
      <c r="FD34" s="976"/>
      <c r="FE34" s="976"/>
      <c r="FF34" s="976"/>
      <c r="FG34" s="976" t="str">
        <f>MID(SUVAHAVUJ!AG72,4,1)</f>
        <v xml:space="preserve"> </v>
      </c>
      <c r="FH34" s="976"/>
      <c r="FI34" s="976"/>
      <c r="FJ34" s="976"/>
      <c r="FK34" s="976"/>
      <c r="FL34" s="976" t="str">
        <f>MID(SUVAHAVUJ!AG72,5,1)</f>
        <v xml:space="preserve"> </v>
      </c>
      <c r="FM34" s="976"/>
      <c r="FN34" s="976"/>
      <c r="FO34" s="976"/>
      <c r="FP34" s="976"/>
      <c r="FQ34" s="976"/>
      <c r="FR34" s="976" t="str">
        <f>MID(SUVAHAVUJ!AG72,6,1)</f>
        <v xml:space="preserve"> </v>
      </c>
      <c r="FS34" s="976"/>
      <c r="FT34" s="976"/>
      <c r="FU34" s="976"/>
      <c r="FV34" s="976"/>
      <c r="FW34" s="976" t="str">
        <f>MID(SUVAHAVUJ!AG72,7,1)</f>
        <v xml:space="preserve"> </v>
      </c>
      <c r="FX34" s="976"/>
      <c r="FY34" s="976"/>
      <c r="FZ34" s="976"/>
      <c r="GA34" s="976"/>
      <c r="GB34" s="976"/>
      <c r="GC34" s="976" t="str">
        <f>MID(SUVAHAVUJ!AG72,8,1)</f>
        <v xml:space="preserve"> </v>
      </c>
      <c r="GD34" s="976"/>
      <c r="GE34" s="976"/>
      <c r="GF34" s="976"/>
      <c r="GG34" s="976"/>
      <c r="GH34" s="976" t="str">
        <f>MID(SUVAHAVUJ!AG72,9,1)</f>
        <v xml:space="preserve"> </v>
      </c>
      <c r="GI34" s="976"/>
      <c r="GJ34" s="976"/>
      <c r="GK34" s="976"/>
      <c r="GL34" s="976"/>
      <c r="GM34" s="976"/>
      <c r="GN34" s="976" t="str">
        <f>MID(SUVAHAVUJ!AG72,10,1)</f>
        <v xml:space="preserve"> </v>
      </c>
      <c r="GO34" s="976"/>
      <c r="GP34" s="976"/>
      <c r="GQ34" s="976"/>
      <c r="GR34" s="976"/>
      <c r="GS34" s="978" t="str">
        <f>MID(SUVAHAVUJ!AG72,11,1)</f>
        <v>0</v>
      </c>
      <c r="GT34" s="978"/>
      <c r="GU34" s="978"/>
      <c r="GV34" s="978"/>
      <c r="GW34" s="978"/>
    </row>
    <row r="35" spans="1:205" ht="12" customHeight="1" x14ac:dyDescent="0.25">
      <c r="A35" s="650"/>
      <c r="B35" s="652"/>
      <c r="C35" s="653"/>
      <c r="D35" s="653"/>
      <c r="E35" s="653"/>
      <c r="F35" s="653"/>
      <c r="G35" s="653"/>
      <c r="H35" s="653"/>
      <c r="I35" s="653"/>
      <c r="J35" s="653"/>
      <c r="K35" s="650"/>
      <c r="L35" s="650"/>
      <c r="M35" s="650"/>
      <c r="N35" s="650"/>
      <c r="O35" s="650"/>
      <c r="P35" s="650"/>
      <c r="Q35" s="650"/>
      <c r="R35" s="650"/>
      <c r="S35" s="650"/>
      <c r="T35" s="650"/>
      <c r="U35" s="650"/>
      <c r="V35" s="650"/>
      <c r="W35" s="650"/>
      <c r="X35" s="650"/>
      <c r="Y35" s="650"/>
      <c r="Z35" s="650"/>
      <c r="AA35" s="650"/>
      <c r="AB35" s="650"/>
      <c r="AC35" s="650"/>
      <c r="AD35" s="650"/>
      <c r="AE35" s="650"/>
      <c r="AF35" s="650"/>
      <c r="AG35" s="650"/>
      <c r="AH35" s="650"/>
      <c r="AI35" s="650"/>
      <c r="AJ35" s="650"/>
      <c r="AK35" s="650"/>
      <c r="AL35" s="650"/>
      <c r="AM35" s="650"/>
      <c r="AN35" s="650"/>
      <c r="AO35" s="650"/>
      <c r="AP35" s="650"/>
      <c r="AQ35" s="650"/>
      <c r="AR35" s="650"/>
      <c r="AS35" s="650"/>
      <c r="AT35" s="650"/>
      <c r="AU35" s="650"/>
      <c r="AV35" s="650"/>
      <c r="AW35" s="650"/>
      <c r="AX35" s="650"/>
      <c r="AY35" s="650"/>
      <c r="AZ35" s="650"/>
      <c r="BA35" s="650"/>
      <c r="BB35" s="650"/>
      <c r="BC35" s="650"/>
      <c r="BD35" s="650"/>
      <c r="BE35" s="650"/>
      <c r="BF35" s="650"/>
      <c r="BG35" s="650"/>
      <c r="BH35" s="650"/>
      <c r="BI35" s="650"/>
      <c r="BJ35" s="650"/>
      <c r="BK35" s="650"/>
      <c r="BL35" s="650"/>
      <c r="BM35" s="650"/>
      <c r="BN35" s="650"/>
      <c r="BO35" s="650"/>
      <c r="BP35" s="650"/>
      <c r="BQ35" s="650"/>
      <c r="BR35" s="650"/>
      <c r="BS35" s="650"/>
      <c r="BT35" s="650"/>
      <c r="BU35" s="650"/>
      <c r="BV35" s="650"/>
      <c r="BW35" s="650"/>
      <c r="BX35" s="650"/>
      <c r="BY35" s="650"/>
      <c r="BZ35" s="650"/>
      <c r="CA35" s="650"/>
      <c r="CB35" s="650"/>
      <c r="CC35" s="650"/>
      <c r="CD35" s="650"/>
      <c r="CE35" s="650"/>
      <c r="CF35" s="650"/>
      <c r="CG35" s="650"/>
      <c r="CH35" s="650"/>
      <c r="CI35" s="650"/>
      <c r="CJ35" s="650"/>
      <c r="CK35" s="650"/>
      <c r="CL35" s="650"/>
      <c r="CM35" s="650"/>
      <c r="CN35" s="650"/>
      <c r="CO35" s="650"/>
      <c r="CP35" s="650"/>
      <c r="CQ35" s="650"/>
      <c r="CR35" s="650"/>
      <c r="CS35" s="650"/>
      <c r="CT35" s="650"/>
      <c r="CU35" s="650"/>
      <c r="CV35" s="650"/>
      <c r="CW35" s="650"/>
      <c r="CX35" s="650"/>
      <c r="CY35" s="650"/>
      <c r="CZ35" s="650"/>
      <c r="DA35" s="650"/>
      <c r="DB35" s="650"/>
      <c r="DC35" s="650"/>
      <c r="DD35" s="650"/>
      <c r="DE35" s="650"/>
      <c r="DF35" s="650"/>
      <c r="DG35" s="650"/>
      <c r="DH35" s="650"/>
      <c r="DI35" s="650"/>
      <c r="DJ35" s="650"/>
      <c r="DK35" s="650"/>
      <c r="DL35" s="650"/>
      <c r="DM35" s="650"/>
      <c r="DN35" s="650"/>
      <c r="DO35" s="650"/>
      <c r="DP35" s="650"/>
      <c r="DQ35" s="650"/>
      <c r="DR35" s="650"/>
      <c r="DS35" s="650"/>
      <c r="DT35" s="650"/>
      <c r="DU35" s="650"/>
      <c r="DV35" s="650"/>
      <c r="DW35" s="650"/>
      <c r="DX35" s="650"/>
      <c r="DY35" s="650"/>
      <c r="DZ35" s="650"/>
      <c r="EA35" s="650"/>
      <c r="EB35" s="650"/>
      <c r="EC35" s="650"/>
      <c r="ED35" s="650"/>
      <c r="EE35" s="650"/>
      <c r="EF35" s="650"/>
      <c r="EG35" s="650"/>
      <c r="EH35" s="650"/>
      <c r="EI35" s="650"/>
      <c r="EJ35" s="650"/>
      <c r="EK35" s="650"/>
      <c r="EL35" s="650"/>
      <c r="EM35" s="650"/>
      <c r="EN35" s="650"/>
      <c r="EO35" s="650"/>
      <c r="EP35" s="650"/>
      <c r="EQ35" s="650"/>
      <c r="ER35" s="650"/>
      <c r="ES35" s="650"/>
      <c r="ET35" s="650"/>
      <c r="EU35" s="650"/>
      <c r="EV35" s="650"/>
      <c r="EW35" s="650"/>
      <c r="EX35" s="650"/>
      <c r="EY35" s="650"/>
      <c r="EZ35" s="650"/>
      <c r="FA35" s="650"/>
      <c r="FB35" s="650"/>
      <c r="FC35" s="650"/>
      <c r="FD35" s="650"/>
      <c r="FE35" s="650"/>
      <c r="FF35" s="650"/>
      <c r="FG35" s="650"/>
      <c r="FH35" s="650"/>
      <c r="FI35" s="650"/>
      <c r="FJ35" s="650"/>
      <c r="FK35" s="650"/>
      <c r="FL35" s="650"/>
      <c r="FM35" s="650"/>
      <c r="FN35" s="650"/>
      <c r="FO35" s="650"/>
      <c r="FP35" s="650"/>
      <c r="FQ35" s="650"/>
      <c r="FR35" s="650"/>
      <c r="FS35" s="650"/>
      <c r="FT35" s="650"/>
      <c r="FU35" s="650"/>
      <c r="FV35" s="650"/>
      <c r="FW35" s="650"/>
      <c r="FX35" s="650"/>
      <c r="FY35" s="650"/>
      <c r="FZ35" s="650"/>
      <c r="GA35" s="650"/>
      <c r="GB35" s="650"/>
      <c r="GC35" s="650"/>
      <c r="GD35" s="650"/>
      <c r="GE35" s="650"/>
      <c r="GF35" s="650"/>
      <c r="GG35" s="650"/>
      <c r="GH35" s="650"/>
      <c r="GI35" s="650"/>
      <c r="GJ35" s="650"/>
      <c r="GK35" s="650"/>
      <c r="GL35" s="650"/>
      <c r="GM35" s="650"/>
      <c r="GN35" s="650"/>
      <c r="GO35" s="650"/>
      <c r="GP35" s="650"/>
      <c r="GQ35" s="653"/>
      <c r="GR35" s="653"/>
      <c r="GS35" s="653"/>
      <c r="GT35" s="653"/>
      <c r="GU35" s="653"/>
      <c r="GV35" s="653"/>
      <c r="GW35" s="654"/>
    </row>
    <row r="36" spans="1:205" ht="12.75" customHeight="1" x14ac:dyDescent="0.25">
      <c r="A36" s="650"/>
      <c r="B36" s="656"/>
      <c r="C36" s="657"/>
      <c r="D36" s="657"/>
      <c r="E36" s="657"/>
      <c r="F36" s="657"/>
      <c r="G36" s="657"/>
      <c r="H36" s="657"/>
      <c r="I36" s="657"/>
      <c r="J36" s="657"/>
      <c r="K36" s="650"/>
      <c r="L36" s="650"/>
      <c r="M36" s="650"/>
      <c r="N36" s="650"/>
      <c r="O36" s="650"/>
      <c r="P36" s="650"/>
      <c r="Q36" s="650"/>
      <c r="R36" s="650"/>
      <c r="S36" s="650"/>
      <c r="T36" s="650"/>
      <c r="U36" s="650"/>
      <c r="V36" s="650"/>
      <c r="W36" s="650"/>
      <c r="X36" s="650"/>
      <c r="Y36" s="650"/>
      <c r="Z36" s="650"/>
      <c r="AA36" s="650"/>
      <c r="AB36" s="650"/>
      <c r="AC36" s="650"/>
      <c r="AD36" s="650"/>
      <c r="AE36" s="650"/>
      <c r="AF36" s="650"/>
      <c r="AG36" s="650"/>
      <c r="AH36" s="650"/>
      <c r="AI36" s="650"/>
      <c r="AJ36" s="650"/>
      <c r="AK36" s="650"/>
      <c r="AL36" s="650"/>
      <c r="AM36" s="650"/>
      <c r="AN36" s="650"/>
      <c r="AO36" s="650"/>
      <c r="AP36" s="650"/>
      <c r="AQ36" s="650"/>
      <c r="AR36" s="650"/>
      <c r="AS36" s="650"/>
      <c r="AT36" s="650"/>
      <c r="AU36" s="650"/>
      <c r="AV36" s="650"/>
      <c r="AW36" s="650"/>
      <c r="AX36" s="650"/>
      <c r="AY36" s="650"/>
      <c r="AZ36" s="650"/>
      <c r="BA36" s="650"/>
      <c r="BB36" s="650"/>
      <c r="BC36" s="650"/>
      <c r="BD36" s="650"/>
      <c r="BE36" s="650"/>
      <c r="BF36" s="650"/>
      <c r="BG36" s="650"/>
      <c r="BH36" s="650"/>
      <c r="BI36" s="650"/>
      <c r="BJ36" s="650"/>
      <c r="BK36" s="650"/>
      <c r="BL36" s="650"/>
      <c r="BM36" s="650"/>
      <c r="BN36" s="650"/>
      <c r="BO36" s="650"/>
      <c r="BP36" s="650"/>
      <c r="BQ36" s="650"/>
      <c r="BR36" s="650"/>
      <c r="BS36" s="650"/>
      <c r="BT36" s="650"/>
      <c r="BU36" s="650"/>
      <c r="BV36" s="650"/>
      <c r="BW36" s="650"/>
      <c r="BX36" s="650"/>
      <c r="BY36" s="650"/>
      <c r="BZ36" s="650"/>
      <c r="CA36" s="650"/>
      <c r="CB36" s="650"/>
      <c r="CC36" s="650"/>
      <c r="CD36" s="650"/>
      <c r="CE36" s="650"/>
      <c r="CF36" s="650"/>
      <c r="CG36" s="650"/>
      <c r="CH36" s="650"/>
      <c r="CI36" s="650"/>
      <c r="CJ36" s="650"/>
      <c r="CK36" s="650"/>
      <c r="CL36" s="650"/>
      <c r="CM36" s="650"/>
      <c r="CN36" s="650"/>
      <c r="CO36" s="650"/>
      <c r="CP36" s="650"/>
      <c r="CQ36" s="650"/>
      <c r="CR36" s="650"/>
      <c r="CS36" s="650"/>
      <c r="CT36" s="650"/>
      <c r="CU36" s="650"/>
      <c r="CV36" s="650"/>
      <c r="CW36" s="650"/>
      <c r="CX36" s="650"/>
      <c r="CY36" s="650"/>
      <c r="CZ36" s="650"/>
      <c r="DA36" s="650"/>
      <c r="DB36" s="650"/>
      <c r="DC36" s="650"/>
      <c r="DD36" s="650"/>
      <c r="DE36" s="650"/>
      <c r="DF36" s="650"/>
      <c r="DG36" s="650"/>
      <c r="DH36" s="650"/>
      <c r="DI36" s="650"/>
      <c r="DJ36" s="650"/>
      <c r="DK36" s="650"/>
      <c r="DL36" s="650"/>
      <c r="DM36" s="650"/>
      <c r="DN36" s="650"/>
      <c r="DO36" s="650"/>
      <c r="DP36" s="650"/>
      <c r="DQ36" s="650"/>
      <c r="DR36" s="650"/>
      <c r="DS36" s="650"/>
      <c r="DT36" s="650"/>
      <c r="DU36" s="650"/>
      <c r="DV36" s="650"/>
      <c r="DW36" s="650"/>
      <c r="DX36" s="650"/>
      <c r="DY36" s="650"/>
      <c r="DZ36" s="650"/>
      <c r="EA36" s="650"/>
      <c r="EB36" s="650"/>
      <c r="EC36" s="650"/>
      <c r="ED36" s="650"/>
      <c r="EE36" s="650"/>
      <c r="EF36" s="650"/>
      <c r="EG36" s="650"/>
      <c r="EH36" s="650"/>
      <c r="EI36" s="650"/>
      <c r="EJ36" s="650"/>
      <c r="EK36" s="650"/>
      <c r="EL36" s="650"/>
      <c r="EM36" s="650"/>
      <c r="EN36" s="650"/>
      <c r="EO36" s="650"/>
      <c r="EP36" s="650"/>
      <c r="EQ36" s="650"/>
      <c r="ER36" s="650"/>
      <c r="ES36" s="650"/>
      <c r="ET36" s="650"/>
      <c r="EU36" s="650"/>
      <c r="EV36" s="650"/>
      <c r="EW36" s="650"/>
      <c r="EX36" s="650"/>
      <c r="EY36" s="650"/>
      <c r="EZ36" s="650"/>
      <c r="FA36" s="650"/>
      <c r="FB36" s="650"/>
      <c r="FC36" s="650"/>
      <c r="FD36" s="650"/>
      <c r="FE36" s="650"/>
      <c r="FF36" s="650"/>
      <c r="FG36" s="650"/>
      <c r="FH36" s="650"/>
      <c r="FI36" s="650"/>
      <c r="FJ36" s="650"/>
      <c r="FK36" s="650"/>
      <c r="FL36" s="650"/>
      <c r="FM36" s="650"/>
      <c r="FN36" s="650"/>
      <c r="FO36" s="650"/>
      <c r="FP36" s="650"/>
      <c r="FQ36" s="650"/>
      <c r="FR36" s="650"/>
      <c r="FS36" s="650"/>
      <c r="FT36" s="650"/>
      <c r="FU36" s="650"/>
      <c r="FV36" s="650"/>
      <c r="FW36" s="650"/>
      <c r="FX36" s="650"/>
      <c r="FY36" s="650"/>
      <c r="FZ36" s="650"/>
      <c r="GA36" s="650"/>
      <c r="GB36" s="650"/>
      <c r="GC36" s="650"/>
      <c r="GD36" s="650"/>
      <c r="GE36" s="650"/>
      <c r="GF36" s="650"/>
      <c r="GG36" s="650"/>
      <c r="GH36" s="650"/>
      <c r="GI36" s="650"/>
      <c r="GJ36" s="650"/>
      <c r="GK36" s="650"/>
      <c r="GL36" s="650"/>
      <c r="GM36" s="650"/>
      <c r="GN36" s="650"/>
      <c r="GO36" s="650"/>
      <c r="GP36" s="650"/>
      <c r="GQ36" s="657"/>
      <c r="GR36" s="657"/>
      <c r="GS36" s="657"/>
      <c r="GT36" s="657"/>
      <c r="GU36" s="657"/>
      <c r="GV36" s="657"/>
      <c r="GW36" s="658"/>
    </row>
    <row r="37" spans="1:205" ht="9" customHeight="1" x14ac:dyDescent="0.25">
      <c r="B37" s="650"/>
      <c r="C37" s="650"/>
      <c r="D37" s="650"/>
      <c r="E37" s="650"/>
      <c r="F37" s="650"/>
      <c r="G37" s="650"/>
      <c r="H37" s="650"/>
      <c r="I37" s="650"/>
      <c r="J37" s="650"/>
      <c r="K37" s="650"/>
      <c r="L37" s="650"/>
      <c r="M37" s="650"/>
      <c r="N37" s="650"/>
      <c r="O37" s="650"/>
      <c r="P37" s="650"/>
      <c r="Q37" s="650"/>
      <c r="R37" s="650"/>
      <c r="S37" s="650"/>
      <c r="T37" s="650"/>
      <c r="U37" s="650"/>
      <c r="V37" s="650"/>
      <c r="W37" s="650"/>
      <c r="X37" s="650"/>
      <c r="Y37" s="650"/>
      <c r="Z37" s="650"/>
      <c r="AA37" s="650"/>
      <c r="AB37" s="650"/>
      <c r="AC37" s="650"/>
      <c r="AD37" s="650"/>
      <c r="AE37" s="650"/>
      <c r="AF37" s="650"/>
      <c r="AG37" s="650"/>
      <c r="AH37" s="650"/>
      <c r="AI37" s="650"/>
      <c r="AJ37" s="650"/>
      <c r="AK37" s="650"/>
      <c r="AL37" s="650"/>
      <c r="AM37" s="650"/>
      <c r="AN37" s="650"/>
      <c r="AO37" s="650"/>
      <c r="AP37" s="650"/>
      <c r="AQ37" s="650"/>
      <c r="AR37" s="650"/>
      <c r="AS37" s="650"/>
      <c r="AT37" s="650"/>
      <c r="AU37" s="650"/>
      <c r="AV37" s="650"/>
      <c r="AW37" s="650"/>
      <c r="AX37" s="650"/>
      <c r="AY37" s="650"/>
      <c r="AZ37" s="650"/>
      <c r="BA37" s="650"/>
      <c r="BB37" s="650"/>
      <c r="BC37" s="650"/>
      <c r="BD37" s="650"/>
      <c r="BE37" s="650"/>
      <c r="BF37" s="650"/>
      <c r="BG37" s="650"/>
      <c r="BH37" s="650"/>
      <c r="BI37" s="650"/>
      <c r="BJ37" s="650"/>
      <c r="BK37" s="650"/>
      <c r="BL37" s="650"/>
      <c r="BM37" s="650"/>
      <c r="BN37" s="650"/>
      <c r="BO37" s="650"/>
      <c r="BP37" s="650"/>
      <c r="BQ37" s="650"/>
      <c r="BR37" s="650"/>
      <c r="BS37" s="650"/>
      <c r="BT37" s="650"/>
      <c r="BU37" s="650"/>
      <c r="BV37" s="650"/>
      <c r="BW37" s="650"/>
      <c r="BX37" s="650"/>
      <c r="BY37" s="650"/>
      <c r="BZ37" s="650"/>
      <c r="CA37" s="650"/>
      <c r="CB37" s="650"/>
      <c r="CC37" s="650"/>
      <c r="CD37" s="650"/>
      <c r="CE37" s="650"/>
      <c r="CF37" s="650"/>
      <c r="CG37" s="650"/>
      <c r="CH37" s="650"/>
      <c r="CI37" s="650"/>
      <c r="CJ37" s="650"/>
      <c r="CK37" s="650"/>
      <c r="CL37" s="650"/>
      <c r="CM37" s="650"/>
      <c r="CN37" s="650"/>
      <c r="CO37" s="650"/>
      <c r="CP37" s="650"/>
      <c r="CQ37" s="650"/>
      <c r="CR37" s="650"/>
      <c r="CS37" s="650"/>
      <c r="CT37" s="650"/>
      <c r="CU37" s="650"/>
      <c r="CV37" s="650"/>
      <c r="CW37" s="650"/>
      <c r="CX37" s="650"/>
      <c r="CY37" s="650"/>
      <c r="CZ37" s="650"/>
      <c r="DA37" s="650"/>
      <c r="DB37" s="650"/>
      <c r="DC37" s="650"/>
      <c r="DD37" s="650"/>
      <c r="DE37" s="650"/>
      <c r="DF37" s="650"/>
      <c r="DG37" s="650"/>
      <c r="DH37" s="650"/>
      <c r="DI37" s="650"/>
      <c r="DJ37" s="650"/>
      <c r="DK37" s="650"/>
      <c r="DL37" s="650"/>
      <c r="DM37" s="650"/>
      <c r="DN37" s="650"/>
      <c r="DO37" s="650"/>
      <c r="DP37" s="650"/>
      <c r="DQ37" s="650"/>
      <c r="DR37" s="650"/>
      <c r="DS37" s="650"/>
      <c r="DT37" s="650"/>
      <c r="DU37" s="650"/>
      <c r="DV37" s="650"/>
      <c r="DW37" s="650"/>
      <c r="DX37" s="650"/>
      <c r="DY37" s="650"/>
      <c r="DZ37" s="650"/>
      <c r="EA37" s="650"/>
      <c r="EB37" s="650"/>
      <c r="EC37" s="650"/>
      <c r="ED37" s="650"/>
      <c r="EE37" s="650"/>
      <c r="EF37" s="650"/>
      <c r="EG37" s="650"/>
      <c r="EH37" s="650"/>
      <c r="EI37" s="650"/>
      <c r="EJ37" s="650"/>
      <c r="EK37" s="650"/>
      <c r="EL37" s="650"/>
      <c r="EM37" s="650"/>
      <c r="EN37" s="650"/>
      <c r="EO37" s="650"/>
      <c r="EP37" s="650"/>
      <c r="EQ37" s="650"/>
      <c r="ER37" s="650"/>
      <c r="ES37" s="650"/>
      <c r="ET37" s="650"/>
      <c r="EU37" s="650"/>
      <c r="EV37" s="650"/>
      <c r="EW37" s="650"/>
      <c r="EX37" s="650"/>
      <c r="EY37" s="650"/>
      <c r="EZ37" s="650"/>
      <c r="FA37" s="650"/>
      <c r="FB37" s="650"/>
      <c r="FC37" s="650"/>
      <c r="FD37" s="650"/>
      <c r="FE37" s="650"/>
      <c r="FF37" s="650"/>
      <c r="FG37" s="650"/>
      <c r="FH37" s="650"/>
      <c r="FI37" s="650"/>
      <c r="FJ37" s="650"/>
      <c r="FK37" s="650"/>
      <c r="FL37" s="650"/>
      <c r="FM37" s="650"/>
      <c r="FN37" s="650"/>
      <c r="FO37" s="650"/>
      <c r="FP37" s="650"/>
      <c r="FQ37" s="650"/>
      <c r="FR37" s="650"/>
      <c r="FS37" s="650"/>
      <c r="FT37" s="650"/>
      <c r="FU37" s="650"/>
      <c r="FV37" s="650"/>
      <c r="FW37" s="650"/>
      <c r="FX37" s="650"/>
      <c r="FY37" s="650"/>
      <c r="FZ37" s="650"/>
      <c r="GA37" s="650"/>
      <c r="GB37" s="650"/>
      <c r="GC37" s="650"/>
      <c r="GD37" s="650"/>
      <c r="GE37" s="650"/>
      <c r="GF37" s="650"/>
      <c r="GG37" s="650"/>
      <c r="GH37" s="650"/>
      <c r="GI37" s="650"/>
      <c r="GJ37" s="650"/>
      <c r="GK37" s="650"/>
      <c r="GL37" s="650"/>
      <c r="GM37" s="650"/>
      <c r="GN37" s="650"/>
      <c r="GO37" s="650"/>
      <c r="GP37" s="650"/>
      <c r="GQ37" s="650"/>
      <c r="GR37" s="650"/>
      <c r="GS37" s="650"/>
      <c r="GT37" s="650"/>
      <c r="GU37" s="650"/>
    </row>
    <row r="38" spans="1:205" ht="3.75" customHeight="1" x14ac:dyDescent="0.25">
      <c r="B38" s="650"/>
      <c r="C38" s="650"/>
      <c r="D38" s="650"/>
      <c r="E38" s="650"/>
      <c r="F38" s="650"/>
      <c r="G38" s="650"/>
      <c r="H38" s="650"/>
      <c r="I38" s="650"/>
      <c r="J38" s="650"/>
      <c r="K38" s="650"/>
      <c r="L38" s="650"/>
      <c r="M38" s="650"/>
      <c r="N38" s="650"/>
      <c r="O38" s="650"/>
      <c r="P38" s="650"/>
      <c r="Q38" s="650"/>
      <c r="R38" s="650"/>
      <c r="S38" s="650"/>
      <c r="T38" s="650"/>
      <c r="U38" s="650"/>
      <c r="V38" s="650"/>
      <c r="W38" s="650"/>
      <c r="X38" s="650"/>
      <c r="Y38" s="650"/>
      <c r="Z38" s="650"/>
      <c r="AA38" s="650"/>
      <c r="AB38" s="650"/>
      <c r="AC38" s="650"/>
      <c r="AD38" s="650"/>
      <c r="AE38" s="650"/>
      <c r="AF38" s="650"/>
      <c r="AG38" s="650"/>
      <c r="AH38" s="650"/>
      <c r="AI38" s="650"/>
      <c r="AJ38" s="650"/>
      <c r="AK38" s="650"/>
      <c r="AL38" s="650"/>
      <c r="AM38" s="650"/>
      <c r="AN38" s="650"/>
      <c r="AO38" s="650"/>
      <c r="AP38" s="650"/>
      <c r="AQ38" s="650"/>
      <c r="AR38" s="650"/>
      <c r="AS38" s="650"/>
      <c r="AT38" s="650"/>
      <c r="AU38" s="650"/>
      <c r="AV38" s="650"/>
      <c r="AW38" s="650"/>
      <c r="AX38" s="650"/>
      <c r="AY38" s="650"/>
      <c r="AZ38" s="650"/>
      <c r="BA38" s="650"/>
      <c r="BB38" s="650"/>
      <c r="BC38" s="650"/>
      <c r="BD38" s="650"/>
      <c r="BE38" s="650"/>
      <c r="BF38" s="650"/>
      <c r="BG38" s="650"/>
      <c r="BH38" s="650"/>
      <c r="BI38" s="650"/>
      <c r="BJ38" s="650"/>
      <c r="BK38" s="650"/>
      <c r="BL38" s="650"/>
      <c r="BM38" s="650"/>
      <c r="BN38" s="650"/>
      <c r="BO38" s="650"/>
      <c r="BP38" s="650"/>
      <c r="BQ38" s="650"/>
      <c r="BR38" s="650"/>
      <c r="BS38" s="650"/>
      <c r="BT38" s="650"/>
      <c r="BU38" s="650"/>
      <c r="BV38" s="650"/>
      <c r="BW38" s="650"/>
      <c r="BX38" s="650"/>
      <c r="BY38" s="650"/>
      <c r="BZ38" s="650"/>
      <c r="CA38" s="650"/>
      <c r="CB38" s="650"/>
      <c r="CC38" s="650"/>
      <c r="CD38" s="650"/>
      <c r="CE38" s="650"/>
      <c r="CF38" s="650"/>
      <c r="CG38" s="650"/>
      <c r="CH38" s="650"/>
      <c r="CI38" s="650"/>
      <c r="CJ38" s="650"/>
      <c r="CK38" s="650"/>
      <c r="CL38" s="650"/>
      <c r="CM38" s="650"/>
      <c r="CN38" s="650"/>
      <c r="CO38" s="650"/>
      <c r="CP38" s="650"/>
      <c r="CQ38" s="650"/>
      <c r="CR38" s="650"/>
      <c r="CS38" s="650"/>
      <c r="CT38" s="650"/>
      <c r="CU38" s="650"/>
      <c r="CV38" s="650"/>
      <c r="CW38" s="650"/>
      <c r="CX38" s="650"/>
      <c r="CY38" s="650"/>
      <c r="CZ38" s="650"/>
      <c r="DA38" s="650"/>
      <c r="DB38" s="650"/>
      <c r="DC38" s="650"/>
      <c r="DD38" s="650"/>
      <c r="DE38" s="650"/>
      <c r="DF38" s="650"/>
      <c r="DG38" s="650"/>
      <c r="DH38" s="650"/>
      <c r="DI38" s="650"/>
      <c r="DJ38" s="650"/>
      <c r="DK38" s="650"/>
      <c r="DL38" s="650"/>
      <c r="DM38" s="650"/>
      <c r="DN38" s="650"/>
      <c r="DO38" s="650"/>
      <c r="DP38" s="650"/>
      <c r="DQ38" s="650"/>
      <c r="DR38" s="650"/>
      <c r="DS38" s="650"/>
      <c r="DT38" s="650"/>
      <c r="DU38" s="650"/>
      <c r="DV38" s="650"/>
      <c r="DW38" s="650"/>
      <c r="DX38" s="650"/>
      <c r="DY38" s="650"/>
      <c r="DZ38" s="650"/>
      <c r="EA38" s="650"/>
      <c r="EB38" s="650"/>
      <c r="EC38" s="650"/>
      <c r="ED38" s="650"/>
      <c r="EE38" s="650"/>
      <c r="EF38" s="650"/>
      <c r="EG38" s="650"/>
      <c r="EH38" s="650"/>
      <c r="EI38" s="650"/>
      <c r="EJ38" s="650"/>
      <c r="EK38" s="650"/>
      <c r="EL38" s="650"/>
      <c r="EM38" s="650"/>
      <c r="EN38" s="650"/>
      <c r="EO38" s="650"/>
      <c r="EP38" s="650"/>
      <c r="EQ38" s="650"/>
      <c r="ER38" s="650"/>
      <c r="ES38" s="650"/>
      <c r="ET38" s="650"/>
      <c r="EU38" s="650"/>
      <c r="EV38" s="650"/>
      <c r="EW38" s="650"/>
      <c r="EX38" s="650"/>
      <c r="EY38" s="650"/>
      <c r="EZ38" s="650"/>
      <c r="FA38" s="650"/>
      <c r="FB38" s="650"/>
      <c r="FC38" s="650"/>
      <c r="FD38" s="650"/>
      <c r="FE38" s="650"/>
      <c r="FF38" s="650"/>
      <c r="FG38" s="650"/>
      <c r="FH38" s="650"/>
      <c r="FI38" s="650"/>
      <c r="FJ38" s="650"/>
      <c r="FK38" s="650"/>
      <c r="FL38" s="650"/>
      <c r="FM38" s="650"/>
      <c r="FN38" s="650"/>
      <c r="FO38" s="650"/>
      <c r="FP38" s="650"/>
      <c r="FQ38" s="650"/>
      <c r="FR38" s="650"/>
      <c r="FS38" s="650"/>
      <c r="FT38" s="650"/>
      <c r="FU38" s="650"/>
      <c r="FV38" s="650"/>
      <c r="FW38" s="650"/>
      <c r="FX38" s="650"/>
      <c r="FY38" s="650"/>
      <c r="FZ38" s="650"/>
      <c r="GA38" s="650"/>
      <c r="GB38" s="650"/>
      <c r="GC38" s="650"/>
      <c r="GD38" s="650"/>
      <c r="GE38" s="650"/>
      <c r="GF38" s="650"/>
      <c r="GG38" s="650"/>
      <c r="GH38" s="650"/>
      <c r="GI38" s="650"/>
      <c r="GJ38" s="650"/>
      <c r="GK38" s="650"/>
      <c r="GL38" s="650"/>
      <c r="GM38" s="650"/>
      <c r="GN38" s="650"/>
      <c r="GO38" s="650"/>
      <c r="GP38" s="650"/>
      <c r="GQ38" s="650"/>
      <c r="GR38" s="650"/>
      <c r="GS38" s="650"/>
      <c r="GT38" s="650"/>
      <c r="GU38" s="650"/>
    </row>
    <row r="39" spans="1:205" ht="3.75" customHeight="1" x14ac:dyDescent="0.25"/>
    <row r="40" spans="1:205" ht="3.75" customHeight="1" x14ac:dyDescent="0.25"/>
    <row r="41" spans="1:205" ht="3.75" customHeight="1" x14ac:dyDescent="0.25"/>
    <row r="42" spans="1:205" ht="3.75" customHeight="1" x14ac:dyDescent="0.25"/>
    <row r="43" spans="1:205" ht="3.75" customHeight="1" x14ac:dyDescent="0.25"/>
    <row r="44" spans="1:205" ht="3.75" customHeight="1" x14ac:dyDescent="0.25"/>
    <row r="45" spans="1:205" ht="3.75" customHeight="1" x14ac:dyDescent="0.25"/>
    <row r="46" spans="1:205" ht="3.75" customHeight="1" x14ac:dyDescent="0.25"/>
    <row r="47" spans="1:205" ht="3.75" customHeight="1" x14ac:dyDescent="0.25"/>
    <row r="48" spans="1:205" ht="3.75" customHeight="1" x14ac:dyDescent="0.25"/>
    <row r="49" spans="43:43" ht="3.75" customHeight="1" x14ac:dyDescent="0.25"/>
    <row r="50" spans="43:43" ht="3.75" customHeight="1" x14ac:dyDescent="0.25"/>
    <row r="51" spans="43:43" ht="3.75" customHeight="1" x14ac:dyDescent="0.25"/>
    <row r="52" spans="43:43" ht="3.75" customHeight="1" x14ac:dyDescent="0.25">
      <c r="AQ52" s="659">
        <v>57</v>
      </c>
    </row>
    <row r="53" spans="43:43" ht="3.75" customHeight="1" x14ac:dyDescent="0.25"/>
    <row r="54" spans="43:43" ht="3.75" customHeight="1" x14ac:dyDescent="0.25"/>
    <row r="55" spans="43:43" ht="3.75" customHeight="1" x14ac:dyDescent="0.25"/>
    <row r="56" spans="43:43" ht="3.75" customHeight="1" x14ac:dyDescent="0.25"/>
    <row r="57" spans="43:43" ht="3.75" customHeight="1" x14ac:dyDescent="0.25"/>
    <row r="58" spans="43:43" ht="3.75" customHeight="1" x14ac:dyDescent="0.25"/>
    <row r="59" spans="43:43" ht="3.75" customHeight="1" x14ac:dyDescent="0.25"/>
    <row r="60" spans="43:43" ht="3.75" customHeight="1" x14ac:dyDescent="0.25"/>
    <row r="61" spans="43:43" ht="3.75" customHeight="1" x14ac:dyDescent="0.25"/>
    <row r="62" spans="43:43" ht="3.75" customHeight="1" x14ac:dyDescent="0.25"/>
    <row r="63" spans="43:43" ht="3.75" customHeight="1" x14ac:dyDescent="0.25"/>
    <row r="64" spans="43:43" ht="3.75" customHeight="1" x14ac:dyDescent="0.25"/>
    <row r="65" ht="3.75" customHeight="1" x14ac:dyDescent="0.25"/>
    <row r="66" ht="3.75" customHeight="1" x14ac:dyDescent="0.25"/>
    <row r="67" ht="3.75" customHeight="1" x14ac:dyDescent="0.25"/>
    <row r="68" ht="3.75" customHeight="1" x14ac:dyDescent="0.25"/>
    <row r="69" ht="3.75" customHeight="1" x14ac:dyDescent="0.25"/>
    <row r="70" ht="3.75" customHeight="1" x14ac:dyDescent="0.25"/>
    <row r="71" ht="3.75" customHeight="1" x14ac:dyDescent="0.25"/>
    <row r="72" ht="3.75" customHeight="1" x14ac:dyDescent="0.25"/>
    <row r="73" ht="3.75" customHeight="1" x14ac:dyDescent="0.25"/>
    <row r="74" ht="3.75" customHeight="1" x14ac:dyDescent="0.25"/>
    <row r="75" ht="3.75" customHeight="1" x14ac:dyDescent="0.25"/>
    <row r="76" ht="3.75" customHeight="1" x14ac:dyDescent="0.25"/>
    <row r="77" ht="3.75" customHeight="1" x14ac:dyDescent="0.25"/>
    <row r="78" ht="3.75" customHeight="1" x14ac:dyDescent="0.25"/>
    <row r="79" ht="3.75" customHeight="1" x14ac:dyDescent="0.25"/>
    <row r="80" ht="3.75" customHeight="1" x14ac:dyDescent="0.25"/>
    <row r="81" ht="3.75" customHeight="1" x14ac:dyDescent="0.25"/>
    <row r="82" ht="3.75" customHeight="1" x14ac:dyDescent="0.25"/>
    <row r="83" ht="3.75" customHeight="1" x14ac:dyDescent="0.25"/>
    <row r="84" ht="3.75" customHeight="1" x14ac:dyDescent="0.25"/>
    <row r="85" ht="3.75" customHeight="1" x14ac:dyDescent="0.25"/>
    <row r="86" ht="3.75" customHeight="1" x14ac:dyDescent="0.25"/>
    <row r="87" ht="3.75" customHeight="1" x14ac:dyDescent="0.25"/>
    <row r="88" ht="3.75" customHeight="1" x14ac:dyDescent="0.25"/>
    <row r="89" ht="3.75" customHeight="1" x14ac:dyDescent="0.25"/>
    <row r="90" ht="3.75" customHeight="1" x14ac:dyDescent="0.25"/>
    <row r="91" ht="3.75" customHeight="1" x14ac:dyDescent="0.25"/>
    <row r="92" ht="3.75" customHeight="1" x14ac:dyDescent="0.25"/>
    <row r="93" ht="3.75" customHeight="1" x14ac:dyDescent="0.25"/>
    <row r="94" ht="3.75" customHeight="1" x14ac:dyDescent="0.25"/>
    <row r="95" ht="3.75" customHeight="1" x14ac:dyDescent="0.25"/>
    <row r="96" ht="3.75" customHeight="1" x14ac:dyDescent="0.25"/>
    <row r="97" ht="3.75" customHeight="1" x14ac:dyDescent="0.25"/>
    <row r="98" ht="3.75" customHeight="1" x14ac:dyDescent="0.25"/>
    <row r="99" ht="3.75" customHeight="1" x14ac:dyDescent="0.25"/>
    <row r="100" ht="3.75" customHeight="1" x14ac:dyDescent="0.25"/>
    <row r="101" ht="3.75" customHeight="1" x14ac:dyDescent="0.25"/>
    <row r="102" ht="3.75" customHeight="1" x14ac:dyDescent="0.25"/>
    <row r="103" ht="3.75" customHeight="1" x14ac:dyDescent="0.25"/>
    <row r="104" ht="3.75" customHeight="1" x14ac:dyDescent="0.25"/>
    <row r="105" ht="3.75" customHeight="1" x14ac:dyDescent="0.25"/>
    <row r="106" ht="3.75" customHeight="1" x14ac:dyDescent="0.25"/>
    <row r="107" ht="3.75" customHeight="1" x14ac:dyDescent="0.25"/>
    <row r="108" ht="3.75" customHeight="1" x14ac:dyDescent="0.25"/>
    <row r="109" ht="3.75" customHeight="1" x14ac:dyDescent="0.25"/>
    <row r="110" ht="3.75" customHeight="1" x14ac:dyDescent="0.25"/>
    <row r="111" ht="3.75" customHeight="1" x14ac:dyDescent="0.25"/>
    <row r="112" ht="3.75" customHeight="1" x14ac:dyDescent="0.25"/>
    <row r="113" ht="3.75" customHeight="1" x14ac:dyDescent="0.25"/>
    <row r="114" ht="3.75" customHeight="1" x14ac:dyDescent="0.25"/>
    <row r="115" ht="3.75" customHeight="1" x14ac:dyDescent="0.25"/>
    <row r="116" ht="3.75" customHeight="1" x14ac:dyDescent="0.25"/>
    <row r="117" ht="3.75" customHeight="1" x14ac:dyDescent="0.25"/>
    <row r="118" ht="3.75" customHeight="1" x14ac:dyDescent="0.25"/>
    <row r="119" ht="3.75" customHeight="1" x14ac:dyDescent="0.25"/>
    <row r="120" ht="3.75" customHeight="1" x14ac:dyDescent="0.25"/>
    <row r="121" ht="3.75" customHeight="1" x14ac:dyDescent="0.25"/>
    <row r="122" ht="3.75" customHeight="1" x14ac:dyDescent="0.25"/>
    <row r="123" ht="3.75" customHeight="1" x14ac:dyDescent="0.25"/>
    <row r="124" ht="3.75" customHeight="1" x14ac:dyDescent="0.25"/>
    <row r="125" ht="3.75" customHeight="1" x14ac:dyDescent="0.25"/>
    <row r="126" ht="3.75" customHeight="1" x14ac:dyDescent="0.25"/>
    <row r="127" ht="3.75" customHeight="1" x14ac:dyDescent="0.25"/>
    <row r="128" ht="3.75" customHeight="1" x14ac:dyDescent="0.25"/>
    <row r="129" ht="3.75" customHeight="1" x14ac:dyDescent="0.25"/>
    <row r="130" ht="3.75" customHeight="1" x14ac:dyDescent="0.25"/>
    <row r="131" ht="3.75" customHeight="1" x14ac:dyDescent="0.25"/>
    <row r="132" ht="3.75" customHeight="1" x14ac:dyDescent="0.25"/>
    <row r="133" ht="3.75" customHeight="1" x14ac:dyDescent="0.25"/>
    <row r="134" ht="3.75" customHeight="1" x14ac:dyDescent="0.25"/>
    <row r="135" ht="3.75" customHeight="1" x14ac:dyDescent="0.25"/>
    <row r="136" ht="3.75" customHeight="1" x14ac:dyDescent="0.25"/>
    <row r="137" ht="3.75" customHeight="1" x14ac:dyDescent="0.25"/>
    <row r="138" ht="3.75" customHeight="1" x14ac:dyDescent="0.25"/>
    <row r="139" ht="3.75" customHeight="1" x14ac:dyDescent="0.25"/>
    <row r="140" ht="3.75" customHeight="1" x14ac:dyDescent="0.25"/>
    <row r="141" ht="3.75" customHeight="1" x14ac:dyDescent="0.25"/>
    <row r="142" ht="3.75" customHeight="1" x14ac:dyDescent="0.25"/>
    <row r="143" ht="3.75" customHeight="1" x14ac:dyDescent="0.25"/>
    <row r="144" ht="3.75" customHeight="1" x14ac:dyDescent="0.25"/>
    <row r="145" spans="10:10" ht="3.75" customHeight="1" x14ac:dyDescent="0.25"/>
    <row r="146" spans="10:10" ht="3.75" customHeight="1" x14ac:dyDescent="0.25"/>
    <row r="147" spans="10:10" ht="3.75" customHeight="1" x14ac:dyDescent="0.25">
      <c r="J147" s="659">
        <v>33</v>
      </c>
    </row>
  </sheetData>
  <mergeCells count="704">
    <mergeCell ref="FW34:GB34"/>
    <mergeCell ref="GC34:GG34"/>
    <mergeCell ref="GH34:GM34"/>
    <mergeCell ref="GN34:GR34"/>
    <mergeCell ref="GS34:GW34"/>
    <mergeCell ref="CY34:DC34"/>
    <mergeCell ref="DD34:DI34"/>
    <mergeCell ref="DJ34:EM34"/>
    <mergeCell ref="EP34:EU34"/>
    <mergeCell ref="EV34:EZ34"/>
    <mergeCell ref="FA34:FF34"/>
    <mergeCell ref="FG34:FK34"/>
    <mergeCell ref="FL34:FQ34"/>
    <mergeCell ref="FR34:FV34"/>
    <mergeCell ref="BA34:BF34"/>
    <mergeCell ref="BG34:BK34"/>
    <mergeCell ref="BL34:BQ34"/>
    <mergeCell ref="BR34:BV34"/>
    <mergeCell ref="BW34:CB34"/>
    <mergeCell ref="CC34:CG34"/>
    <mergeCell ref="CH34:CM34"/>
    <mergeCell ref="CN34:CR34"/>
    <mergeCell ref="CS34:CX34"/>
    <mergeCell ref="EC33:EG33"/>
    <mergeCell ref="EH33:EM33"/>
    <mergeCell ref="EN33:ER33"/>
    <mergeCell ref="ES33:EX33"/>
    <mergeCell ref="EY33:FC33"/>
    <mergeCell ref="FD33:FI33"/>
    <mergeCell ref="FJ33:FN33"/>
    <mergeCell ref="FO33:FS33"/>
    <mergeCell ref="FT33:GW33"/>
    <mergeCell ref="FL32:FQ32"/>
    <mergeCell ref="FR32:FV32"/>
    <mergeCell ref="FW32:GB32"/>
    <mergeCell ref="GC32:GG32"/>
    <mergeCell ref="GH32:GM32"/>
    <mergeCell ref="GN32:GR32"/>
    <mergeCell ref="GS32:GW32"/>
    <mergeCell ref="B33:K34"/>
    <mergeCell ref="L33:AP34"/>
    <mergeCell ref="AQ33:AX34"/>
    <mergeCell ref="BA33:BF33"/>
    <mergeCell ref="BG33:BK33"/>
    <mergeCell ref="BL33:BQ33"/>
    <mergeCell ref="BR33:BV33"/>
    <mergeCell ref="BW33:CB33"/>
    <mergeCell ref="CC33:CG33"/>
    <mergeCell ref="CH33:CM33"/>
    <mergeCell ref="CN33:CR33"/>
    <mergeCell ref="CS33:CX33"/>
    <mergeCell ref="CY33:DC33"/>
    <mergeCell ref="DD33:DI33"/>
    <mergeCell ref="DL33:DQ33"/>
    <mergeCell ref="DR33:DV33"/>
    <mergeCell ref="DW33:EB33"/>
    <mergeCell ref="EH31:EM31"/>
    <mergeCell ref="EN31:ER31"/>
    <mergeCell ref="ES31:EX31"/>
    <mergeCell ref="EY31:FC31"/>
    <mergeCell ref="FD31:FI31"/>
    <mergeCell ref="FJ31:FN31"/>
    <mergeCell ref="FO31:FS31"/>
    <mergeCell ref="FT31:GW31"/>
    <mergeCell ref="BA32:BF32"/>
    <mergeCell ref="BG32:BK32"/>
    <mergeCell ref="BL32:BQ32"/>
    <mergeCell ref="BR32:BV32"/>
    <mergeCell ref="BW32:CB32"/>
    <mergeCell ref="CC32:CG32"/>
    <mergeCell ref="CH32:CM32"/>
    <mergeCell ref="CN32:CR32"/>
    <mergeCell ref="CS32:CX32"/>
    <mergeCell ref="CY32:DC32"/>
    <mergeCell ref="DD32:DI32"/>
    <mergeCell ref="DJ32:EM32"/>
    <mergeCell ref="EP32:EU32"/>
    <mergeCell ref="EV32:EZ32"/>
    <mergeCell ref="FA32:FF32"/>
    <mergeCell ref="FG32:FK32"/>
    <mergeCell ref="FR30:FV30"/>
    <mergeCell ref="FW30:GB30"/>
    <mergeCell ref="GC30:GG30"/>
    <mergeCell ref="GH30:GM30"/>
    <mergeCell ref="GN30:GR30"/>
    <mergeCell ref="GS30:GW30"/>
    <mergeCell ref="B31:K32"/>
    <mergeCell ref="L31:AP32"/>
    <mergeCell ref="AQ31:AX32"/>
    <mergeCell ref="BA31:BF31"/>
    <mergeCell ref="BG31:BK31"/>
    <mergeCell ref="BL31:BQ31"/>
    <mergeCell ref="BR31:BV31"/>
    <mergeCell ref="BW31:CB31"/>
    <mergeCell ref="CC31:CG31"/>
    <mergeCell ref="CH31:CM31"/>
    <mergeCell ref="CN31:CR31"/>
    <mergeCell ref="CS31:CX31"/>
    <mergeCell ref="CY31:DC31"/>
    <mergeCell ref="DD31:DI31"/>
    <mergeCell ref="DL31:DQ31"/>
    <mergeCell ref="DR31:DV31"/>
    <mergeCell ref="DW31:EB31"/>
    <mergeCell ref="EC31:EG31"/>
    <mergeCell ref="EN29:ER29"/>
    <mergeCell ref="ES29:EX29"/>
    <mergeCell ref="EY29:FC29"/>
    <mergeCell ref="FD29:FI29"/>
    <mergeCell ref="FJ29:FN29"/>
    <mergeCell ref="FO29:FS29"/>
    <mergeCell ref="FT29:GW29"/>
    <mergeCell ref="BA30:BF30"/>
    <mergeCell ref="BG30:BK30"/>
    <mergeCell ref="BL30:BQ30"/>
    <mergeCell ref="BR30:BV30"/>
    <mergeCell ref="BW30:CB30"/>
    <mergeCell ref="CC30:CG30"/>
    <mergeCell ref="CH30:CM30"/>
    <mergeCell ref="CN30:CR30"/>
    <mergeCell ref="CS30:CX30"/>
    <mergeCell ref="CY30:DC30"/>
    <mergeCell ref="DD30:DI30"/>
    <mergeCell ref="DJ30:EM30"/>
    <mergeCell ref="EP30:EU30"/>
    <mergeCell ref="EV30:EZ30"/>
    <mergeCell ref="FA30:FF30"/>
    <mergeCell ref="FG30:FK30"/>
    <mergeCell ref="FL30:FQ30"/>
    <mergeCell ref="FW28:GB28"/>
    <mergeCell ref="GC28:GG28"/>
    <mergeCell ref="GH28:GM28"/>
    <mergeCell ref="GN28:GR28"/>
    <mergeCell ref="GS28:GW28"/>
    <mergeCell ref="B29:K30"/>
    <mergeCell ref="L29:AP30"/>
    <mergeCell ref="AQ29:AX30"/>
    <mergeCell ref="BA29:BF29"/>
    <mergeCell ref="BG29:BK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EC29:EG29"/>
    <mergeCell ref="EH29:EM29"/>
    <mergeCell ref="CY28:DC28"/>
    <mergeCell ref="DD28:DI28"/>
    <mergeCell ref="DJ28:EM28"/>
    <mergeCell ref="EP28:EU28"/>
    <mergeCell ref="EV28:EZ28"/>
    <mergeCell ref="FA28:FF28"/>
    <mergeCell ref="FG28:FK28"/>
    <mergeCell ref="FL28:FQ28"/>
    <mergeCell ref="FR28:FV28"/>
    <mergeCell ref="BA28:BF28"/>
    <mergeCell ref="BG28:BK28"/>
    <mergeCell ref="BL28:BQ28"/>
    <mergeCell ref="BR28:BV28"/>
    <mergeCell ref="BW28:CB28"/>
    <mergeCell ref="CC28:CG28"/>
    <mergeCell ref="CH28:CM28"/>
    <mergeCell ref="CN28:CR28"/>
    <mergeCell ref="CS28:CX28"/>
    <mergeCell ref="EC27:EG27"/>
    <mergeCell ref="EH27:EM27"/>
    <mergeCell ref="EN27:ER27"/>
    <mergeCell ref="ES27:EX27"/>
    <mergeCell ref="EY27:FC27"/>
    <mergeCell ref="FD27:FI27"/>
    <mergeCell ref="FJ27:FN27"/>
    <mergeCell ref="FO27:FS27"/>
    <mergeCell ref="FT27:GW27"/>
    <mergeCell ref="FL26:FQ26"/>
    <mergeCell ref="FR26:FV26"/>
    <mergeCell ref="FW26:GB26"/>
    <mergeCell ref="GC26:GG26"/>
    <mergeCell ref="GH26:GM26"/>
    <mergeCell ref="GN26:GR26"/>
    <mergeCell ref="GS26:GW26"/>
    <mergeCell ref="B27:K28"/>
    <mergeCell ref="L27:AP28"/>
    <mergeCell ref="AQ27:AX28"/>
    <mergeCell ref="BA27:BF27"/>
    <mergeCell ref="BG27:BK27"/>
    <mergeCell ref="BL27:BQ27"/>
    <mergeCell ref="BR27:BV27"/>
    <mergeCell ref="BW27:CB27"/>
    <mergeCell ref="CC27:CG27"/>
    <mergeCell ref="CH27:CM27"/>
    <mergeCell ref="CN27:CR27"/>
    <mergeCell ref="CS27:CX27"/>
    <mergeCell ref="CY27:DC27"/>
    <mergeCell ref="DD27:DI27"/>
    <mergeCell ref="DL27:DQ27"/>
    <mergeCell ref="DR27:DV27"/>
    <mergeCell ref="DW27:EB27"/>
    <mergeCell ref="EH25:EM25"/>
    <mergeCell ref="EN25:ER25"/>
    <mergeCell ref="ES25:EX25"/>
    <mergeCell ref="EY25:FC25"/>
    <mergeCell ref="FD25:FI25"/>
    <mergeCell ref="FJ25:FN25"/>
    <mergeCell ref="FO25:FS25"/>
    <mergeCell ref="FT25:GW25"/>
    <mergeCell ref="BA26:BF26"/>
    <mergeCell ref="BG26:BK26"/>
    <mergeCell ref="BL26:BQ26"/>
    <mergeCell ref="BR26:BV26"/>
    <mergeCell ref="BW26:CB26"/>
    <mergeCell ref="CC26:CG26"/>
    <mergeCell ref="CH26:CM26"/>
    <mergeCell ref="CN26:CR26"/>
    <mergeCell ref="CS26:CX26"/>
    <mergeCell ref="CY26:DC26"/>
    <mergeCell ref="DD26:DI26"/>
    <mergeCell ref="DJ26:EM26"/>
    <mergeCell ref="EP26:EU26"/>
    <mergeCell ref="EV26:EZ26"/>
    <mergeCell ref="FA26:FF26"/>
    <mergeCell ref="FG26:FK26"/>
    <mergeCell ref="FR24:FV24"/>
    <mergeCell ref="FW24:GB24"/>
    <mergeCell ref="GC24:GG24"/>
    <mergeCell ref="GH24:GM24"/>
    <mergeCell ref="GN24:GR24"/>
    <mergeCell ref="GS24:GW24"/>
    <mergeCell ref="B25:K26"/>
    <mergeCell ref="L25:AP26"/>
    <mergeCell ref="AQ25:AX26"/>
    <mergeCell ref="BA25:BF25"/>
    <mergeCell ref="BG25:BK25"/>
    <mergeCell ref="BL25:BQ25"/>
    <mergeCell ref="BR25:BV25"/>
    <mergeCell ref="BW25:CB25"/>
    <mergeCell ref="CC25:CG25"/>
    <mergeCell ref="CH25:CM25"/>
    <mergeCell ref="CN25:CR25"/>
    <mergeCell ref="CS25:CX25"/>
    <mergeCell ref="CY25:DC25"/>
    <mergeCell ref="DD25:DI25"/>
    <mergeCell ref="DL25:DQ25"/>
    <mergeCell ref="DR25:DV25"/>
    <mergeCell ref="DW25:EB25"/>
    <mergeCell ref="EC25:EG25"/>
    <mergeCell ref="EN23:ER23"/>
    <mergeCell ref="ES23:EX23"/>
    <mergeCell ref="EY23:FC23"/>
    <mergeCell ref="FD23:FI23"/>
    <mergeCell ref="FJ23:FN23"/>
    <mergeCell ref="FO23:FS23"/>
    <mergeCell ref="FT23:GW23"/>
    <mergeCell ref="BA24:BF24"/>
    <mergeCell ref="BG24:BK24"/>
    <mergeCell ref="BL24:BQ24"/>
    <mergeCell ref="BR24:BV24"/>
    <mergeCell ref="BW24:CB24"/>
    <mergeCell ref="CC24:CG24"/>
    <mergeCell ref="CH24:CM24"/>
    <mergeCell ref="CN24:CR24"/>
    <mergeCell ref="CS24:CX24"/>
    <mergeCell ref="CY24:DC24"/>
    <mergeCell ref="DD24:DI24"/>
    <mergeCell ref="DJ24:EM24"/>
    <mergeCell ref="EP24:EU24"/>
    <mergeCell ref="EV24:EZ24"/>
    <mergeCell ref="FA24:FF24"/>
    <mergeCell ref="FG24:FK24"/>
    <mergeCell ref="FL24:FQ24"/>
    <mergeCell ref="FW22:GB22"/>
    <mergeCell ref="GC22:GG22"/>
    <mergeCell ref="GH22:GM22"/>
    <mergeCell ref="GN22:GR22"/>
    <mergeCell ref="GS22:GW22"/>
    <mergeCell ref="B23:K24"/>
    <mergeCell ref="L23:AP24"/>
    <mergeCell ref="AQ23:AX24"/>
    <mergeCell ref="BA23:BF23"/>
    <mergeCell ref="BG23:BK23"/>
    <mergeCell ref="BL23:BQ23"/>
    <mergeCell ref="BR23:BV23"/>
    <mergeCell ref="BW23:CB23"/>
    <mergeCell ref="CC23:CG23"/>
    <mergeCell ref="CH23:CM23"/>
    <mergeCell ref="CN23:CR23"/>
    <mergeCell ref="CS23:CX23"/>
    <mergeCell ref="CY23:DC23"/>
    <mergeCell ref="DD23:DI23"/>
    <mergeCell ref="DL23:DQ23"/>
    <mergeCell ref="DR23:DV23"/>
    <mergeCell ref="DW23:EB23"/>
    <mergeCell ref="EC23:EG23"/>
    <mergeCell ref="EH23:EM23"/>
    <mergeCell ref="CY22:DC22"/>
    <mergeCell ref="DD22:DI22"/>
    <mergeCell ref="DJ22:EM22"/>
    <mergeCell ref="EP22:EU22"/>
    <mergeCell ref="EV22:EZ22"/>
    <mergeCell ref="FA22:FF22"/>
    <mergeCell ref="FG22:FK22"/>
    <mergeCell ref="FL22:FQ22"/>
    <mergeCell ref="FR22:FV22"/>
    <mergeCell ref="BA22:BF22"/>
    <mergeCell ref="BG22:BK22"/>
    <mergeCell ref="BL22:BQ22"/>
    <mergeCell ref="BR22:BV22"/>
    <mergeCell ref="BW22:CB22"/>
    <mergeCell ref="CC22:CG22"/>
    <mergeCell ref="CH22:CM22"/>
    <mergeCell ref="CN22:CR22"/>
    <mergeCell ref="CS22:CX22"/>
    <mergeCell ref="EC21:EG21"/>
    <mergeCell ref="EH21:EM21"/>
    <mergeCell ref="EN21:ER21"/>
    <mergeCell ref="ES21:EX21"/>
    <mergeCell ref="EY21:FC21"/>
    <mergeCell ref="FD21:FI21"/>
    <mergeCell ref="FJ21:FN21"/>
    <mergeCell ref="FO21:FS21"/>
    <mergeCell ref="FT21:GW21"/>
    <mergeCell ref="FL20:FQ20"/>
    <mergeCell ref="FR20:FV20"/>
    <mergeCell ref="FW20:GB20"/>
    <mergeCell ref="GC20:GG20"/>
    <mergeCell ref="GH20:GM20"/>
    <mergeCell ref="GN20:GR20"/>
    <mergeCell ref="GS20:GW20"/>
    <mergeCell ref="B21:K22"/>
    <mergeCell ref="L21:AP22"/>
    <mergeCell ref="AQ21:AX22"/>
    <mergeCell ref="BA21:BF21"/>
    <mergeCell ref="BG21:BK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EH19:EM19"/>
    <mergeCell ref="EN19:ER19"/>
    <mergeCell ref="ES19:EX19"/>
    <mergeCell ref="EY19:FC19"/>
    <mergeCell ref="FD19:FI19"/>
    <mergeCell ref="FJ19:FN19"/>
    <mergeCell ref="FO19:FS19"/>
    <mergeCell ref="FT19:GW19"/>
    <mergeCell ref="BA20:BF20"/>
    <mergeCell ref="BG20:BK20"/>
    <mergeCell ref="BL20:BQ20"/>
    <mergeCell ref="BR20:BV20"/>
    <mergeCell ref="BW20:CB20"/>
    <mergeCell ref="CC20:CG20"/>
    <mergeCell ref="CH20:CM20"/>
    <mergeCell ref="CN20:CR20"/>
    <mergeCell ref="CS20:CX20"/>
    <mergeCell ref="CY20:DC20"/>
    <mergeCell ref="DD20:DI20"/>
    <mergeCell ref="DJ20:EM20"/>
    <mergeCell ref="EP20:EU20"/>
    <mergeCell ref="EV20:EZ20"/>
    <mergeCell ref="FA20:FF20"/>
    <mergeCell ref="FG20:FK20"/>
    <mergeCell ref="FR18:FV18"/>
    <mergeCell ref="FW18:GB18"/>
    <mergeCell ref="GC18:GG18"/>
    <mergeCell ref="GH18:GM18"/>
    <mergeCell ref="GN18:GR18"/>
    <mergeCell ref="GS18:GW18"/>
    <mergeCell ref="B19:K20"/>
    <mergeCell ref="L19:AP20"/>
    <mergeCell ref="AQ19:AX20"/>
    <mergeCell ref="BA19:BF19"/>
    <mergeCell ref="BG19:BK19"/>
    <mergeCell ref="BL19:BQ19"/>
    <mergeCell ref="BR19:BV19"/>
    <mergeCell ref="BW19:CB19"/>
    <mergeCell ref="CC19:CG19"/>
    <mergeCell ref="CH19:CM19"/>
    <mergeCell ref="CN19:CR19"/>
    <mergeCell ref="CS19:CX19"/>
    <mergeCell ref="CY19:DC19"/>
    <mergeCell ref="DD19:DI19"/>
    <mergeCell ref="DL19:DQ19"/>
    <mergeCell ref="DR19:DV19"/>
    <mergeCell ref="DW19:EB19"/>
    <mergeCell ref="EC19:EG19"/>
    <mergeCell ref="EN17:ER17"/>
    <mergeCell ref="ES17:EX17"/>
    <mergeCell ref="EY17:FC17"/>
    <mergeCell ref="FD17:FI17"/>
    <mergeCell ref="FJ17:FN17"/>
    <mergeCell ref="FO17:FS17"/>
    <mergeCell ref="FT17:GW17"/>
    <mergeCell ref="BA18:BF18"/>
    <mergeCell ref="BG18:BK18"/>
    <mergeCell ref="BL18:BQ18"/>
    <mergeCell ref="BR18:BV18"/>
    <mergeCell ref="BW18:CB18"/>
    <mergeCell ref="CC18:CG18"/>
    <mergeCell ref="CH18:CM18"/>
    <mergeCell ref="CN18:CR18"/>
    <mergeCell ref="CS18:CX18"/>
    <mergeCell ref="CY18:DC18"/>
    <mergeCell ref="DD18:DI18"/>
    <mergeCell ref="DJ18:EM18"/>
    <mergeCell ref="EP18:EU18"/>
    <mergeCell ref="EV18:EZ18"/>
    <mergeCell ref="FA18:FF18"/>
    <mergeCell ref="FG18:FK18"/>
    <mergeCell ref="FL18:FQ18"/>
    <mergeCell ref="FW16:GB16"/>
    <mergeCell ref="GC16:GG16"/>
    <mergeCell ref="GH16:GM16"/>
    <mergeCell ref="GN16:GR16"/>
    <mergeCell ref="GS16:GW16"/>
    <mergeCell ref="B17:K18"/>
    <mergeCell ref="L17:AP18"/>
    <mergeCell ref="AQ17:AX18"/>
    <mergeCell ref="BA17:BF17"/>
    <mergeCell ref="BG17:BK17"/>
    <mergeCell ref="BL17:BQ17"/>
    <mergeCell ref="BR17:BV17"/>
    <mergeCell ref="BW17:CB17"/>
    <mergeCell ref="CC17:CG17"/>
    <mergeCell ref="CH17:CM17"/>
    <mergeCell ref="CN17:CR17"/>
    <mergeCell ref="CS17:CX17"/>
    <mergeCell ref="CY17:DC17"/>
    <mergeCell ref="DD17:DI17"/>
    <mergeCell ref="DL17:DQ17"/>
    <mergeCell ref="DR17:DV17"/>
    <mergeCell ref="DW17:EB17"/>
    <mergeCell ref="EC17:EG17"/>
    <mergeCell ref="EH17:EM17"/>
    <mergeCell ref="CY16:DC16"/>
    <mergeCell ref="DD16:DI16"/>
    <mergeCell ref="DJ16:EM16"/>
    <mergeCell ref="EP16:EU16"/>
    <mergeCell ref="EV16:EZ16"/>
    <mergeCell ref="FA16:FF16"/>
    <mergeCell ref="FG16:FK16"/>
    <mergeCell ref="FL16:FQ16"/>
    <mergeCell ref="FR16:FV16"/>
    <mergeCell ref="BA16:BF16"/>
    <mergeCell ref="BG16:BK16"/>
    <mergeCell ref="BL16:BQ16"/>
    <mergeCell ref="BR16:BV16"/>
    <mergeCell ref="BW16:CB16"/>
    <mergeCell ref="CC16:CG16"/>
    <mergeCell ref="CH16:CM16"/>
    <mergeCell ref="CN16:CR16"/>
    <mergeCell ref="CS16:CX16"/>
    <mergeCell ref="EC15:EG15"/>
    <mergeCell ref="EH15:EM15"/>
    <mergeCell ref="EN15:ER15"/>
    <mergeCell ref="ES15:EX15"/>
    <mergeCell ref="EY15:FC15"/>
    <mergeCell ref="FD15:FI15"/>
    <mergeCell ref="FJ15:FN15"/>
    <mergeCell ref="FO15:FS15"/>
    <mergeCell ref="FT15:GW15"/>
    <mergeCell ref="FL14:FQ14"/>
    <mergeCell ref="FR14:FV14"/>
    <mergeCell ref="FW14:GB14"/>
    <mergeCell ref="GC14:GG14"/>
    <mergeCell ref="GH14:GM14"/>
    <mergeCell ref="GN14:GR14"/>
    <mergeCell ref="GS14:GW14"/>
    <mergeCell ref="B15:K16"/>
    <mergeCell ref="L15:AP16"/>
    <mergeCell ref="AQ15:AX16"/>
    <mergeCell ref="BA15:BF15"/>
    <mergeCell ref="BG15:BK15"/>
    <mergeCell ref="BL15:BQ15"/>
    <mergeCell ref="BR15:BV15"/>
    <mergeCell ref="BW15:CB15"/>
    <mergeCell ref="CC15:CG15"/>
    <mergeCell ref="CH15:CM15"/>
    <mergeCell ref="CN15:CR15"/>
    <mergeCell ref="CS15:CX15"/>
    <mergeCell ref="CY15:DC15"/>
    <mergeCell ref="DD15:DI15"/>
    <mergeCell ref="DL15:DQ15"/>
    <mergeCell ref="DR15:DV15"/>
    <mergeCell ref="DW15:EB15"/>
    <mergeCell ref="EH13:EM13"/>
    <mergeCell ref="EN13:ER13"/>
    <mergeCell ref="ES13:EX13"/>
    <mergeCell ref="EY13:FC13"/>
    <mergeCell ref="FD13:FI13"/>
    <mergeCell ref="FJ13:FN13"/>
    <mergeCell ref="FO13:FS13"/>
    <mergeCell ref="FT13:GW13"/>
    <mergeCell ref="BA14:BF14"/>
    <mergeCell ref="BG14:BK14"/>
    <mergeCell ref="BL14:BQ14"/>
    <mergeCell ref="BR14:BV14"/>
    <mergeCell ref="BW14:CB14"/>
    <mergeCell ref="CC14:CG14"/>
    <mergeCell ref="CH14:CM14"/>
    <mergeCell ref="CN14:CR14"/>
    <mergeCell ref="CS14:CX14"/>
    <mergeCell ref="CY14:DC14"/>
    <mergeCell ref="DD14:DI14"/>
    <mergeCell ref="DJ14:EM14"/>
    <mergeCell ref="EP14:EU14"/>
    <mergeCell ref="EV14:EZ14"/>
    <mergeCell ref="FA14:FF14"/>
    <mergeCell ref="FG14:FK14"/>
    <mergeCell ref="FR12:FV12"/>
    <mergeCell ref="FW12:GB12"/>
    <mergeCell ref="GC12:GG12"/>
    <mergeCell ref="GH12:GM12"/>
    <mergeCell ref="GN12:GR12"/>
    <mergeCell ref="GS12:GW12"/>
    <mergeCell ref="B13:K14"/>
    <mergeCell ref="L13:AP14"/>
    <mergeCell ref="AQ13:AX14"/>
    <mergeCell ref="BA13:BF13"/>
    <mergeCell ref="BG13:BK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EC13:EG13"/>
    <mergeCell ref="EN11:ER11"/>
    <mergeCell ref="ES11:EX11"/>
    <mergeCell ref="EY11:FC11"/>
    <mergeCell ref="FD11:FI11"/>
    <mergeCell ref="FJ11:FN11"/>
    <mergeCell ref="FO11:FS11"/>
    <mergeCell ref="FT11:GW11"/>
    <mergeCell ref="BA12:BF12"/>
    <mergeCell ref="BG12:BK12"/>
    <mergeCell ref="BL12:BQ12"/>
    <mergeCell ref="BR12:BV12"/>
    <mergeCell ref="BW12:CB12"/>
    <mergeCell ref="CC12:CG12"/>
    <mergeCell ref="CH12:CM12"/>
    <mergeCell ref="CN12:CR12"/>
    <mergeCell ref="CS12:CX12"/>
    <mergeCell ref="CY12:DC12"/>
    <mergeCell ref="DD12:DI12"/>
    <mergeCell ref="DJ12:EM12"/>
    <mergeCell ref="EP12:EU12"/>
    <mergeCell ref="EV12:EZ12"/>
    <mergeCell ref="FA12:FF12"/>
    <mergeCell ref="FG12:FK12"/>
    <mergeCell ref="FL12:FQ12"/>
    <mergeCell ref="FW10:GB10"/>
    <mergeCell ref="GC10:GG10"/>
    <mergeCell ref="GH10:GM10"/>
    <mergeCell ref="GN10:GR10"/>
    <mergeCell ref="GS10:GW10"/>
    <mergeCell ref="B11:K12"/>
    <mergeCell ref="L11:AP12"/>
    <mergeCell ref="AQ11:AX12"/>
    <mergeCell ref="BA11:BF11"/>
    <mergeCell ref="BG11:BK11"/>
    <mergeCell ref="BL11:BQ11"/>
    <mergeCell ref="BR11:BV11"/>
    <mergeCell ref="BW11:CB11"/>
    <mergeCell ref="CC11:CG11"/>
    <mergeCell ref="CH11:CM11"/>
    <mergeCell ref="CN11:CR11"/>
    <mergeCell ref="CS11:CX11"/>
    <mergeCell ref="CY11:DC11"/>
    <mergeCell ref="DD11:DI11"/>
    <mergeCell ref="DL11:DQ11"/>
    <mergeCell ref="DR11:DV11"/>
    <mergeCell ref="DW11:EB11"/>
    <mergeCell ref="EC11:EG11"/>
    <mergeCell ref="EH11:EM11"/>
    <mergeCell ref="CY10:DC10"/>
    <mergeCell ref="DD10:DI10"/>
    <mergeCell ref="DJ10:EM10"/>
    <mergeCell ref="EP10:EU10"/>
    <mergeCell ref="EV10:EZ10"/>
    <mergeCell ref="FA10:FF10"/>
    <mergeCell ref="FG10:FK10"/>
    <mergeCell ref="FL10:FQ10"/>
    <mergeCell ref="FR10:FV10"/>
    <mergeCell ref="BA10:BF10"/>
    <mergeCell ref="BG10:BK10"/>
    <mergeCell ref="BL10:BQ10"/>
    <mergeCell ref="BR10:BV10"/>
    <mergeCell ref="BW10:CB10"/>
    <mergeCell ref="CC10:CG10"/>
    <mergeCell ref="CH10:CM10"/>
    <mergeCell ref="CN10:CR10"/>
    <mergeCell ref="CS10:CX10"/>
    <mergeCell ref="EC9:EG9"/>
    <mergeCell ref="EH9:EM9"/>
    <mergeCell ref="EN9:ER9"/>
    <mergeCell ref="ES9:EX9"/>
    <mergeCell ref="EY9:FC9"/>
    <mergeCell ref="FD9:FI9"/>
    <mergeCell ref="FJ9:FN9"/>
    <mergeCell ref="FO9:FS9"/>
    <mergeCell ref="FT9:GW9"/>
    <mergeCell ref="FL8:FQ8"/>
    <mergeCell ref="FR8:FV8"/>
    <mergeCell ref="FW8:GB8"/>
    <mergeCell ref="GC8:GG8"/>
    <mergeCell ref="GH8:GM8"/>
    <mergeCell ref="GN8:GR8"/>
    <mergeCell ref="GS8:GW8"/>
    <mergeCell ref="B9:K10"/>
    <mergeCell ref="L9:AP10"/>
    <mergeCell ref="AQ9:AX10"/>
    <mergeCell ref="BA9:BF9"/>
    <mergeCell ref="BG9:BK9"/>
    <mergeCell ref="BL9:BQ9"/>
    <mergeCell ref="BR9:BV9"/>
    <mergeCell ref="BW9:CB9"/>
    <mergeCell ref="CC9:CG9"/>
    <mergeCell ref="CH9:CM9"/>
    <mergeCell ref="CN9:CR9"/>
    <mergeCell ref="CS9:CX9"/>
    <mergeCell ref="CY9:DC9"/>
    <mergeCell ref="DD9:DI9"/>
    <mergeCell ref="DL9:DQ9"/>
    <mergeCell ref="DR9:DV9"/>
    <mergeCell ref="DW9:EB9"/>
    <mergeCell ref="EH7:EM7"/>
    <mergeCell ref="EN7:ER7"/>
    <mergeCell ref="ES7:EX7"/>
    <mergeCell ref="EY7:FC7"/>
    <mergeCell ref="FD7:FI7"/>
    <mergeCell ref="FJ7:FN7"/>
    <mergeCell ref="FO7:FS7"/>
    <mergeCell ref="FT7:GW7"/>
    <mergeCell ref="BA8:BF8"/>
    <mergeCell ref="BG8:BK8"/>
    <mergeCell ref="BL8:BQ8"/>
    <mergeCell ref="BR8:BV8"/>
    <mergeCell ref="BW8:CB8"/>
    <mergeCell ref="CC8:CG8"/>
    <mergeCell ref="CH8:CM8"/>
    <mergeCell ref="CN8:CR8"/>
    <mergeCell ref="CS8:CX8"/>
    <mergeCell ref="CY8:DC8"/>
    <mergeCell ref="DD8:DI8"/>
    <mergeCell ref="DJ8:EM8"/>
    <mergeCell ref="EP8:EU8"/>
    <mergeCell ref="EV8:EZ8"/>
    <mergeCell ref="FA8:FF8"/>
    <mergeCell ref="FG8:FK8"/>
    <mergeCell ref="CH7:CM7"/>
    <mergeCell ref="CN7:CR7"/>
    <mergeCell ref="CS7:CX7"/>
    <mergeCell ref="CY7:DC7"/>
    <mergeCell ref="DD7:DI7"/>
    <mergeCell ref="DL7:DQ7"/>
    <mergeCell ref="DR7:DV7"/>
    <mergeCell ref="DW7:EB7"/>
    <mergeCell ref="EC7:EG7"/>
    <mergeCell ref="B7:K8"/>
    <mergeCell ref="L7:AP8"/>
    <mergeCell ref="AQ7:AX8"/>
    <mergeCell ref="BA7:BF7"/>
    <mergeCell ref="BG7:BK7"/>
    <mergeCell ref="BL7:BQ7"/>
    <mergeCell ref="BR7:BV7"/>
    <mergeCell ref="BW7:CB7"/>
    <mergeCell ref="CC7:CG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33333333333304" right="0.70833333333333304" top="0.78749999999999998" bottom="0.78749999999999998" header="0.51180555555555496" footer="0.51180555555555496"/>
  <pageSetup paperSize="9" firstPageNumber="0" orientation="portrait" horizontalDpi="300" verticalDpi="300"/>
  <rowBreaks count="1" manualBreakCount="1">
    <brk id="36" max="16383" man="1"/>
  </rowBreaks>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Normal="100" workbookViewId="0"/>
  </sheetViews>
  <sheetFormatPr defaultRowHeight="15" x14ac:dyDescent="0.25"/>
  <cols>
    <col min="1" max="1025" width="0.42578125" customWidth="1"/>
  </cols>
  <sheetData>
    <row r="1" spans="1:205" ht="3.75" customHeight="1" x14ac:dyDescent="0.25">
      <c r="A1" s="642"/>
    </row>
    <row r="2" spans="1:205" ht="25.5" customHeight="1" x14ac:dyDescent="0.25">
      <c r="B2" s="643"/>
      <c r="C2" s="644"/>
      <c r="D2" s="644"/>
      <c r="E2" s="644"/>
      <c r="F2" s="644"/>
      <c r="G2" s="644"/>
      <c r="H2" s="644"/>
      <c r="J2" s="957" t="s">
        <v>5348</v>
      </c>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J2" s="957"/>
      <c r="AK2" s="958" t="s">
        <v>2327</v>
      </c>
      <c r="AL2" s="958"/>
      <c r="AM2" s="958"/>
      <c r="AN2" s="958"/>
      <c r="AO2" s="958"/>
      <c r="AP2" s="958"/>
      <c r="AQ2" s="958"/>
      <c r="AR2" s="958"/>
      <c r="AS2" s="645"/>
      <c r="AT2" s="986" t="str">
        <f>'S 002'!$AT$2</f>
        <v>2020473411</v>
      </c>
      <c r="AU2" s="986"/>
      <c r="AV2" s="986"/>
      <c r="AW2" s="986"/>
      <c r="AX2" s="986"/>
      <c r="AY2" s="986"/>
      <c r="AZ2" s="986"/>
      <c r="BA2" s="986"/>
      <c r="BB2" s="986"/>
      <c r="BC2" s="986"/>
      <c r="BD2" s="986"/>
      <c r="BE2" s="986"/>
      <c r="BF2" s="986"/>
      <c r="BG2" s="986"/>
      <c r="BH2" s="986"/>
      <c r="BI2" s="986"/>
      <c r="BJ2" s="986"/>
      <c r="BK2" s="986"/>
      <c r="BL2" s="986"/>
      <c r="BM2" s="986"/>
      <c r="BN2" s="986"/>
      <c r="BO2" s="986"/>
      <c r="BP2" s="986"/>
      <c r="BQ2" s="986"/>
      <c r="BR2" s="986"/>
      <c r="BS2" s="986"/>
      <c r="BT2" s="986"/>
      <c r="BU2" s="986"/>
      <c r="BV2" s="986"/>
      <c r="BW2" s="986"/>
      <c r="BX2" s="986"/>
      <c r="BY2" s="986"/>
      <c r="BZ2" s="986"/>
      <c r="CA2" s="986"/>
      <c r="CB2" s="986"/>
      <c r="CC2" s="986"/>
      <c r="CD2" s="986"/>
      <c r="CE2" s="986"/>
      <c r="CF2" s="986"/>
      <c r="CG2" s="986"/>
      <c r="CH2" s="986"/>
      <c r="CI2" s="986"/>
      <c r="CJ2" s="986"/>
      <c r="CK2" s="986"/>
      <c r="CL2" s="986"/>
      <c r="CM2" s="986"/>
      <c r="CN2" s="986"/>
      <c r="CO2" s="986"/>
      <c r="CP2" s="986"/>
      <c r="CQ2" s="986"/>
      <c r="CR2" s="986"/>
      <c r="CS2" s="986"/>
      <c r="CT2" s="645"/>
      <c r="CU2" s="646"/>
      <c r="CW2" s="958" t="s">
        <v>5</v>
      </c>
      <c r="CX2" s="958"/>
      <c r="CY2" s="958"/>
      <c r="CZ2" s="958"/>
      <c r="DA2" s="958"/>
      <c r="DB2" s="958"/>
      <c r="DC2" s="958"/>
      <c r="DD2" s="645"/>
      <c r="DE2" s="986" t="str">
        <f>'S 002'!$DE$2</f>
        <v>00651052</v>
      </c>
      <c r="DF2" s="986"/>
      <c r="DG2" s="986"/>
      <c r="DH2" s="986"/>
      <c r="DI2" s="986"/>
      <c r="DJ2" s="986"/>
      <c r="DK2" s="986"/>
      <c r="DL2" s="986"/>
      <c r="DM2" s="986"/>
      <c r="DN2" s="986"/>
      <c r="DO2" s="986"/>
      <c r="DP2" s="986"/>
      <c r="DQ2" s="986"/>
      <c r="DR2" s="986"/>
      <c r="DS2" s="986"/>
      <c r="DT2" s="986"/>
      <c r="DU2" s="986"/>
      <c r="DV2" s="986"/>
      <c r="DW2" s="986"/>
      <c r="DX2" s="986"/>
      <c r="DY2" s="986"/>
      <c r="DZ2" s="986"/>
      <c r="EA2" s="986"/>
      <c r="EB2" s="986"/>
      <c r="EC2" s="986"/>
      <c r="ED2" s="986"/>
      <c r="EE2" s="986"/>
      <c r="EF2" s="986"/>
      <c r="EG2" s="986"/>
      <c r="EH2" s="986"/>
      <c r="EI2" s="986"/>
      <c r="EJ2" s="986"/>
      <c r="EK2" s="986"/>
      <c r="EL2" s="986"/>
      <c r="EM2" s="986"/>
      <c r="EN2" s="986"/>
      <c r="EO2" s="986"/>
      <c r="EP2" s="986"/>
      <c r="EQ2" s="986"/>
      <c r="ER2" s="986"/>
      <c r="ES2" s="986"/>
      <c r="ET2" s="986"/>
      <c r="EU2" s="986"/>
      <c r="EV2" s="645"/>
      <c r="EW2" s="646"/>
      <c r="GQ2" s="644"/>
      <c r="GR2" s="644"/>
      <c r="GS2" s="644"/>
      <c r="GT2" s="644"/>
      <c r="GU2" s="644"/>
      <c r="GV2" s="644"/>
      <c r="GW2" s="647"/>
    </row>
    <row r="3" spans="1:205" ht="3" customHeight="1" x14ac:dyDescent="0.25"/>
    <row r="4" spans="1:205" ht="11.25" customHeight="1" x14ac:dyDescent="0.3">
      <c r="B4" s="960" t="s">
        <v>5340</v>
      </c>
      <c r="C4" s="960"/>
      <c r="D4" s="960"/>
      <c r="E4" s="960"/>
      <c r="F4" s="960"/>
      <c r="G4" s="960"/>
      <c r="H4" s="960"/>
      <c r="I4" s="960"/>
      <c r="J4" s="960"/>
      <c r="K4" s="960"/>
      <c r="L4" s="961" t="s">
        <v>5341</v>
      </c>
      <c r="M4" s="961"/>
      <c r="N4" s="961"/>
      <c r="O4" s="961"/>
      <c r="P4" s="961"/>
      <c r="Q4" s="961"/>
      <c r="R4" s="961"/>
      <c r="S4" s="961"/>
      <c r="T4" s="961"/>
      <c r="U4" s="961"/>
      <c r="V4" s="961"/>
      <c r="W4" s="961"/>
      <c r="X4" s="961"/>
      <c r="Y4" s="961"/>
      <c r="Z4" s="961"/>
      <c r="AA4" s="961"/>
      <c r="AB4" s="961"/>
      <c r="AC4" s="961"/>
      <c r="AD4" s="961"/>
      <c r="AE4" s="961"/>
      <c r="AF4" s="961"/>
      <c r="AG4" s="961"/>
      <c r="AH4" s="961"/>
      <c r="AI4" s="961"/>
      <c r="AJ4" s="961"/>
      <c r="AK4" s="961"/>
      <c r="AL4" s="961"/>
      <c r="AM4" s="961"/>
      <c r="AN4" s="961"/>
      <c r="AO4" s="961"/>
      <c r="AP4" s="961"/>
      <c r="AQ4" s="962" t="str">
        <f>'S 003'!AQ4</f>
        <v>Číslo riadku</v>
      </c>
      <c r="AR4" s="962"/>
      <c r="AS4" s="962"/>
      <c r="AT4" s="962"/>
      <c r="AU4" s="962"/>
      <c r="AV4" s="962"/>
      <c r="AW4" s="962"/>
      <c r="AX4" s="962"/>
      <c r="AY4" s="963" t="str">
        <f>'S 003'!AY4</f>
        <v>Bežné účtovné obdobie</v>
      </c>
      <c r="AZ4" s="963"/>
      <c r="BA4" s="963"/>
      <c r="BB4" s="963"/>
      <c r="BC4" s="963"/>
      <c r="BD4" s="963"/>
      <c r="BE4" s="963"/>
      <c r="BF4" s="963"/>
      <c r="BG4" s="963"/>
      <c r="BH4" s="963"/>
      <c r="BI4" s="963"/>
      <c r="BJ4" s="963"/>
      <c r="BK4" s="963"/>
      <c r="BL4" s="963"/>
      <c r="BM4" s="963"/>
      <c r="BN4" s="963"/>
      <c r="BO4" s="963"/>
      <c r="BP4" s="963"/>
      <c r="BQ4" s="963"/>
      <c r="BR4" s="963"/>
      <c r="BS4" s="963"/>
      <c r="BT4" s="963"/>
      <c r="BU4" s="963"/>
      <c r="BV4" s="963"/>
      <c r="BW4" s="963"/>
      <c r="BX4" s="963"/>
      <c r="BY4" s="963"/>
      <c r="BZ4" s="963"/>
      <c r="CA4" s="963"/>
      <c r="CB4" s="963"/>
      <c r="CC4" s="963"/>
      <c r="CD4" s="963"/>
      <c r="CE4" s="963"/>
      <c r="CF4" s="963"/>
      <c r="CG4" s="963"/>
      <c r="CH4" s="963"/>
      <c r="CI4" s="963"/>
      <c r="CJ4" s="963"/>
      <c r="CK4" s="963"/>
      <c r="CL4" s="963"/>
      <c r="CM4" s="963"/>
      <c r="CN4" s="963"/>
      <c r="CO4" s="963"/>
      <c r="CP4" s="963"/>
      <c r="CQ4" s="963"/>
      <c r="CR4" s="963"/>
      <c r="CS4" s="963"/>
      <c r="CT4" s="963"/>
      <c r="CU4" s="963"/>
      <c r="CV4" s="963"/>
      <c r="CW4" s="963"/>
      <c r="CX4" s="963"/>
      <c r="CY4" s="963"/>
      <c r="CZ4" s="963"/>
      <c r="DA4" s="963"/>
      <c r="DB4" s="963"/>
      <c r="DC4" s="963"/>
      <c r="DD4" s="963"/>
      <c r="DE4" s="963"/>
      <c r="DF4" s="963"/>
      <c r="DG4" s="963"/>
      <c r="DH4" s="963"/>
      <c r="DI4" s="963"/>
      <c r="DJ4" s="963"/>
      <c r="DK4" s="963"/>
      <c r="DL4" s="963"/>
      <c r="DM4" s="963"/>
      <c r="DN4" s="963"/>
      <c r="DO4" s="963"/>
      <c r="DP4" s="963"/>
      <c r="DQ4" s="963"/>
      <c r="DR4" s="963"/>
      <c r="DS4" s="963"/>
      <c r="DT4" s="963"/>
      <c r="DU4" s="963"/>
      <c r="DV4" s="963"/>
      <c r="DW4" s="963"/>
      <c r="DX4" s="963"/>
      <c r="DY4" s="963"/>
      <c r="DZ4" s="963"/>
      <c r="EA4" s="963"/>
      <c r="EB4" s="963"/>
      <c r="EC4" s="963"/>
      <c r="ED4" s="963"/>
      <c r="EE4" s="963"/>
      <c r="EF4" s="963"/>
      <c r="EG4" s="963"/>
      <c r="EH4" s="963"/>
      <c r="EI4" s="963"/>
      <c r="EJ4" s="963"/>
      <c r="EK4" s="963"/>
      <c r="EL4" s="963"/>
      <c r="EM4" s="963"/>
      <c r="EN4" s="963"/>
      <c r="EO4" s="963"/>
      <c r="EP4" s="963"/>
      <c r="EQ4" s="963"/>
      <c r="ER4" s="963"/>
      <c r="ES4" s="963"/>
      <c r="ET4" s="963"/>
      <c r="EU4" s="963"/>
      <c r="EV4" s="963"/>
      <c r="EW4" s="963"/>
      <c r="EX4" s="963"/>
      <c r="EY4" s="963"/>
      <c r="EZ4" s="963"/>
      <c r="FA4" s="963"/>
      <c r="FB4" s="963"/>
      <c r="FC4" s="987">
        <f>'S 003'!FC4</f>
        <v>0</v>
      </c>
      <c r="FD4" s="987"/>
      <c r="FE4" s="987"/>
      <c r="FF4" s="987"/>
      <c r="FG4" s="987"/>
      <c r="FH4" s="987"/>
      <c r="FI4" s="987"/>
      <c r="FJ4" s="987"/>
      <c r="FK4" s="987"/>
      <c r="FL4" s="987"/>
      <c r="FM4" s="987"/>
      <c r="FN4" s="987"/>
      <c r="FO4" s="987"/>
      <c r="FP4" s="987"/>
      <c r="FQ4" s="987"/>
      <c r="FR4" s="987"/>
      <c r="FS4" s="987"/>
      <c r="FT4" s="987"/>
      <c r="FU4" s="987"/>
      <c r="FV4" s="987"/>
      <c r="FW4" s="987"/>
      <c r="FX4" s="987"/>
      <c r="FY4" s="987"/>
      <c r="FZ4" s="987"/>
      <c r="GA4" s="987"/>
      <c r="GB4" s="987"/>
      <c r="GC4" s="987"/>
      <c r="GD4" s="987"/>
      <c r="GE4" s="987"/>
      <c r="GF4" s="987"/>
      <c r="GG4" s="987"/>
      <c r="GH4" s="987"/>
      <c r="GI4" s="987"/>
      <c r="GJ4" s="987"/>
      <c r="GK4" s="987"/>
      <c r="GL4" s="987"/>
      <c r="GM4" s="987"/>
      <c r="GN4" s="987"/>
      <c r="GO4" s="987"/>
      <c r="GP4" s="987"/>
      <c r="GQ4" s="987"/>
      <c r="GR4" s="987"/>
      <c r="GS4" s="987"/>
      <c r="GT4" s="987"/>
      <c r="GU4" s="987"/>
      <c r="GV4" s="987"/>
      <c r="GW4" s="987"/>
    </row>
    <row r="5" spans="1:205" ht="11.25" customHeight="1" x14ac:dyDescent="0.3">
      <c r="B5" s="965" t="s">
        <v>5342</v>
      </c>
      <c r="C5" s="965"/>
      <c r="D5" s="965"/>
      <c r="E5" s="965"/>
      <c r="F5" s="965"/>
      <c r="G5" s="965"/>
      <c r="H5" s="965"/>
      <c r="I5" s="965"/>
      <c r="J5" s="965"/>
      <c r="K5" s="965"/>
      <c r="L5" s="961"/>
      <c r="M5" s="961"/>
      <c r="N5" s="961"/>
      <c r="O5" s="961"/>
      <c r="P5" s="961"/>
      <c r="Q5" s="961"/>
      <c r="R5" s="961"/>
      <c r="S5" s="961"/>
      <c r="T5" s="961"/>
      <c r="U5" s="961"/>
      <c r="V5" s="961"/>
      <c r="W5" s="961"/>
      <c r="X5" s="961"/>
      <c r="Y5" s="961"/>
      <c r="Z5" s="961"/>
      <c r="AA5" s="961"/>
      <c r="AB5" s="961"/>
      <c r="AC5" s="961"/>
      <c r="AD5" s="961"/>
      <c r="AE5" s="961"/>
      <c r="AF5" s="961"/>
      <c r="AG5" s="961"/>
      <c r="AH5" s="961"/>
      <c r="AI5" s="961"/>
      <c r="AJ5" s="961"/>
      <c r="AK5" s="961"/>
      <c r="AL5" s="961"/>
      <c r="AM5" s="961"/>
      <c r="AN5" s="961"/>
      <c r="AO5" s="961"/>
      <c r="AP5" s="961"/>
      <c r="AQ5" s="962"/>
      <c r="AR5" s="962"/>
      <c r="AS5" s="962"/>
      <c r="AT5" s="962"/>
      <c r="AU5" s="962"/>
      <c r="AV5" s="962"/>
      <c r="AW5" s="962"/>
      <c r="AX5" s="962"/>
      <c r="AY5" s="993">
        <f>'S 003'!AY5</f>
        <v>0</v>
      </c>
      <c r="AZ5" s="993"/>
      <c r="BA5" s="993"/>
      <c r="BB5" s="993"/>
      <c r="BC5" s="993"/>
      <c r="BD5" s="993"/>
      <c r="BE5" s="967" t="str">
        <f>'S 003'!BE5</f>
        <v>Brutto-časť 1</v>
      </c>
      <c r="BF5" s="967"/>
      <c r="BG5" s="967"/>
      <c r="BH5" s="967"/>
      <c r="BI5" s="967"/>
      <c r="BJ5" s="967"/>
      <c r="BK5" s="967"/>
      <c r="BL5" s="967"/>
      <c r="BM5" s="967"/>
      <c r="BN5" s="967"/>
      <c r="BO5" s="967"/>
      <c r="BP5" s="967"/>
      <c r="BQ5" s="967"/>
      <c r="BR5" s="967"/>
      <c r="BS5" s="967"/>
      <c r="BT5" s="967"/>
      <c r="BU5" s="967"/>
      <c r="BV5" s="967"/>
      <c r="BW5" s="967"/>
      <c r="BX5" s="967"/>
      <c r="BY5" s="967"/>
      <c r="BZ5" s="967"/>
      <c r="CA5" s="967"/>
      <c r="CB5" s="967"/>
      <c r="CC5" s="967"/>
      <c r="CD5" s="967"/>
      <c r="CE5" s="967"/>
      <c r="CF5" s="967"/>
      <c r="CG5" s="967"/>
      <c r="CH5" s="967"/>
      <c r="CI5" s="967"/>
      <c r="CJ5" s="967"/>
      <c r="CK5" s="967"/>
      <c r="CL5" s="967"/>
      <c r="CM5" s="967"/>
      <c r="CN5" s="967"/>
      <c r="CO5" s="967"/>
      <c r="CP5" s="967"/>
      <c r="CQ5" s="967"/>
      <c r="CR5" s="967"/>
      <c r="CS5" s="967"/>
      <c r="CT5" s="967"/>
      <c r="CU5" s="967"/>
      <c r="CV5" s="967"/>
      <c r="CW5" s="967"/>
      <c r="CX5" s="967"/>
      <c r="CY5" s="967"/>
      <c r="CZ5" s="967"/>
      <c r="DA5" s="967"/>
      <c r="DB5" s="967"/>
      <c r="DC5" s="967"/>
      <c r="DD5" s="967"/>
      <c r="DE5" s="967"/>
      <c r="DF5" s="967"/>
      <c r="DG5" s="967"/>
      <c r="DH5" s="967"/>
      <c r="DI5" s="967"/>
      <c r="DJ5" s="963" t="str">
        <f>'S 003'!DJ5</f>
        <v>Netto</v>
      </c>
      <c r="DK5" s="963"/>
      <c r="DL5" s="963"/>
      <c r="DM5" s="963"/>
      <c r="DN5" s="963"/>
      <c r="DO5" s="963"/>
      <c r="DP5" s="963"/>
      <c r="DQ5" s="963"/>
      <c r="DR5" s="963"/>
      <c r="DS5" s="963"/>
      <c r="DT5" s="963"/>
      <c r="DU5" s="963"/>
      <c r="DV5" s="963"/>
      <c r="DW5" s="963"/>
      <c r="DX5" s="963"/>
      <c r="DY5" s="963"/>
      <c r="DZ5" s="963"/>
      <c r="EA5" s="963"/>
      <c r="EB5" s="963"/>
      <c r="EC5" s="963"/>
      <c r="ED5" s="963"/>
      <c r="EE5" s="963"/>
      <c r="EF5" s="963"/>
      <c r="EG5" s="963"/>
      <c r="EH5" s="963"/>
      <c r="EI5" s="963"/>
      <c r="EJ5" s="963"/>
      <c r="EK5" s="963"/>
      <c r="EL5" s="963"/>
      <c r="EM5" s="963"/>
      <c r="EN5" s="963"/>
      <c r="EO5" s="963"/>
      <c r="EP5" s="963"/>
      <c r="EQ5" s="963"/>
      <c r="ER5" s="963"/>
      <c r="ES5" s="963"/>
      <c r="ET5" s="963"/>
      <c r="EU5" s="963"/>
      <c r="EV5" s="963"/>
      <c r="EW5" s="963"/>
      <c r="EX5" s="963"/>
      <c r="EY5" s="963"/>
      <c r="EZ5" s="963"/>
      <c r="FA5" s="963"/>
      <c r="FB5" s="963"/>
      <c r="FC5" s="987"/>
      <c r="FD5" s="987"/>
      <c r="FE5" s="987"/>
      <c r="FF5" s="987"/>
      <c r="FG5" s="987"/>
      <c r="FH5" s="987"/>
      <c r="FI5" s="987"/>
      <c r="FJ5" s="987"/>
      <c r="FK5" s="987"/>
      <c r="FL5" s="987"/>
      <c r="FM5" s="987"/>
      <c r="FN5" s="987"/>
      <c r="FO5" s="987"/>
      <c r="FP5" s="987"/>
      <c r="FQ5" s="987"/>
      <c r="FR5" s="987"/>
      <c r="FS5" s="987"/>
      <c r="FT5" s="987"/>
      <c r="FU5" s="987"/>
      <c r="FV5" s="987"/>
      <c r="FW5" s="987"/>
      <c r="FX5" s="987"/>
      <c r="FY5" s="987"/>
      <c r="FZ5" s="987"/>
      <c r="GA5" s="987"/>
      <c r="GB5" s="987"/>
      <c r="GC5" s="987"/>
      <c r="GD5" s="987"/>
      <c r="GE5" s="987"/>
      <c r="GF5" s="987"/>
      <c r="GG5" s="987"/>
      <c r="GH5" s="987"/>
      <c r="GI5" s="987"/>
      <c r="GJ5" s="987"/>
      <c r="GK5" s="987"/>
      <c r="GL5" s="987"/>
      <c r="GM5" s="987"/>
      <c r="GN5" s="987"/>
      <c r="GO5" s="987"/>
      <c r="GP5" s="987"/>
      <c r="GQ5" s="987"/>
      <c r="GR5" s="987"/>
      <c r="GS5" s="987"/>
      <c r="GT5" s="987"/>
      <c r="GU5" s="987"/>
      <c r="GV5" s="987"/>
      <c r="GW5" s="987"/>
    </row>
    <row r="6" spans="1:205" ht="10.5" customHeight="1" x14ac:dyDescent="0.3">
      <c r="B6" s="969" t="s">
        <v>1323</v>
      </c>
      <c r="C6" s="969"/>
      <c r="D6" s="969"/>
      <c r="E6" s="969"/>
      <c r="F6" s="969"/>
      <c r="G6" s="969"/>
      <c r="H6" s="969"/>
      <c r="I6" s="969"/>
      <c r="J6" s="969"/>
      <c r="K6" s="969"/>
      <c r="L6" s="961"/>
      <c r="M6" s="961"/>
      <c r="N6" s="961"/>
      <c r="O6" s="961"/>
      <c r="P6" s="961"/>
      <c r="Q6" s="961"/>
      <c r="R6" s="961"/>
      <c r="S6" s="961"/>
      <c r="T6" s="961"/>
      <c r="U6" s="961"/>
      <c r="V6" s="961"/>
      <c r="W6" s="961"/>
      <c r="X6" s="961"/>
      <c r="Y6" s="961"/>
      <c r="Z6" s="961"/>
      <c r="AA6" s="961"/>
      <c r="AB6" s="961"/>
      <c r="AC6" s="961"/>
      <c r="AD6" s="961"/>
      <c r="AE6" s="961"/>
      <c r="AF6" s="961"/>
      <c r="AG6" s="961"/>
      <c r="AH6" s="961"/>
      <c r="AI6" s="961"/>
      <c r="AJ6" s="961"/>
      <c r="AK6" s="961"/>
      <c r="AL6" s="961"/>
      <c r="AM6" s="961"/>
      <c r="AN6" s="961"/>
      <c r="AO6" s="961"/>
      <c r="AP6" s="961"/>
      <c r="AQ6" s="962"/>
      <c r="AR6" s="962"/>
      <c r="AS6" s="962"/>
      <c r="AT6" s="962"/>
      <c r="AU6" s="962"/>
      <c r="AV6" s="962"/>
      <c r="AW6" s="962"/>
      <c r="AX6" s="962"/>
      <c r="AY6" s="993"/>
      <c r="AZ6" s="993"/>
      <c r="BA6" s="993"/>
      <c r="BB6" s="993"/>
      <c r="BC6" s="993"/>
      <c r="BD6" s="993"/>
      <c r="BE6" s="970" t="str">
        <f>'S 003'!BE6</f>
        <v>Oprávky</v>
      </c>
      <c r="BF6" s="970"/>
      <c r="BG6" s="970"/>
      <c r="BH6" s="970"/>
      <c r="BI6" s="970"/>
      <c r="BJ6" s="970"/>
      <c r="BK6" s="970"/>
      <c r="BL6" s="970"/>
      <c r="BM6" s="970"/>
      <c r="BN6" s="970"/>
      <c r="BO6" s="970"/>
      <c r="BP6" s="970"/>
      <c r="BQ6" s="970"/>
      <c r="BR6" s="970"/>
      <c r="BS6" s="970"/>
      <c r="BT6" s="970"/>
      <c r="BU6" s="970"/>
      <c r="BV6" s="970"/>
      <c r="BW6" s="970"/>
      <c r="BX6" s="970"/>
      <c r="BY6" s="970"/>
      <c r="BZ6" s="970"/>
      <c r="CA6" s="970"/>
      <c r="CB6" s="970"/>
      <c r="CC6" s="970"/>
      <c r="CD6" s="970"/>
      <c r="CE6" s="970"/>
      <c r="CF6" s="970"/>
      <c r="CG6" s="970"/>
      <c r="CH6" s="970"/>
      <c r="CI6" s="970"/>
      <c r="CJ6" s="970"/>
      <c r="CK6" s="970"/>
      <c r="CL6" s="970"/>
      <c r="CM6" s="970"/>
      <c r="CN6" s="970"/>
      <c r="CO6" s="970"/>
      <c r="CP6" s="970"/>
      <c r="CQ6" s="970"/>
      <c r="CR6" s="970"/>
      <c r="CS6" s="970"/>
      <c r="CT6" s="970"/>
      <c r="CU6" s="970"/>
      <c r="CV6" s="970"/>
      <c r="CW6" s="970"/>
      <c r="CX6" s="970"/>
      <c r="CY6" s="970"/>
      <c r="CZ6" s="970"/>
      <c r="DA6" s="970"/>
      <c r="DB6" s="970"/>
      <c r="DC6" s="970"/>
      <c r="DD6" s="970"/>
      <c r="DE6" s="970"/>
      <c r="DF6" s="970"/>
      <c r="DG6" s="970"/>
      <c r="DH6" s="970"/>
      <c r="DI6" s="970"/>
      <c r="DJ6" s="963">
        <f>'S 003'!DJ6</f>
        <v>0</v>
      </c>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963"/>
      <c r="EU6" s="963"/>
      <c r="EV6" s="963"/>
      <c r="EW6" s="963"/>
      <c r="EX6" s="963"/>
      <c r="EY6" s="963"/>
      <c r="EZ6" s="963"/>
      <c r="FA6" s="963"/>
      <c r="FB6" s="963"/>
      <c r="FC6" s="988" t="str">
        <f>'S 003'!FC6</f>
        <v>Netto</v>
      </c>
      <c r="FD6" s="988"/>
      <c r="FE6" s="988"/>
      <c r="FF6" s="988"/>
      <c r="FG6" s="988"/>
      <c r="FH6" s="988"/>
      <c r="FI6" s="988"/>
      <c r="FJ6" s="988"/>
      <c r="FK6" s="988"/>
      <c r="FL6" s="988"/>
      <c r="FM6" s="988"/>
      <c r="FN6" s="988"/>
      <c r="FO6" s="988"/>
      <c r="FP6" s="988"/>
      <c r="FQ6" s="988"/>
      <c r="FR6" s="988"/>
      <c r="FS6" s="988"/>
      <c r="FT6" s="988"/>
      <c r="FU6" s="988"/>
      <c r="FV6" s="988"/>
      <c r="FW6" s="988"/>
      <c r="FX6" s="988"/>
      <c r="FY6" s="988"/>
      <c r="FZ6" s="988"/>
      <c r="GA6" s="988"/>
      <c r="GB6" s="988"/>
      <c r="GC6" s="988"/>
      <c r="GD6" s="988"/>
      <c r="GE6" s="988"/>
      <c r="GF6" s="988"/>
      <c r="GG6" s="988"/>
      <c r="GH6" s="988"/>
      <c r="GI6" s="988"/>
      <c r="GJ6" s="988"/>
      <c r="GK6" s="988"/>
      <c r="GL6" s="988"/>
      <c r="GM6" s="988"/>
      <c r="GN6" s="988"/>
      <c r="GO6" s="988"/>
      <c r="GP6" s="988"/>
      <c r="GQ6" s="988"/>
      <c r="GR6" s="988"/>
      <c r="GS6" s="988"/>
      <c r="GT6" s="988"/>
      <c r="GU6" s="988"/>
      <c r="GV6" s="988"/>
      <c r="GW6" s="988"/>
    </row>
    <row r="7" spans="1:205" s="650" customFormat="1" ht="25.5" customHeight="1" x14ac:dyDescent="0.3">
      <c r="B7" s="981" t="s">
        <v>2213</v>
      </c>
      <c r="C7" s="981"/>
      <c r="D7" s="981"/>
      <c r="E7" s="981"/>
      <c r="F7" s="981"/>
      <c r="G7" s="981"/>
      <c r="H7" s="981"/>
      <c r="I7" s="981"/>
      <c r="J7" s="981"/>
      <c r="K7" s="981"/>
      <c r="L7" s="974" t="str">
        <f>SUVAHAVUJ!$D$73</f>
        <v>Finančné účty r. 72 + r. 73</v>
      </c>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c r="AL7" s="974"/>
      <c r="AM7" s="974"/>
      <c r="AN7" s="974"/>
      <c r="AO7" s="974"/>
      <c r="AP7" s="974"/>
      <c r="AQ7" s="975" t="s">
        <v>2212</v>
      </c>
      <c r="AR7" s="975"/>
      <c r="AS7" s="975"/>
      <c r="AT7" s="975"/>
      <c r="AU7" s="975"/>
      <c r="AV7" s="975"/>
      <c r="AW7" s="975"/>
      <c r="AX7" s="975"/>
      <c r="AY7" s="648"/>
      <c r="AZ7" s="649"/>
      <c r="BA7" s="976" t="str">
        <f>MID(SUVAHAVUJ!AD73,1,1)</f>
        <v xml:space="preserve"> </v>
      </c>
      <c r="BB7" s="976"/>
      <c r="BC7" s="976"/>
      <c r="BD7" s="976"/>
      <c r="BE7" s="976"/>
      <c r="BF7" s="976"/>
      <c r="BG7" s="976" t="str">
        <f>MID(SUVAHAVUJ!AD73,2,1)</f>
        <v xml:space="preserve"> </v>
      </c>
      <c r="BH7" s="976"/>
      <c r="BI7" s="976"/>
      <c r="BJ7" s="976"/>
      <c r="BK7" s="976"/>
      <c r="BL7" s="976" t="str">
        <f>MID(SUVAHAVUJ!AD73,3,1)</f>
        <v xml:space="preserve"> </v>
      </c>
      <c r="BM7" s="976"/>
      <c r="BN7" s="976"/>
      <c r="BO7" s="976"/>
      <c r="BP7" s="976"/>
      <c r="BQ7" s="976"/>
      <c r="BR7" s="976" t="str">
        <f>MID(SUVAHAVUJ!AD73,4,1)</f>
        <v xml:space="preserve"> </v>
      </c>
      <c r="BS7" s="976"/>
      <c r="BT7" s="976"/>
      <c r="BU7" s="976"/>
      <c r="BV7" s="976"/>
      <c r="BW7" s="976" t="str">
        <f>MID(SUVAHAVUJ!AD73,5,1)</f>
        <v xml:space="preserve"> </v>
      </c>
      <c r="BX7" s="976"/>
      <c r="BY7" s="976"/>
      <c r="BZ7" s="976"/>
      <c r="CA7" s="976"/>
      <c r="CB7" s="976"/>
      <c r="CC7" s="976" t="str">
        <f>MID(SUVAHAVUJ!AD73,6,1)</f>
        <v xml:space="preserve"> </v>
      </c>
      <c r="CD7" s="976"/>
      <c r="CE7" s="976"/>
      <c r="CF7" s="976"/>
      <c r="CG7" s="976"/>
      <c r="CH7" s="976" t="str">
        <f>MID(SUVAHAVUJ!AD73,7,1)</f>
        <v>1</v>
      </c>
      <c r="CI7" s="976"/>
      <c r="CJ7" s="976"/>
      <c r="CK7" s="976"/>
      <c r="CL7" s="976"/>
      <c r="CM7" s="976"/>
      <c r="CN7" s="976" t="str">
        <f>MID(SUVAHAVUJ!AD73,8,1)</f>
        <v>7</v>
      </c>
      <c r="CO7" s="976"/>
      <c r="CP7" s="976"/>
      <c r="CQ7" s="976"/>
      <c r="CR7" s="976"/>
      <c r="CS7" s="976" t="str">
        <f>MID(SUVAHAVUJ!AD73,9,1)</f>
        <v>0</v>
      </c>
      <c r="CT7" s="976"/>
      <c r="CU7" s="976"/>
      <c r="CV7" s="976"/>
      <c r="CW7" s="976"/>
      <c r="CX7" s="976"/>
      <c r="CY7" s="976" t="str">
        <f>MID(SUVAHAVUJ!AD73,10,1)</f>
        <v>8</v>
      </c>
      <c r="CZ7" s="976"/>
      <c r="DA7" s="976"/>
      <c r="DB7" s="976"/>
      <c r="DC7" s="976"/>
      <c r="DD7" s="977" t="str">
        <f>MID(SUVAHAVUJ!AD73,11,1)</f>
        <v>8</v>
      </c>
      <c r="DE7" s="977"/>
      <c r="DF7" s="977"/>
      <c r="DG7" s="977"/>
      <c r="DH7" s="977"/>
      <c r="DI7" s="977"/>
      <c r="DJ7" s="648"/>
      <c r="DK7" s="649"/>
      <c r="DL7" s="976" t="str">
        <f>MID(SUVAHAVUJ!AF73,1,1)</f>
        <v xml:space="preserve"> </v>
      </c>
      <c r="DM7" s="976"/>
      <c r="DN7" s="976"/>
      <c r="DO7" s="976"/>
      <c r="DP7" s="976"/>
      <c r="DQ7" s="976"/>
      <c r="DR7" s="976" t="str">
        <f>MID(SUVAHAVUJ!AF73,2,1)</f>
        <v xml:space="preserve"> </v>
      </c>
      <c r="DS7" s="976"/>
      <c r="DT7" s="976"/>
      <c r="DU7" s="976"/>
      <c r="DV7" s="976"/>
      <c r="DW7" s="976" t="str">
        <f>MID(SUVAHAVUJ!AF73,3,1)</f>
        <v xml:space="preserve"> </v>
      </c>
      <c r="DX7" s="976"/>
      <c r="DY7" s="976"/>
      <c r="DZ7" s="976"/>
      <c r="EA7" s="976"/>
      <c r="EB7" s="976"/>
      <c r="EC7" s="976" t="str">
        <f>MID(SUVAHAVUJ!AF73,4,1)</f>
        <v xml:space="preserve"> </v>
      </c>
      <c r="ED7" s="976"/>
      <c r="EE7" s="976"/>
      <c r="EF7" s="976"/>
      <c r="EG7" s="976"/>
      <c r="EH7" s="976" t="str">
        <f>MID(SUVAHAVUJ!AF73,5,1)</f>
        <v xml:space="preserve"> </v>
      </c>
      <c r="EI7" s="976"/>
      <c r="EJ7" s="976"/>
      <c r="EK7" s="976"/>
      <c r="EL7" s="976"/>
      <c r="EM7" s="976"/>
      <c r="EN7" s="976" t="str">
        <f>MID(SUVAHAVUJ!AF73,6,1)</f>
        <v xml:space="preserve"> </v>
      </c>
      <c r="EO7" s="976"/>
      <c r="EP7" s="976"/>
      <c r="EQ7" s="976"/>
      <c r="ER7" s="976"/>
      <c r="ES7" s="976" t="str">
        <f>MID(SUVAHAVUJ!AF73,7,1)</f>
        <v>1</v>
      </c>
      <c r="ET7" s="976"/>
      <c r="EU7" s="976"/>
      <c r="EV7" s="976"/>
      <c r="EW7" s="976"/>
      <c r="EX7" s="976"/>
      <c r="EY7" s="976" t="str">
        <f>MID(SUVAHAVUJ!AF73,8,1)</f>
        <v>7</v>
      </c>
      <c r="EZ7" s="976"/>
      <c r="FA7" s="976"/>
      <c r="FB7" s="976"/>
      <c r="FC7" s="976"/>
      <c r="FD7" s="976" t="str">
        <f>MID(SUVAHAVUJ!AF73,9,1)</f>
        <v>0</v>
      </c>
      <c r="FE7" s="976"/>
      <c r="FF7" s="976"/>
      <c r="FG7" s="976"/>
      <c r="FH7" s="976"/>
      <c r="FI7" s="976"/>
      <c r="FJ7" s="976" t="str">
        <f>MID(SUVAHAVUJ!AF73,10,1)</f>
        <v>8</v>
      </c>
      <c r="FK7" s="976"/>
      <c r="FL7" s="976"/>
      <c r="FM7" s="976"/>
      <c r="FN7" s="976"/>
      <c r="FO7" s="978" t="str">
        <f>MID(SUVAHAVUJ!AF73,11,1)</f>
        <v>8</v>
      </c>
      <c r="FP7" s="978"/>
      <c r="FQ7" s="978"/>
      <c r="FR7" s="978"/>
      <c r="FS7" s="978"/>
      <c r="FT7" s="979"/>
      <c r="FU7" s="979"/>
      <c r="FV7" s="979"/>
      <c r="FW7" s="979"/>
      <c r="FX7" s="979"/>
      <c r="FY7" s="979"/>
      <c r="FZ7" s="979"/>
      <c r="GA7" s="979"/>
      <c r="GB7" s="979"/>
      <c r="GC7" s="979"/>
      <c r="GD7" s="979"/>
      <c r="GE7" s="979"/>
      <c r="GF7" s="979"/>
      <c r="GG7" s="979"/>
      <c r="GH7" s="979"/>
      <c r="GI7" s="979"/>
      <c r="GJ7" s="979"/>
      <c r="GK7" s="979"/>
      <c r="GL7" s="979"/>
      <c r="GM7" s="979"/>
      <c r="GN7" s="979"/>
      <c r="GO7" s="979"/>
      <c r="GP7" s="979"/>
      <c r="GQ7" s="979"/>
      <c r="GR7" s="979"/>
      <c r="GS7" s="979"/>
      <c r="GT7" s="979"/>
      <c r="GU7" s="979"/>
      <c r="GV7" s="979"/>
      <c r="GW7" s="979"/>
    </row>
    <row r="8" spans="1:205" ht="22.5" customHeight="1" x14ac:dyDescent="0.3">
      <c r="B8" s="981"/>
      <c r="C8" s="981"/>
      <c r="D8" s="981"/>
      <c r="E8" s="981"/>
      <c r="F8" s="981"/>
      <c r="G8" s="981"/>
      <c r="H8" s="981"/>
      <c r="I8" s="981"/>
      <c r="J8" s="981"/>
      <c r="K8" s="981"/>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c r="AL8" s="974"/>
      <c r="AM8" s="974"/>
      <c r="AN8" s="974"/>
      <c r="AO8" s="974"/>
      <c r="AP8" s="974"/>
      <c r="AQ8" s="975"/>
      <c r="AR8" s="975"/>
      <c r="AS8" s="975"/>
      <c r="AT8" s="975"/>
      <c r="AU8" s="975"/>
      <c r="AV8" s="975"/>
      <c r="AW8" s="975"/>
      <c r="AX8" s="975"/>
      <c r="AY8" s="648"/>
      <c r="AZ8" s="649"/>
      <c r="BA8" s="976" t="str">
        <f>MID(SUVAHAVUJ!AE73,1,1)</f>
        <v xml:space="preserve"> </v>
      </c>
      <c r="BB8" s="976"/>
      <c r="BC8" s="976"/>
      <c r="BD8" s="976"/>
      <c r="BE8" s="976"/>
      <c r="BF8" s="976"/>
      <c r="BG8" s="976" t="str">
        <f>MID(SUVAHAVUJ!AE73,2,1)</f>
        <v xml:space="preserve"> </v>
      </c>
      <c r="BH8" s="976"/>
      <c r="BI8" s="976"/>
      <c r="BJ8" s="976"/>
      <c r="BK8" s="976"/>
      <c r="BL8" s="976" t="str">
        <f>MID(SUVAHAVUJ!AE73,3,1)</f>
        <v xml:space="preserve"> </v>
      </c>
      <c r="BM8" s="976"/>
      <c r="BN8" s="976"/>
      <c r="BO8" s="976"/>
      <c r="BP8" s="976"/>
      <c r="BQ8" s="976"/>
      <c r="BR8" s="976" t="str">
        <f>MID(SUVAHAVUJ!AE73,4,1)</f>
        <v xml:space="preserve"> </v>
      </c>
      <c r="BS8" s="976"/>
      <c r="BT8" s="976"/>
      <c r="BU8" s="976"/>
      <c r="BV8" s="976"/>
      <c r="BW8" s="976" t="str">
        <f>MID(SUVAHAVUJ!AE73,5,1)</f>
        <v xml:space="preserve"> </v>
      </c>
      <c r="BX8" s="976"/>
      <c r="BY8" s="976"/>
      <c r="BZ8" s="976"/>
      <c r="CA8" s="976"/>
      <c r="CB8" s="976"/>
      <c r="CC8" s="976" t="str">
        <f>MID(SUVAHAVUJ!AE73,6,1)</f>
        <v xml:space="preserve"> </v>
      </c>
      <c r="CD8" s="976"/>
      <c r="CE8" s="976"/>
      <c r="CF8" s="976"/>
      <c r="CG8" s="976"/>
      <c r="CH8" s="976" t="str">
        <f>MID(SUVAHAVUJ!AE73,7,1)</f>
        <v xml:space="preserve"> </v>
      </c>
      <c r="CI8" s="976"/>
      <c r="CJ8" s="976"/>
      <c r="CK8" s="976"/>
      <c r="CL8" s="976"/>
      <c r="CM8" s="976"/>
      <c r="CN8" s="976" t="str">
        <f>MID(SUVAHAVUJ!AE73,8,1)</f>
        <v xml:space="preserve"> </v>
      </c>
      <c r="CO8" s="976"/>
      <c r="CP8" s="976"/>
      <c r="CQ8" s="976"/>
      <c r="CR8" s="976"/>
      <c r="CS8" s="976" t="str">
        <f>MID(SUVAHAVUJ!AE73,9,1)</f>
        <v xml:space="preserve"> </v>
      </c>
      <c r="CT8" s="976"/>
      <c r="CU8" s="976"/>
      <c r="CV8" s="976"/>
      <c r="CW8" s="976"/>
      <c r="CX8" s="976"/>
      <c r="CY8" s="976" t="str">
        <f>MID(SUVAHAVUJ!AE73,10,1)</f>
        <v xml:space="preserve"> </v>
      </c>
      <c r="CZ8" s="976"/>
      <c r="DA8" s="976"/>
      <c r="DB8" s="976"/>
      <c r="DC8" s="976"/>
      <c r="DD8" s="977" t="str">
        <f>MID(SUVAHAVUJ!AE73,11,1)</f>
        <v>0</v>
      </c>
      <c r="DE8" s="977"/>
      <c r="DF8" s="977"/>
      <c r="DG8" s="977"/>
      <c r="DH8" s="977"/>
      <c r="DI8" s="977"/>
      <c r="DJ8" s="980"/>
      <c r="DK8" s="980"/>
      <c r="DL8" s="980"/>
      <c r="DM8" s="980"/>
      <c r="DN8" s="980"/>
      <c r="DO8" s="980"/>
      <c r="DP8" s="980"/>
      <c r="DQ8" s="980"/>
      <c r="DR8" s="980"/>
      <c r="DS8" s="980"/>
      <c r="DT8" s="980"/>
      <c r="DU8" s="980"/>
      <c r="DV8" s="980"/>
      <c r="DW8" s="980"/>
      <c r="DX8" s="980"/>
      <c r="DY8" s="980"/>
      <c r="DZ8" s="980"/>
      <c r="EA8" s="980"/>
      <c r="EB8" s="980"/>
      <c r="EC8" s="980"/>
      <c r="ED8" s="980"/>
      <c r="EE8" s="980"/>
      <c r="EF8" s="980"/>
      <c r="EG8" s="980"/>
      <c r="EH8" s="980"/>
      <c r="EI8" s="980"/>
      <c r="EJ8" s="980"/>
      <c r="EK8" s="980"/>
      <c r="EL8" s="980"/>
      <c r="EM8" s="980"/>
      <c r="EN8" s="648"/>
      <c r="EO8" s="649"/>
      <c r="EP8" s="976" t="str">
        <f>MID(SUVAHAVUJ!AG73,1,1)</f>
        <v xml:space="preserve"> </v>
      </c>
      <c r="EQ8" s="976"/>
      <c r="ER8" s="976"/>
      <c r="ES8" s="976"/>
      <c r="ET8" s="976"/>
      <c r="EU8" s="976"/>
      <c r="EV8" s="976" t="str">
        <f>MID(SUVAHAVUJ!AG73,2,1)</f>
        <v xml:space="preserve"> </v>
      </c>
      <c r="EW8" s="976"/>
      <c r="EX8" s="976"/>
      <c r="EY8" s="976"/>
      <c r="EZ8" s="976"/>
      <c r="FA8" s="976" t="str">
        <f>MID(SUVAHAVUJ!AG73,3,1)</f>
        <v xml:space="preserve"> </v>
      </c>
      <c r="FB8" s="976"/>
      <c r="FC8" s="976"/>
      <c r="FD8" s="976"/>
      <c r="FE8" s="976"/>
      <c r="FF8" s="976"/>
      <c r="FG8" s="976" t="str">
        <f>MID(SUVAHAVUJ!AG73,4,1)</f>
        <v xml:space="preserve"> </v>
      </c>
      <c r="FH8" s="976"/>
      <c r="FI8" s="976"/>
      <c r="FJ8" s="976"/>
      <c r="FK8" s="976"/>
      <c r="FL8" s="976" t="str">
        <f>MID(SUVAHAVUJ!AG73,5,1)</f>
        <v xml:space="preserve"> </v>
      </c>
      <c r="FM8" s="976"/>
      <c r="FN8" s="976"/>
      <c r="FO8" s="976"/>
      <c r="FP8" s="976"/>
      <c r="FQ8" s="976"/>
      <c r="FR8" s="976" t="str">
        <f>MID(SUVAHAVUJ!AG73,6,1)</f>
        <v xml:space="preserve"> </v>
      </c>
      <c r="FS8" s="976"/>
      <c r="FT8" s="976"/>
      <c r="FU8" s="976"/>
      <c r="FV8" s="976"/>
      <c r="FW8" s="976" t="str">
        <f>MID(SUVAHAVUJ!AG73,7,1)</f>
        <v>2</v>
      </c>
      <c r="FX8" s="976"/>
      <c r="FY8" s="976"/>
      <c r="FZ8" s="976"/>
      <c r="GA8" s="976"/>
      <c r="GB8" s="976"/>
      <c r="GC8" s="976" t="str">
        <f>MID(SUVAHAVUJ!AG73,8,1)</f>
        <v>0</v>
      </c>
      <c r="GD8" s="976"/>
      <c r="GE8" s="976"/>
      <c r="GF8" s="976"/>
      <c r="GG8" s="976"/>
      <c r="GH8" s="976" t="str">
        <f>MID(SUVAHAVUJ!AG73,9,1)</f>
        <v>2</v>
      </c>
      <c r="GI8" s="976"/>
      <c r="GJ8" s="976"/>
      <c r="GK8" s="976"/>
      <c r="GL8" s="976"/>
      <c r="GM8" s="976"/>
      <c r="GN8" s="976" t="str">
        <f>MID(SUVAHAVUJ!AG73,10,1)</f>
        <v>7</v>
      </c>
      <c r="GO8" s="976"/>
      <c r="GP8" s="976"/>
      <c r="GQ8" s="976"/>
      <c r="GR8" s="976"/>
      <c r="GS8" s="978" t="str">
        <f>MID(SUVAHAVUJ!AG73,11,1)</f>
        <v>8</v>
      </c>
      <c r="GT8" s="978"/>
      <c r="GU8" s="978"/>
      <c r="GV8" s="978"/>
      <c r="GW8" s="978"/>
    </row>
    <row r="9" spans="1:205" s="650" customFormat="1" ht="25.5" customHeight="1" x14ac:dyDescent="0.3">
      <c r="B9" s="989" t="s">
        <v>2215</v>
      </c>
      <c r="C9" s="989"/>
      <c r="D9" s="989"/>
      <c r="E9" s="989"/>
      <c r="F9" s="989"/>
      <c r="G9" s="989"/>
      <c r="H9" s="989"/>
      <c r="I9" s="989"/>
      <c r="J9" s="989"/>
      <c r="K9" s="989"/>
      <c r="L9" s="984" t="str">
        <f>SUVAHAVUJ!$D$74</f>
        <v>Peniaze (211, 213, 21X)</v>
      </c>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75" t="s">
        <v>2214</v>
      </c>
      <c r="AR9" s="975"/>
      <c r="AS9" s="975"/>
      <c r="AT9" s="975"/>
      <c r="AU9" s="975"/>
      <c r="AV9" s="975"/>
      <c r="AW9" s="975"/>
      <c r="AX9" s="975"/>
      <c r="AY9" s="648"/>
      <c r="AZ9" s="649"/>
      <c r="BA9" s="976" t="str">
        <f>MID(SUVAHAVUJ!AD74,1,1)</f>
        <v xml:space="preserve"> </v>
      </c>
      <c r="BB9" s="976"/>
      <c r="BC9" s="976"/>
      <c r="BD9" s="976"/>
      <c r="BE9" s="976"/>
      <c r="BF9" s="976"/>
      <c r="BG9" s="976" t="str">
        <f>MID(SUVAHAVUJ!AD74,2,1)</f>
        <v xml:space="preserve"> </v>
      </c>
      <c r="BH9" s="976"/>
      <c r="BI9" s="976"/>
      <c r="BJ9" s="976"/>
      <c r="BK9" s="976"/>
      <c r="BL9" s="976" t="str">
        <f>MID(SUVAHAVUJ!AD74,3,1)</f>
        <v xml:space="preserve"> </v>
      </c>
      <c r="BM9" s="976"/>
      <c r="BN9" s="976"/>
      <c r="BO9" s="976"/>
      <c r="BP9" s="976"/>
      <c r="BQ9" s="976"/>
      <c r="BR9" s="976" t="str">
        <f>MID(SUVAHAVUJ!AD74,4,1)</f>
        <v xml:space="preserve"> </v>
      </c>
      <c r="BS9" s="976"/>
      <c r="BT9" s="976"/>
      <c r="BU9" s="976"/>
      <c r="BV9" s="976"/>
      <c r="BW9" s="976" t="str">
        <f>MID(SUVAHAVUJ!AD74,5,1)</f>
        <v xml:space="preserve"> </v>
      </c>
      <c r="BX9" s="976"/>
      <c r="BY9" s="976"/>
      <c r="BZ9" s="976"/>
      <c r="CA9" s="976"/>
      <c r="CB9" s="976"/>
      <c r="CC9" s="976" t="str">
        <f>MID(SUVAHAVUJ!AD74,6,1)</f>
        <v xml:space="preserve"> </v>
      </c>
      <c r="CD9" s="976"/>
      <c r="CE9" s="976"/>
      <c r="CF9" s="976"/>
      <c r="CG9" s="976"/>
      <c r="CH9" s="976" t="str">
        <f>MID(SUVAHAVUJ!AD74,7,1)</f>
        <v>1</v>
      </c>
      <c r="CI9" s="976"/>
      <c r="CJ9" s="976"/>
      <c r="CK9" s="976"/>
      <c r="CL9" s="976"/>
      <c r="CM9" s="976"/>
      <c r="CN9" s="976" t="str">
        <f>MID(SUVAHAVUJ!AD74,8,1)</f>
        <v>7</v>
      </c>
      <c r="CO9" s="976"/>
      <c r="CP9" s="976"/>
      <c r="CQ9" s="976"/>
      <c r="CR9" s="976"/>
      <c r="CS9" s="976" t="str">
        <f>MID(SUVAHAVUJ!AD74,9,1)</f>
        <v>0</v>
      </c>
      <c r="CT9" s="976"/>
      <c r="CU9" s="976"/>
      <c r="CV9" s="976"/>
      <c r="CW9" s="976"/>
      <c r="CX9" s="976"/>
      <c r="CY9" s="976" t="str">
        <f>MID(SUVAHAVUJ!AD74,10,1)</f>
        <v>8</v>
      </c>
      <c r="CZ9" s="976"/>
      <c r="DA9" s="976"/>
      <c r="DB9" s="976"/>
      <c r="DC9" s="976"/>
      <c r="DD9" s="977" t="str">
        <f>MID(SUVAHAVUJ!AD74,11,1)</f>
        <v>8</v>
      </c>
      <c r="DE9" s="977"/>
      <c r="DF9" s="977"/>
      <c r="DG9" s="977"/>
      <c r="DH9" s="977"/>
      <c r="DI9" s="977"/>
      <c r="DJ9" s="648"/>
      <c r="DK9" s="649"/>
      <c r="DL9" s="976" t="str">
        <f>MID(SUVAHAVUJ!AF74,1,1)</f>
        <v xml:space="preserve"> </v>
      </c>
      <c r="DM9" s="976"/>
      <c r="DN9" s="976"/>
      <c r="DO9" s="976"/>
      <c r="DP9" s="976"/>
      <c r="DQ9" s="976"/>
      <c r="DR9" s="976" t="str">
        <f>MID(SUVAHAVUJ!AF74,2,1)</f>
        <v xml:space="preserve"> </v>
      </c>
      <c r="DS9" s="976"/>
      <c r="DT9" s="976"/>
      <c r="DU9" s="976"/>
      <c r="DV9" s="976"/>
      <c r="DW9" s="976" t="str">
        <f>MID(SUVAHAVUJ!AF74,3,1)</f>
        <v xml:space="preserve"> </v>
      </c>
      <c r="DX9" s="976"/>
      <c r="DY9" s="976"/>
      <c r="DZ9" s="976"/>
      <c r="EA9" s="976"/>
      <c r="EB9" s="976"/>
      <c r="EC9" s="976" t="str">
        <f>MID(SUVAHAVUJ!AF74,4,1)</f>
        <v xml:space="preserve"> </v>
      </c>
      <c r="ED9" s="976"/>
      <c r="EE9" s="976"/>
      <c r="EF9" s="976"/>
      <c r="EG9" s="976"/>
      <c r="EH9" s="976" t="str">
        <f>MID(SUVAHAVUJ!AF74,5,1)</f>
        <v xml:space="preserve"> </v>
      </c>
      <c r="EI9" s="976"/>
      <c r="EJ9" s="976"/>
      <c r="EK9" s="976"/>
      <c r="EL9" s="976"/>
      <c r="EM9" s="976"/>
      <c r="EN9" s="976" t="str">
        <f>MID(SUVAHAVUJ!AF74,6,1)</f>
        <v xml:space="preserve"> </v>
      </c>
      <c r="EO9" s="976"/>
      <c r="EP9" s="976"/>
      <c r="EQ9" s="976"/>
      <c r="ER9" s="976"/>
      <c r="ES9" s="976" t="str">
        <f>MID(SUVAHAVUJ!AF74,7,1)</f>
        <v>1</v>
      </c>
      <c r="ET9" s="976"/>
      <c r="EU9" s="976"/>
      <c r="EV9" s="976"/>
      <c r="EW9" s="976"/>
      <c r="EX9" s="976"/>
      <c r="EY9" s="976" t="str">
        <f>MID(SUVAHAVUJ!AF74,8,1)</f>
        <v>7</v>
      </c>
      <c r="EZ9" s="976"/>
      <c r="FA9" s="976"/>
      <c r="FB9" s="976"/>
      <c r="FC9" s="976"/>
      <c r="FD9" s="976" t="str">
        <f>MID(SUVAHAVUJ!AF74,9,1)</f>
        <v>0</v>
      </c>
      <c r="FE9" s="976"/>
      <c r="FF9" s="976"/>
      <c r="FG9" s="976"/>
      <c r="FH9" s="976"/>
      <c r="FI9" s="976"/>
      <c r="FJ9" s="976" t="str">
        <f>MID(SUVAHAVUJ!AF74,10,1)</f>
        <v>8</v>
      </c>
      <c r="FK9" s="976"/>
      <c r="FL9" s="976"/>
      <c r="FM9" s="976"/>
      <c r="FN9" s="976"/>
      <c r="FO9" s="978" t="str">
        <f>MID(SUVAHAVUJ!AF74,11,1)</f>
        <v>8</v>
      </c>
      <c r="FP9" s="978"/>
      <c r="FQ9" s="978"/>
      <c r="FR9" s="978"/>
      <c r="FS9" s="978"/>
      <c r="FT9" s="979"/>
      <c r="FU9" s="979"/>
      <c r="FV9" s="979"/>
      <c r="FW9" s="979"/>
      <c r="FX9" s="979"/>
      <c r="FY9" s="979"/>
      <c r="FZ9" s="979"/>
      <c r="GA9" s="979"/>
      <c r="GB9" s="979"/>
      <c r="GC9" s="979"/>
      <c r="GD9" s="979"/>
      <c r="GE9" s="979"/>
      <c r="GF9" s="979"/>
      <c r="GG9" s="979"/>
      <c r="GH9" s="979"/>
      <c r="GI9" s="979"/>
      <c r="GJ9" s="979"/>
      <c r="GK9" s="979"/>
      <c r="GL9" s="979"/>
      <c r="GM9" s="979"/>
      <c r="GN9" s="979"/>
      <c r="GO9" s="979"/>
      <c r="GP9" s="979"/>
      <c r="GQ9" s="979"/>
      <c r="GR9" s="979"/>
      <c r="GS9" s="979"/>
      <c r="GT9" s="979"/>
      <c r="GU9" s="979"/>
      <c r="GV9" s="979"/>
      <c r="GW9" s="979"/>
    </row>
    <row r="10" spans="1:205" ht="21" customHeight="1" x14ac:dyDescent="0.3">
      <c r="B10" s="989"/>
      <c r="C10" s="989"/>
      <c r="D10" s="989"/>
      <c r="E10" s="989"/>
      <c r="F10" s="989"/>
      <c r="G10" s="989"/>
      <c r="H10" s="989"/>
      <c r="I10" s="989"/>
      <c r="J10" s="989"/>
      <c r="K10" s="989"/>
      <c r="L10" s="984"/>
      <c r="M10" s="984"/>
      <c r="N10" s="984"/>
      <c r="O10" s="984"/>
      <c r="P10" s="984"/>
      <c r="Q10" s="984"/>
      <c r="R10" s="984"/>
      <c r="S10" s="984"/>
      <c r="T10" s="984"/>
      <c r="U10" s="984"/>
      <c r="V10" s="984"/>
      <c r="W10" s="984"/>
      <c r="X10" s="984"/>
      <c r="Y10" s="984"/>
      <c r="Z10" s="984"/>
      <c r="AA10" s="984"/>
      <c r="AB10" s="984"/>
      <c r="AC10" s="984"/>
      <c r="AD10" s="984"/>
      <c r="AE10" s="984"/>
      <c r="AF10" s="984"/>
      <c r="AG10" s="984"/>
      <c r="AH10" s="984"/>
      <c r="AI10" s="984"/>
      <c r="AJ10" s="984"/>
      <c r="AK10" s="984"/>
      <c r="AL10" s="984"/>
      <c r="AM10" s="984"/>
      <c r="AN10" s="984"/>
      <c r="AO10" s="984"/>
      <c r="AP10" s="984"/>
      <c r="AQ10" s="975"/>
      <c r="AR10" s="975"/>
      <c r="AS10" s="975"/>
      <c r="AT10" s="975"/>
      <c r="AU10" s="975"/>
      <c r="AV10" s="975"/>
      <c r="AW10" s="975"/>
      <c r="AX10" s="975"/>
      <c r="AY10" s="648"/>
      <c r="AZ10" s="649"/>
      <c r="BA10" s="976" t="str">
        <f>MID(SUVAHAVUJ!AE74,1,1)</f>
        <v xml:space="preserve"> </v>
      </c>
      <c r="BB10" s="976"/>
      <c r="BC10" s="976"/>
      <c r="BD10" s="976"/>
      <c r="BE10" s="976"/>
      <c r="BF10" s="976"/>
      <c r="BG10" s="976" t="str">
        <f>MID(SUVAHAVUJ!AE74,2,1)</f>
        <v xml:space="preserve"> </v>
      </c>
      <c r="BH10" s="976"/>
      <c r="BI10" s="976"/>
      <c r="BJ10" s="976"/>
      <c r="BK10" s="976"/>
      <c r="BL10" s="976" t="str">
        <f>MID(SUVAHAVUJ!AE74,3,1)</f>
        <v xml:space="preserve"> </v>
      </c>
      <c r="BM10" s="976"/>
      <c r="BN10" s="976"/>
      <c r="BO10" s="976"/>
      <c r="BP10" s="976"/>
      <c r="BQ10" s="976"/>
      <c r="BR10" s="976" t="str">
        <f>MID(SUVAHAVUJ!AE74,4,1)</f>
        <v xml:space="preserve"> </v>
      </c>
      <c r="BS10" s="976"/>
      <c r="BT10" s="976"/>
      <c r="BU10" s="976"/>
      <c r="BV10" s="976"/>
      <c r="BW10" s="976" t="str">
        <f>MID(SUVAHAVUJ!AE74,5,1)</f>
        <v xml:space="preserve"> </v>
      </c>
      <c r="BX10" s="976"/>
      <c r="BY10" s="976"/>
      <c r="BZ10" s="976"/>
      <c r="CA10" s="976"/>
      <c r="CB10" s="976"/>
      <c r="CC10" s="976" t="str">
        <f>MID(SUVAHAVUJ!AE74,6,1)</f>
        <v xml:space="preserve"> </v>
      </c>
      <c r="CD10" s="976"/>
      <c r="CE10" s="976"/>
      <c r="CF10" s="976"/>
      <c r="CG10" s="976"/>
      <c r="CH10" s="976" t="str">
        <f>MID(SUVAHAVUJ!AE74,7,1)</f>
        <v xml:space="preserve"> </v>
      </c>
      <c r="CI10" s="976"/>
      <c r="CJ10" s="976"/>
      <c r="CK10" s="976"/>
      <c r="CL10" s="976"/>
      <c r="CM10" s="976"/>
      <c r="CN10" s="976" t="str">
        <f>MID(SUVAHAVUJ!AE74,8,1)</f>
        <v xml:space="preserve"> </v>
      </c>
      <c r="CO10" s="976"/>
      <c r="CP10" s="976"/>
      <c r="CQ10" s="976"/>
      <c r="CR10" s="976"/>
      <c r="CS10" s="976" t="str">
        <f>MID(SUVAHAVUJ!AE74,9,1)</f>
        <v xml:space="preserve"> </v>
      </c>
      <c r="CT10" s="976"/>
      <c r="CU10" s="976"/>
      <c r="CV10" s="976"/>
      <c r="CW10" s="976"/>
      <c r="CX10" s="976"/>
      <c r="CY10" s="976" t="str">
        <f>MID(SUVAHAVUJ!AE74,10,1)</f>
        <v xml:space="preserve"> </v>
      </c>
      <c r="CZ10" s="976"/>
      <c r="DA10" s="976"/>
      <c r="DB10" s="976"/>
      <c r="DC10" s="976"/>
      <c r="DD10" s="977" t="str">
        <f>MID(SUVAHAVUJ!AE74,11,1)</f>
        <v>0</v>
      </c>
      <c r="DE10" s="977"/>
      <c r="DF10" s="977"/>
      <c r="DG10" s="977"/>
      <c r="DH10" s="977"/>
      <c r="DI10" s="977"/>
      <c r="DJ10" s="980"/>
      <c r="DK10" s="980"/>
      <c r="DL10" s="980"/>
      <c r="DM10" s="980"/>
      <c r="DN10" s="980"/>
      <c r="DO10" s="980"/>
      <c r="DP10" s="980"/>
      <c r="DQ10" s="980"/>
      <c r="DR10" s="980"/>
      <c r="DS10" s="980"/>
      <c r="DT10" s="980"/>
      <c r="DU10" s="980"/>
      <c r="DV10" s="980"/>
      <c r="DW10" s="980"/>
      <c r="DX10" s="980"/>
      <c r="DY10" s="980"/>
      <c r="DZ10" s="980"/>
      <c r="EA10" s="980"/>
      <c r="EB10" s="980"/>
      <c r="EC10" s="980"/>
      <c r="ED10" s="980"/>
      <c r="EE10" s="980"/>
      <c r="EF10" s="980"/>
      <c r="EG10" s="980"/>
      <c r="EH10" s="980"/>
      <c r="EI10" s="980"/>
      <c r="EJ10" s="980"/>
      <c r="EK10" s="980"/>
      <c r="EL10" s="980"/>
      <c r="EM10" s="980"/>
      <c r="EN10" s="648"/>
      <c r="EO10" s="649"/>
      <c r="EP10" s="976" t="str">
        <f>MID(SUVAHAVUJ!AG74,1,1)</f>
        <v xml:space="preserve"> </v>
      </c>
      <c r="EQ10" s="976"/>
      <c r="ER10" s="976"/>
      <c r="ES10" s="976"/>
      <c r="ET10" s="976"/>
      <c r="EU10" s="976"/>
      <c r="EV10" s="976" t="str">
        <f>MID(SUVAHAVUJ!AG74,2,1)</f>
        <v xml:space="preserve"> </v>
      </c>
      <c r="EW10" s="976"/>
      <c r="EX10" s="976"/>
      <c r="EY10" s="976"/>
      <c r="EZ10" s="976"/>
      <c r="FA10" s="976" t="str">
        <f>MID(SUVAHAVUJ!AG74,3,1)</f>
        <v xml:space="preserve"> </v>
      </c>
      <c r="FB10" s="976"/>
      <c r="FC10" s="976"/>
      <c r="FD10" s="976"/>
      <c r="FE10" s="976"/>
      <c r="FF10" s="976"/>
      <c r="FG10" s="976" t="str">
        <f>MID(SUVAHAVUJ!AG74,4,1)</f>
        <v xml:space="preserve"> </v>
      </c>
      <c r="FH10" s="976"/>
      <c r="FI10" s="976"/>
      <c r="FJ10" s="976"/>
      <c r="FK10" s="976"/>
      <c r="FL10" s="976" t="str">
        <f>MID(SUVAHAVUJ!AG74,5,1)</f>
        <v xml:space="preserve"> </v>
      </c>
      <c r="FM10" s="976"/>
      <c r="FN10" s="976"/>
      <c r="FO10" s="976"/>
      <c r="FP10" s="976"/>
      <c r="FQ10" s="976"/>
      <c r="FR10" s="976" t="str">
        <f>MID(SUVAHAVUJ!AG74,6,1)</f>
        <v xml:space="preserve"> </v>
      </c>
      <c r="FS10" s="976"/>
      <c r="FT10" s="976"/>
      <c r="FU10" s="976"/>
      <c r="FV10" s="976"/>
      <c r="FW10" s="976" t="str">
        <f>MID(SUVAHAVUJ!AG74,7,1)</f>
        <v>2</v>
      </c>
      <c r="FX10" s="976"/>
      <c r="FY10" s="976"/>
      <c r="FZ10" s="976"/>
      <c r="GA10" s="976"/>
      <c r="GB10" s="976"/>
      <c r="GC10" s="976" t="str">
        <f>MID(SUVAHAVUJ!AG74,8,1)</f>
        <v>0</v>
      </c>
      <c r="GD10" s="976"/>
      <c r="GE10" s="976"/>
      <c r="GF10" s="976"/>
      <c r="GG10" s="976"/>
      <c r="GH10" s="976" t="str">
        <f>MID(SUVAHAVUJ!AG74,9,1)</f>
        <v>2</v>
      </c>
      <c r="GI10" s="976"/>
      <c r="GJ10" s="976"/>
      <c r="GK10" s="976"/>
      <c r="GL10" s="976"/>
      <c r="GM10" s="976"/>
      <c r="GN10" s="976" t="str">
        <f>MID(SUVAHAVUJ!AG74,10,1)</f>
        <v>7</v>
      </c>
      <c r="GO10" s="976"/>
      <c r="GP10" s="976"/>
      <c r="GQ10" s="976"/>
      <c r="GR10" s="976"/>
      <c r="GS10" s="978" t="str">
        <f>MID(SUVAHAVUJ!AG74,11,1)</f>
        <v>8</v>
      </c>
      <c r="GT10" s="978"/>
      <c r="GU10" s="978"/>
      <c r="GV10" s="978"/>
      <c r="GW10" s="978"/>
    </row>
    <row r="11" spans="1:205" s="650" customFormat="1" ht="23.25" customHeight="1" x14ac:dyDescent="0.3">
      <c r="B11" s="985" t="s">
        <v>2166</v>
      </c>
      <c r="C11" s="985"/>
      <c r="D11" s="985"/>
      <c r="E11" s="985"/>
      <c r="F11" s="985"/>
      <c r="G11" s="985"/>
      <c r="H11" s="985"/>
      <c r="I11" s="985"/>
      <c r="J11" s="985"/>
      <c r="K11" s="985"/>
      <c r="L11" s="984" t="str">
        <f>SUVAHAVUJ!$D$75</f>
        <v>Účty v bankách (221A, 22X, +/- 261)</v>
      </c>
      <c r="M11" s="984"/>
      <c r="N11" s="984"/>
      <c r="O11" s="984"/>
      <c r="P11" s="984"/>
      <c r="Q11" s="984"/>
      <c r="R11" s="984"/>
      <c r="S11" s="984"/>
      <c r="T11" s="984"/>
      <c r="U11" s="984"/>
      <c r="V11" s="984"/>
      <c r="W11" s="984"/>
      <c r="X11" s="984"/>
      <c r="Y11" s="984"/>
      <c r="Z11" s="984"/>
      <c r="AA11" s="984"/>
      <c r="AB11" s="984"/>
      <c r="AC11" s="984"/>
      <c r="AD11" s="984"/>
      <c r="AE11" s="984"/>
      <c r="AF11" s="984"/>
      <c r="AG11" s="984"/>
      <c r="AH11" s="984"/>
      <c r="AI11" s="984"/>
      <c r="AJ11" s="984"/>
      <c r="AK11" s="984"/>
      <c r="AL11" s="984"/>
      <c r="AM11" s="984"/>
      <c r="AN11" s="984"/>
      <c r="AO11" s="984"/>
      <c r="AP11" s="984"/>
      <c r="AQ11" s="975" t="s">
        <v>2216</v>
      </c>
      <c r="AR11" s="975"/>
      <c r="AS11" s="975"/>
      <c r="AT11" s="975"/>
      <c r="AU11" s="975"/>
      <c r="AV11" s="975"/>
      <c r="AW11" s="975"/>
      <c r="AX11" s="975"/>
      <c r="AY11" s="648"/>
      <c r="AZ11" s="649"/>
      <c r="BA11" s="976" t="str">
        <f>MID(SUVAHAVUJ!AD75,1,1)</f>
        <v xml:space="preserve"> </v>
      </c>
      <c r="BB11" s="976"/>
      <c r="BC11" s="976"/>
      <c r="BD11" s="976"/>
      <c r="BE11" s="976"/>
      <c r="BF11" s="976"/>
      <c r="BG11" s="976" t="str">
        <f>MID(SUVAHAVUJ!AD75,2,1)</f>
        <v xml:space="preserve"> </v>
      </c>
      <c r="BH11" s="976"/>
      <c r="BI11" s="976"/>
      <c r="BJ11" s="976"/>
      <c r="BK11" s="976"/>
      <c r="BL11" s="976" t="str">
        <f>MID(SUVAHAVUJ!AD75,3,1)</f>
        <v xml:space="preserve"> </v>
      </c>
      <c r="BM11" s="976"/>
      <c r="BN11" s="976"/>
      <c r="BO11" s="976"/>
      <c r="BP11" s="976"/>
      <c r="BQ11" s="976"/>
      <c r="BR11" s="976" t="str">
        <f>MID(SUVAHAVUJ!AD75,4,1)</f>
        <v xml:space="preserve"> </v>
      </c>
      <c r="BS11" s="976"/>
      <c r="BT11" s="976"/>
      <c r="BU11" s="976"/>
      <c r="BV11" s="976"/>
      <c r="BW11" s="976" t="str">
        <f>MID(SUVAHAVUJ!AD75,5,1)</f>
        <v xml:space="preserve"> </v>
      </c>
      <c r="BX11" s="976"/>
      <c r="BY11" s="976"/>
      <c r="BZ11" s="976"/>
      <c r="CA11" s="976"/>
      <c r="CB11" s="976"/>
      <c r="CC11" s="976" t="str">
        <f>MID(SUVAHAVUJ!AD75,6,1)</f>
        <v xml:space="preserve"> </v>
      </c>
      <c r="CD11" s="976"/>
      <c r="CE11" s="976"/>
      <c r="CF11" s="976"/>
      <c r="CG11" s="976"/>
      <c r="CH11" s="976" t="str">
        <f>MID(SUVAHAVUJ!AD75,7,1)</f>
        <v xml:space="preserve"> </v>
      </c>
      <c r="CI11" s="976"/>
      <c r="CJ11" s="976"/>
      <c r="CK11" s="976"/>
      <c r="CL11" s="976"/>
      <c r="CM11" s="976"/>
      <c r="CN11" s="976" t="str">
        <f>MID(SUVAHAVUJ!AD75,8,1)</f>
        <v xml:space="preserve"> </v>
      </c>
      <c r="CO11" s="976"/>
      <c r="CP11" s="976"/>
      <c r="CQ11" s="976"/>
      <c r="CR11" s="976"/>
      <c r="CS11" s="976" t="str">
        <f>MID(SUVAHAVUJ!AD75,9,1)</f>
        <v xml:space="preserve"> </v>
      </c>
      <c r="CT11" s="976"/>
      <c r="CU11" s="976"/>
      <c r="CV11" s="976"/>
      <c r="CW11" s="976"/>
      <c r="CX11" s="976"/>
      <c r="CY11" s="976" t="str">
        <f>MID(SUVAHAVUJ!AD75,10,1)</f>
        <v xml:space="preserve"> </v>
      </c>
      <c r="CZ11" s="976"/>
      <c r="DA11" s="976"/>
      <c r="DB11" s="976"/>
      <c r="DC11" s="976"/>
      <c r="DD11" s="977" t="str">
        <f>MID(SUVAHAVUJ!AD75,11,1)</f>
        <v>0</v>
      </c>
      <c r="DE11" s="977"/>
      <c r="DF11" s="977"/>
      <c r="DG11" s="977"/>
      <c r="DH11" s="977"/>
      <c r="DI11" s="977"/>
      <c r="DJ11" s="648"/>
      <c r="DK11" s="649"/>
      <c r="DL11" s="976" t="str">
        <f>MID(SUVAHAVUJ!AF75,1,1)</f>
        <v xml:space="preserve"> </v>
      </c>
      <c r="DM11" s="976"/>
      <c r="DN11" s="976"/>
      <c r="DO11" s="976"/>
      <c r="DP11" s="976"/>
      <c r="DQ11" s="976"/>
      <c r="DR11" s="976" t="str">
        <f>MID(SUVAHAVUJ!AF75,2,1)</f>
        <v xml:space="preserve"> </v>
      </c>
      <c r="DS11" s="976"/>
      <c r="DT11" s="976"/>
      <c r="DU11" s="976"/>
      <c r="DV11" s="976"/>
      <c r="DW11" s="976" t="str">
        <f>MID(SUVAHAVUJ!AF75,3,1)</f>
        <v xml:space="preserve"> </v>
      </c>
      <c r="DX11" s="976"/>
      <c r="DY11" s="976"/>
      <c r="DZ11" s="976"/>
      <c r="EA11" s="976"/>
      <c r="EB11" s="976"/>
      <c r="EC11" s="976" t="str">
        <f>MID(SUVAHAVUJ!AF75,4,1)</f>
        <v xml:space="preserve"> </v>
      </c>
      <c r="ED11" s="976"/>
      <c r="EE11" s="976"/>
      <c r="EF11" s="976"/>
      <c r="EG11" s="976"/>
      <c r="EH11" s="976" t="str">
        <f>MID(SUVAHAVUJ!AF75,5,1)</f>
        <v xml:space="preserve"> </v>
      </c>
      <c r="EI11" s="976"/>
      <c r="EJ11" s="976"/>
      <c r="EK11" s="976"/>
      <c r="EL11" s="976"/>
      <c r="EM11" s="976"/>
      <c r="EN11" s="976" t="str">
        <f>MID(SUVAHAVUJ!AF75,6,1)</f>
        <v xml:space="preserve"> </v>
      </c>
      <c r="EO11" s="976"/>
      <c r="EP11" s="976"/>
      <c r="EQ11" s="976"/>
      <c r="ER11" s="976"/>
      <c r="ES11" s="976" t="str">
        <f>MID(SUVAHAVUJ!AF75,7,1)</f>
        <v xml:space="preserve"> </v>
      </c>
      <c r="ET11" s="976"/>
      <c r="EU11" s="976"/>
      <c r="EV11" s="976"/>
      <c r="EW11" s="976"/>
      <c r="EX11" s="976"/>
      <c r="EY11" s="976" t="str">
        <f>MID(SUVAHAVUJ!AF75,8,1)</f>
        <v xml:space="preserve"> </v>
      </c>
      <c r="EZ11" s="976"/>
      <c r="FA11" s="976"/>
      <c r="FB11" s="976"/>
      <c r="FC11" s="976"/>
      <c r="FD11" s="976" t="str">
        <f>MID(SUVAHAVUJ!AF75,9,1)</f>
        <v xml:space="preserve"> </v>
      </c>
      <c r="FE11" s="976"/>
      <c r="FF11" s="976"/>
      <c r="FG11" s="976"/>
      <c r="FH11" s="976"/>
      <c r="FI11" s="976"/>
      <c r="FJ11" s="976" t="str">
        <f>MID(SUVAHAVUJ!AF75,10,1)</f>
        <v xml:space="preserve"> </v>
      </c>
      <c r="FK11" s="976"/>
      <c r="FL11" s="976"/>
      <c r="FM11" s="976"/>
      <c r="FN11" s="976"/>
      <c r="FO11" s="978" t="str">
        <f>MID(SUVAHAVUJ!AF75,11,1)</f>
        <v>0</v>
      </c>
      <c r="FP11" s="978"/>
      <c r="FQ11" s="978"/>
      <c r="FR11" s="978"/>
      <c r="FS11" s="978"/>
      <c r="FT11" s="979"/>
      <c r="FU11" s="979"/>
      <c r="FV11" s="979"/>
      <c r="FW11" s="979"/>
      <c r="FX11" s="979"/>
      <c r="FY11" s="979"/>
      <c r="FZ11" s="979"/>
      <c r="GA11" s="979"/>
      <c r="GB11" s="979"/>
      <c r="GC11" s="979"/>
      <c r="GD11" s="979"/>
      <c r="GE11" s="979"/>
      <c r="GF11" s="979"/>
      <c r="GG11" s="979"/>
      <c r="GH11" s="979"/>
      <c r="GI11" s="979"/>
      <c r="GJ11" s="979"/>
      <c r="GK11" s="979"/>
      <c r="GL11" s="979"/>
      <c r="GM11" s="979"/>
      <c r="GN11" s="979"/>
      <c r="GO11" s="979"/>
      <c r="GP11" s="979"/>
      <c r="GQ11" s="979"/>
      <c r="GR11" s="979"/>
      <c r="GS11" s="979"/>
      <c r="GT11" s="979"/>
      <c r="GU11" s="979"/>
      <c r="GV11" s="979"/>
      <c r="GW11" s="979"/>
    </row>
    <row r="12" spans="1:205" ht="23.25" customHeight="1" x14ac:dyDescent="0.3">
      <c r="B12" s="985"/>
      <c r="C12" s="985"/>
      <c r="D12" s="985"/>
      <c r="E12" s="985"/>
      <c r="F12" s="985"/>
      <c r="G12" s="985"/>
      <c r="H12" s="985"/>
      <c r="I12" s="985"/>
      <c r="J12" s="985"/>
      <c r="K12" s="985"/>
      <c r="L12" s="984"/>
      <c r="M12" s="984"/>
      <c r="N12" s="984"/>
      <c r="O12" s="984"/>
      <c r="P12" s="984"/>
      <c r="Q12" s="984"/>
      <c r="R12" s="984"/>
      <c r="S12" s="984"/>
      <c r="T12" s="984"/>
      <c r="U12" s="984"/>
      <c r="V12" s="984"/>
      <c r="W12" s="984"/>
      <c r="X12" s="984"/>
      <c r="Y12" s="984"/>
      <c r="Z12" s="984"/>
      <c r="AA12" s="984"/>
      <c r="AB12" s="984"/>
      <c r="AC12" s="984"/>
      <c r="AD12" s="984"/>
      <c r="AE12" s="984"/>
      <c r="AF12" s="984"/>
      <c r="AG12" s="984"/>
      <c r="AH12" s="984"/>
      <c r="AI12" s="984"/>
      <c r="AJ12" s="984"/>
      <c r="AK12" s="984"/>
      <c r="AL12" s="984"/>
      <c r="AM12" s="984"/>
      <c r="AN12" s="984"/>
      <c r="AO12" s="984"/>
      <c r="AP12" s="984"/>
      <c r="AQ12" s="975"/>
      <c r="AR12" s="975"/>
      <c r="AS12" s="975"/>
      <c r="AT12" s="975"/>
      <c r="AU12" s="975"/>
      <c r="AV12" s="975"/>
      <c r="AW12" s="975"/>
      <c r="AX12" s="975"/>
      <c r="AY12" s="648"/>
      <c r="AZ12" s="649"/>
      <c r="BA12" s="976" t="str">
        <f>MID(SUVAHAVUJ!AE75,1,1)</f>
        <v xml:space="preserve"> </v>
      </c>
      <c r="BB12" s="976"/>
      <c r="BC12" s="976"/>
      <c r="BD12" s="976"/>
      <c r="BE12" s="976"/>
      <c r="BF12" s="976"/>
      <c r="BG12" s="976" t="str">
        <f>MID(SUVAHAVUJ!AE75,2,1)</f>
        <v xml:space="preserve"> </v>
      </c>
      <c r="BH12" s="976"/>
      <c r="BI12" s="976"/>
      <c r="BJ12" s="976"/>
      <c r="BK12" s="976"/>
      <c r="BL12" s="976" t="str">
        <f>MID(SUVAHAVUJ!AE75,3,1)</f>
        <v xml:space="preserve"> </v>
      </c>
      <c r="BM12" s="976"/>
      <c r="BN12" s="976"/>
      <c r="BO12" s="976"/>
      <c r="BP12" s="976"/>
      <c r="BQ12" s="976"/>
      <c r="BR12" s="976" t="str">
        <f>MID(SUVAHAVUJ!AE75,4,1)</f>
        <v xml:space="preserve"> </v>
      </c>
      <c r="BS12" s="976"/>
      <c r="BT12" s="976"/>
      <c r="BU12" s="976"/>
      <c r="BV12" s="976"/>
      <c r="BW12" s="976" t="str">
        <f>MID(SUVAHAVUJ!AE75,5,1)</f>
        <v xml:space="preserve"> </v>
      </c>
      <c r="BX12" s="976"/>
      <c r="BY12" s="976"/>
      <c r="BZ12" s="976"/>
      <c r="CA12" s="976"/>
      <c r="CB12" s="976"/>
      <c r="CC12" s="976" t="str">
        <f>MID(SUVAHAVUJ!AE75,6,1)</f>
        <v xml:space="preserve"> </v>
      </c>
      <c r="CD12" s="976"/>
      <c r="CE12" s="976"/>
      <c r="CF12" s="976"/>
      <c r="CG12" s="976"/>
      <c r="CH12" s="976" t="str">
        <f>MID(SUVAHAVUJ!AE75,7,1)</f>
        <v xml:space="preserve"> </v>
      </c>
      <c r="CI12" s="976"/>
      <c r="CJ12" s="976"/>
      <c r="CK12" s="976"/>
      <c r="CL12" s="976"/>
      <c r="CM12" s="976"/>
      <c r="CN12" s="976" t="str">
        <f>MID(SUVAHAVUJ!AE75,8,1)</f>
        <v xml:space="preserve"> </v>
      </c>
      <c r="CO12" s="976"/>
      <c r="CP12" s="976"/>
      <c r="CQ12" s="976"/>
      <c r="CR12" s="976"/>
      <c r="CS12" s="976" t="str">
        <f>MID(SUVAHAVUJ!AE75,9,1)</f>
        <v xml:space="preserve"> </v>
      </c>
      <c r="CT12" s="976"/>
      <c r="CU12" s="976"/>
      <c r="CV12" s="976"/>
      <c r="CW12" s="976"/>
      <c r="CX12" s="976"/>
      <c r="CY12" s="976" t="str">
        <f>MID(SUVAHAVUJ!AE75,10,1)</f>
        <v xml:space="preserve"> </v>
      </c>
      <c r="CZ12" s="976"/>
      <c r="DA12" s="976"/>
      <c r="DB12" s="976"/>
      <c r="DC12" s="976"/>
      <c r="DD12" s="977" t="str">
        <f>MID(SUVAHAVUJ!AE75,11,1)</f>
        <v>0</v>
      </c>
      <c r="DE12" s="977"/>
      <c r="DF12" s="977"/>
      <c r="DG12" s="977"/>
      <c r="DH12" s="977"/>
      <c r="DI12" s="977"/>
      <c r="DJ12" s="980"/>
      <c r="DK12" s="980"/>
      <c r="DL12" s="980"/>
      <c r="DM12" s="980"/>
      <c r="DN12" s="980"/>
      <c r="DO12" s="980"/>
      <c r="DP12" s="980"/>
      <c r="DQ12" s="980"/>
      <c r="DR12" s="980"/>
      <c r="DS12" s="980"/>
      <c r="DT12" s="980"/>
      <c r="DU12" s="980"/>
      <c r="DV12" s="980"/>
      <c r="DW12" s="980"/>
      <c r="DX12" s="980"/>
      <c r="DY12" s="980"/>
      <c r="DZ12" s="980"/>
      <c r="EA12" s="980"/>
      <c r="EB12" s="980"/>
      <c r="EC12" s="980"/>
      <c r="ED12" s="980"/>
      <c r="EE12" s="980"/>
      <c r="EF12" s="980"/>
      <c r="EG12" s="980"/>
      <c r="EH12" s="980"/>
      <c r="EI12" s="980"/>
      <c r="EJ12" s="980"/>
      <c r="EK12" s="980"/>
      <c r="EL12" s="980"/>
      <c r="EM12" s="980"/>
      <c r="EN12" s="648"/>
      <c r="EO12" s="649"/>
      <c r="EP12" s="976" t="str">
        <f>MID(SUVAHAVUJ!AG75,1,1)</f>
        <v xml:space="preserve"> </v>
      </c>
      <c r="EQ12" s="976"/>
      <c r="ER12" s="976"/>
      <c r="ES12" s="976"/>
      <c r="ET12" s="976"/>
      <c r="EU12" s="976"/>
      <c r="EV12" s="976" t="str">
        <f>MID(SUVAHAVUJ!AG75,2,1)</f>
        <v xml:space="preserve"> </v>
      </c>
      <c r="EW12" s="976"/>
      <c r="EX12" s="976"/>
      <c r="EY12" s="976"/>
      <c r="EZ12" s="976"/>
      <c r="FA12" s="976" t="str">
        <f>MID(SUVAHAVUJ!AG75,3,1)</f>
        <v xml:space="preserve"> </v>
      </c>
      <c r="FB12" s="976"/>
      <c r="FC12" s="976"/>
      <c r="FD12" s="976"/>
      <c r="FE12" s="976"/>
      <c r="FF12" s="976"/>
      <c r="FG12" s="976" t="str">
        <f>MID(SUVAHAVUJ!AG75,4,1)</f>
        <v xml:space="preserve"> </v>
      </c>
      <c r="FH12" s="976"/>
      <c r="FI12" s="976"/>
      <c r="FJ12" s="976"/>
      <c r="FK12" s="976"/>
      <c r="FL12" s="976" t="str">
        <f>MID(SUVAHAVUJ!AG75,5,1)</f>
        <v xml:space="preserve"> </v>
      </c>
      <c r="FM12" s="976"/>
      <c r="FN12" s="976"/>
      <c r="FO12" s="976"/>
      <c r="FP12" s="976"/>
      <c r="FQ12" s="976"/>
      <c r="FR12" s="976" t="str">
        <f>MID(SUVAHAVUJ!AG75,6,1)</f>
        <v xml:space="preserve"> </v>
      </c>
      <c r="FS12" s="976"/>
      <c r="FT12" s="976"/>
      <c r="FU12" s="976"/>
      <c r="FV12" s="976"/>
      <c r="FW12" s="976" t="str">
        <f>MID(SUVAHAVUJ!AG75,7,1)</f>
        <v xml:space="preserve"> </v>
      </c>
      <c r="FX12" s="976"/>
      <c r="FY12" s="976"/>
      <c r="FZ12" s="976"/>
      <c r="GA12" s="976"/>
      <c r="GB12" s="976"/>
      <c r="GC12" s="976" t="str">
        <f>MID(SUVAHAVUJ!AG75,8,1)</f>
        <v xml:space="preserve"> </v>
      </c>
      <c r="GD12" s="976"/>
      <c r="GE12" s="976"/>
      <c r="GF12" s="976"/>
      <c r="GG12" s="976"/>
      <c r="GH12" s="976" t="str">
        <f>MID(SUVAHAVUJ!AG75,9,1)</f>
        <v xml:space="preserve"> </v>
      </c>
      <c r="GI12" s="976"/>
      <c r="GJ12" s="976"/>
      <c r="GK12" s="976"/>
      <c r="GL12" s="976"/>
      <c r="GM12" s="976"/>
      <c r="GN12" s="976" t="str">
        <f>MID(SUVAHAVUJ!AG75,10,1)</f>
        <v xml:space="preserve"> </v>
      </c>
      <c r="GO12" s="976"/>
      <c r="GP12" s="976"/>
      <c r="GQ12" s="976"/>
      <c r="GR12" s="976"/>
      <c r="GS12" s="978" t="str">
        <f>MID(SUVAHAVUJ!AG75,11,1)</f>
        <v>0</v>
      </c>
      <c r="GT12" s="978"/>
      <c r="GU12" s="978"/>
      <c r="GV12" s="978"/>
      <c r="GW12" s="978"/>
    </row>
    <row r="13" spans="1:205" s="650" customFormat="1" ht="23.25" customHeight="1" x14ac:dyDescent="0.3">
      <c r="B13" s="981" t="s">
        <v>2218</v>
      </c>
      <c r="C13" s="981"/>
      <c r="D13" s="981"/>
      <c r="E13" s="981"/>
      <c r="F13" s="981"/>
      <c r="G13" s="981"/>
      <c r="H13" s="981"/>
      <c r="I13" s="981"/>
      <c r="J13" s="981"/>
      <c r="K13" s="981"/>
      <c r="L13" s="974" t="str">
        <f>SUVAHAVUJ!$D$76</f>
        <v>Časové rozlíšenie súčet (r. 75 až r. 78)</v>
      </c>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c r="AL13" s="974"/>
      <c r="AM13" s="974"/>
      <c r="AN13" s="974"/>
      <c r="AO13" s="974"/>
      <c r="AP13" s="974"/>
      <c r="AQ13" s="975" t="s">
        <v>2217</v>
      </c>
      <c r="AR13" s="975"/>
      <c r="AS13" s="975"/>
      <c r="AT13" s="975"/>
      <c r="AU13" s="975"/>
      <c r="AV13" s="975"/>
      <c r="AW13" s="975"/>
      <c r="AX13" s="975"/>
      <c r="AY13" s="648"/>
      <c r="AZ13" s="649"/>
      <c r="BA13" s="976" t="str">
        <f>MID(SUVAHAVUJ!AD76,1,1)</f>
        <v xml:space="preserve"> </v>
      </c>
      <c r="BB13" s="976"/>
      <c r="BC13" s="976"/>
      <c r="BD13" s="976"/>
      <c r="BE13" s="976"/>
      <c r="BF13" s="976"/>
      <c r="BG13" s="976" t="str">
        <f>MID(SUVAHAVUJ!AD76,2,1)</f>
        <v xml:space="preserve"> </v>
      </c>
      <c r="BH13" s="976"/>
      <c r="BI13" s="976"/>
      <c r="BJ13" s="976"/>
      <c r="BK13" s="976"/>
      <c r="BL13" s="976" t="str">
        <f>MID(SUVAHAVUJ!AD76,3,1)</f>
        <v xml:space="preserve"> </v>
      </c>
      <c r="BM13" s="976"/>
      <c r="BN13" s="976"/>
      <c r="BO13" s="976"/>
      <c r="BP13" s="976"/>
      <c r="BQ13" s="976"/>
      <c r="BR13" s="976" t="str">
        <f>MID(SUVAHAVUJ!AD76,4,1)</f>
        <v xml:space="preserve"> </v>
      </c>
      <c r="BS13" s="976"/>
      <c r="BT13" s="976"/>
      <c r="BU13" s="976"/>
      <c r="BV13" s="976"/>
      <c r="BW13" s="976" t="str">
        <f>MID(SUVAHAVUJ!AD76,5,1)</f>
        <v xml:space="preserve"> </v>
      </c>
      <c r="BX13" s="976"/>
      <c r="BY13" s="976"/>
      <c r="BZ13" s="976"/>
      <c r="CA13" s="976"/>
      <c r="CB13" s="976"/>
      <c r="CC13" s="976" t="str">
        <f>MID(SUVAHAVUJ!AD76,6,1)</f>
        <v xml:space="preserve"> </v>
      </c>
      <c r="CD13" s="976"/>
      <c r="CE13" s="976"/>
      <c r="CF13" s="976"/>
      <c r="CG13" s="976"/>
      <c r="CH13" s="976" t="str">
        <f>MID(SUVAHAVUJ!AD76,7,1)</f>
        <v>4</v>
      </c>
      <c r="CI13" s="976"/>
      <c r="CJ13" s="976"/>
      <c r="CK13" s="976"/>
      <c r="CL13" s="976"/>
      <c r="CM13" s="976"/>
      <c r="CN13" s="976" t="str">
        <f>MID(SUVAHAVUJ!AD76,8,1)</f>
        <v>5</v>
      </c>
      <c r="CO13" s="976"/>
      <c r="CP13" s="976"/>
      <c r="CQ13" s="976"/>
      <c r="CR13" s="976"/>
      <c r="CS13" s="976" t="str">
        <f>MID(SUVAHAVUJ!AD76,9,1)</f>
        <v>9</v>
      </c>
      <c r="CT13" s="976"/>
      <c r="CU13" s="976"/>
      <c r="CV13" s="976"/>
      <c r="CW13" s="976"/>
      <c r="CX13" s="976"/>
      <c r="CY13" s="976" t="str">
        <f>MID(SUVAHAVUJ!AD76,10,1)</f>
        <v>2</v>
      </c>
      <c r="CZ13" s="976"/>
      <c r="DA13" s="976"/>
      <c r="DB13" s="976"/>
      <c r="DC13" s="976"/>
      <c r="DD13" s="977" t="str">
        <f>MID(SUVAHAVUJ!AD76,11,1)</f>
        <v>6</v>
      </c>
      <c r="DE13" s="977"/>
      <c r="DF13" s="977"/>
      <c r="DG13" s="977"/>
      <c r="DH13" s="977"/>
      <c r="DI13" s="977"/>
      <c r="DJ13" s="648"/>
      <c r="DK13" s="649"/>
      <c r="DL13" s="976" t="str">
        <f>MID(SUVAHAVUJ!AF76,1,1)</f>
        <v xml:space="preserve"> </v>
      </c>
      <c r="DM13" s="976"/>
      <c r="DN13" s="976"/>
      <c r="DO13" s="976"/>
      <c r="DP13" s="976"/>
      <c r="DQ13" s="976"/>
      <c r="DR13" s="976" t="str">
        <f>MID(SUVAHAVUJ!AF76,2,1)</f>
        <v xml:space="preserve"> </v>
      </c>
      <c r="DS13" s="976"/>
      <c r="DT13" s="976"/>
      <c r="DU13" s="976"/>
      <c r="DV13" s="976"/>
      <c r="DW13" s="976" t="str">
        <f>MID(SUVAHAVUJ!AF76,3,1)</f>
        <v xml:space="preserve"> </v>
      </c>
      <c r="DX13" s="976"/>
      <c r="DY13" s="976"/>
      <c r="DZ13" s="976"/>
      <c r="EA13" s="976"/>
      <c r="EB13" s="976"/>
      <c r="EC13" s="976" t="str">
        <f>MID(SUVAHAVUJ!AF76,4,1)</f>
        <v xml:space="preserve"> </v>
      </c>
      <c r="ED13" s="976"/>
      <c r="EE13" s="976"/>
      <c r="EF13" s="976"/>
      <c r="EG13" s="976"/>
      <c r="EH13" s="976" t="str">
        <f>MID(SUVAHAVUJ!AF76,5,1)</f>
        <v xml:space="preserve"> </v>
      </c>
      <c r="EI13" s="976"/>
      <c r="EJ13" s="976"/>
      <c r="EK13" s="976"/>
      <c r="EL13" s="976"/>
      <c r="EM13" s="976"/>
      <c r="EN13" s="976" t="str">
        <f>MID(SUVAHAVUJ!AF76,6,1)</f>
        <v xml:space="preserve"> </v>
      </c>
      <c r="EO13" s="976"/>
      <c r="EP13" s="976"/>
      <c r="EQ13" s="976"/>
      <c r="ER13" s="976"/>
      <c r="ES13" s="976" t="str">
        <f>MID(SUVAHAVUJ!AF76,7,1)</f>
        <v>4</v>
      </c>
      <c r="ET13" s="976"/>
      <c r="EU13" s="976"/>
      <c r="EV13" s="976"/>
      <c r="EW13" s="976"/>
      <c r="EX13" s="976"/>
      <c r="EY13" s="976" t="str">
        <f>MID(SUVAHAVUJ!AF76,8,1)</f>
        <v>5</v>
      </c>
      <c r="EZ13" s="976"/>
      <c r="FA13" s="976"/>
      <c r="FB13" s="976"/>
      <c r="FC13" s="976"/>
      <c r="FD13" s="976" t="str">
        <f>MID(SUVAHAVUJ!AF76,9,1)</f>
        <v>9</v>
      </c>
      <c r="FE13" s="976"/>
      <c r="FF13" s="976"/>
      <c r="FG13" s="976"/>
      <c r="FH13" s="976"/>
      <c r="FI13" s="976"/>
      <c r="FJ13" s="976" t="str">
        <f>MID(SUVAHAVUJ!AF76,10,1)</f>
        <v>2</v>
      </c>
      <c r="FK13" s="976"/>
      <c r="FL13" s="976"/>
      <c r="FM13" s="976"/>
      <c r="FN13" s="976"/>
      <c r="FO13" s="978" t="str">
        <f>MID(SUVAHAVUJ!AF76,11,1)</f>
        <v>6</v>
      </c>
      <c r="FP13" s="978"/>
      <c r="FQ13" s="978"/>
      <c r="FR13" s="978"/>
      <c r="FS13" s="978"/>
      <c r="FT13" s="979"/>
      <c r="FU13" s="979"/>
      <c r="FV13" s="979"/>
      <c r="FW13" s="979"/>
      <c r="FX13" s="979"/>
      <c r="FY13" s="979"/>
      <c r="FZ13" s="979"/>
      <c r="GA13" s="979"/>
      <c r="GB13" s="979"/>
      <c r="GC13" s="979"/>
      <c r="GD13" s="979"/>
      <c r="GE13" s="979"/>
      <c r="GF13" s="979"/>
      <c r="GG13" s="979"/>
      <c r="GH13" s="979"/>
      <c r="GI13" s="979"/>
      <c r="GJ13" s="979"/>
      <c r="GK13" s="979"/>
      <c r="GL13" s="979"/>
      <c r="GM13" s="979"/>
      <c r="GN13" s="979"/>
      <c r="GO13" s="979"/>
      <c r="GP13" s="979"/>
      <c r="GQ13" s="979"/>
      <c r="GR13" s="979"/>
      <c r="GS13" s="979"/>
      <c r="GT13" s="979"/>
      <c r="GU13" s="979"/>
      <c r="GV13" s="979"/>
      <c r="GW13" s="979"/>
    </row>
    <row r="14" spans="1:205" ht="23.25" customHeight="1" x14ac:dyDescent="0.3">
      <c r="B14" s="981"/>
      <c r="C14" s="981"/>
      <c r="D14" s="981"/>
      <c r="E14" s="981"/>
      <c r="F14" s="981"/>
      <c r="G14" s="981"/>
      <c r="H14" s="981"/>
      <c r="I14" s="981"/>
      <c r="J14" s="981"/>
      <c r="K14" s="981"/>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c r="AL14" s="974"/>
      <c r="AM14" s="974"/>
      <c r="AN14" s="974"/>
      <c r="AO14" s="974"/>
      <c r="AP14" s="974"/>
      <c r="AQ14" s="975"/>
      <c r="AR14" s="975"/>
      <c r="AS14" s="975"/>
      <c r="AT14" s="975"/>
      <c r="AU14" s="975"/>
      <c r="AV14" s="975"/>
      <c r="AW14" s="975"/>
      <c r="AX14" s="975"/>
      <c r="AY14" s="648"/>
      <c r="AZ14" s="649"/>
      <c r="BA14" s="976" t="str">
        <f>MID(SUVAHAVUJ!AE76,1,1)</f>
        <v xml:space="preserve"> </v>
      </c>
      <c r="BB14" s="976"/>
      <c r="BC14" s="976"/>
      <c r="BD14" s="976"/>
      <c r="BE14" s="976"/>
      <c r="BF14" s="976"/>
      <c r="BG14" s="976" t="str">
        <f>MID(SUVAHAVUJ!AE76,2,1)</f>
        <v xml:space="preserve"> </v>
      </c>
      <c r="BH14" s="976"/>
      <c r="BI14" s="976"/>
      <c r="BJ14" s="976"/>
      <c r="BK14" s="976"/>
      <c r="BL14" s="976" t="str">
        <f>MID(SUVAHAVUJ!AE76,3,1)</f>
        <v xml:space="preserve"> </v>
      </c>
      <c r="BM14" s="976"/>
      <c r="BN14" s="976"/>
      <c r="BO14" s="976"/>
      <c r="BP14" s="976"/>
      <c r="BQ14" s="976"/>
      <c r="BR14" s="976" t="str">
        <f>MID(SUVAHAVUJ!AE76,4,1)</f>
        <v xml:space="preserve"> </v>
      </c>
      <c r="BS14" s="976"/>
      <c r="BT14" s="976"/>
      <c r="BU14" s="976"/>
      <c r="BV14" s="976"/>
      <c r="BW14" s="976" t="str">
        <f>MID(SUVAHAVUJ!AE76,5,1)</f>
        <v xml:space="preserve"> </v>
      </c>
      <c r="BX14" s="976"/>
      <c r="BY14" s="976"/>
      <c r="BZ14" s="976"/>
      <c r="CA14" s="976"/>
      <c r="CB14" s="976"/>
      <c r="CC14" s="976" t="str">
        <f>MID(SUVAHAVUJ!AE76,6,1)</f>
        <v xml:space="preserve"> </v>
      </c>
      <c r="CD14" s="976"/>
      <c r="CE14" s="976"/>
      <c r="CF14" s="976"/>
      <c r="CG14" s="976"/>
      <c r="CH14" s="976" t="str">
        <f>MID(SUVAHAVUJ!AE76,7,1)</f>
        <v xml:space="preserve"> </v>
      </c>
      <c r="CI14" s="976"/>
      <c r="CJ14" s="976"/>
      <c r="CK14" s="976"/>
      <c r="CL14" s="976"/>
      <c r="CM14" s="976"/>
      <c r="CN14" s="976" t="str">
        <f>MID(SUVAHAVUJ!AE76,8,1)</f>
        <v xml:space="preserve"> </v>
      </c>
      <c r="CO14" s="976"/>
      <c r="CP14" s="976"/>
      <c r="CQ14" s="976"/>
      <c r="CR14" s="976"/>
      <c r="CS14" s="976" t="str">
        <f>MID(SUVAHAVUJ!AE76,9,1)</f>
        <v xml:space="preserve"> </v>
      </c>
      <c r="CT14" s="976"/>
      <c r="CU14" s="976"/>
      <c r="CV14" s="976"/>
      <c r="CW14" s="976"/>
      <c r="CX14" s="976"/>
      <c r="CY14" s="976" t="str">
        <f>MID(SUVAHAVUJ!AE76,10,1)</f>
        <v xml:space="preserve"> </v>
      </c>
      <c r="CZ14" s="976"/>
      <c r="DA14" s="976"/>
      <c r="DB14" s="976"/>
      <c r="DC14" s="976"/>
      <c r="DD14" s="977" t="str">
        <f>MID(SUVAHAVUJ!AE76,11,1)</f>
        <v>0</v>
      </c>
      <c r="DE14" s="977"/>
      <c r="DF14" s="977"/>
      <c r="DG14" s="977"/>
      <c r="DH14" s="977"/>
      <c r="DI14" s="977"/>
      <c r="DJ14" s="980"/>
      <c r="DK14" s="980"/>
      <c r="DL14" s="980"/>
      <c r="DM14" s="980"/>
      <c r="DN14" s="980"/>
      <c r="DO14" s="980"/>
      <c r="DP14" s="980"/>
      <c r="DQ14" s="980"/>
      <c r="DR14" s="980"/>
      <c r="DS14" s="980"/>
      <c r="DT14" s="980"/>
      <c r="DU14" s="980"/>
      <c r="DV14" s="980"/>
      <c r="DW14" s="980"/>
      <c r="DX14" s="980"/>
      <c r="DY14" s="980"/>
      <c r="DZ14" s="980"/>
      <c r="EA14" s="980"/>
      <c r="EB14" s="980"/>
      <c r="EC14" s="980"/>
      <c r="ED14" s="980"/>
      <c r="EE14" s="980"/>
      <c r="EF14" s="980"/>
      <c r="EG14" s="980"/>
      <c r="EH14" s="980"/>
      <c r="EI14" s="980"/>
      <c r="EJ14" s="980"/>
      <c r="EK14" s="980"/>
      <c r="EL14" s="980"/>
      <c r="EM14" s="980"/>
      <c r="EN14" s="648"/>
      <c r="EO14" s="649"/>
      <c r="EP14" s="976" t="str">
        <f>MID(SUVAHAVUJ!AG76,1,1)</f>
        <v xml:space="preserve"> </v>
      </c>
      <c r="EQ14" s="976"/>
      <c r="ER14" s="976"/>
      <c r="ES14" s="976"/>
      <c r="ET14" s="976"/>
      <c r="EU14" s="976"/>
      <c r="EV14" s="976" t="str">
        <f>MID(SUVAHAVUJ!AG76,2,1)</f>
        <v xml:space="preserve"> </v>
      </c>
      <c r="EW14" s="976"/>
      <c r="EX14" s="976"/>
      <c r="EY14" s="976"/>
      <c r="EZ14" s="976"/>
      <c r="FA14" s="976" t="str">
        <f>MID(SUVAHAVUJ!AG76,3,1)</f>
        <v xml:space="preserve"> </v>
      </c>
      <c r="FB14" s="976"/>
      <c r="FC14" s="976"/>
      <c r="FD14" s="976"/>
      <c r="FE14" s="976"/>
      <c r="FF14" s="976"/>
      <c r="FG14" s="976" t="str">
        <f>MID(SUVAHAVUJ!AG76,4,1)</f>
        <v xml:space="preserve"> </v>
      </c>
      <c r="FH14" s="976"/>
      <c r="FI14" s="976"/>
      <c r="FJ14" s="976"/>
      <c r="FK14" s="976"/>
      <c r="FL14" s="976" t="str">
        <f>MID(SUVAHAVUJ!AG76,5,1)</f>
        <v xml:space="preserve"> </v>
      </c>
      <c r="FM14" s="976"/>
      <c r="FN14" s="976"/>
      <c r="FO14" s="976"/>
      <c r="FP14" s="976"/>
      <c r="FQ14" s="976"/>
      <c r="FR14" s="976" t="str">
        <f>MID(SUVAHAVUJ!AG76,6,1)</f>
        <v xml:space="preserve"> </v>
      </c>
      <c r="FS14" s="976"/>
      <c r="FT14" s="976"/>
      <c r="FU14" s="976"/>
      <c r="FV14" s="976"/>
      <c r="FW14" s="976" t="str">
        <f>MID(SUVAHAVUJ!AG76,7,1)</f>
        <v>5</v>
      </c>
      <c r="FX14" s="976"/>
      <c r="FY14" s="976"/>
      <c r="FZ14" s="976"/>
      <c r="GA14" s="976"/>
      <c r="GB14" s="976"/>
      <c r="GC14" s="976" t="str">
        <f>MID(SUVAHAVUJ!AG76,8,1)</f>
        <v>2</v>
      </c>
      <c r="GD14" s="976"/>
      <c r="GE14" s="976"/>
      <c r="GF14" s="976"/>
      <c r="GG14" s="976"/>
      <c r="GH14" s="976" t="str">
        <f>MID(SUVAHAVUJ!AG76,9,1)</f>
        <v>1</v>
      </c>
      <c r="GI14" s="976"/>
      <c r="GJ14" s="976"/>
      <c r="GK14" s="976"/>
      <c r="GL14" s="976"/>
      <c r="GM14" s="976"/>
      <c r="GN14" s="976" t="str">
        <f>MID(SUVAHAVUJ!AG76,10,1)</f>
        <v>3</v>
      </c>
      <c r="GO14" s="976"/>
      <c r="GP14" s="976"/>
      <c r="GQ14" s="976"/>
      <c r="GR14" s="976"/>
      <c r="GS14" s="978" t="str">
        <f>MID(SUVAHAVUJ!AG76,11,1)</f>
        <v>6</v>
      </c>
      <c r="GT14" s="978"/>
      <c r="GU14" s="978"/>
      <c r="GV14" s="978"/>
      <c r="GW14" s="978"/>
    </row>
    <row r="15" spans="1:205" s="650" customFormat="1" ht="24" customHeight="1" x14ac:dyDescent="0.3">
      <c r="B15" s="994" t="s">
        <v>2220</v>
      </c>
      <c r="C15" s="994"/>
      <c r="D15" s="994"/>
      <c r="E15" s="994"/>
      <c r="F15" s="994"/>
      <c r="G15" s="994"/>
      <c r="H15" s="994"/>
      <c r="I15" s="994"/>
      <c r="J15" s="994"/>
      <c r="K15" s="994"/>
      <c r="L15" s="984" t="str">
        <f>SUVAHAVUJ!$D$77</f>
        <v>Náklady budúcich období dlhodobé (381A, 382A)</v>
      </c>
      <c r="M15" s="984"/>
      <c r="N15" s="984"/>
      <c r="O15" s="984"/>
      <c r="P15" s="984"/>
      <c r="Q15" s="984"/>
      <c r="R15" s="984"/>
      <c r="S15" s="984"/>
      <c r="T15" s="984"/>
      <c r="U15" s="984"/>
      <c r="V15" s="984"/>
      <c r="W15" s="984"/>
      <c r="X15" s="984"/>
      <c r="Y15" s="984"/>
      <c r="Z15" s="984"/>
      <c r="AA15" s="984"/>
      <c r="AB15" s="984"/>
      <c r="AC15" s="984"/>
      <c r="AD15" s="984"/>
      <c r="AE15" s="984"/>
      <c r="AF15" s="984"/>
      <c r="AG15" s="984"/>
      <c r="AH15" s="984"/>
      <c r="AI15" s="984"/>
      <c r="AJ15" s="984"/>
      <c r="AK15" s="984"/>
      <c r="AL15" s="984"/>
      <c r="AM15" s="984"/>
      <c r="AN15" s="984"/>
      <c r="AO15" s="984"/>
      <c r="AP15" s="984"/>
      <c r="AQ15" s="975" t="s">
        <v>2219</v>
      </c>
      <c r="AR15" s="975"/>
      <c r="AS15" s="975"/>
      <c r="AT15" s="975"/>
      <c r="AU15" s="975"/>
      <c r="AV15" s="975"/>
      <c r="AW15" s="975"/>
      <c r="AX15" s="975"/>
      <c r="AY15" s="648"/>
      <c r="AZ15" s="649"/>
      <c r="BA15" s="976" t="str">
        <f>MID(SUVAHAVUJ!AD77,1,1)</f>
        <v xml:space="preserve"> </v>
      </c>
      <c r="BB15" s="976"/>
      <c r="BC15" s="976"/>
      <c r="BD15" s="976"/>
      <c r="BE15" s="976"/>
      <c r="BF15" s="976"/>
      <c r="BG15" s="976" t="str">
        <f>MID(SUVAHAVUJ!AD77,2,1)</f>
        <v xml:space="preserve"> </v>
      </c>
      <c r="BH15" s="976"/>
      <c r="BI15" s="976"/>
      <c r="BJ15" s="976"/>
      <c r="BK15" s="976"/>
      <c r="BL15" s="976" t="str">
        <f>MID(SUVAHAVUJ!AD77,3,1)</f>
        <v xml:space="preserve"> </v>
      </c>
      <c r="BM15" s="976"/>
      <c r="BN15" s="976"/>
      <c r="BO15" s="976"/>
      <c r="BP15" s="976"/>
      <c r="BQ15" s="976"/>
      <c r="BR15" s="976" t="str">
        <f>MID(SUVAHAVUJ!AD77,4,1)</f>
        <v xml:space="preserve"> </v>
      </c>
      <c r="BS15" s="976"/>
      <c r="BT15" s="976"/>
      <c r="BU15" s="976"/>
      <c r="BV15" s="976"/>
      <c r="BW15" s="976" t="str">
        <f>MID(SUVAHAVUJ!AD77,5,1)</f>
        <v xml:space="preserve"> </v>
      </c>
      <c r="BX15" s="976"/>
      <c r="BY15" s="976"/>
      <c r="BZ15" s="976"/>
      <c r="CA15" s="976"/>
      <c r="CB15" s="976"/>
      <c r="CC15" s="976" t="str">
        <f>MID(SUVAHAVUJ!AD77,6,1)</f>
        <v xml:space="preserve"> </v>
      </c>
      <c r="CD15" s="976"/>
      <c r="CE15" s="976"/>
      <c r="CF15" s="976"/>
      <c r="CG15" s="976"/>
      <c r="CH15" s="976" t="str">
        <f>MID(SUVAHAVUJ!AD77,7,1)</f>
        <v xml:space="preserve"> </v>
      </c>
      <c r="CI15" s="976"/>
      <c r="CJ15" s="976"/>
      <c r="CK15" s="976"/>
      <c r="CL15" s="976"/>
      <c r="CM15" s="976"/>
      <c r="CN15" s="976" t="str">
        <f>MID(SUVAHAVUJ!AD77,8,1)</f>
        <v xml:space="preserve"> </v>
      </c>
      <c r="CO15" s="976"/>
      <c r="CP15" s="976"/>
      <c r="CQ15" s="976"/>
      <c r="CR15" s="976"/>
      <c r="CS15" s="976" t="str">
        <f>MID(SUVAHAVUJ!AD77,9,1)</f>
        <v xml:space="preserve"> </v>
      </c>
      <c r="CT15" s="976"/>
      <c r="CU15" s="976"/>
      <c r="CV15" s="976"/>
      <c r="CW15" s="976"/>
      <c r="CX15" s="976"/>
      <c r="CY15" s="976" t="str">
        <f>MID(SUVAHAVUJ!AD77,10,1)</f>
        <v xml:space="preserve"> </v>
      </c>
      <c r="CZ15" s="976"/>
      <c r="DA15" s="976"/>
      <c r="DB15" s="976"/>
      <c r="DC15" s="976"/>
      <c r="DD15" s="977" t="str">
        <f>MID(SUVAHAVUJ!AD77,11,1)</f>
        <v>0</v>
      </c>
      <c r="DE15" s="977"/>
      <c r="DF15" s="977"/>
      <c r="DG15" s="977"/>
      <c r="DH15" s="977"/>
      <c r="DI15" s="977"/>
      <c r="DJ15" s="648"/>
      <c r="DK15" s="649"/>
      <c r="DL15" s="976" t="str">
        <f>MID(SUVAHAVUJ!AF77,1,1)</f>
        <v xml:space="preserve"> </v>
      </c>
      <c r="DM15" s="976"/>
      <c r="DN15" s="976"/>
      <c r="DO15" s="976"/>
      <c r="DP15" s="976"/>
      <c r="DQ15" s="976"/>
      <c r="DR15" s="976" t="str">
        <f>MID(SUVAHAVUJ!AF77,2,1)</f>
        <v xml:space="preserve"> </v>
      </c>
      <c r="DS15" s="976"/>
      <c r="DT15" s="976"/>
      <c r="DU15" s="976"/>
      <c r="DV15" s="976"/>
      <c r="DW15" s="976" t="str">
        <f>MID(SUVAHAVUJ!AF77,3,1)</f>
        <v xml:space="preserve"> </v>
      </c>
      <c r="DX15" s="976"/>
      <c r="DY15" s="976"/>
      <c r="DZ15" s="976"/>
      <c r="EA15" s="976"/>
      <c r="EB15" s="976"/>
      <c r="EC15" s="976" t="str">
        <f>MID(SUVAHAVUJ!AF77,4,1)</f>
        <v xml:space="preserve"> </v>
      </c>
      <c r="ED15" s="976"/>
      <c r="EE15" s="976"/>
      <c r="EF15" s="976"/>
      <c r="EG15" s="976"/>
      <c r="EH15" s="976" t="str">
        <f>MID(SUVAHAVUJ!AF77,5,1)</f>
        <v xml:space="preserve"> </v>
      </c>
      <c r="EI15" s="976"/>
      <c r="EJ15" s="976"/>
      <c r="EK15" s="976"/>
      <c r="EL15" s="976"/>
      <c r="EM15" s="976"/>
      <c r="EN15" s="976" t="str">
        <f>MID(SUVAHAVUJ!AF77,6,1)</f>
        <v xml:space="preserve"> </v>
      </c>
      <c r="EO15" s="976"/>
      <c r="EP15" s="976"/>
      <c r="EQ15" s="976"/>
      <c r="ER15" s="976"/>
      <c r="ES15" s="976" t="str">
        <f>MID(SUVAHAVUJ!AF77,7,1)</f>
        <v xml:space="preserve"> </v>
      </c>
      <c r="ET15" s="976"/>
      <c r="EU15" s="976"/>
      <c r="EV15" s="976"/>
      <c r="EW15" s="976"/>
      <c r="EX15" s="976"/>
      <c r="EY15" s="976" t="str">
        <f>MID(SUVAHAVUJ!AF77,8,1)</f>
        <v xml:space="preserve"> </v>
      </c>
      <c r="EZ15" s="976"/>
      <c r="FA15" s="976"/>
      <c r="FB15" s="976"/>
      <c r="FC15" s="976"/>
      <c r="FD15" s="976" t="str">
        <f>MID(SUVAHAVUJ!AF77,9,1)</f>
        <v xml:space="preserve"> </v>
      </c>
      <c r="FE15" s="976"/>
      <c r="FF15" s="976"/>
      <c r="FG15" s="976"/>
      <c r="FH15" s="976"/>
      <c r="FI15" s="976"/>
      <c r="FJ15" s="976" t="str">
        <f>MID(SUVAHAVUJ!AF77,10,1)</f>
        <v xml:space="preserve"> </v>
      </c>
      <c r="FK15" s="976"/>
      <c r="FL15" s="976"/>
      <c r="FM15" s="976"/>
      <c r="FN15" s="976"/>
      <c r="FO15" s="978" t="str">
        <f>MID(SUVAHAVUJ!AF77,11,1)</f>
        <v>0</v>
      </c>
      <c r="FP15" s="978"/>
      <c r="FQ15" s="978"/>
      <c r="FR15" s="978"/>
      <c r="FS15" s="978"/>
      <c r="FT15" s="979"/>
      <c r="FU15" s="979"/>
      <c r="FV15" s="979"/>
      <c r="FW15" s="979"/>
      <c r="FX15" s="979"/>
      <c r="FY15" s="979"/>
      <c r="FZ15" s="979"/>
      <c r="GA15" s="979"/>
      <c r="GB15" s="979"/>
      <c r="GC15" s="979"/>
      <c r="GD15" s="979"/>
      <c r="GE15" s="979"/>
      <c r="GF15" s="979"/>
      <c r="GG15" s="979"/>
      <c r="GH15" s="979"/>
      <c r="GI15" s="979"/>
      <c r="GJ15" s="979"/>
      <c r="GK15" s="979"/>
      <c r="GL15" s="979"/>
      <c r="GM15" s="979"/>
      <c r="GN15" s="979"/>
      <c r="GO15" s="979"/>
      <c r="GP15" s="979"/>
      <c r="GQ15" s="979"/>
      <c r="GR15" s="979"/>
      <c r="GS15" s="979"/>
      <c r="GT15" s="979"/>
      <c r="GU15" s="979"/>
      <c r="GV15" s="979"/>
      <c r="GW15" s="979"/>
    </row>
    <row r="16" spans="1:205" ht="24.75" customHeight="1" x14ac:dyDescent="0.3">
      <c r="B16" s="994"/>
      <c r="C16" s="994"/>
      <c r="D16" s="994"/>
      <c r="E16" s="994"/>
      <c r="F16" s="994"/>
      <c r="G16" s="994"/>
      <c r="H16" s="994"/>
      <c r="I16" s="994"/>
      <c r="J16" s="994"/>
      <c r="K16" s="994"/>
      <c r="L16" s="984"/>
      <c r="M16" s="984"/>
      <c r="N16" s="984"/>
      <c r="O16" s="984"/>
      <c r="P16" s="984"/>
      <c r="Q16" s="984"/>
      <c r="R16" s="984"/>
      <c r="S16" s="984"/>
      <c r="T16" s="984"/>
      <c r="U16" s="984"/>
      <c r="V16" s="984"/>
      <c r="W16" s="984"/>
      <c r="X16" s="984"/>
      <c r="Y16" s="984"/>
      <c r="Z16" s="984"/>
      <c r="AA16" s="984"/>
      <c r="AB16" s="984"/>
      <c r="AC16" s="984"/>
      <c r="AD16" s="984"/>
      <c r="AE16" s="984"/>
      <c r="AF16" s="984"/>
      <c r="AG16" s="984"/>
      <c r="AH16" s="984"/>
      <c r="AI16" s="984"/>
      <c r="AJ16" s="984"/>
      <c r="AK16" s="984"/>
      <c r="AL16" s="984"/>
      <c r="AM16" s="984"/>
      <c r="AN16" s="984"/>
      <c r="AO16" s="984"/>
      <c r="AP16" s="984"/>
      <c r="AQ16" s="975"/>
      <c r="AR16" s="975"/>
      <c r="AS16" s="975"/>
      <c r="AT16" s="975"/>
      <c r="AU16" s="975"/>
      <c r="AV16" s="975"/>
      <c r="AW16" s="975"/>
      <c r="AX16" s="975"/>
      <c r="AY16" s="648"/>
      <c r="AZ16" s="649"/>
      <c r="BA16" s="976" t="str">
        <f>MID(SUVAHAVUJ!AE77,1,1)</f>
        <v xml:space="preserve"> </v>
      </c>
      <c r="BB16" s="976"/>
      <c r="BC16" s="976"/>
      <c r="BD16" s="976"/>
      <c r="BE16" s="976"/>
      <c r="BF16" s="976"/>
      <c r="BG16" s="976" t="str">
        <f>MID(SUVAHAVUJ!AE77,2,1)</f>
        <v xml:space="preserve"> </v>
      </c>
      <c r="BH16" s="976"/>
      <c r="BI16" s="976"/>
      <c r="BJ16" s="976"/>
      <c r="BK16" s="976"/>
      <c r="BL16" s="976" t="str">
        <f>MID(SUVAHAVUJ!AE77,3,1)</f>
        <v xml:space="preserve"> </v>
      </c>
      <c r="BM16" s="976"/>
      <c r="BN16" s="976"/>
      <c r="BO16" s="976"/>
      <c r="BP16" s="976"/>
      <c r="BQ16" s="976"/>
      <c r="BR16" s="976" t="str">
        <f>MID(SUVAHAVUJ!AE77,4,1)</f>
        <v xml:space="preserve"> </v>
      </c>
      <c r="BS16" s="976"/>
      <c r="BT16" s="976"/>
      <c r="BU16" s="976"/>
      <c r="BV16" s="976"/>
      <c r="BW16" s="976" t="str">
        <f>MID(SUVAHAVUJ!AE77,5,1)</f>
        <v xml:space="preserve"> </v>
      </c>
      <c r="BX16" s="976"/>
      <c r="BY16" s="976"/>
      <c r="BZ16" s="976"/>
      <c r="CA16" s="976"/>
      <c r="CB16" s="976"/>
      <c r="CC16" s="976" t="str">
        <f>MID(SUVAHAVUJ!AE77,6,1)</f>
        <v xml:space="preserve"> </v>
      </c>
      <c r="CD16" s="976"/>
      <c r="CE16" s="976"/>
      <c r="CF16" s="976"/>
      <c r="CG16" s="976"/>
      <c r="CH16" s="976" t="str">
        <f>MID(SUVAHAVUJ!AE77,7,1)</f>
        <v xml:space="preserve"> </v>
      </c>
      <c r="CI16" s="976"/>
      <c r="CJ16" s="976"/>
      <c r="CK16" s="976"/>
      <c r="CL16" s="976"/>
      <c r="CM16" s="976"/>
      <c r="CN16" s="976" t="str">
        <f>MID(SUVAHAVUJ!AE77,8,1)</f>
        <v xml:space="preserve"> </v>
      </c>
      <c r="CO16" s="976"/>
      <c r="CP16" s="976"/>
      <c r="CQ16" s="976"/>
      <c r="CR16" s="976"/>
      <c r="CS16" s="976" t="str">
        <f>MID(SUVAHAVUJ!AE77,9,1)</f>
        <v xml:space="preserve"> </v>
      </c>
      <c r="CT16" s="976"/>
      <c r="CU16" s="976"/>
      <c r="CV16" s="976"/>
      <c r="CW16" s="976"/>
      <c r="CX16" s="976"/>
      <c r="CY16" s="976" t="str">
        <f>MID(SUVAHAVUJ!AE77,10,1)</f>
        <v xml:space="preserve"> </v>
      </c>
      <c r="CZ16" s="976"/>
      <c r="DA16" s="976"/>
      <c r="DB16" s="976"/>
      <c r="DC16" s="976"/>
      <c r="DD16" s="977" t="str">
        <f>MID(SUVAHAVUJ!AE77,11,1)</f>
        <v>0</v>
      </c>
      <c r="DE16" s="977"/>
      <c r="DF16" s="977"/>
      <c r="DG16" s="977"/>
      <c r="DH16" s="977"/>
      <c r="DI16" s="977"/>
      <c r="DJ16" s="980"/>
      <c r="DK16" s="980"/>
      <c r="DL16" s="980"/>
      <c r="DM16" s="980"/>
      <c r="DN16" s="980"/>
      <c r="DO16" s="980"/>
      <c r="DP16" s="980"/>
      <c r="DQ16" s="980"/>
      <c r="DR16" s="980"/>
      <c r="DS16" s="980"/>
      <c r="DT16" s="980"/>
      <c r="DU16" s="980"/>
      <c r="DV16" s="980"/>
      <c r="DW16" s="980"/>
      <c r="DX16" s="980"/>
      <c r="DY16" s="980"/>
      <c r="DZ16" s="980"/>
      <c r="EA16" s="980"/>
      <c r="EB16" s="980"/>
      <c r="EC16" s="980"/>
      <c r="ED16" s="980"/>
      <c r="EE16" s="980"/>
      <c r="EF16" s="980"/>
      <c r="EG16" s="980"/>
      <c r="EH16" s="980"/>
      <c r="EI16" s="980"/>
      <c r="EJ16" s="980"/>
      <c r="EK16" s="980"/>
      <c r="EL16" s="980"/>
      <c r="EM16" s="980"/>
      <c r="EN16" s="648"/>
      <c r="EO16" s="649"/>
      <c r="EP16" s="976" t="str">
        <f>MID(SUVAHAVUJ!AG77,1,1)</f>
        <v xml:space="preserve"> </v>
      </c>
      <c r="EQ16" s="976"/>
      <c r="ER16" s="976"/>
      <c r="ES16" s="976"/>
      <c r="ET16" s="976"/>
      <c r="EU16" s="976"/>
      <c r="EV16" s="976" t="str">
        <f>MID(SUVAHAVUJ!AG77,2,1)</f>
        <v xml:space="preserve"> </v>
      </c>
      <c r="EW16" s="976"/>
      <c r="EX16" s="976"/>
      <c r="EY16" s="976"/>
      <c r="EZ16" s="976"/>
      <c r="FA16" s="976" t="str">
        <f>MID(SUVAHAVUJ!AG77,3,1)</f>
        <v xml:space="preserve"> </v>
      </c>
      <c r="FB16" s="976"/>
      <c r="FC16" s="976"/>
      <c r="FD16" s="976"/>
      <c r="FE16" s="976"/>
      <c r="FF16" s="976"/>
      <c r="FG16" s="976" t="str">
        <f>MID(SUVAHAVUJ!AG77,4,1)</f>
        <v xml:space="preserve"> </v>
      </c>
      <c r="FH16" s="976"/>
      <c r="FI16" s="976"/>
      <c r="FJ16" s="976"/>
      <c r="FK16" s="976"/>
      <c r="FL16" s="976" t="str">
        <f>MID(SUVAHAVUJ!AG77,5,1)</f>
        <v xml:space="preserve"> </v>
      </c>
      <c r="FM16" s="976"/>
      <c r="FN16" s="976"/>
      <c r="FO16" s="976"/>
      <c r="FP16" s="976"/>
      <c r="FQ16" s="976"/>
      <c r="FR16" s="976" t="str">
        <f>MID(SUVAHAVUJ!AG77,6,1)</f>
        <v xml:space="preserve"> </v>
      </c>
      <c r="FS16" s="976"/>
      <c r="FT16" s="976"/>
      <c r="FU16" s="976"/>
      <c r="FV16" s="976"/>
      <c r="FW16" s="976" t="str">
        <f>MID(SUVAHAVUJ!AG77,7,1)</f>
        <v xml:space="preserve"> </v>
      </c>
      <c r="FX16" s="976"/>
      <c r="FY16" s="976"/>
      <c r="FZ16" s="976"/>
      <c r="GA16" s="976"/>
      <c r="GB16" s="976"/>
      <c r="GC16" s="976" t="str">
        <f>MID(SUVAHAVUJ!AG77,8,1)</f>
        <v xml:space="preserve"> </v>
      </c>
      <c r="GD16" s="976"/>
      <c r="GE16" s="976"/>
      <c r="GF16" s="976"/>
      <c r="GG16" s="976"/>
      <c r="GH16" s="976" t="str">
        <f>MID(SUVAHAVUJ!AG77,9,1)</f>
        <v xml:space="preserve"> </v>
      </c>
      <c r="GI16" s="976"/>
      <c r="GJ16" s="976"/>
      <c r="GK16" s="976"/>
      <c r="GL16" s="976"/>
      <c r="GM16" s="976"/>
      <c r="GN16" s="976" t="str">
        <f>MID(SUVAHAVUJ!AG77,10,1)</f>
        <v xml:space="preserve"> </v>
      </c>
      <c r="GO16" s="976"/>
      <c r="GP16" s="976"/>
      <c r="GQ16" s="976"/>
      <c r="GR16" s="976"/>
      <c r="GS16" s="978" t="str">
        <f>MID(SUVAHAVUJ!AG77,11,1)</f>
        <v>0</v>
      </c>
      <c r="GT16" s="978"/>
      <c r="GU16" s="978"/>
      <c r="GV16" s="978"/>
      <c r="GW16" s="978"/>
    </row>
    <row r="17" spans="2:205" s="650" customFormat="1" ht="23.25" customHeight="1" x14ac:dyDescent="0.3">
      <c r="B17" s="985" t="s">
        <v>2166</v>
      </c>
      <c r="C17" s="985"/>
      <c r="D17" s="985"/>
      <c r="E17" s="985"/>
      <c r="F17" s="985"/>
      <c r="G17" s="985"/>
      <c r="H17" s="985"/>
      <c r="I17" s="985"/>
      <c r="J17" s="985"/>
      <c r="K17" s="985"/>
      <c r="L17" s="984" t="str">
        <f>SUVAHAVUJ!$D$78</f>
        <v>Náklady budúcich období krátkodobé (381A, 382A)</v>
      </c>
      <c r="M17" s="984"/>
      <c r="N17" s="984"/>
      <c r="O17" s="984"/>
      <c r="P17" s="984"/>
      <c r="Q17" s="984"/>
      <c r="R17" s="984"/>
      <c r="S17" s="984"/>
      <c r="T17" s="984"/>
      <c r="U17" s="984"/>
      <c r="V17" s="984"/>
      <c r="W17" s="984"/>
      <c r="X17" s="984"/>
      <c r="Y17" s="984"/>
      <c r="Z17" s="984"/>
      <c r="AA17" s="984"/>
      <c r="AB17" s="984"/>
      <c r="AC17" s="984"/>
      <c r="AD17" s="984"/>
      <c r="AE17" s="984"/>
      <c r="AF17" s="984"/>
      <c r="AG17" s="984"/>
      <c r="AH17" s="984"/>
      <c r="AI17" s="984"/>
      <c r="AJ17" s="984"/>
      <c r="AK17" s="984"/>
      <c r="AL17" s="984"/>
      <c r="AM17" s="984"/>
      <c r="AN17" s="984"/>
      <c r="AO17" s="984"/>
      <c r="AP17" s="984"/>
      <c r="AQ17" s="975" t="s">
        <v>2221</v>
      </c>
      <c r="AR17" s="975"/>
      <c r="AS17" s="975"/>
      <c r="AT17" s="975"/>
      <c r="AU17" s="975"/>
      <c r="AV17" s="975"/>
      <c r="AW17" s="975"/>
      <c r="AX17" s="975"/>
      <c r="AY17" s="648"/>
      <c r="AZ17" s="649"/>
      <c r="BA17" s="976" t="str">
        <f>MID(SUVAHAVUJ!AD78,1,1)</f>
        <v xml:space="preserve"> </v>
      </c>
      <c r="BB17" s="976"/>
      <c r="BC17" s="976"/>
      <c r="BD17" s="976"/>
      <c r="BE17" s="976"/>
      <c r="BF17" s="976"/>
      <c r="BG17" s="976" t="str">
        <f>MID(SUVAHAVUJ!AD78,2,1)</f>
        <v xml:space="preserve"> </v>
      </c>
      <c r="BH17" s="976"/>
      <c r="BI17" s="976"/>
      <c r="BJ17" s="976"/>
      <c r="BK17" s="976"/>
      <c r="BL17" s="976" t="str">
        <f>MID(SUVAHAVUJ!AD78,3,1)</f>
        <v xml:space="preserve"> </v>
      </c>
      <c r="BM17" s="976"/>
      <c r="BN17" s="976"/>
      <c r="BO17" s="976"/>
      <c r="BP17" s="976"/>
      <c r="BQ17" s="976"/>
      <c r="BR17" s="976" t="str">
        <f>MID(SUVAHAVUJ!AD78,4,1)</f>
        <v xml:space="preserve"> </v>
      </c>
      <c r="BS17" s="976"/>
      <c r="BT17" s="976"/>
      <c r="BU17" s="976"/>
      <c r="BV17" s="976"/>
      <c r="BW17" s="976" t="str">
        <f>MID(SUVAHAVUJ!AD78,5,1)</f>
        <v xml:space="preserve"> </v>
      </c>
      <c r="BX17" s="976"/>
      <c r="BY17" s="976"/>
      <c r="BZ17" s="976"/>
      <c r="CA17" s="976"/>
      <c r="CB17" s="976"/>
      <c r="CC17" s="976" t="str">
        <f>MID(SUVAHAVUJ!AD78,6,1)</f>
        <v xml:space="preserve"> </v>
      </c>
      <c r="CD17" s="976"/>
      <c r="CE17" s="976"/>
      <c r="CF17" s="976"/>
      <c r="CG17" s="976"/>
      <c r="CH17" s="976" t="str">
        <f>MID(SUVAHAVUJ!AD78,7,1)</f>
        <v xml:space="preserve"> </v>
      </c>
      <c r="CI17" s="976"/>
      <c r="CJ17" s="976"/>
      <c r="CK17" s="976"/>
      <c r="CL17" s="976"/>
      <c r="CM17" s="976"/>
      <c r="CN17" s="976" t="str">
        <f>MID(SUVAHAVUJ!AD78,8,1)</f>
        <v xml:space="preserve"> </v>
      </c>
      <c r="CO17" s="976"/>
      <c r="CP17" s="976"/>
      <c r="CQ17" s="976"/>
      <c r="CR17" s="976"/>
      <c r="CS17" s="976" t="str">
        <f>MID(SUVAHAVUJ!AD78,9,1)</f>
        <v xml:space="preserve"> </v>
      </c>
      <c r="CT17" s="976"/>
      <c r="CU17" s="976"/>
      <c r="CV17" s="976"/>
      <c r="CW17" s="976"/>
      <c r="CX17" s="976"/>
      <c r="CY17" s="976" t="str">
        <f>MID(SUVAHAVUJ!AD78,10,1)</f>
        <v xml:space="preserve"> </v>
      </c>
      <c r="CZ17" s="976"/>
      <c r="DA17" s="976"/>
      <c r="DB17" s="976"/>
      <c r="DC17" s="976"/>
      <c r="DD17" s="977" t="str">
        <f>MID(SUVAHAVUJ!AD78,11,1)</f>
        <v>0</v>
      </c>
      <c r="DE17" s="977"/>
      <c r="DF17" s="977"/>
      <c r="DG17" s="977"/>
      <c r="DH17" s="977"/>
      <c r="DI17" s="977"/>
      <c r="DJ17" s="648"/>
      <c r="DK17" s="649"/>
      <c r="DL17" s="976" t="str">
        <f>MID(SUVAHAVUJ!AF78,1,1)</f>
        <v xml:space="preserve"> </v>
      </c>
      <c r="DM17" s="976"/>
      <c r="DN17" s="976"/>
      <c r="DO17" s="976"/>
      <c r="DP17" s="976"/>
      <c r="DQ17" s="976"/>
      <c r="DR17" s="976" t="str">
        <f>MID(SUVAHAVUJ!AF78,2,1)</f>
        <v xml:space="preserve"> </v>
      </c>
      <c r="DS17" s="976"/>
      <c r="DT17" s="976"/>
      <c r="DU17" s="976"/>
      <c r="DV17" s="976"/>
      <c r="DW17" s="976" t="str">
        <f>MID(SUVAHAVUJ!AF78,3,1)</f>
        <v xml:space="preserve"> </v>
      </c>
      <c r="DX17" s="976"/>
      <c r="DY17" s="976"/>
      <c r="DZ17" s="976"/>
      <c r="EA17" s="976"/>
      <c r="EB17" s="976"/>
      <c r="EC17" s="976" t="str">
        <f>MID(SUVAHAVUJ!AF78,4,1)</f>
        <v xml:space="preserve"> </v>
      </c>
      <c r="ED17" s="976"/>
      <c r="EE17" s="976"/>
      <c r="EF17" s="976"/>
      <c r="EG17" s="976"/>
      <c r="EH17" s="976" t="str">
        <f>MID(SUVAHAVUJ!AF78,5,1)</f>
        <v xml:space="preserve"> </v>
      </c>
      <c r="EI17" s="976"/>
      <c r="EJ17" s="976"/>
      <c r="EK17" s="976"/>
      <c r="EL17" s="976"/>
      <c r="EM17" s="976"/>
      <c r="EN17" s="976" t="str">
        <f>MID(SUVAHAVUJ!AF78,6,1)</f>
        <v xml:space="preserve"> </v>
      </c>
      <c r="EO17" s="976"/>
      <c r="EP17" s="976"/>
      <c r="EQ17" s="976"/>
      <c r="ER17" s="976"/>
      <c r="ES17" s="976" t="str">
        <f>MID(SUVAHAVUJ!AF78,7,1)</f>
        <v xml:space="preserve"> </v>
      </c>
      <c r="ET17" s="976"/>
      <c r="EU17" s="976"/>
      <c r="EV17" s="976"/>
      <c r="EW17" s="976"/>
      <c r="EX17" s="976"/>
      <c r="EY17" s="976" t="str">
        <f>MID(SUVAHAVUJ!AF78,8,1)</f>
        <v xml:space="preserve"> </v>
      </c>
      <c r="EZ17" s="976"/>
      <c r="FA17" s="976"/>
      <c r="FB17" s="976"/>
      <c r="FC17" s="976"/>
      <c r="FD17" s="976" t="str">
        <f>MID(SUVAHAVUJ!AF78,9,1)</f>
        <v xml:space="preserve"> </v>
      </c>
      <c r="FE17" s="976"/>
      <c r="FF17" s="976"/>
      <c r="FG17" s="976"/>
      <c r="FH17" s="976"/>
      <c r="FI17" s="976"/>
      <c r="FJ17" s="976" t="str">
        <f>MID(SUVAHAVUJ!AF78,10,1)</f>
        <v xml:space="preserve"> </v>
      </c>
      <c r="FK17" s="976"/>
      <c r="FL17" s="976"/>
      <c r="FM17" s="976"/>
      <c r="FN17" s="976"/>
      <c r="FO17" s="978" t="str">
        <f>MID(SUVAHAVUJ!AF78,11,1)</f>
        <v>0</v>
      </c>
      <c r="FP17" s="978"/>
      <c r="FQ17" s="978"/>
      <c r="FR17" s="978"/>
      <c r="FS17" s="978"/>
      <c r="FT17" s="979"/>
      <c r="FU17" s="979"/>
      <c r="FV17" s="979"/>
      <c r="FW17" s="979"/>
      <c r="FX17" s="979"/>
      <c r="FY17" s="979"/>
      <c r="FZ17" s="979"/>
      <c r="GA17" s="979"/>
      <c r="GB17" s="979"/>
      <c r="GC17" s="979"/>
      <c r="GD17" s="979"/>
      <c r="GE17" s="979"/>
      <c r="GF17" s="979"/>
      <c r="GG17" s="979"/>
      <c r="GH17" s="979"/>
      <c r="GI17" s="979"/>
      <c r="GJ17" s="979"/>
      <c r="GK17" s="979"/>
      <c r="GL17" s="979"/>
      <c r="GM17" s="979"/>
      <c r="GN17" s="979"/>
      <c r="GO17" s="979"/>
      <c r="GP17" s="979"/>
      <c r="GQ17" s="979"/>
      <c r="GR17" s="979"/>
      <c r="GS17" s="979"/>
      <c r="GT17" s="979"/>
      <c r="GU17" s="979"/>
      <c r="GV17" s="979"/>
      <c r="GW17" s="979"/>
    </row>
    <row r="18" spans="2:205" ht="23.25" customHeight="1" x14ac:dyDescent="0.3">
      <c r="B18" s="985"/>
      <c r="C18" s="985"/>
      <c r="D18" s="985"/>
      <c r="E18" s="985"/>
      <c r="F18" s="985"/>
      <c r="G18" s="985"/>
      <c r="H18" s="985"/>
      <c r="I18" s="985"/>
      <c r="J18" s="985"/>
      <c r="K18" s="985"/>
      <c r="L18" s="984"/>
      <c r="M18" s="984"/>
      <c r="N18" s="984"/>
      <c r="O18" s="984"/>
      <c r="P18" s="984"/>
      <c r="Q18" s="984"/>
      <c r="R18" s="984"/>
      <c r="S18" s="984"/>
      <c r="T18" s="984"/>
      <c r="U18" s="984"/>
      <c r="V18" s="984"/>
      <c r="W18" s="984"/>
      <c r="X18" s="984"/>
      <c r="Y18" s="984"/>
      <c r="Z18" s="984"/>
      <c r="AA18" s="984"/>
      <c r="AB18" s="984"/>
      <c r="AC18" s="984"/>
      <c r="AD18" s="984"/>
      <c r="AE18" s="984"/>
      <c r="AF18" s="984"/>
      <c r="AG18" s="984"/>
      <c r="AH18" s="984"/>
      <c r="AI18" s="984"/>
      <c r="AJ18" s="984"/>
      <c r="AK18" s="984"/>
      <c r="AL18" s="984"/>
      <c r="AM18" s="984"/>
      <c r="AN18" s="984"/>
      <c r="AO18" s="984"/>
      <c r="AP18" s="984"/>
      <c r="AQ18" s="975"/>
      <c r="AR18" s="975"/>
      <c r="AS18" s="975"/>
      <c r="AT18" s="975"/>
      <c r="AU18" s="975"/>
      <c r="AV18" s="975"/>
      <c r="AW18" s="975"/>
      <c r="AX18" s="975"/>
      <c r="AY18" s="648"/>
      <c r="AZ18" s="649"/>
      <c r="BA18" s="976" t="str">
        <f>MID(SUVAHAVUJ!AE78,1,1)</f>
        <v xml:space="preserve"> </v>
      </c>
      <c r="BB18" s="976"/>
      <c r="BC18" s="976"/>
      <c r="BD18" s="976"/>
      <c r="BE18" s="976"/>
      <c r="BF18" s="976"/>
      <c r="BG18" s="976" t="str">
        <f>MID(SUVAHAVUJ!AE78,2,1)</f>
        <v xml:space="preserve"> </v>
      </c>
      <c r="BH18" s="976"/>
      <c r="BI18" s="976"/>
      <c r="BJ18" s="976"/>
      <c r="BK18" s="976"/>
      <c r="BL18" s="976" t="str">
        <f>MID(SUVAHAVUJ!AE78,3,1)</f>
        <v xml:space="preserve"> </v>
      </c>
      <c r="BM18" s="976"/>
      <c r="BN18" s="976"/>
      <c r="BO18" s="976"/>
      <c r="BP18" s="976"/>
      <c r="BQ18" s="976"/>
      <c r="BR18" s="976" t="str">
        <f>MID(SUVAHAVUJ!AE78,4,1)</f>
        <v xml:space="preserve"> </v>
      </c>
      <c r="BS18" s="976"/>
      <c r="BT18" s="976"/>
      <c r="BU18" s="976"/>
      <c r="BV18" s="976"/>
      <c r="BW18" s="976" t="str">
        <f>MID(SUVAHAVUJ!AE78,5,1)</f>
        <v xml:space="preserve"> </v>
      </c>
      <c r="BX18" s="976"/>
      <c r="BY18" s="976"/>
      <c r="BZ18" s="976"/>
      <c r="CA18" s="976"/>
      <c r="CB18" s="976"/>
      <c r="CC18" s="976" t="str">
        <f>MID(SUVAHAVUJ!AE78,6,1)</f>
        <v xml:space="preserve"> </v>
      </c>
      <c r="CD18" s="976"/>
      <c r="CE18" s="976"/>
      <c r="CF18" s="976"/>
      <c r="CG18" s="976"/>
      <c r="CH18" s="976" t="str">
        <f>MID(SUVAHAVUJ!AE78,7,1)</f>
        <v xml:space="preserve"> </v>
      </c>
      <c r="CI18" s="976"/>
      <c r="CJ18" s="976"/>
      <c r="CK18" s="976"/>
      <c r="CL18" s="976"/>
      <c r="CM18" s="976"/>
      <c r="CN18" s="976" t="str">
        <f>MID(SUVAHAVUJ!AE78,8,1)</f>
        <v xml:space="preserve"> </v>
      </c>
      <c r="CO18" s="976"/>
      <c r="CP18" s="976"/>
      <c r="CQ18" s="976"/>
      <c r="CR18" s="976"/>
      <c r="CS18" s="976" t="str">
        <f>MID(SUVAHAVUJ!AE78,9,1)</f>
        <v xml:space="preserve"> </v>
      </c>
      <c r="CT18" s="976"/>
      <c r="CU18" s="976"/>
      <c r="CV18" s="976"/>
      <c r="CW18" s="976"/>
      <c r="CX18" s="976"/>
      <c r="CY18" s="976" t="str">
        <f>MID(SUVAHAVUJ!AE78,10,1)</f>
        <v xml:space="preserve"> </v>
      </c>
      <c r="CZ18" s="976"/>
      <c r="DA18" s="976"/>
      <c r="DB18" s="976"/>
      <c r="DC18" s="976"/>
      <c r="DD18" s="977" t="str">
        <f>MID(SUVAHAVUJ!AE78,11,1)</f>
        <v>0</v>
      </c>
      <c r="DE18" s="977"/>
      <c r="DF18" s="977"/>
      <c r="DG18" s="977"/>
      <c r="DH18" s="977"/>
      <c r="DI18" s="977"/>
      <c r="DJ18" s="980"/>
      <c r="DK18" s="980"/>
      <c r="DL18" s="980"/>
      <c r="DM18" s="980"/>
      <c r="DN18" s="980"/>
      <c r="DO18" s="980"/>
      <c r="DP18" s="980"/>
      <c r="DQ18" s="980"/>
      <c r="DR18" s="980"/>
      <c r="DS18" s="980"/>
      <c r="DT18" s="980"/>
      <c r="DU18" s="980"/>
      <c r="DV18" s="980"/>
      <c r="DW18" s="980"/>
      <c r="DX18" s="980"/>
      <c r="DY18" s="980"/>
      <c r="DZ18" s="980"/>
      <c r="EA18" s="980"/>
      <c r="EB18" s="980"/>
      <c r="EC18" s="980"/>
      <c r="ED18" s="980"/>
      <c r="EE18" s="980"/>
      <c r="EF18" s="980"/>
      <c r="EG18" s="980"/>
      <c r="EH18" s="980"/>
      <c r="EI18" s="980"/>
      <c r="EJ18" s="980"/>
      <c r="EK18" s="980"/>
      <c r="EL18" s="980"/>
      <c r="EM18" s="980"/>
      <c r="EN18" s="648"/>
      <c r="EO18" s="649"/>
      <c r="EP18" s="976" t="str">
        <f>MID(SUVAHAVUJ!AG78,1,1)</f>
        <v xml:space="preserve"> </v>
      </c>
      <c r="EQ18" s="976"/>
      <c r="ER18" s="976"/>
      <c r="ES18" s="976"/>
      <c r="ET18" s="976"/>
      <c r="EU18" s="976"/>
      <c r="EV18" s="976" t="str">
        <f>MID(SUVAHAVUJ!AG78,2,1)</f>
        <v xml:space="preserve"> </v>
      </c>
      <c r="EW18" s="976"/>
      <c r="EX18" s="976"/>
      <c r="EY18" s="976"/>
      <c r="EZ18" s="976"/>
      <c r="FA18" s="976" t="str">
        <f>MID(SUVAHAVUJ!AG78,3,1)</f>
        <v xml:space="preserve"> </v>
      </c>
      <c r="FB18" s="976"/>
      <c r="FC18" s="976"/>
      <c r="FD18" s="976"/>
      <c r="FE18" s="976"/>
      <c r="FF18" s="976"/>
      <c r="FG18" s="976" t="str">
        <f>MID(SUVAHAVUJ!AG78,4,1)</f>
        <v xml:space="preserve"> </v>
      </c>
      <c r="FH18" s="976"/>
      <c r="FI18" s="976"/>
      <c r="FJ18" s="976"/>
      <c r="FK18" s="976"/>
      <c r="FL18" s="976" t="str">
        <f>MID(SUVAHAVUJ!AG78,5,1)</f>
        <v xml:space="preserve"> </v>
      </c>
      <c r="FM18" s="976"/>
      <c r="FN18" s="976"/>
      <c r="FO18" s="976"/>
      <c r="FP18" s="976"/>
      <c r="FQ18" s="976"/>
      <c r="FR18" s="976" t="str">
        <f>MID(SUVAHAVUJ!AG78,6,1)</f>
        <v xml:space="preserve"> </v>
      </c>
      <c r="FS18" s="976"/>
      <c r="FT18" s="976"/>
      <c r="FU18" s="976"/>
      <c r="FV18" s="976"/>
      <c r="FW18" s="976" t="str">
        <f>MID(SUVAHAVUJ!AG78,7,1)</f>
        <v xml:space="preserve"> </v>
      </c>
      <c r="FX18" s="976"/>
      <c r="FY18" s="976"/>
      <c r="FZ18" s="976"/>
      <c r="GA18" s="976"/>
      <c r="GB18" s="976"/>
      <c r="GC18" s="976" t="str">
        <f>MID(SUVAHAVUJ!AG78,8,1)</f>
        <v xml:space="preserve"> </v>
      </c>
      <c r="GD18" s="976"/>
      <c r="GE18" s="976"/>
      <c r="GF18" s="976"/>
      <c r="GG18" s="976"/>
      <c r="GH18" s="976" t="str">
        <f>MID(SUVAHAVUJ!AG78,9,1)</f>
        <v xml:space="preserve"> </v>
      </c>
      <c r="GI18" s="976"/>
      <c r="GJ18" s="976"/>
      <c r="GK18" s="976"/>
      <c r="GL18" s="976"/>
      <c r="GM18" s="976"/>
      <c r="GN18" s="976" t="str">
        <f>MID(SUVAHAVUJ!AG78,10,1)</f>
        <v xml:space="preserve"> </v>
      </c>
      <c r="GO18" s="976"/>
      <c r="GP18" s="976"/>
      <c r="GQ18" s="976"/>
      <c r="GR18" s="976"/>
      <c r="GS18" s="978" t="str">
        <f>MID(SUVAHAVUJ!AG78,11,1)</f>
        <v>0</v>
      </c>
      <c r="GT18" s="978"/>
      <c r="GU18" s="978"/>
      <c r="GV18" s="978"/>
      <c r="GW18" s="978"/>
    </row>
    <row r="19" spans="2:205" s="650" customFormat="1" ht="23.25" customHeight="1" x14ac:dyDescent="0.3">
      <c r="B19" s="985" t="s">
        <v>2167</v>
      </c>
      <c r="C19" s="985"/>
      <c r="D19" s="985"/>
      <c r="E19" s="985"/>
      <c r="F19" s="985"/>
      <c r="G19" s="985"/>
      <c r="H19" s="985"/>
      <c r="I19" s="985"/>
      <c r="J19" s="985"/>
      <c r="K19" s="985"/>
      <c r="L19" s="984" t="str">
        <f>SUVAHAVUJ!$D$79</f>
        <v>Príjmy budúcich období dlhodobé (385A)</v>
      </c>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c r="AM19" s="984"/>
      <c r="AN19" s="984"/>
      <c r="AO19" s="984"/>
      <c r="AP19" s="984"/>
      <c r="AQ19" s="975" t="s">
        <v>2222</v>
      </c>
      <c r="AR19" s="975"/>
      <c r="AS19" s="975"/>
      <c r="AT19" s="975"/>
      <c r="AU19" s="975"/>
      <c r="AV19" s="975"/>
      <c r="AW19" s="975"/>
      <c r="AX19" s="975"/>
      <c r="AY19" s="648"/>
      <c r="AZ19" s="649"/>
      <c r="BA19" s="976" t="str">
        <f>MID(SUVAHAVUJ!AD79,1,1)</f>
        <v xml:space="preserve"> </v>
      </c>
      <c r="BB19" s="976"/>
      <c r="BC19" s="976"/>
      <c r="BD19" s="976"/>
      <c r="BE19" s="976"/>
      <c r="BF19" s="976"/>
      <c r="BG19" s="976" t="str">
        <f>MID(SUVAHAVUJ!AD79,2,1)</f>
        <v xml:space="preserve"> </v>
      </c>
      <c r="BH19" s="976"/>
      <c r="BI19" s="976"/>
      <c r="BJ19" s="976"/>
      <c r="BK19" s="976"/>
      <c r="BL19" s="976" t="str">
        <f>MID(SUVAHAVUJ!AD79,3,1)</f>
        <v xml:space="preserve"> </v>
      </c>
      <c r="BM19" s="976"/>
      <c r="BN19" s="976"/>
      <c r="BO19" s="976"/>
      <c r="BP19" s="976"/>
      <c r="BQ19" s="976"/>
      <c r="BR19" s="976" t="str">
        <f>MID(SUVAHAVUJ!AD79,4,1)</f>
        <v xml:space="preserve"> </v>
      </c>
      <c r="BS19" s="976"/>
      <c r="BT19" s="976"/>
      <c r="BU19" s="976"/>
      <c r="BV19" s="976"/>
      <c r="BW19" s="976" t="str">
        <f>MID(SUVAHAVUJ!AD79,5,1)</f>
        <v xml:space="preserve"> </v>
      </c>
      <c r="BX19" s="976"/>
      <c r="BY19" s="976"/>
      <c r="BZ19" s="976"/>
      <c r="CA19" s="976"/>
      <c r="CB19" s="976"/>
      <c r="CC19" s="976" t="str">
        <f>MID(SUVAHAVUJ!AD79,6,1)</f>
        <v xml:space="preserve"> </v>
      </c>
      <c r="CD19" s="976"/>
      <c r="CE19" s="976"/>
      <c r="CF19" s="976"/>
      <c r="CG19" s="976"/>
      <c r="CH19" s="976" t="str">
        <f>MID(SUVAHAVUJ!AD79,7,1)</f>
        <v xml:space="preserve"> </v>
      </c>
      <c r="CI19" s="976"/>
      <c r="CJ19" s="976"/>
      <c r="CK19" s="976"/>
      <c r="CL19" s="976"/>
      <c r="CM19" s="976"/>
      <c r="CN19" s="976" t="str">
        <f>MID(SUVAHAVUJ!AD79,8,1)</f>
        <v xml:space="preserve"> </v>
      </c>
      <c r="CO19" s="976"/>
      <c r="CP19" s="976"/>
      <c r="CQ19" s="976"/>
      <c r="CR19" s="976"/>
      <c r="CS19" s="976" t="str">
        <f>MID(SUVAHAVUJ!AD79,9,1)</f>
        <v xml:space="preserve"> </v>
      </c>
      <c r="CT19" s="976"/>
      <c r="CU19" s="976"/>
      <c r="CV19" s="976"/>
      <c r="CW19" s="976"/>
      <c r="CX19" s="976"/>
      <c r="CY19" s="976" t="str">
        <f>MID(SUVAHAVUJ!AD79,10,1)</f>
        <v xml:space="preserve"> </v>
      </c>
      <c r="CZ19" s="976"/>
      <c r="DA19" s="976"/>
      <c r="DB19" s="976"/>
      <c r="DC19" s="976"/>
      <c r="DD19" s="977" t="str">
        <f>MID(SUVAHAVUJ!AD79,11,1)</f>
        <v>0</v>
      </c>
      <c r="DE19" s="977"/>
      <c r="DF19" s="977"/>
      <c r="DG19" s="977"/>
      <c r="DH19" s="977"/>
      <c r="DI19" s="977"/>
      <c r="DJ19" s="648"/>
      <c r="DK19" s="649"/>
      <c r="DL19" s="976" t="str">
        <f>MID(SUVAHAVUJ!AF79,1,1)</f>
        <v xml:space="preserve"> </v>
      </c>
      <c r="DM19" s="976"/>
      <c r="DN19" s="976"/>
      <c r="DO19" s="976"/>
      <c r="DP19" s="976"/>
      <c r="DQ19" s="976"/>
      <c r="DR19" s="976" t="str">
        <f>MID(SUVAHAVUJ!AF79,2,1)</f>
        <v xml:space="preserve"> </v>
      </c>
      <c r="DS19" s="976"/>
      <c r="DT19" s="976"/>
      <c r="DU19" s="976"/>
      <c r="DV19" s="976"/>
      <c r="DW19" s="976" t="str">
        <f>MID(SUVAHAVUJ!AF79,3,1)</f>
        <v xml:space="preserve"> </v>
      </c>
      <c r="DX19" s="976"/>
      <c r="DY19" s="976"/>
      <c r="DZ19" s="976"/>
      <c r="EA19" s="976"/>
      <c r="EB19" s="976"/>
      <c r="EC19" s="976" t="str">
        <f>MID(SUVAHAVUJ!AF79,4,1)</f>
        <v xml:space="preserve"> </v>
      </c>
      <c r="ED19" s="976"/>
      <c r="EE19" s="976"/>
      <c r="EF19" s="976"/>
      <c r="EG19" s="976"/>
      <c r="EH19" s="976" t="str">
        <f>MID(SUVAHAVUJ!AF79,5,1)</f>
        <v xml:space="preserve"> </v>
      </c>
      <c r="EI19" s="976"/>
      <c r="EJ19" s="976"/>
      <c r="EK19" s="976"/>
      <c r="EL19" s="976"/>
      <c r="EM19" s="976"/>
      <c r="EN19" s="976" t="str">
        <f>MID(SUVAHAVUJ!AF79,6,1)</f>
        <v xml:space="preserve"> </v>
      </c>
      <c r="EO19" s="976"/>
      <c r="EP19" s="976"/>
      <c r="EQ19" s="976"/>
      <c r="ER19" s="976"/>
      <c r="ES19" s="976" t="str">
        <f>MID(SUVAHAVUJ!AF79,7,1)</f>
        <v xml:space="preserve"> </v>
      </c>
      <c r="ET19" s="976"/>
      <c r="EU19" s="976"/>
      <c r="EV19" s="976"/>
      <c r="EW19" s="976"/>
      <c r="EX19" s="976"/>
      <c r="EY19" s="976" t="str">
        <f>MID(SUVAHAVUJ!AF79,8,1)</f>
        <v xml:space="preserve"> </v>
      </c>
      <c r="EZ19" s="976"/>
      <c r="FA19" s="976"/>
      <c r="FB19" s="976"/>
      <c r="FC19" s="976"/>
      <c r="FD19" s="976" t="str">
        <f>MID(SUVAHAVUJ!AF79,9,1)</f>
        <v xml:space="preserve"> </v>
      </c>
      <c r="FE19" s="976"/>
      <c r="FF19" s="976"/>
      <c r="FG19" s="976"/>
      <c r="FH19" s="976"/>
      <c r="FI19" s="976"/>
      <c r="FJ19" s="976" t="str">
        <f>MID(SUVAHAVUJ!AF79,10,1)</f>
        <v xml:space="preserve"> </v>
      </c>
      <c r="FK19" s="976"/>
      <c r="FL19" s="976"/>
      <c r="FM19" s="976"/>
      <c r="FN19" s="976"/>
      <c r="FO19" s="978" t="str">
        <f>MID(SUVAHAVUJ!AF79,11,1)</f>
        <v>0</v>
      </c>
      <c r="FP19" s="978"/>
      <c r="FQ19" s="978"/>
      <c r="FR19" s="978"/>
      <c r="FS19" s="978"/>
      <c r="FT19" s="979"/>
      <c r="FU19" s="979"/>
      <c r="FV19" s="979"/>
      <c r="FW19" s="979"/>
      <c r="FX19" s="979"/>
      <c r="FY19" s="979"/>
      <c r="FZ19" s="979"/>
      <c r="GA19" s="979"/>
      <c r="GB19" s="979"/>
      <c r="GC19" s="979"/>
      <c r="GD19" s="979"/>
      <c r="GE19" s="979"/>
      <c r="GF19" s="979"/>
      <c r="GG19" s="979"/>
      <c r="GH19" s="979"/>
      <c r="GI19" s="979"/>
      <c r="GJ19" s="979"/>
      <c r="GK19" s="979"/>
      <c r="GL19" s="979"/>
      <c r="GM19" s="979"/>
      <c r="GN19" s="979"/>
      <c r="GO19" s="979"/>
      <c r="GP19" s="979"/>
      <c r="GQ19" s="979"/>
      <c r="GR19" s="979"/>
      <c r="GS19" s="979"/>
      <c r="GT19" s="979"/>
      <c r="GU19" s="979"/>
      <c r="GV19" s="979"/>
      <c r="GW19" s="979"/>
    </row>
    <row r="20" spans="2:205" ht="24" customHeight="1" x14ac:dyDescent="0.3">
      <c r="B20" s="985"/>
      <c r="C20" s="985"/>
      <c r="D20" s="985"/>
      <c r="E20" s="985"/>
      <c r="F20" s="985"/>
      <c r="G20" s="985"/>
      <c r="H20" s="985"/>
      <c r="I20" s="985"/>
      <c r="J20" s="985"/>
      <c r="K20" s="985"/>
      <c r="L20" s="984"/>
      <c r="M20" s="984"/>
      <c r="N20" s="984"/>
      <c r="O20" s="984"/>
      <c r="P20" s="984"/>
      <c r="Q20" s="984"/>
      <c r="R20" s="984"/>
      <c r="S20" s="984"/>
      <c r="T20" s="984"/>
      <c r="U20" s="984"/>
      <c r="V20" s="984"/>
      <c r="W20" s="984"/>
      <c r="X20" s="984"/>
      <c r="Y20" s="984"/>
      <c r="Z20" s="984"/>
      <c r="AA20" s="984"/>
      <c r="AB20" s="984"/>
      <c r="AC20" s="984"/>
      <c r="AD20" s="984"/>
      <c r="AE20" s="984"/>
      <c r="AF20" s="984"/>
      <c r="AG20" s="984"/>
      <c r="AH20" s="984"/>
      <c r="AI20" s="984"/>
      <c r="AJ20" s="984"/>
      <c r="AK20" s="984"/>
      <c r="AL20" s="984"/>
      <c r="AM20" s="984"/>
      <c r="AN20" s="984"/>
      <c r="AO20" s="984"/>
      <c r="AP20" s="984"/>
      <c r="AQ20" s="975"/>
      <c r="AR20" s="975"/>
      <c r="AS20" s="975"/>
      <c r="AT20" s="975"/>
      <c r="AU20" s="975"/>
      <c r="AV20" s="975"/>
      <c r="AW20" s="975"/>
      <c r="AX20" s="975"/>
      <c r="AY20" s="648"/>
      <c r="AZ20" s="649"/>
      <c r="BA20" s="976" t="str">
        <f>MID(SUVAHAVUJ!AE79,1,1)</f>
        <v xml:space="preserve"> </v>
      </c>
      <c r="BB20" s="976"/>
      <c r="BC20" s="976"/>
      <c r="BD20" s="976"/>
      <c r="BE20" s="976"/>
      <c r="BF20" s="976"/>
      <c r="BG20" s="976" t="str">
        <f>MID(SUVAHAVUJ!AE79,2,1)</f>
        <v xml:space="preserve"> </v>
      </c>
      <c r="BH20" s="976"/>
      <c r="BI20" s="976"/>
      <c r="BJ20" s="976"/>
      <c r="BK20" s="976"/>
      <c r="BL20" s="976" t="str">
        <f>MID(SUVAHAVUJ!AE79,3,1)</f>
        <v xml:space="preserve"> </v>
      </c>
      <c r="BM20" s="976"/>
      <c r="BN20" s="976"/>
      <c r="BO20" s="976"/>
      <c r="BP20" s="976"/>
      <c r="BQ20" s="976"/>
      <c r="BR20" s="976" t="str">
        <f>MID(SUVAHAVUJ!AE79,4,1)</f>
        <v xml:space="preserve"> </v>
      </c>
      <c r="BS20" s="976"/>
      <c r="BT20" s="976"/>
      <c r="BU20" s="976"/>
      <c r="BV20" s="976"/>
      <c r="BW20" s="976" t="str">
        <f>MID(SUVAHAVUJ!AE79,5,1)</f>
        <v xml:space="preserve"> </v>
      </c>
      <c r="BX20" s="976"/>
      <c r="BY20" s="976"/>
      <c r="BZ20" s="976"/>
      <c r="CA20" s="976"/>
      <c r="CB20" s="976"/>
      <c r="CC20" s="976" t="str">
        <f>MID(SUVAHAVUJ!AE79,6,1)</f>
        <v xml:space="preserve"> </v>
      </c>
      <c r="CD20" s="976"/>
      <c r="CE20" s="976"/>
      <c r="CF20" s="976"/>
      <c r="CG20" s="976"/>
      <c r="CH20" s="976" t="str">
        <f>MID(SUVAHAVUJ!AE79,7,1)</f>
        <v xml:space="preserve"> </v>
      </c>
      <c r="CI20" s="976"/>
      <c r="CJ20" s="976"/>
      <c r="CK20" s="976"/>
      <c r="CL20" s="976"/>
      <c r="CM20" s="976"/>
      <c r="CN20" s="976" t="str">
        <f>MID(SUVAHAVUJ!AE79,8,1)</f>
        <v xml:space="preserve"> </v>
      </c>
      <c r="CO20" s="976"/>
      <c r="CP20" s="976"/>
      <c r="CQ20" s="976"/>
      <c r="CR20" s="976"/>
      <c r="CS20" s="976" t="str">
        <f>MID(SUVAHAVUJ!AE79,9,1)</f>
        <v xml:space="preserve"> </v>
      </c>
      <c r="CT20" s="976"/>
      <c r="CU20" s="976"/>
      <c r="CV20" s="976"/>
      <c r="CW20" s="976"/>
      <c r="CX20" s="976"/>
      <c r="CY20" s="976" t="str">
        <f>MID(SUVAHAVUJ!AE79,10,1)</f>
        <v xml:space="preserve"> </v>
      </c>
      <c r="CZ20" s="976"/>
      <c r="DA20" s="976"/>
      <c r="DB20" s="976"/>
      <c r="DC20" s="976"/>
      <c r="DD20" s="977" t="str">
        <f>MID(SUVAHAVUJ!AE79,11,1)</f>
        <v>0</v>
      </c>
      <c r="DE20" s="977"/>
      <c r="DF20" s="977"/>
      <c r="DG20" s="977"/>
      <c r="DH20" s="977"/>
      <c r="DI20" s="977"/>
      <c r="DJ20" s="980"/>
      <c r="DK20" s="980"/>
      <c r="DL20" s="980"/>
      <c r="DM20" s="980"/>
      <c r="DN20" s="980"/>
      <c r="DO20" s="980"/>
      <c r="DP20" s="980"/>
      <c r="DQ20" s="980"/>
      <c r="DR20" s="980"/>
      <c r="DS20" s="980"/>
      <c r="DT20" s="980"/>
      <c r="DU20" s="980"/>
      <c r="DV20" s="980"/>
      <c r="DW20" s="980"/>
      <c r="DX20" s="980"/>
      <c r="DY20" s="980"/>
      <c r="DZ20" s="980"/>
      <c r="EA20" s="980"/>
      <c r="EB20" s="980"/>
      <c r="EC20" s="980"/>
      <c r="ED20" s="980"/>
      <c r="EE20" s="980"/>
      <c r="EF20" s="980"/>
      <c r="EG20" s="980"/>
      <c r="EH20" s="980"/>
      <c r="EI20" s="980"/>
      <c r="EJ20" s="980"/>
      <c r="EK20" s="980"/>
      <c r="EL20" s="980"/>
      <c r="EM20" s="980"/>
      <c r="EN20" s="648"/>
      <c r="EO20" s="649"/>
      <c r="EP20" s="976" t="str">
        <f>MID(SUVAHAVUJ!AG79,1,1)</f>
        <v xml:space="preserve"> </v>
      </c>
      <c r="EQ20" s="976"/>
      <c r="ER20" s="976"/>
      <c r="ES20" s="976"/>
      <c r="ET20" s="976"/>
      <c r="EU20" s="976"/>
      <c r="EV20" s="976" t="str">
        <f>MID(SUVAHAVUJ!AG79,2,1)</f>
        <v xml:space="preserve"> </v>
      </c>
      <c r="EW20" s="976"/>
      <c r="EX20" s="976"/>
      <c r="EY20" s="976"/>
      <c r="EZ20" s="976"/>
      <c r="FA20" s="976" t="str">
        <f>MID(SUVAHAVUJ!AG79,3,1)</f>
        <v xml:space="preserve"> </v>
      </c>
      <c r="FB20" s="976"/>
      <c r="FC20" s="976"/>
      <c r="FD20" s="976"/>
      <c r="FE20" s="976"/>
      <c r="FF20" s="976"/>
      <c r="FG20" s="976" t="str">
        <f>MID(SUVAHAVUJ!AG79,4,1)</f>
        <v xml:space="preserve"> </v>
      </c>
      <c r="FH20" s="976"/>
      <c r="FI20" s="976"/>
      <c r="FJ20" s="976"/>
      <c r="FK20" s="976"/>
      <c r="FL20" s="976" t="str">
        <f>MID(SUVAHAVUJ!AG79,5,1)</f>
        <v xml:space="preserve"> </v>
      </c>
      <c r="FM20" s="976"/>
      <c r="FN20" s="976"/>
      <c r="FO20" s="976"/>
      <c r="FP20" s="976"/>
      <c r="FQ20" s="976"/>
      <c r="FR20" s="976" t="str">
        <f>MID(SUVAHAVUJ!AG79,6,1)</f>
        <v xml:space="preserve"> </v>
      </c>
      <c r="FS20" s="976"/>
      <c r="FT20" s="976"/>
      <c r="FU20" s="976"/>
      <c r="FV20" s="976"/>
      <c r="FW20" s="976" t="str">
        <f>MID(SUVAHAVUJ!AG79,7,1)</f>
        <v xml:space="preserve"> </v>
      </c>
      <c r="FX20" s="976"/>
      <c r="FY20" s="976"/>
      <c r="FZ20" s="976"/>
      <c r="GA20" s="976"/>
      <c r="GB20" s="976"/>
      <c r="GC20" s="976" t="str">
        <f>MID(SUVAHAVUJ!AG79,8,1)</f>
        <v xml:space="preserve"> </v>
      </c>
      <c r="GD20" s="976"/>
      <c r="GE20" s="976"/>
      <c r="GF20" s="976"/>
      <c r="GG20" s="976"/>
      <c r="GH20" s="976" t="str">
        <f>MID(SUVAHAVUJ!AG79,9,1)</f>
        <v xml:space="preserve"> </v>
      </c>
      <c r="GI20" s="976"/>
      <c r="GJ20" s="976"/>
      <c r="GK20" s="976"/>
      <c r="GL20" s="976"/>
      <c r="GM20" s="976"/>
      <c r="GN20" s="976" t="str">
        <f>MID(SUVAHAVUJ!AG79,10,1)</f>
        <v xml:space="preserve"> </v>
      </c>
      <c r="GO20" s="976"/>
      <c r="GP20" s="976"/>
      <c r="GQ20" s="976"/>
      <c r="GR20" s="976"/>
      <c r="GS20" s="978" t="str">
        <f>MID(SUVAHAVUJ!AG79,11,1)</f>
        <v>0</v>
      </c>
      <c r="GT20" s="978"/>
      <c r="GU20" s="978"/>
      <c r="GV20" s="978"/>
      <c r="GW20" s="978"/>
    </row>
    <row r="21" spans="2:205" s="650" customFormat="1" ht="23.25" customHeight="1" x14ac:dyDescent="0.3">
      <c r="B21" s="985" t="s">
        <v>2168</v>
      </c>
      <c r="C21" s="985"/>
      <c r="D21" s="985"/>
      <c r="E21" s="985"/>
      <c r="F21" s="985"/>
      <c r="G21" s="985"/>
      <c r="H21" s="985"/>
      <c r="I21" s="985"/>
      <c r="J21" s="985"/>
      <c r="K21" s="985"/>
      <c r="L21" s="984" t="str">
        <f>SUVAHAVUJ!$D$80</f>
        <v>Príjmy budúcich období krátkodobé (385A)</v>
      </c>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c r="AL21" s="984"/>
      <c r="AM21" s="984"/>
      <c r="AN21" s="984"/>
      <c r="AO21" s="984"/>
      <c r="AP21" s="984"/>
      <c r="AQ21" s="975" t="s">
        <v>2223</v>
      </c>
      <c r="AR21" s="975"/>
      <c r="AS21" s="975"/>
      <c r="AT21" s="975"/>
      <c r="AU21" s="975"/>
      <c r="AV21" s="975"/>
      <c r="AW21" s="975"/>
      <c r="AX21" s="975"/>
      <c r="AY21" s="648"/>
      <c r="AZ21" s="649"/>
      <c r="BA21" s="976" t="str">
        <f>MID(SUVAHAVUJ!AD80,1,1)</f>
        <v xml:space="preserve"> </v>
      </c>
      <c r="BB21" s="976"/>
      <c r="BC21" s="976"/>
      <c r="BD21" s="976"/>
      <c r="BE21" s="976"/>
      <c r="BF21" s="976"/>
      <c r="BG21" s="976" t="str">
        <f>MID(SUVAHAVUJ!AD80,2,1)</f>
        <v xml:space="preserve"> </v>
      </c>
      <c r="BH21" s="976"/>
      <c r="BI21" s="976"/>
      <c r="BJ21" s="976"/>
      <c r="BK21" s="976"/>
      <c r="BL21" s="976" t="str">
        <f>MID(SUVAHAVUJ!AD80,3,1)</f>
        <v xml:space="preserve"> </v>
      </c>
      <c r="BM21" s="976"/>
      <c r="BN21" s="976"/>
      <c r="BO21" s="976"/>
      <c r="BP21" s="976"/>
      <c r="BQ21" s="976"/>
      <c r="BR21" s="976" t="str">
        <f>MID(SUVAHAVUJ!AD80,4,1)</f>
        <v xml:space="preserve"> </v>
      </c>
      <c r="BS21" s="976"/>
      <c r="BT21" s="976"/>
      <c r="BU21" s="976"/>
      <c r="BV21" s="976"/>
      <c r="BW21" s="976" t="str">
        <f>MID(SUVAHAVUJ!AD80,5,1)</f>
        <v xml:space="preserve"> </v>
      </c>
      <c r="BX21" s="976"/>
      <c r="BY21" s="976"/>
      <c r="BZ21" s="976"/>
      <c r="CA21" s="976"/>
      <c r="CB21" s="976"/>
      <c r="CC21" s="976" t="str">
        <f>MID(SUVAHAVUJ!AD80,6,1)</f>
        <v xml:space="preserve"> </v>
      </c>
      <c r="CD21" s="976"/>
      <c r="CE21" s="976"/>
      <c r="CF21" s="976"/>
      <c r="CG21" s="976"/>
      <c r="CH21" s="976" t="str">
        <f>MID(SUVAHAVUJ!AD80,7,1)</f>
        <v>4</v>
      </c>
      <c r="CI21" s="976"/>
      <c r="CJ21" s="976"/>
      <c r="CK21" s="976"/>
      <c r="CL21" s="976"/>
      <c r="CM21" s="976"/>
      <c r="CN21" s="976" t="str">
        <f>MID(SUVAHAVUJ!AD80,8,1)</f>
        <v>5</v>
      </c>
      <c r="CO21" s="976"/>
      <c r="CP21" s="976"/>
      <c r="CQ21" s="976"/>
      <c r="CR21" s="976"/>
      <c r="CS21" s="976" t="str">
        <f>MID(SUVAHAVUJ!AD80,9,1)</f>
        <v>9</v>
      </c>
      <c r="CT21" s="976"/>
      <c r="CU21" s="976"/>
      <c r="CV21" s="976"/>
      <c r="CW21" s="976"/>
      <c r="CX21" s="976"/>
      <c r="CY21" s="976" t="str">
        <f>MID(SUVAHAVUJ!AD80,10,1)</f>
        <v>2</v>
      </c>
      <c r="CZ21" s="976"/>
      <c r="DA21" s="976"/>
      <c r="DB21" s="976"/>
      <c r="DC21" s="976"/>
      <c r="DD21" s="977" t="str">
        <f>MID(SUVAHAVUJ!AD80,11,1)</f>
        <v>6</v>
      </c>
      <c r="DE21" s="977"/>
      <c r="DF21" s="977"/>
      <c r="DG21" s="977"/>
      <c r="DH21" s="977"/>
      <c r="DI21" s="977"/>
      <c r="DJ21" s="648"/>
      <c r="DK21" s="649"/>
      <c r="DL21" s="976" t="str">
        <f>MID(SUVAHAVUJ!AF80,1,1)</f>
        <v xml:space="preserve"> </v>
      </c>
      <c r="DM21" s="976"/>
      <c r="DN21" s="976"/>
      <c r="DO21" s="976"/>
      <c r="DP21" s="976"/>
      <c r="DQ21" s="976"/>
      <c r="DR21" s="976" t="str">
        <f>MID(SUVAHAVUJ!AF80,2,1)</f>
        <v xml:space="preserve"> </v>
      </c>
      <c r="DS21" s="976"/>
      <c r="DT21" s="976"/>
      <c r="DU21" s="976"/>
      <c r="DV21" s="976"/>
      <c r="DW21" s="976" t="str">
        <f>MID(SUVAHAVUJ!AF80,3,1)</f>
        <v xml:space="preserve"> </v>
      </c>
      <c r="DX21" s="976"/>
      <c r="DY21" s="976"/>
      <c r="DZ21" s="976"/>
      <c r="EA21" s="976"/>
      <c r="EB21" s="976"/>
      <c r="EC21" s="976" t="str">
        <f>MID(SUVAHAVUJ!AF80,4,1)</f>
        <v xml:space="preserve"> </v>
      </c>
      <c r="ED21" s="976"/>
      <c r="EE21" s="976"/>
      <c r="EF21" s="976"/>
      <c r="EG21" s="976"/>
      <c r="EH21" s="976" t="str">
        <f>MID(SUVAHAVUJ!AF80,5,1)</f>
        <v xml:space="preserve"> </v>
      </c>
      <c r="EI21" s="976"/>
      <c r="EJ21" s="976"/>
      <c r="EK21" s="976"/>
      <c r="EL21" s="976"/>
      <c r="EM21" s="976"/>
      <c r="EN21" s="976" t="str">
        <f>MID(SUVAHAVUJ!AF80,6,1)</f>
        <v xml:space="preserve"> </v>
      </c>
      <c r="EO21" s="976"/>
      <c r="EP21" s="976"/>
      <c r="EQ21" s="976"/>
      <c r="ER21" s="976"/>
      <c r="ES21" s="976" t="str">
        <f>MID(SUVAHAVUJ!AF80,7,1)</f>
        <v>4</v>
      </c>
      <c r="ET21" s="976"/>
      <c r="EU21" s="976"/>
      <c r="EV21" s="976"/>
      <c r="EW21" s="976"/>
      <c r="EX21" s="976"/>
      <c r="EY21" s="976" t="str">
        <f>MID(SUVAHAVUJ!AF80,8,1)</f>
        <v>5</v>
      </c>
      <c r="EZ21" s="976"/>
      <c r="FA21" s="976"/>
      <c r="FB21" s="976"/>
      <c r="FC21" s="976"/>
      <c r="FD21" s="976" t="str">
        <f>MID(SUVAHAVUJ!AF80,9,1)</f>
        <v>9</v>
      </c>
      <c r="FE21" s="976"/>
      <c r="FF21" s="976"/>
      <c r="FG21" s="976"/>
      <c r="FH21" s="976"/>
      <c r="FI21" s="976"/>
      <c r="FJ21" s="976" t="str">
        <f>MID(SUVAHAVUJ!AF80,10,1)</f>
        <v>2</v>
      </c>
      <c r="FK21" s="976"/>
      <c r="FL21" s="976"/>
      <c r="FM21" s="976"/>
      <c r="FN21" s="976"/>
      <c r="FO21" s="978" t="str">
        <f>MID(SUVAHAVUJ!AF80,11,1)</f>
        <v>6</v>
      </c>
      <c r="FP21" s="978"/>
      <c r="FQ21" s="978"/>
      <c r="FR21" s="978"/>
      <c r="FS21" s="978"/>
      <c r="FT21" s="979"/>
      <c r="FU21" s="979"/>
      <c r="FV21" s="979"/>
      <c r="FW21" s="979"/>
      <c r="FX21" s="979"/>
      <c r="FY21" s="979"/>
      <c r="FZ21" s="979"/>
      <c r="GA21" s="979"/>
      <c r="GB21" s="979"/>
      <c r="GC21" s="979"/>
      <c r="GD21" s="979"/>
      <c r="GE21" s="979"/>
      <c r="GF21" s="979"/>
      <c r="GG21" s="979"/>
      <c r="GH21" s="979"/>
      <c r="GI21" s="979"/>
      <c r="GJ21" s="979"/>
      <c r="GK21" s="979"/>
      <c r="GL21" s="979"/>
      <c r="GM21" s="979"/>
      <c r="GN21" s="979"/>
      <c r="GO21" s="979"/>
      <c r="GP21" s="979"/>
      <c r="GQ21" s="979"/>
      <c r="GR21" s="979"/>
      <c r="GS21" s="979"/>
      <c r="GT21" s="979"/>
      <c r="GU21" s="979"/>
      <c r="GV21" s="979"/>
      <c r="GW21" s="979"/>
    </row>
    <row r="22" spans="2:205" ht="23.25" customHeight="1" x14ac:dyDescent="0.3">
      <c r="B22" s="985"/>
      <c r="C22" s="985"/>
      <c r="D22" s="985"/>
      <c r="E22" s="985"/>
      <c r="F22" s="985"/>
      <c r="G22" s="985"/>
      <c r="H22" s="985"/>
      <c r="I22" s="985"/>
      <c r="J22" s="985"/>
      <c r="K22" s="985"/>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75"/>
      <c r="AR22" s="975"/>
      <c r="AS22" s="975"/>
      <c r="AT22" s="975"/>
      <c r="AU22" s="975"/>
      <c r="AV22" s="975"/>
      <c r="AW22" s="975"/>
      <c r="AX22" s="975"/>
      <c r="AY22" s="648"/>
      <c r="AZ22" s="649"/>
      <c r="BA22" s="976" t="str">
        <f>MID(SUVAHAVUJ!AE80,1,1)</f>
        <v xml:space="preserve"> </v>
      </c>
      <c r="BB22" s="976"/>
      <c r="BC22" s="976"/>
      <c r="BD22" s="976"/>
      <c r="BE22" s="976"/>
      <c r="BF22" s="976"/>
      <c r="BG22" s="976" t="str">
        <f>MID(SUVAHAVUJ!AE80,2,1)</f>
        <v xml:space="preserve"> </v>
      </c>
      <c r="BH22" s="976"/>
      <c r="BI22" s="976"/>
      <c r="BJ22" s="976"/>
      <c r="BK22" s="976"/>
      <c r="BL22" s="976" t="str">
        <f>MID(SUVAHAVUJ!AE80,3,1)</f>
        <v xml:space="preserve"> </v>
      </c>
      <c r="BM22" s="976"/>
      <c r="BN22" s="976"/>
      <c r="BO22" s="976"/>
      <c r="BP22" s="976"/>
      <c r="BQ22" s="976"/>
      <c r="BR22" s="976" t="str">
        <f>MID(SUVAHAVUJ!AE80,4,1)</f>
        <v xml:space="preserve"> </v>
      </c>
      <c r="BS22" s="976"/>
      <c r="BT22" s="976"/>
      <c r="BU22" s="976"/>
      <c r="BV22" s="976"/>
      <c r="BW22" s="976" t="str">
        <f>MID(SUVAHAVUJ!AE80,5,1)</f>
        <v xml:space="preserve"> </v>
      </c>
      <c r="BX22" s="976"/>
      <c r="BY22" s="976"/>
      <c r="BZ22" s="976"/>
      <c r="CA22" s="976"/>
      <c r="CB22" s="976"/>
      <c r="CC22" s="976" t="str">
        <f>MID(SUVAHAVUJ!AE80,6,1)</f>
        <v xml:space="preserve"> </v>
      </c>
      <c r="CD22" s="976"/>
      <c r="CE22" s="976"/>
      <c r="CF22" s="976"/>
      <c r="CG22" s="976"/>
      <c r="CH22" s="976" t="str">
        <f>MID(SUVAHAVUJ!AE80,7,1)</f>
        <v xml:space="preserve"> </v>
      </c>
      <c r="CI22" s="976"/>
      <c r="CJ22" s="976"/>
      <c r="CK22" s="976"/>
      <c r="CL22" s="976"/>
      <c r="CM22" s="976"/>
      <c r="CN22" s="976" t="str">
        <f>MID(SUVAHAVUJ!AE80,8,1)</f>
        <v xml:space="preserve"> </v>
      </c>
      <c r="CO22" s="976"/>
      <c r="CP22" s="976"/>
      <c r="CQ22" s="976"/>
      <c r="CR22" s="976"/>
      <c r="CS22" s="976" t="str">
        <f>MID(SUVAHAVUJ!AE80,9,1)</f>
        <v xml:space="preserve"> </v>
      </c>
      <c r="CT22" s="976"/>
      <c r="CU22" s="976"/>
      <c r="CV22" s="976"/>
      <c r="CW22" s="976"/>
      <c r="CX22" s="976"/>
      <c r="CY22" s="976" t="str">
        <f>MID(SUVAHAVUJ!AE80,10,1)</f>
        <v xml:space="preserve"> </v>
      </c>
      <c r="CZ22" s="976"/>
      <c r="DA22" s="976"/>
      <c r="DB22" s="976"/>
      <c r="DC22" s="976"/>
      <c r="DD22" s="977" t="str">
        <f>MID(SUVAHAVUJ!AE80,11,1)</f>
        <v>0</v>
      </c>
      <c r="DE22" s="977"/>
      <c r="DF22" s="977"/>
      <c r="DG22" s="977"/>
      <c r="DH22" s="977"/>
      <c r="DI22" s="977"/>
      <c r="DJ22" s="980"/>
      <c r="DK22" s="980"/>
      <c r="DL22" s="980"/>
      <c r="DM22" s="980"/>
      <c r="DN22" s="980"/>
      <c r="DO22" s="980"/>
      <c r="DP22" s="980"/>
      <c r="DQ22" s="980"/>
      <c r="DR22" s="980"/>
      <c r="DS22" s="980"/>
      <c r="DT22" s="980"/>
      <c r="DU22" s="980"/>
      <c r="DV22" s="980"/>
      <c r="DW22" s="980"/>
      <c r="DX22" s="980"/>
      <c r="DY22" s="980"/>
      <c r="DZ22" s="980"/>
      <c r="EA22" s="980"/>
      <c r="EB22" s="980"/>
      <c r="EC22" s="980"/>
      <c r="ED22" s="980"/>
      <c r="EE22" s="980"/>
      <c r="EF22" s="980"/>
      <c r="EG22" s="980"/>
      <c r="EH22" s="980"/>
      <c r="EI22" s="980"/>
      <c r="EJ22" s="980"/>
      <c r="EK22" s="980"/>
      <c r="EL22" s="980"/>
      <c r="EM22" s="980"/>
      <c r="EN22" s="648"/>
      <c r="EO22" s="649"/>
      <c r="EP22" s="976" t="str">
        <f>MID(SUVAHAVUJ!AG80,1,1)</f>
        <v xml:space="preserve"> </v>
      </c>
      <c r="EQ22" s="976"/>
      <c r="ER22" s="976"/>
      <c r="ES22" s="976"/>
      <c r="ET22" s="976"/>
      <c r="EU22" s="976"/>
      <c r="EV22" s="976" t="str">
        <f>MID(SUVAHAVUJ!AG80,2,1)</f>
        <v xml:space="preserve"> </v>
      </c>
      <c r="EW22" s="976"/>
      <c r="EX22" s="976"/>
      <c r="EY22" s="976"/>
      <c r="EZ22" s="976"/>
      <c r="FA22" s="976" t="str">
        <f>MID(SUVAHAVUJ!AG80,3,1)</f>
        <v xml:space="preserve"> </v>
      </c>
      <c r="FB22" s="976"/>
      <c r="FC22" s="976"/>
      <c r="FD22" s="976"/>
      <c r="FE22" s="976"/>
      <c r="FF22" s="976"/>
      <c r="FG22" s="976" t="str">
        <f>MID(SUVAHAVUJ!AG80,4,1)</f>
        <v xml:space="preserve"> </v>
      </c>
      <c r="FH22" s="976"/>
      <c r="FI22" s="976"/>
      <c r="FJ22" s="976"/>
      <c r="FK22" s="976"/>
      <c r="FL22" s="976" t="str">
        <f>MID(SUVAHAVUJ!AG80,5,1)</f>
        <v xml:space="preserve"> </v>
      </c>
      <c r="FM22" s="976"/>
      <c r="FN22" s="976"/>
      <c r="FO22" s="976"/>
      <c r="FP22" s="976"/>
      <c r="FQ22" s="976"/>
      <c r="FR22" s="976" t="str">
        <f>MID(SUVAHAVUJ!AG80,6,1)</f>
        <v xml:space="preserve"> </v>
      </c>
      <c r="FS22" s="976"/>
      <c r="FT22" s="976"/>
      <c r="FU22" s="976"/>
      <c r="FV22" s="976"/>
      <c r="FW22" s="976" t="str">
        <f>MID(SUVAHAVUJ!AG80,7,1)</f>
        <v>5</v>
      </c>
      <c r="FX22" s="976"/>
      <c r="FY22" s="976"/>
      <c r="FZ22" s="976"/>
      <c r="GA22" s="976"/>
      <c r="GB22" s="976"/>
      <c r="GC22" s="976" t="str">
        <f>MID(SUVAHAVUJ!AG80,8,1)</f>
        <v>2</v>
      </c>
      <c r="GD22" s="976"/>
      <c r="GE22" s="976"/>
      <c r="GF22" s="976"/>
      <c r="GG22" s="976"/>
      <c r="GH22" s="976" t="str">
        <f>MID(SUVAHAVUJ!AG80,9,1)</f>
        <v>1</v>
      </c>
      <c r="GI22" s="976"/>
      <c r="GJ22" s="976"/>
      <c r="GK22" s="976"/>
      <c r="GL22" s="976"/>
      <c r="GM22" s="976"/>
      <c r="GN22" s="976" t="str">
        <f>MID(SUVAHAVUJ!AG80,10,1)</f>
        <v>3</v>
      </c>
      <c r="GO22" s="976"/>
      <c r="GP22" s="976"/>
      <c r="GQ22" s="976"/>
      <c r="GR22" s="976"/>
      <c r="GS22" s="978" t="str">
        <f>MID(SUVAHAVUJ!AG80,11,1)</f>
        <v>6</v>
      </c>
      <c r="GT22" s="978"/>
      <c r="GU22" s="978"/>
      <c r="GV22" s="978"/>
      <c r="GW22" s="978"/>
    </row>
    <row r="23" spans="2:205" s="650" customFormat="1" ht="2.25" customHeight="1" x14ac:dyDescent="0.3">
      <c r="B23" s="660"/>
      <c r="C23" s="660"/>
      <c r="D23" s="660"/>
      <c r="E23" s="660"/>
      <c r="F23" s="660"/>
      <c r="G23" s="660"/>
      <c r="H23" s="660"/>
      <c r="I23" s="660"/>
      <c r="J23" s="660"/>
      <c r="K23" s="660"/>
      <c r="L23" s="661"/>
      <c r="M23" s="662"/>
      <c r="N23" s="662"/>
      <c r="O23" s="662"/>
      <c r="P23" s="662"/>
      <c r="Q23" s="662"/>
      <c r="R23" s="662"/>
      <c r="S23" s="662"/>
      <c r="T23" s="662"/>
      <c r="U23" s="662"/>
      <c r="V23" s="662"/>
      <c r="W23" s="662"/>
      <c r="X23" s="662"/>
      <c r="Y23" s="662"/>
      <c r="Z23" s="662"/>
      <c r="AA23" s="662"/>
      <c r="AB23" s="662"/>
      <c r="AC23" s="662"/>
      <c r="AD23" s="662"/>
      <c r="AE23" s="662"/>
      <c r="AF23" s="662"/>
      <c r="AG23" s="662"/>
      <c r="AH23" s="662"/>
      <c r="AI23" s="662"/>
      <c r="AJ23" s="662"/>
      <c r="AK23" s="662"/>
      <c r="AL23" s="662"/>
      <c r="AM23" s="662"/>
      <c r="AN23" s="662"/>
      <c r="AO23" s="662"/>
      <c r="AP23" s="662"/>
      <c r="AQ23" s="663"/>
      <c r="AR23" s="663"/>
      <c r="AS23" s="663"/>
      <c r="AT23" s="663"/>
      <c r="AU23" s="663"/>
      <c r="AV23" s="663"/>
      <c r="AW23" s="663"/>
      <c r="AX23" s="663"/>
      <c r="AY23" s="664"/>
      <c r="AZ23" s="664"/>
      <c r="BA23" s="995"/>
      <c r="BB23" s="995"/>
      <c r="BC23" s="995"/>
      <c r="BD23" s="995"/>
      <c r="BE23" s="995"/>
      <c r="BF23" s="995"/>
      <c r="BG23" s="995"/>
      <c r="BH23" s="995"/>
      <c r="BI23" s="995"/>
      <c r="BJ23" s="995"/>
      <c r="BK23" s="995"/>
      <c r="BL23" s="995"/>
      <c r="BM23" s="995"/>
      <c r="BN23" s="995"/>
      <c r="BO23" s="995"/>
      <c r="BP23" s="995"/>
      <c r="BQ23" s="995"/>
      <c r="BR23" s="995"/>
      <c r="BS23" s="995"/>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664"/>
      <c r="DK23" s="664"/>
      <c r="DL23" s="995"/>
      <c r="DM23" s="995"/>
      <c r="DN23" s="995"/>
      <c r="DO23" s="995"/>
      <c r="DP23" s="995"/>
      <c r="DQ23" s="995"/>
      <c r="DR23" s="995"/>
      <c r="DS23" s="995"/>
      <c r="DT23" s="995"/>
      <c r="DU23" s="995"/>
      <c r="DV23" s="995"/>
      <c r="DW23" s="995"/>
      <c r="DX23" s="995"/>
      <c r="DY23" s="995"/>
      <c r="DZ23" s="995"/>
      <c r="EA23" s="995"/>
      <c r="EB23" s="995"/>
      <c r="EC23" s="995"/>
      <c r="ED23" s="995"/>
      <c r="EE23" s="995"/>
      <c r="EF23" s="995"/>
      <c r="EG23" s="995"/>
      <c r="EH23" s="995"/>
      <c r="EI23" s="995"/>
      <c r="EJ23" s="995"/>
      <c r="EK23" s="995"/>
      <c r="EL23" s="995"/>
      <c r="EM23" s="995"/>
      <c r="EN23" s="995"/>
      <c r="EO23" s="995"/>
      <c r="EP23" s="995"/>
      <c r="EQ23" s="995"/>
      <c r="ER23" s="995"/>
      <c r="ES23" s="995"/>
      <c r="ET23" s="995"/>
      <c r="EU23" s="995"/>
      <c r="EV23" s="995"/>
      <c r="EW23" s="995"/>
      <c r="EX23" s="995"/>
      <c r="EY23" s="995"/>
      <c r="EZ23" s="995"/>
      <c r="FA23" s="995"/>
      <c r="FB23" s="995"/>
      <c r="FC23" s="995"/>
      <c r="FD23" s="995"/>
      <c r="FE23" s="995"/>
      <c r="FF23" s="995"/>
      <c r="FG23" s="995"/>
      <c r="FH23" s="995"/>
      <c r="FI23" s="995"/>
      <c r="FJ23" s="995"/>
      <c r="FK23" s="995"/>
      <c r="FL23" s="995"/>
      <c r="FM23" s="995"/>
      <c r="FN23" s="995"/>
      <c r="FO23" s="996"/>
      <c r="FP23" s="996"/>
      <c r="FQ23" s="996"/>
      <c r="FR23" s="996"/>
      <c r="FS23" s="996"/>
      <c r="FT23" s="997"/>
      <c r="FU23" s="997"/>
      <c r="FV23" s="997"/>
      <c r="FW23" s="997"/>
      <c r="FX23" s="997"/>
      <c r="FY23" s="997"/>
      <c r="FZ23" s="997"/>
      <c r="GA23" s="997"/>
      <c r="GB23" s="997"/>
      <c r="GC23" s="997"/>
      <c r="GD23" s="997"/>
      <c r="GE23" s="997"/>
      <c r="GF23" s="997"/>
      <c r="GG23" s="997"/>
      <c r="GH23" s="997"/>
      <c r="GI23" s="997"/>
      <c r="GJ23" s="997"/>
      <c r="GK23" s="997"/>
      <c r="GL23" s="997"/>
      <c r="GM23" s="997"/>
      <c r="GN23" s="997"/>
      <c r="GO23" s="997"/>
      <c r="GP23" s="997"/>
      <c r="GQ23" s="997"/>
      <c r="GR23" s="997"/>
      <c r="GS23" s="997"/>
      <c r="GT23" s="997"/>
      <c r="GU23" s="997"/>
      <c r="GV23" s="997"/>
      <c r="GW23" s="997"/>
    </row>
    <row r="24" spans="2:205" ht="25.5" customHeight="1" x14ac:dyDescent="0.25">
      <c r="B24" s="998" t="s">
        <v>5349</v>
      </c>
      <c r="C24" s="998"/>
      <c r="D24" s="998"/>
      <c r="E24" s="998"/>
      <c r="F24" s="998"/>
      <c r="G24" s="998"/>
      <c r="H24" s="998"/>
      <c r="I24" s="998"/>
      <c r="J24" s="998"/>
      <c r="K24" s="998"/>
      <c r="L24" s="999" t="s">
        <v>5350</v>
      </c>
      <c r="M24" s="999"/>
      <c r="N24" s="999"/>
      <c r="O24" s="999"/>
      <c r="P24" s="999"/>
      <c r="Q24" s="999"/>
      <c r="R24" s="999"/>
      <c r="S24" s="999"/>
      <c r="T24" s="999"/>
      <c r="U24" s="999"/>
      <c r="V24" s="999"/>
      <c r="W24" s="999"/>
      <c r="X24" s="999"/>
      <c r="Y24" s="999"/>
      <c r="Z24" s="999"/>
      <c r="AA24" s="999"/>
      <c r="AB24" s="999"/>
      <c r="AC24" s="999"/>
      <c r="AD24" s="999"/>
      <c r="AE24" s="999"/>
      <c r="AF24" s="999"/>
      <c r="AG24" s="999"/>
      <c r="AH24" s="999"/>
      <c r="AI24" s="999"/>
      <c r="AJ24" s="999"/>
      <c r="AK24" s="999"/>
      <c r="AL24" s="999"/>
      <c r="AM24" s="999"/>
      <c r="AN24" s="999"/>
      <c r="AO24" s="999"/>
      <c r="AP24" s="999"/>
      <c r="AQ24" s="999"/>
      <c r="AR24" s="999"/>
      <c r="AS24" s="999"/>
      <c r="AT24" s="999"/>
      <c r="AU24" s="999"/>
      <c r="AV24" s="999"/>
      <c r="AW24" s="999"/>
      <c r="AX24" s="999"/>
      <c r="AY24" s="999"/>
      <c r="AZ24" s="999"/>
      <c r="BA24" s="999"/>
      <c r="BB24" s="999"/>
      <c r="BC24" s="999"/>
      <c r="BD24" s="999"/>
      <c r="BE24" s="999"/>
      <c r="BF24" s="999"/>
      <c r="BG24" s="999"/>
      <c r="BH24" s="999"/>
      <c r="BI24" s="999"/>
      <c r="BJ24" s="999"/>
      <c r="BK24" s="999"/>
      <c r="BL24" s="999"/>
      <c r="BM24" s="999"/>
      <c r="BN24" s="999"/>
      <c r="BO24" s="999"/>
      <c r="BP24" s="999"/>
      <c r="BQ24" s="999"/>
      <c r="BR24" s="999"/>
      <c r="BS24" s="999"/>
      <c r="BT24" s="999"/>
      <c r="BU24" s="999"/>
      <c r="BV24" s="999"/>
      <c r="BW24" s="1000" t="str">
        <f>$AQ$4</f>
        <v>Číslo riadku</v>
      </c>
      <c r="BX24" s="1000"/>
      <c r="BY24" s="1000"/>
      <c r="BZ24" s="1000"/>
      <c r="CA24" s="1000"/>
      <c r="CB24" s="1000"/>
      <c r="CC24" s="1000"/>
      <c r="CD24" s="1000"/>
      <c r="CE24" s="1001" t="str">
        <f>$AY$4</f>
        <v>Bežné účtovné obdobie</v>
      </c>
      <c r="CF24" s="1001"/>
      <c r="CG24" s="1001"/>
      <c r="CH24" s="1001"/>
      <c r="CI24" s="1001"/>
      <c r="CJ24" s="1001"/>
      <c r="CK24" s="1001"/>
      <c r="CL24" s="1001"/>
      <c r="CM24" s="1001"/>
      <c r="CN24" s="1001"/>
      <c r="CO24" s="1001"/>
      <c r="CP24" s="1001"/>
      <c r="CQ24" s="1001"/>
      <c r="CR24" s="1001"/>
      <c r="CS24" s="1001"/>
      <c r="CT24" s="1001"/>
      <c r="CU24" s="1001"/>
      <c r="CV24" s="1001"/>
      <c r="CW24" s="1001"/>
      <c r="CX24" s="1001"/>
      <c r="CY24" s="1001"/>
      <c r="CZ24" s="1001"/>
      <c r="DA24" s="1001"/>
      <c r="DB24" s="1001"/>
      <c r="DC24" s="1001"/>
      <c r="DD24" s="1001"/>
      <c r="DE24" s="1001"/>
      <c r="DF24" s="1001"/>
      <c r="DG24" s="1001"/>
      <c r="DH24" s="1001"/>
      <c r="DI24" s="1001"/>
      <c r="DJ24" s="1001"/>
      <c r="DK24" s="1001"/>
      <c r="DL24" s="1001"/>
      <c r="DM24" s="1001"/>
      <c r="DN24" s="1001"/>
      <c r="DO24" s="1001"/>
      <c r="DP24" s="1001"/>
      <c r="DQ24" s="1001"/>
      <c r="DR24" s="1001"/>
      <c r="DS24" s="1001"/>
      <c r="DT24" s="1001"/>
      <c r="DU24" s="1001"/>
      <c r="DV24" s="1001"/>
      <c r="DW24" s="1001"/>
      <c r="DX24" s="1001"/>
      <c r="DY24" s="1001"/>
      <c r="DZ24" s="1001"/>
      <c r="EA24" s="1001"/>
      <c r="EB24" s="1001"/>
      <c r="EC24" s="1001"/>
      <c r="ED24" s="1001"/>
      <c r="EE24" s="1001"/>
      <c r="EF24" s="1001"/>
      <c r="EG24" s="1001"/>
      <c r="EH24" s="1001"/>
      <c r="EI24" s="1001"/>
      <c r="EJ24" s="1001"/>
      <c r="EK24" s="1001"/>
      <c r="EL24" s="1001"/>
      <c r="EM24" s="1001"/>
      <c r="EN24" s="1002">
        <f>$FC$4</f>
        <v>0</v>
      </c>
      <c r="EO24" s="1002"/>
      <c r="EP24" s="1002"/>
      <c r="EQ24" s="1002"/>
      <c r="ER24" s="1002"/>
      <c r="ES24" s="1002"/>
      <c r="ET24" s="1002"/>
      <c r="EU24" s="1002"/>
      <c r="EV24" s="1002"/>
      <c r="EW24" s="1002"/>
      <c r="EX24" s="1002"/>
      <c r="EY24" s="1002"/>
      <c r="EZ24" s="1002"/>
      <c r="FA24" s="1002"/>
      <c r="FB24" s="1002"/>
      <c r="FC24" s="1002"/>
      <c r="FD24" s="1002"/>
      <c r="FE24" s="1002"/>
      <c r="FF24" s="1002"/>
      <c r="FG24" s="1002"/>
      <c r="FH24" s="1002"/>
      <c r="FI24" s="1002"/>
      <c r="FJ24" s="1002"/>
      <c r="FK24" s="1002"/>
      <c r="FL24" s="1002"/>
      <c r="FM24" s="1002"/>
      <c r="FN24" s="1002"/>
      <c r="FO24" s="1002"/>
      <c r="FP24" s="1002"/>
      <c r="FQ24" s="1002"/>
      <c r="FR24" s="1002"/>
      <c r="FS24" s="1002"/>
      <c r="FT24" s="1002"/>
      <c r="FU24" s="1002"/>
      <c r="FV24" s="1002"/>
      <c r="FW24" s="1002"/>
      <c r="FX24" s="1002"/>
      <c r="FY24" s="1002"/>
      <c r="FZ24" s="1002"/>
      <c r="GA24" s="1002"/>
      <c r="GB24" s="1002"/>
      <c r="GC24" s="1002"/>
      <c r="GD24" s="1002"/>
      <c r="GE24" s="1002"/>
      <c r="GF24" s="1002"/>
      <c r="GG24" s="1002"/>
      <c r="GH24" s="1002"/>
      <c r="GI24" s="1002"/>
      <c r="GJ24" s="1002"/>
      <c r="GK24" s="1002"/>
      <c r="GL24" s="1002"/>
      <c r="GM24" s="1002"/>
      <c r="GN24" s="1002"/>
      <c r="GO24" s="1002"/>
      <c r="GP24" s="1002"/>
      <c r="GQ24" s="1002"/>
      <c r="GR24" s="1002"/>
      <c r="GS24" s="1002"/>
      <c r="GT24" s="1002"/>
      <c r="GU24" s="1002"/>
      <c r="GV24" s="1002"/>
      <c r="GW24" s="1002"/>
    </row>
    <row r="25" spans="2:205" s="650" customFormat="1" ht="21.6" customHeight="1" x14ac:dyDescent="0.2">
      <c r="B25" s="1003"/>
      <c r="C25" s="1003"/>
      <c r="D25" s="1003"/>
      <c r="E25" s="1003"/>
      <c r="F25" s="1003"/>
      <c r="G25" s="1003"/>
      <c r="H25" s="1003"/>
      <c r="I25" s="1003"/>
      <c r="J25" s="1003"/>
      <c r="K25" s="1003"/>
      <c r="L25" s="1004" t="str">
        <f>SUVAHAVUJ!$D$81</f>
        <v>Spolu vlastné imanie a záväzky r. 80 + r. 101 + r. 141</v>
      </c>
      <c r="M25" s="1004"/>
      <c r="N25" s="1004"/>
      <c r="O25" s="1004"/>
      <c r="P25" s="1004"/>
      <c r="Q25" s="1004"/>
      <c r="R25" s="1004"/>
      <c r="S25" s="1004"/>
      <c r="T25" s="1004"/>
      <c r="U25" s="1004"/>
      <c r="V25" s="1004"/>
      <c r="W25" s="1004"/>
      <c r="X25" s="1004"/>
      <c r="Y25" s="1004"/>
      <c r="Z25" s="1004"/>
      <c r="AA25" s="1004"/>
      <c r="AB25" s="1004"/>
      <c r="AC25" s="1004"/>
      <c r="AD25" s="1004"/>
      <c r="AE25" s="1004"/>
      <c r="AF25" s="1004"/>
      <c r="AG25" s="1004"/>
      <c r="AH25" s="1004"/>
      <c r="AI25" s="1004"/>
      <c r="AJ25" s="1004"/>
      <c r="AK25" s="1004"/>
      <c r="AL25" s="1004"/>
      <c r="AM25" s="1004"/>
      <c r="AN25" s="1004"/>
      <c r="AO25" s="1004"/>
      <c r="AP25" s="1004"/>
      <c r="AQ25" s="1004"/>
      <c r="AR25" s="1004"/>
      <c r="AS25" s="1004"/>
      <c r="AT25" s="1004"/>
      <c r="AU25" s="1004"/>
      <c r="AV25" s="1004"/>
      <c r="AW25" s="1004"/>
      <c r="AX25" s="1004"/>
      <c r="AY25" s="1004"/>
      <c r="AZ25" s="1004"/>
      <c r="BA25" s="1004"/>
      <c r="BB25" s="1004"/>
      <c r="BC25" s="1004"/>
      <c r="BD25" s="1004"/>
      <c r="BE25" s="1004"/>
      <c r="BF25" s="1004"/>
      <c r="BG25" s="1004"/>
      <c r="BH25" s="1004"/>
      <c r="BI25" s="1004"/>
      <c r="BJ25" s="1004"/>
      <c r="BK25" s="1004"/>
      <c r="BL25" s="1004"/>
      <c r="BM25" s="1004"/>
      <c r="BN25" s="1004"/>
      <c r="BO25" s="1004"/>
      <c r="BP25" s="1004"/>
      <c r="BQ25" s="1004"/>
      <c r="BR25" s="1004"/>
      <c r="BS25" s="1004"/>
      <c r="BT25" s="1004"/>
      <c r="BU25" s="1004"/>
      <c r="BV25" s="1004"/>
      <c r="BW25" s="975">
        <v>79</v>
      </c>
      <c r="BX25" s="975"/>
      <c r="BY25" s="975"/>
      <c r="BZ25" s="975"/>
      <c r="CA25" s="975"/>
      <c r="CB25" s="975"/>
      <c r="CC25" s="975"/>
      <c r="CD25" s="975"/>
      <c r="CE25" s="976" t="str">
        <f>MID(SUVAHAVUJ!AF81,1,1)</f>
        <v xml:space="preserve"> </v>
      </c>
      <c r="CF25" s="976"/>
      <c r="CG25" s="976"/>
      <c r="CH25" s="976"/>
      <c r="CI25" s="976"/>
      <c r="CJ25" s="976" t="str">
        <f>MID(SUVAHAVUJ!AF81,2,1)</f>
        <v xml:space="preserve"> </v>
      </c>
      <c r="CK25" s="976"/>
      <c r="CL25" s="976"/>
      <c r="CM25" s="976"/>
      <c r="CN25" s="976"/>
      <c r="CO25" s="976"/>
      <c r="CP25" s="976" t="str">
        <f>MID(SUVAHAVUJ!AF81,3,1)</f>
        <v xml:space="preserve"> </v>
      </c>
      <c r="CQ25" s="976"/>
      <c r="CR25" s="976"/>
      <c r="CS25" s="976"/>
      <c r="CT25" s="976"/>
      <c r="CU25" s="976" t="str">
        <f>MID(SUVAHAVUJ!AF81,4,1)</f>
        <v xml:space="preserve"> </v>
      </c>
      <c r="CV25" s="976"/>
      <c r="CW25" s="976"/>
      <c r="CX25" s="976"/>
      <c r="CY25" s="976"/>
      <c r="CZ25" s="976"/>
      <c r="DA25" s="976" t="str">
        <f>MID(SUVAHAVUJ!AF81,5,1)</f>
        <v xml:space="preserve"> </v>
      </c>
      <c r="DB25" s="976"/>
      <c r="DC25" s="976"/>
      <c r="DD25" s="976"/>
      <c r="DE25" s="976"/>
      <c r="DF25" s="976" t="str">
        <f>MID(SUVAHAVUJ!AF81,6,1)</f>
        <v>5</v>
      </c>
      <c r="DG25" s="976"/>
      <c r="DH25" s="976"/>
      <c r="DI25" s="976"/>
      <c r="DJ25" s="976"/>
      <c r="DK25" s="976"/>
      <c r="DL25" s="976" t="str">
        <f>MID(SUVAHAVUJ!AF81,7,1)</f>
        <v>0</v>
      </c>
      <c r="DM25" s="976"/>
      <c r="DN25" s="976"/>
      <c r="DO25" s="976"/>
      <c r="DP25" s="976"/>
      <c r="DQ25" s="976"/>
      <c r="DR25" s="976" t="str">
        <f>MID(SUVAHAVUJ!AF81,8,1)</f>
        <v>3</v>
      </c>
      <c r="DS25" s="976"/>
      <c r="DT25" s="976"/>
      <c r="DU25" s="976"/>
      <c r="DV25" s="976"/>
      <c r="DW25" s="982" t="str">
        <f>MID(SUVAHAVUJ!AF81,9,1)</f>
        <v>3</v>
      </c>
      <c r="DX25" s="982"/>
      <c r="DY25" s="982"/>
      <c r="DZ25" s="982"/>
      <c r="EA25" s="982"/>
      <c r="EB25" s="982"/>
      <c r="EC25" s="982" t="str">
        <f>MID(SUVAHAVUJ!AF81,10,1)</f>
        <v>3</v>
      </c>
      <c r="ED25" s="982"/>
      <c r="EE25" s="982"/>
      <c r="EF25" s="982"/>
      <c r="EG25" s="982"/>
      <c r="EH25" s="977" t="str">
        <f>MID(SUVAHAVUJ!AF81,11,1)</f>
        <v>2</v>
      </c>
      <c r="EI25" s="977"/>
      <c r="EJ25" s="977"/>
      <c r="EK25" s="977"/>
      <c r="EL25" s="977"/>
      <c r="EM25" s="977"/>
      <c r="EN25" s="665"/>
      <c r="EO25" s="666"/>
      <c r="EP25" s="976" t="str">
        <f>MID(SUVAHAVUJ!AG81,1,1)</f>
        <v xml:space="preserve"> </v>
      </c>
      <c r="EQ25" s="976"/>
      <c r="ER25" s="976"/>
      <c r="ES25" s="976"/>
      <c r="ET25" s="976"/>
      <c r="EU25" s="976"/>
      <c r="EV25" s="976" t="str">
        <f>MID(SUVAHAVUJ!AG81,2,1)</f>
        <v xml:space="preserve"> </v>
      </c>
      <c r="EW25" s="976"/>
      <c r="EX25" s="976"/>
      <c r="EY25" s="976"/>
      <c r="EZ25" s="976"/>
      <c r="FA25" s="976" t="str">
        <f>MID(SUVAHAVUJ!AG81,3,1)</f>
        <v xml:space="preserve"> </v>
      </c>
      <c r="FB25" s="976"/>
      <c r="FC25" s="976"/>
      <c r="FD25" s="976"/>
      <c r="FE25" s="976"/>
      <c r="FF25" s="976"/>
      <c r="FG25" s="976" t="str">
        <f>MID(SUVAHAVUJ!AG81,4,1)</f>
        <v xml:space="preserve"> </v>
      </c>
      <c r="FH25" s="976"/>
      <c r="FI25" s="976"/>
      <c r="FJ25" s="976"/>
      <c r="FK25" s="976"/>
      <c r="FL25" s="982" t="str">
        <f>MID(SUVAHAVUJ!AG81,5,1)</f>
        <v xml:space="preserve"> </v>
      </c>
      <c r="FM25" s="982"/>
      <c r="FN25" s="982"/>
      <c r="FO25" s="982"/>
      <c r="FP25" s="982"/>
      <c r="FQ25" s="982"/>
      <c r="FR25" s="982" t="str">
        <f>MID(SUVAHAVUJ!AG81,6,1)</f>
        <v>5</v>
      </c>
      <c r="FS25" s="982"/>
      <c r="FT25" s="982"/>
      <c r="FU25" s="982"/>
      <c r="FV25" s="982"/>
      <c r="FW25" s="982" t="str">
        <f>MID(SUVAHAVUJ!AG81,7,1)</f>
        <v>4</v>
      </c>
      <c r="FX25" s="982"/>
      <c r="FY25" s="982"/>
      <c r="FZ25" s="982"/>
      <c r="GA25" s="982"/>
      <c r="GB25" s="982"/>
      <c r="GC25" s="982" t="str">
        <f>MID(SUVAHAVUJ!AG81,8,1)</f>
        <v>8</v>
      </c>
      <c r="GD25" s="982"/>
      <c r="GE25" s="982"/>
      <c r="GF25" s="982"/>
      <c r="GG25" s="982"/>
      <c r="GH25" s="982" t="str">
        <f>MID(SUVAHAVUJ!AG81,9,1)</f>
        <v>1</v>
      </c>
      <c r="GI25" s="982"/>
      <c r="GJ25" s="982"/>
      <c r="GK25" s="982"/>
      <c r="GL25" s="982"/>
      <c r="GM25" s="982"/>
      <c r="GN25" s="982" t="str">
        <f>MID(SUVAHAVUJ!AG81,10,1)</f>
        <v>4</v>
      </c>
      <c r="GO25" s="982"/>
      <c r="GP25" s="982"/>
      <c r="GQ25" s="982"/>
      <c r="GR25" s="982"/>
      <c r="GS25" s="978" t="str">
        <f>MID(SUVAHAVUJ!AG81,11,1)</f>
        <v>4</v>
      </c>
      <c r="GT25" s="978"/>
      <c r="GU25" s="978"/>
      <c r="GV25" s="978"/>
      <c r="GW25" s="978"/>
    </row>
    <row r="26" spans="2:205" ht="21.6" customHeight="1" x14ac:dyDescent="0.25">
      <c r="B26" s="981" t="s">
        <v>2162</v>
      </c>
      <c r="C26" s="981"/>
      <c r="D26" s="981"/>
      <c r="E26" s="981"/>
      <c r="F26" s="981"/>
      <c r="G26" s="981"/>
      <c r="H26" s="981"/>
      <c r="I26" s="981"/>
      <c r="J26" s="981"/>
      <c r="K26" s="981"/>
      <c r="L26" s="1004" t="str">
        <f>SUVAHAVUJ!$D$82</f>
        <v>Vlastné imanie r. 81 + r. 85 + r. 86 + r. 87 + r. 90 + r. 93
+ r. 97 + r. 100</v>
      </c>
      <c r="M26" s="1004"/>
      <c r="N26" s="1004"/>
      <c r="O26" s="1004"/>
      <c r="P26" s="1004"/>
      <c r="Q26" s="1004"/>
      <c r="R26" s="1004"/>
      <c r="S26" s="1004"/>
      <c r="T26" s="1004"/>
      <c r="U26" s="1004"/>
      <c r="V26" s="1004"/>
      <c r="W26" s="1004"/>
      <c r="X26" s="1004"/>
      <c r="Y26" s="1004"/>
      <c r="Z26" s="1004"/>
      <c r="AA26" s="1004"/>
      <c r="AB26" s="1004"/>
      <c r="AC26" s="1004"/>
      <c r="AD26" s="1004"/>
      <c r="AE26" s="1004"/>
      <c r="AF26" s="1004"/>
      <c r="AG26" s="1004"/>
      <c r="AH26" s="1004"/>
      <c r="AI26" s="1004"/>
      <c r="AJ26" s="1004"/>
      <c r="AK26" s="1004"/>
      <c r="AL26" s="1004"/>
      <c r="AM26" s="1004"/>
      <c r="AN26" s="1004"/>
      <c r="AO26" s="1004"/>
      <c r="AP26" s="1004"/>
      <c r="AQ26" s="1004"/>
      <c r="AR26" s="1004"/>
      <c r="AS26" s="1004"/>
      <c r="AT26" s="1004"/>
      <c r="AU26" s="1004"/>
      <c r="AV26" s="1004"/>
      <c r="AW26" s="1004"/>
      <c r="AX26" s="1004"/>
      <c r="AY26" s="1004"/>
      <c r="AZ26" s="1004"/>
      <c r="BA26" s="1004"/>
      <c r="BB26" s="1004"/>
      <c r="BC26" s="1004"/>
      <c r="BD26" s="1004"/>
      <c r="BE26" s="1004"/>
      <c r="BF26" s="1004"/>
      <c r="BG26" s="1004"/>
      <c r="BH26" s="1004"/>
      <c r="BI26" s="1004"/>
      <c r="BJ26" s="1004"/>
      <c r="BK26" s="1004"/>
      <c r="BL26" s="1004"/>
      <c r="BM26" s="1004"/>
      <c r="BN26" s="1004"/>
      <c r="BO26" s="1004"/>
      <c r="BP26" s="1004"/>
      <c r="BQ26" s="1004"/>
      <c r="BR26" s="1004"/>
      <c r="BS26" s="1004"/>
      <c r="BT26" s="1004"/>
      <c r="BU26" s="1004"/>
      <c r="BV26" s="1004"/>
      <c r="BW26" s="975" t="s">
        <v>2225</v>
      </c>
      <c r="BX26" s="975"/>
      <c r="BY26" s="975"/>
      <c r="BZ26" s="975"/>
      <c r="CA26" s="975"/>
      <c r="CB26" s="975"/>
      <c r="CC26" s="975" t="e">
        <v>#NAME?</v>
      </c>
      <c r="CD26" s="975"/>
      <c r="CE26" s="976" t="str">
        <f>MID(SUVAHAVUJ!AF82,1,1)</f>
        <v xml:space="preserve"> </v>
      </c>
      <c r="CF26" s="976"/>
      <c r="CG26" s="976"/>
      <c r="CH26" s="976"/>
      <c r="CI26" s="976"/>
      <c r="CJ26" s="976" t="str">
        <f>MID(SUVAHAVUJ!AF82,2,1)</f>
        <v xml:space="preserve"> </v>
      </c>
      <c r="CK26" s="976"/>
      <c r="CL26" s="976"/>
      <c r="CM26" s="976"/>
      <c r="CN26" s="976"/>
      <c r="CO26" s="976"/>
      <c r="CP26" s="976" t="str">
        <f>MID(SUVAHAVUJ!AF82,3,1)</f>
        <v xml:space="preserve"> </v>
      </c>
      <c r="CQ26" s="976"/>
      <c r="CR26" s="976"/>
      <c r="CS26" s="976"/>
      <c r="CT26" s="976"/>
      <c r="CU26" s="976" t="str">
        <f>MID(SUVAHAVUJ!AF82,4,1)</f>
        <v xml:space="preserve"> </v>
      </c>
      <c r="CV26" s="976"/>
      <c r="CW26" s="976"/>
      <c r="CX26" s="976"/>
      <c r="CY26" s="976"/>
      <c r="CZ26" s="976"/>
      <c r="DA26" s="976" t="str">
        <f>MID(SUVAHAVUJ!AF82,5,1)</f>
        <v xml:space="preserve"> </v>
      </c>
      <c r="DB26" s="976"/>
      <c r="DC26" s="976"/>
      <c r="DD26" s="976"/>
      <c r="DE26" s="976"/>
      <c r="DF26" s="976" t="str">
        <f>MID(SUVAHAVUJ!AF82,6,1)</f>
        <v>2</v>
      </c>
      <c r="DG26" s="976"/>
      <c r="DH26" s="976"/>
      <c r="DI26" s="976"/>
      <c r="DJ26" s="976"/>
      <c r="DK26" s="976"/>
      <c r="DL26" s="976" t="str">
        <f>MID(SUVAHAVUJ!AF82,7,1)</f>
        <v>6</v>
      </c>
      <c r="DM26" s="976"/>
      <c r="DN26" s="976"/>
      <c r="DO26" s="976"/>
      <c r="DP26" s="976"/>
      <c r="DQ26" s="976"/>
      <c r="DR26" s="976" t="str">
        <f>MID(SUVAHAVUJ!AF82,8,1)</f>
        <v>7</v>
      </c>
      <c r="DS26" s="976"/>
      <c r="DT26" s="976"/>
      <c r="DU26" s="976"/>
      <c r="DV26" s="976"/>
      <c r="DW26" s="982" t="str">
        <f>MID(SUVAHAVUJ!AF82,9,1)</f>
        <v>7</v>
      </c>
      <c r="DX26" s="982"/>
      <c r="DY26" s="982"/>
      <c r="DZ26" s="982"/>
      <c r="EA26" s="982"/>
      <c r="EB26" s="982"/>
      <c r="EC26" s="982" t="str">
        <f>MID(SUVAHAVUJ!AF82,10,1)</f>
        <v>6</v>
      </c>
      <c r="ED26" s="982"/>
      <c r="EE26" s="982"/>
      <c r="EF26" s="982"/>
      <c r="EG26" s="982"/>
      <c r="EH26" s="977" t="str">
        <f>MID(SUVAHAVUJ!AF82,11,1)</f>
        <v>0</v>
      </c>
      <c r="EI26" s="977"/>
      <c r="EJ26" s="977"/>
      <c r="EK26" s="977"/>
      <c r="EL26" s="977"/>
      <c r="EM26" s="977"/>
      <c r="EN26" s="665"/>
      <c r="EO26" s="666"/>
      <c r="EP26" s="976" t="str">
        <f>MID(SUVAHAVUJ!AG82,1,1)</f>
        <v xml:space="preserve"> </v>
      </c>
      <c r="EQ26" s="976"/>
      <c r="ER26" s="976"/>
      <c r="ES26" s="976"/>
      <c r="ET26" s="976"/>
      <c r="EU26" s="976"/>
      <c r="EV26" s="976" t="str">
        <f>MID(SUVAHAVUJ!AG82,2,1)</f>
        <v xml:space="preserve"> </v>
      </c>
      <c r="EW26" s="976"/>
      <c r="EX26" s="976"/>
      <c r="EY26" s="976"/>
      <c r="EZ26" s="976"/>
      <c r="FA26" s="976" t="str">
        <f>MID(SUVAHAVUJ!AG82,3,1)</f>
        <v xml:space="preserve"> </v>
      </c>
      <c r="FB26" s="976"/>
      <c r="FC26" s="976"/>
      <c r="FD26" s="976"/>
      <c r="FE26" s="976"/>
      <c r="FF26" s="976"/>
      <c r="FG26" s="976" t="str">
        <f>MID(SUVAHAVUJ!AG82,4,1)</f>
        <v xml:space="preserve"> </v>
      </c>
      <c r="FH26" s="976"/>
      <c r="FI26" s="976"/>
      <c r="FJ26" s="976"/>
      <c r="FK26" s="976"/>
      <c r="FL26" s="982" t="str">
        <f>MID(SUVAHAVUJ!AG82,5,1)</f>
        <v xml:space="preserve"> </v>
      </c>
      <c r="FM26" s="982"/>
      <c r="FN26" s="982"/>
      <c r="FO26" s="982"/>
      <c r="FP26" s="982"/>
      <c r="FQ26" s="982"/>
      <c r="FR26" s="982" t="str">
        <f>MID(SUVAHAVUJ!AG82,6,1)</f>
        <v>2</v>
      </c>
      <c r="FS26" s="982"/>
      <c r="FT26" s="982"/>
      <c r="FU26" s="982"/>
      <c r="FV26" s="982"/>
      <c r="FW26" s="982" t="str">
        <f>MID(SUVAHAVUJ!AG82,7,1)</f>
        <v>6</v>
      </c>
      <c r="FX26" s="982"/>
      <c r="FY26" s="982"/>
      <c r="FZ26" s="982"/>
      <c r="GA26" s="982"/>
      <c r="GB26" s="982"/>
      <c r="GC26" s="982" t="str">
        <f>MID(SUVAHAVUJ!AG82,8,1)</f>
        <v>9</v>
      </c>
      <c r="GD26" s="982"/>
      <c r="GE26" s="982"/>
      <c r="GF26" s="982"/>
      <c r="GG26" s="982"/>
      <c r="GH26" s="982" t="str">
        <f>MID(SUVAHAVUJ!AG82,9,1)</f>
        <v>4</v>
      </c>
      <c r="GI26" s="982"/>
      <c r="GJ26" s="982"/>
      <c r="GK26" s="982"/>
      <c r="GL26" s="982"/>
      <c r="GM26" s="982"/>
      <c r="GN26" s="982" t="str">
        <f>MID(SUVAHAVUJ!AG82,10,1)</f>
        <v>0</v>
      </c>
      <c r="GO26" s="982"/>
      <c r="GP26" s="982"/>
      <c r="GQ26" s="982"/>
      <c r="GR26" s="982"/>
      <c r="GS26" s="978" t="str">
        <f>MID(SUVAHAVUJ!AG82,11,1)</f>
        <v>4</v>
      </c>
      <c r="GT26" s="978"/>
      <c r="GU26" s="978"/>
      <c r="GV26" s="978"/>
      <c r="GW26" s="978"/>
    </row>
    <row r="27" spans="2:205" s="650" customFormat="1" ht="21.6" customHeight="1" x14ac:dyDescent="0.2">
      <c r="B27" s="981" t="s">
        <v>2164</v>
      </c>
      <c r="C27" s="981"/>
      <c r="D27" s="981"/>
      <c r="E27" s="981"/>
      <c r="F27" s="981"/>
      <c r="G27" s="981"/>
      <c r="H27" s="981"/>
      <c r="I27" s="981"/>
      <c r="J27" s="981"/>
      <c r="K27" s="981"/>
      <c r="L27" s="1004" t="str">
        <f>SUVAHAVUJ!$D$83</f>
        <v>Základné imanie súčet (r. 82 až r. 84)</v>
      </c>
      <c r="M27" s="1004"/>
      <c r="N27" s="1004"/>
      <c r="O27" s="1004"/>
      <c r="P27" s="1004"/>
      <c r="Q27" s="1004"/>
      <c r="R27" s="1004"/>
      <c r="S27" s="1004"/>
      <c r="T27" s="1004"/>
      <c r="U27" s="1004"/>
      <c r="V27" s="1004"/>
      <c r="W27" s="1004"/>
      <c r="X27" s="1004"/>
      <c r="Y27" s="1004"/>
      <c r="Z27" s="1004"/>
      <c r="AA27" s="1004"/>
      <c r="AB27" s="1004"/>
      <c r="AC27" s="1004"/>
      <c r="AD27" s="1004"/>
      <c r="AE27" s="1004"/>
      <c r="AF27" s="1004"/>
      <c r="AG27" s="1004"/>
      <c r="AH27" s="1004"/>
      <c r="AI27" s="1004"/>
      <c r="AJ27" s="1004"/>
      <c r="AK27" s="1004"/>
      <c r="AL27" s="1004"/>
      <c r="AM27" s="1004"/>
      <c r="AN27" s="1004"/>
      <c r="AO27" s="1004"/>
      <c r="AP27" s="1004"/>
      <c r="AQ27" s="1004"/>
      <c r="AR27" s="1004"/>
      <c r="AS27" s="1004"/>
      <c r="AT27" s="1004"/>
      <c r="AU27" s="1004"/>
      <c r="AV27" s="1004"/>
      <c r="AW27" s="1004"/>
      <c r="AX27" s="1004"/>
      <c r="AY27" s="1004"/>
      <c r="AZ27" s="1004"/>
      <c r="BA27" s="1004"/>
      <c r="BB27" s="1004"/>
      <c r="BC27" s="1004"/>
      <c r="BD27" s="1004"/>
      <c r="BE27" s="1004"/>
      <c r="BF27" s="1004"/>
      <c r="BG27" s="1004"/>
      <c r="BH27" s="1004"/>
      <c r="BI27" s="1004"/>
      <c r="BJ27" s="1004"/>
      <c r="BK27" s="1004"/>
      <c r="BL27" s="1004"/>
      <c r="BM27" s="1004"/>
      <c r="BN27" s="1004"/>
      <c r="BO27" s="1004"/>
      <c r="BP27" s="1004"/>
      <c r="BQ27" s="1004"/>
      <c r="BR27" s="1004"/>
      <c r="BS27" s="1004"/>
      <c r="BT27" s="1004"/>
      <c r="BU27" s="1004"/>
      <c r="BV27" s="1004"/>
      <c r="BW27" s="975" t="s">
        <v>2226</v>
      </c>
      <c r="BX27" s="975"/>
      <c r="BY27" s="975"/>
      <c r="BZ27" s="975"/>
      <c r="CA27" s="975"/>
      <c r="CB27" s="975"/>
      <c r="CC27" s="975" t="e">
        <v>#NAME?</v>
      </c>
      <c r="CD27" s="975"/>
      <c r="CE27" s="976" t="str">
        <f>MID(SUVAHAVUJ!AF83,1,1)</f>
        <v xml:space="preserve"> </v>
      </c>
      <c r="CF27" s="976"/>
      <c r="CG27" s="976"/>
      <c r="CH27" s="976"/>
      <c r="CI27" s="976"/>
      <c r="CJ27" s="976" t="str">
        <f>MID(SUVAHAVUJ!AF83,2,1)</f>
        <v xml:space="preserve"> </v>
      </c>
      <c r="CK27" s="976"/>
      <c r="CL27" s="976"/>
      <c r="CM27" s="976"/>
      <c r="CN27" s="976"/>
      <c r="CO27" s="976"/>
      <c r="CP27" s="976" t="str">
        <f>MID(SUVAHAVUJ!AF83,3,1)</f>
        <v xml:space="preserve"> </v>
      </c>
      <c r="CQ27" s="976"/>
      <c r="CR27" s="976"/>
      <c r="CS27" s="976"/>
      <c r="CT27" s="976"/>
      <c r="CU27" s="976" t="str">
        <f>MID(SUVAHAVUJ!AF83,4,1)</f>
        <v xml:space="preserve"> </v>
      </c>
      <c r="CV27" s="976"/>
      <c r="CW27" s="976"/>
      <c r="CX27" s="976"/>
      <c r="CY27" s="976"/>
      <c r="CZ27" s="976"/>
      <c r="DA27" s="976" t="str">
        <f>MID(SUVAHAVUJ!AF83,5,1)</f>
        <v xml:space="preserve"> </v>
      </c>
      <c r="DB27" s="976"/>
      <c r="DC27" s="976"/>
      <c r="DD27" s="976"/>
      <c r="DE27" s="976"/>
      <c r="DF27" s="976" t="str">
        <f>MID(SUVAHAVUJ!AF83,6,1)</f>
        <v xml:space="preserve"> </v>
      </c>
      <c r="DG27" s="976"/>
      <c r="DH27" s="976"/>
      <c r="DI27" s="976"/>
      <c r="DJ27" s="976"/>
      <c r="DK27" s="976"/>
      <c r="DL27" s="976" t="str">
        <f>MID(SUVAHAVUJ!AF83,7,1)</f>
        <v>9</v>
      </c>
      <c r="DM27" s="976"/>
      <c r="DN27" s="976"/>
      <c r="DO27" s="976"/>
      <c r="DP27" s="976"/>
      <c r="DQ27" s="976"/>
      <c r="DR27" s="976" t="str">
        <f>MID(SUVAHAVUJ!AF83,8,1)</f>
        <v>2</v>
      </c>
      <c r="DS27" s="976"/>
      <c r="DT27" s="976"/>
      <c r="DU27" s="976"/>
      <c r="DV27" s="976"/>
      <c r="DW27" s="982" t="str">
        <f>MID(SUVAHAVUJ!AF83,9,1)</f>
        <v>6</v>
      </c>
      <c r="DX27" s="982"/>
      <c r="DY27" s="982"/>
      <c r="DZ27" s="982"/>
      <c r="EA27" s="982"/>
      <c r="EB27" s="982"/>
      <c r="EC27" s="982" t="str">
        <f>MID(SUVAHAVUJ!AF83,10,1)</f>
        <v>6</v>
      </c>
      <c r="ED27" s="982"/>
      <c r="EE27" s="982"/>
      <c r="EF27" s="982"/>
      <c r="EG27" s="982"/>
      <c r="EH27" s="977" t="str">
        <f>MID(SUVAHAVUJ!AF83,11,1)</f>
        <v>7</v>
      </c>
      <c r="EI27" s="977"/>
      <c r="EJ27" s="977"/>
      <c r="EK27" s="977"/>
      <c r="EL27" s="977"/>
      <c r="EM27" s="977"/>
      <c r="EN27" s="665"/>
      <c r="EO27" s="666"/>
      <c r="EP27" s="976" t="str">
        <f>MID(SUVAHAVUJ!AG83,1,1)</f>
        <v xml:space="preserve"> </v>
      </c>
      <c r="EQ27" s="976"/>
      <c r="ER27" s="976"/>
      <c r="ES27" s="976"/>
      <c r="ET27" s="976"/>
      <c r="EU27" s="976"/>
      <c r="EV27" s="976" t="str">
        <f>MID(SUVAHAVUJ!AG83,2,1)</f>
        <v xml:space="preserve"> </v>
      </c>
      <c r="EW27" s="976"/>
      <c r="EX27" s="976"/>
      <c r="EY27" s="976"/>
      <c r="EZ27" s="976"/>
      <c r="FA27" s="976" t="str">
        <f>MID(SUVAHAVUJ!AG83,3,1)</f>
        <v xml:space="preserve"> </v>
      </c>
      <c r="FB27" s="976"/>
      <c r="FC27" s="976"/>
      <c r="FD27" s="976"/>
      <c r="FE27" s="976"/>
      <c r="FF27" s="976"/>
      <c r="FG27" s="976" t="str">
        <f>MID(SUVAHAVUJ!AG83,4,1)</f>
        <v xml:space="preserve"> </v>
      </c>
      <c r="FH27" s="976"/>
      <c r="FI27" s="976"/>
      <c r="FJ27" s="976"/>
      <c r="FK27" s="976"/>
      <c r="FL27" s="982" t="str">
        <f>MID(SUVAHAVUJ!AG83,5,1)</f>
        <v xml:space="preserve"> </v>
      </c>
      <c r="FM27" s="982"/>
      <c r="FN27" s="982"/>
      <c r="FO27" s="982"/>
      <c r="FP27" s="982"/>
      <c r="FQ27" s="982"/>
      <c r="FR27" s="982" t="str">
        <f>MID(SUVAHAVUJ!AG83,6,1)</f>
        <v xml:space="preserve"> </v>
      </c>
      <c r="FS27" s="982"/>
      <c r="FT27" s="982"/>
      <c r="FU27" s="982"/>
      <c r="FV27" s="982"/>
      <c r="FW27" s="982" t="str">
        <f>MID(SUVAHAVUJ!AG83,7,1)</f>
        <v>9</v>
      </c>
      <c r="FX27" s="982"/>
      <c r="FY27" s="982"/>
      <c r="FZ27" s="982"/>
      <c r="GA27" s="982"/>
      <c r="GB27" s="982"/>
      <c r="GC27" s="982" t="str">
        <f>MID(SUVAHAVUJ!AG83,8,1)</f>
        <v>2</v>
      </c>
      <c r="GD27" s="982"/>
      <c r="GE27" s="982"/>
      <c r="GF27" s="982"/>
      <c r="GG27" s="982"/>
      <c r="GH27" s="982" t="str">
        <f>MID(SUVAHAVUJ!AG83,9,1)</f>
        <v>6</v>
      </c>
      <c r="GI27" s="982"/>
      <c r="GJ27" s="982"/>
      <c r="GK27" s="982"/>
      <c r="GL27" s="982"/>
      <c r="GM27" s="982"/>
      <c r="GN27" s="982" t="str">
        <f>MID(SUVAHAVUJ!AG83,10,1)</f>
        <v>6</v>
      </c>
      <c r="GO27" s="982"/>
      <c r="GP27" s="982"/>
      <c r="GQ27" s="982"/>
      <c r="GR27" s="982"/>
      <c r="GS27" s="978" t="str">
        <f>MID(SUVAHAVUJ!AG83,11,1)</f>
        <v>7</v>
      </c>
      <c r="GT27" s="978"/>
      <c r="GU27" s="978"/>
      <c r="GV27" s="978"/>
      <c r="GW27" s="978"/>
    </row>
    <row r="28" spans="2:205" ht="21.6" customHeight="1" x14ac:dyDescent="0.25">
      <c r="B28" s="989" t="s">
        <v>2165</v>
      </c>
      <c r="C28" s="989"/>
      <c r="D28" s="989"/>
      <c r="E28" s="989"/>
      <c r="F28" s="989"/>
      <c r="G28" s="989"/>
      <c r="H28" s="989"/>
      <c r="I28" s="989"/>
      <c r="J28" s="989"/>
      <c r="K28" s="989"/>
      <c r="L28" s="1005" t="str">
        <f>SUVAHAVUJ!$D$84</f>
        <v>Základné imanie (411 alebo +/- 491)</v>
      </c>
      <c r="M28" s="1005"/>
      <c r="N28" s="1005"/>
      <c r="O28" s="1005"/>
      <c r="P28" s="1005"/>
      <c r="Q28" s="1005"/>
      <c r="R28" s="1005"/>
      <c r="S28" s="1005"/>
      <c r="T28" s="1005"/>
      <c r="U28" s="1005"/>
      <c r="V28" s="1005"/>
      <c r="W28" s="1005"/>
      <c r="X28" s="1005"/>
      <c r="Y28" s="1005"/>
      <c r="Z28" s="1005"/>
      <c r="AA28" s="1005"/>
      <c r="AB28" s="1005"/>
      <c r="AC28" s="1005"/>
      <c r="AD28" s="1005"/>
      <c r="AE28" s="1005"/>
      <c r="AF28" s="1005"/>
      <c r="AG28" s="1005"/>
      <c r="AH28" s="1005"/>
      <c r="AI28" s="1005"/>
      <c r="AJ28" s="1005"/>
      <c r="AK28" s="1005"/>
      <c r="AL28" s="1005"/>
      <c r="AM28" s="1005"/>
      <c r="AN28" s="1005"/>
      <c r="AO28" s="1005"/>
      <c r="AP28" s="1005"/>
      <c r="AQ28" s="1005"/>
      <c r="AR28" s="1005"/>
      <c r="AS28" s="1005"/>
      <c r="AT28" s="1005"/>
      <c r="AU28" s="1005"/>
      <c r="AV28" s="1005"/>
      <c r="AW28" s="1005"/>
      <c r="AX28" s="1005"/>
      <c r="AY28" s="1005"/>
      <c r="AZ28" s="1005"/>
      <c r="BA28" s="1005"/>
      <c r="BB28" s="1005"/>
      <c r="BC28" s="1005"/>
      <c r="BD28" s="1005"/>
      <c r="BE28" s="1005"/>
      <c r="BF28" s="1005"/>
      <c r="BG28" s="1005"/>
      <c r="BH28" s="1005"/>
      <c r="BI28" s="1005"/>
      <c r="BJ28" s="1005"/>
      <c r="BK28" s="1005"/>
      <c r="BL28" s="1005"/>
      <c r="BM28" s="1005"/>
      <c r="BN28" s="1005"/>
      <c r="BO28" s="1005"/>
      <c r="BP28" s="1005"/>
      <c r="BQ28" s="1005"/>
      <c r="BR28" s="1005"/>
      <c r="BS28" s="1005"/>
      <c r="BT28" s="1005"/>
      <c r="BU28" s="1005"/>
      <c r="BV28" s="1005"/>
      <c r="BW28" s="975" t="s">
        <v>2227</v>
      </c>
      <c r="BX28" s="975"/>
      <c r="BY28" s="975"/>
      <c r="BZ28" s="975"/>
      <c r="CA28" s="975"/>
      <c r="CB28" s="975"/>
      <c r="CC28" s="975" t="e">
        <v>#NAME?</v>
      </c>
      <c r="CD28" s="975"/>
      <c r="CE28" s="976" t="str">
        <f>MID(SUVAHAVUJ!AF84,1,1)</f>
        <v xml:space="preserve"> </v>
      </c>
      <c r="CF28" s="976"/>
      <c r="CG28" s="976"/>
      <c r="CH28" s="976"/>
      <c r="CI28" s="976"/>
      <c r="CJ28" s="976" t="str">
        <f>MID(SUVAHAVUJ!AF84,2,1)</f>
        <v xml:space="preserve"> </v>
      </c>
      <c r="CK28" s="976"/>
      <c r="CL28" s="976"/>
      <c r="CM28" s="976"/>
      <c r="CN28" s="976"/>
      <c r="CO28" s="976"/>
      <c r="CP28" s="976" t="str">
        <f>MID(SUVAHAVUJ!AF84,3,1)</f>
        <v xml:space="preserve"> </v>
      </c>
      <c r="CQ28" s="976"/>
      <c r="CR28" s="976"/>
      <c r="CS28" s="976"/>
      <c r="CT28" s="976"/>
      <c r="CU28" s="976" t="str">
        <f>MID(SUVAHAVUJ!AF84,4,1)</f>
        <v xml:space="preserve"> </v>
      </c>
      <c r="CV28" s="976"/>
      <c r="CW28" s="976"/>
      <c r="CX28" s="976"/>
      <c r="CY28" s="976"/>
      <c r="CZ28" s="976"/>
      <c r="DA28" s="976" t="str">
        <f>MID(SUVAHAVUJ!AF84,5,1)</f>
        <v xml:space="preserve"> </v>
      </c>
      <c r="DB28" s="976"/>
      <c r="DC28" s="976"/>
      <c r="DD28" s="976"/>
      <c r="DE28" s="976"/>
      <c r="DF28" s="976" t="str">
        <f>MID(SUVAHAVUJ!AF84,6,1)</f>
        <v xml:space="preserve"> </v>
      </c>
      <c r="DG28" s="976"/>
      <c r="DH28" s="976"/>
      <c r="DI28" s="976"/>
      <c r="DJ28" s="976"/>
      <c r="DK28" s="976"/>
      <c r="DL28" s="976" t="str">
        <f>MID(SUVAHAVUJ!AF84,7,1)</f>
        <v>9</v>
      </c>
      <c r="DM28" s="976"/>
      <c r="DN28" s="976"/>
      <c r="DO28" s="976"/>
      <c r="DP28" s="976"/>
      <c r="DQ28" s="976"/>
      <c r="DR28" s="976" t="str">
        <f>MID(SUVAHAVUJ!AF84,8,1)</f>
        <v>2</v>
      </c>
      <c r="DS28" s="976"/>
      <c r="DT28" s="976"/>
      <c r="DU28" s="976"/>
      <c r="DV28" s="976"/>
      <c r="DW28" s="982" t="str">
        <f>MID(SUVAHAVUJ!AF84,9,1)</f>
        <v>6</v>
      </c>
      <c r="DX28" s="982"/>
      <c r="DY28" s="982"/>
      <c r="DZ28" s="982"/>
      <c r="EA28" s="982"/>
      <c r="EB28" s="982"/>
      <c r="EC28" s="982" t="str">
        <f>MID(SUVAHAVUJ!AF84,10,1)</f>
        <v>6</v>
      </c>
      <c r="ED28" s="982"/>
      <c r="EE28" s="982"/>
      <c r="EF28" s="982"/>
      <c r="EG28" s="982"/>
      <c r="EH28" s="977" t="str">
        <f>MID(SUVAHAVUJ!AF84,11,1)</f>
        <v>7</v>
      </c>
      <c r="EI28" s="977"/>
      <c r="EJ28" s="977"/>
      <c r="EK28" s="977"/>
      <c r="EL28" s="977"/>
      <c r="EM28" s="977"/>
      <c r="EN28" s="665"/>
      <c r="EO28" s="666"/>
      <c r="EP28" s="976" t="str">
        <f>MID(SUVAHAVUJ!AG84,1,1)</f>
        <v xml:space="preserve"> </v>
      </c>
      <c r="EQ28" s="976"/>
      <c r="ER28" s="976"/>
      <c r="ES28" s="976"/>
      <c r="ET28" s="976"/>
      <c r="EU28" s="976"/>
      <c r="EV28" s="976" t="str">
        <f>MID(SUVAHAVUJ!AG84,2,1)</f>
        <v xml:space="preserve"> </v>
      </c>
      <c r="EW28" s="976"/>
      <c r="EX28" s="976"/>
      <c r="EY28" s="976"/>
      <c r="EZ28" s="976"/>
      <c r="FA28" s="976" t="str">
        <f>MID(SUVAHAVUJ!AG84,3,1)</f>
        <v xml:space="preserve"> </v>
      </c>
      <c r="FB28" s="976"/>
      <c r="FC28" s="976"/>
      <c r="FD28" s="976"/>
      <c r="FE28" s="976"/>
      <c r="FF28" s="976"/>
      <c r="FG28" s="976" t="str">
        <f>MID(SUVAHAVUJ!AG84,4,1)</f>
        <v xml:space="preserve"> </v>
      </c>
      <c r="FH28" s="976"/>
      <c r="FI28" s="976"/>
      <c r="FJ28" s="976"/>
      <c r="FK28" s="976"/>
      <c r="FL28" s="982" t="str">
        <f>MID(SUVAHAVUJ!AG84,5,1)</f>
        <v xml:space="preserve"> </v>
      </c>
      <c r="FM28" s="982"/>
      <c r="FN28" s="982"/>
      <c r="FO28" s="982"/>
      <c r="FP28" s="982"/>
      <c r="FQ28" s="982"/>
      <c r="FR28" s="982" t="str">
        <f>MID(SUVAHAVUJ!AG84,6,1)</f>
        <v xml:space="preserve"> </v>
      </c>
      <c r="FS28" s="982"/>
      <c r="FT28" s="982"/>
      <c r="FU28" s="982"/>
      <c r="FV28" s="982"/>
      <c r="FW28" s="982" t="str">
        <f>MID(SUVAHAVUJ!AG84,7,1)</f>
        <v>9</v>
      </c>
      <c r="FX28" s="982"/>
      <c r="FY28" s="982"/>
      <c r="FZ28" s="982"/>
      <c r="GA28" s="982"/>
      <c r="GB28" s="982"/>
      <c r="GC28" s="982" t="str">
        <f>MID(SUVAHAVUJ!AG84,8,1)</f>
        <v>2</v>
      </c>
      <c r="GD28" s="982"/>
      <c r="GE28" s="982"/>
      <c r="GF28" s="982"/>
      <c r="GG28" s="982"/>
      <c r="GH28" s="982" t="str">
        <f>MID(SUVAHAVUJ!AG84,9,1)</f>
        <v>6</v>
      </c>
      <c r="GI28" s="982"/>
      <c r="GJ28" s="982"/>
      <c r="GK28" s="982"/>
      <c r="GL28" s="982"/>
      <c r="GM28" s="982"/>
      <c r="GN28" s="982" t="str">
        <f>MID(SUVAHAVUJ!AG84,10,1)</f>
        <v>6</v>
      </c>
      <c r="GO28" s="982"/>
      <c r="GP28" s="982"/>
      <c r="GQ28" s="982"/>
      <c r="GR28" s="982"/>
      <c r="GS28" s="978" t="str">
        <f>MID(SUVAHAVUJ!AG84,11,1)</f>
        <v>7</v>
      </c>
      <c r="GT28" s="978"/>
      <c r="GU28" s="978"/>
      <c r="GV28" s="978"/>
      <c r="GW28" s="978"/>
    </row>
    <row r="29" spans="2:205" s="650" customFormat="1" ht="21.6" customHeight="1" x14ac:dyDescent="0.2">
      <c r="B29" s="985" t="s">
        <v>2166</v>
      </c>
      <c r="C29" s="985"/>
      <c r="D29" s="985"/>
      <c r="E29" s="985"/>
      <c r="F29" s="985"/>
      <c r="G29" s="985"/>
      <c r="H29" s="985"/>
      <c r="I29" s="985"/>
      <c r="J29" s="985"/>
      <c r="K29" s="985"/>
      <c r="L29" s="1005" t="str">
        <f>SUVAHAVUJ!$D$85</f>
        <v>Zmena základného imania +/- 419</v>
      </c>
      <c r="M29" s="1005"/>
      <c r="N29" s="1005"/>
      <c r="O29" s="1005"/>
      <c r="P29" s="1005"/>
      <c r="Q29" s="1005"/>
      <c r="R29" s="1005"/>
      <c r="S29" s="1005"/>
      <c r="T29" s="1005"/>
      <c r="U29" s="1005"/>
      <c r="V29" s="1005"/>
      <c r="W29" s="1005"/>
      <c r="X29" s="1005"/>
      <c r="Y29" s="1005"/>
      <c r="Z29" s="1005"/>
      <c r="AA29" s="1005"/>
      <c r="AB29" s="1005"/>
      <c r="AC29" s="1005"/>
      <c r="AD29" s="1005"/>
      <c r="AE29" s="1005"/>
      <c r="AF29" s="1005"/>
      <c r="AG29" s="1005"/>
      <c r="AH29" s="1005"/>
      <c r="AI29" s="1005"/>
      <c r="AJ29" s="1005"/>
      <c r="AK29" s="1005"/>
      <c r="AL29" s="1005"/>
      <c r="AM29" s="1005"/>
      <c r="AN29" s="1005"/>
      <c r="AO29" s="1005"/>
      <c r="AP29" s="1005"/>
      <c r="AQ29" s="1005"/>
      <c r="AR29" s="1005"/>
      <c r="AS29" s="1005"/>
      <c r="AT29" s="1005"/>
      <c r="AU29" s="1005"/>
      <c r="AV29" s="1005"/>
      <c r="AW29" s="1005"/>
      <c r="AX29" s="1005"/>
      <c r="AY29" s="1005"/>
      <c r="AZ29" s="1005"/>
      <c r="BA29" s="1005"/>
      <c r="BB29" s="1005"/>
      <c r="BC29" s="1005"/>
      <c r="BD29" s="1005"/>
      <c r="BE29" s="1005"/>
      <c r="BF29" s="1005"/>
      <c r="BG29" s="1005"/>
      <c r="BH29" s="1005"/>
      <c r="BI29" s="1005"/>
      <c r="BJ29" s="1005"/>
      <c r="BK29" s="1005"/>
      <c r="BL29" s="1005"/>
      <c r="BM29" s="1005"/>
      <c r="BN29" s="1005"/>
      <c r="BO29" s="1005"/>
      <c r="BP29" s="1005"/>
      <c r="BQ29" s="1005"/>
      <c r="BR29" s="1005"/>
      <c r="BS29" s="1005"/>
      <c r="BT29" s="1005"/>
      <c r="BU29" s="1005"/>
      <c r="BV29" s="1005"/>
      <c r="BW29" s="975" t="s">
        <v>2228</v>
      </c>
      <c r="BX29" s="975"/>
      <c r="BY29" s="975"/>
      <c r="BZ29" s="975"/>
      <c r="CA29" s="975"/>
      <c r="CB29" s="975"/>
      <c r="CC29" s="975" t="e">
        <v>#NAME?</v>
      </c>
      <c r="CD29" s="975"/>
      <c r="CE29" s="976" t="str">
        <f>MID(SUVAHAVUJ!AF85,1,1)</f>
        <v xml:space="preserve"> </v>
      </c>
      <c r="CF29" s="976"/>
      <c r="CG29" s="976"/>
      <c r="CH29" s="976"/>
      <c r="CI29" s="976"/>
      <c r="CJ29" s="976" t="str">
        <f>MID(SUVAHAVUJ!AF85,2,1)</f>
        <v xml:space="preserve"> </v>
      </c>
      <c r="CK29" s="976"/>
      <c r="CL29" s="976"/>
      <c r="CM29" s="976"/>
      <c r="CN29" s="976"/>
      <c r="CO29" s="976"/>
      <c r="CP29" s="976" t="str">
        <f>MID(SUVAHAVUJ!AF85,3,1)</f>
        <v xml:space="preserve"> </v>
      </c>
      <c r="CQ29" s="976"/>
      <c r="CR29" s="976"/>
      <c r="CS29" s="976"/>
      <c r="CT29" s="976"/>
      <c r="CU29" s="976" t="str">
        <f>MID(SUVAHAVUJ!AF85,4,1)</f>
        <v xml:space="preserve"> </v>
      </c>
      <c r="CV29" s="976"/>
      <c r="CW29" s="976"/>
      <c r="CX29" s="976"/>
      <c r="CY29" s="976"/>
      <c r="CZ29" s="976"/>
      <c r="DA29" s="976" t="str">
        <f>MID(SUVAHAVUJ!AF85,5,1)</f>
        <v xml:space="preserve"> </v>
      </c>
      <c r="DB29" s="976"/>
      <c r="DC29" s="976"/>
      <c r="DD29" s="976"/>
      <c r="DE29" s="976"/>
      <c r="DF29" s="976" t="str">
        <f>MID(SUVAHAVUJ!AF85,6,1)</f>
        <v xml:space="preserve"> </v>
      </c>
      <c r="DG29" s="976"/>
      <c r="DH29" s="976"/>
      <c r="DI29" s="976"/>
      <c r="DJ29" s="976"/>
      <c r="DK29" s="976"/>
      <c r="DL29" s="976" t="str">
        <f>MID(SUVAHAVUJ!AF85,7,1)</f>
        <v xml:space="preserve"> </v>
      </c>
      <c r="DM29" s="976"/>
      <c r="DN29" s="976"/>
      <c r="DO29" s="976"/>
      <c r="DP29" s="976"/>
      <c r="DQ29" s="976"/>
      <c r="DR29" s="976" t="str">
        <f>MID(SUVAHAVUJ!AF85,8,1)</f>
        <v xml:space="preserve"> </v>
      </c>
      <c r="DS29" s="976"/>
      <c r="DT29" s="976"/>
      <c r="DU29" s="976"/>
      <c r="DV29" s="976"/>
      <c r="DW29" s="982" t="str">
        <f>MID(SUVAHAVUJ!AF85,9,1)</f>
        <v xml:space="preserve"> </v>
      </c>
      <c r="DX29" s="982"/>
      <c r="DY29" s="982"/>
      <c r="DZ29" s="982"/>
      <c r="EA29" s="982"/>
      <c r="EB29" s="982"/>
      <c r="EC29" s="982" t="str">
        <f>MID(SUVAHAVUJ!AF85,10,1)</f>
        <v xml:space="preserve"> </v>
      </c>
      <c r="ED29" s="982"/>
      <c r="EE29" s="982"/>
      <c r="EF29" s="982"/>
      <c r="EG29" s="982"/>
      <c r="EH29" s="977" t="str">
        <f>MID(SUVAHAVUJ!AF85,11,1)</f>
        <v>0</v>
      </c>
      <c r="EI29" s="977"/>
      <c r="EJ29" s="977"/>
      <c r="EK29" s="977"/>
      <c r="EL29" s="977"/>
      <c r="EM29" s="977"/>
      <c r="EN29" s="665"/>
      <c r="EO29" s="666"/>
      <c r="EP29" s="976" t="str">
        <f>MID(SUVAHAVUJ!AG85,1,1)</f>
        <v xml:space="preserve"> </v>
      </c>
      <c r="EQ29" s="976"/>
      <c r="ER29" s="976"/>
      <c r="ES29" s="976"/>
      <c r="ET29" s="976"/>
      <c r="EU29" s="976"/>
      <c r="EV29" s="976" t="str">
        <f>MID(SUVAHAVUJ!AG85,2,1)</f>
        <v xml:space="preserve"> </v>
      </c>
      <c r="EW29" s="976"/>
      <c r="EX29" s="976"/>
      <c r="EY29" s="976"/>
      <c r="EZ29" s="976"/>
      <c r="FA29" s="976" t="str">
        <f>MID(SUVAHAVUJ!AG85,3,1)</f>
        <v xml:space="preserve"> </v>
      </c>
      <c r="FB29" s="976"/>
      <c r="FC29" s="976"/>
      <c r="FD29" s="976"/>
      <c r="FE29" s="976"/>
      <c r="FF29" s="976"/>
      <c r="FG29" s="976" t="str">
        <f>MID(SUVAHAVUJ!AG85,4,1)</f>
        <v xml:space="preserve"> </v>
      </c>
      <c r="FH29" s="976"/>
      <c r="FI29" s="976"/>
      <c r="FJ29" s="976"/>
      <c r="FK29" s="976"/>
      <c r="FL29" s="982" t="str">
        <f>MID(SUVAHAVUJ!AG85,5,1)</f>
        <v xml:space="preserve"> </v>
      </c>
      <c r="FM29" s="982"/>
      <c r="FN29" s="982"/>
      <c r="FO29" s="982"/>
      <c r="FP29" s="982"/>
      <c r="FQ29" s="982"/>
      <c r="FR29" s="982" t="str">
        <f>MID(SUVAHAVUJ!AG85,6,1)</f>
        <v xml:space="preserve"> </v>
      </c>
      <c r="FS29" s="982"/>
      <c r="FT29" s="982"/>
      <c r="FU29" s="982"/>
      <c r="FV29" s="982"/>
      <c r="FW29" s="982" t="str">
        <f>MID(SUVAHAVUJ!AG85,7,1)</f>
        <v xml:space="preserve"> </v>
      </c>
      <c r="FX29" s="982"/>
      <c r="FY29" s="982"/>
      <c r="FZ29" s="982"/>
      <c r="GA29" s="982"/>
      <c r="GB29" s="982"/>
      <c r="GC29" s="982" t="str">
        <f>MID(SUVAHAVUJ!AG85,8,1)</f>
        <v xml:space="preserve"> </v>
      </c>
      <c r="GD29" s="982"/>
      <c r="GE29" s="982"/>
      <c r="GF29" s="982"/>
      <c r="GG29" s="982"/>
      <c r="GH29" s="982" t="str">
        <f>MID(SUVAHAVUJ!AG85,9,1)</f>
        <v xml:space="preserve"> </v>
      </c>
      <c r="GI29" s="982"/>
      <c r="GJ29" s="982"/>
      <c r="GK29" s="982"/>
      <c r="GL29" s="982"/>
      <c r="GM29" s="982"/>
      <c r="GN29" s="982" t="str">
        <f>MID(SUVAHAVUJ!AG85,10,1)</f>
        <v xml:space="preserve"> </v>
      </c>
      <c r="GO29" s="982"/>
      <c r="GP29" s="982"/>
      <c r="GQ29" s="982"/>
      <c r="GR29" s="982"/>
      <c r="GS29" s="978" t="str">
        <f>MID(SUVAHAVUJ!AG85,11,1)</f>
        <v>0</v>
      </c>
      <c r="GT29" s="978"/>
      <c r="GU29" s="978"/>
      <c r="GV29" s="978"/>
      <c r="GW29" s="978"/>
    </row>
    <row r="30" spans="2:205" ht="21.6" customHeight="1" x14ac:dyDescent="0.25">
      <c r="B30" s="985" t="s">
        <v>2167</v>
      </c>
      <c r="C30" s="985"/>
      <c r="D30" s="985"/>
      <c r="E30" s="985"/>
      <c r="F30" s="985"/>
      <c r="G30" s="985"/>
      <c r="H30" s="985"/>
      <c r="I30" s="985"/>
      <c r="J30" s="985"/>
      <c r="K30" s="985"/>
      <c r="L30" s="1005" t="str">
        <f>SUVAHAVUJ!$D$86</f>
        <v>Pohľadávky za upísané vlastné imanie (/-/353)</v>
      </c>
      <c r="M30" s="1005"/>
      <c r="N30" s="1005"/>
      <c r="O30" s="1005"/>
      <c r="P30" s="1005"/>
      <c r="Q30" s="1005"/>
      <c r="R30" s="1005"/>
      <c r="S30" s="1005"/>
      <c r="T30" s="1005"/>
      <c r="U30" s="1005"/>
      <c r="V30" s="1005"/>
      <c r="W30" s="1005"/>
      <c r="X30" s="1005"/>
      <c r="Y30" s="1005"/>
      <c r="Z30" s="1005"/>
      <c r="AA30" s="1005"/>
      <c r="AB30" s="1005"/>
      <c r="AC30" s="1005"/>
      <c r="AD30" s="1005"/>
      <c r="AE30" s="1005"/>
      <c r="AF30" s="1005"/>
      <c r="AG30" s="1005"/>
      <c r="AH30" s="1005"/>
      <c r="AI30" s="1005"/>
      <c r="AJ30" s="1005"/>
      <c r="AK30" s="1005"/>
      <c r="AL30" s="1005"/>
      <c r="AM30" s="1005"/>
      <c r="AN30" s="1005"/>
      <c r="AO30" s="1005"/>
      <c r="AP30" s="1005"/>
      <c r="AQ30" s="1005"/>
      <c r="AR30" s="1005"/>
      <c r="AS30" s="1005"/>
      <c r="AT30" s="1005"/>
      <c r="AU30" s="1005"/>
      <c r="AV30" s="1005"/>
      <c r="AW30" s="1005"/>
      <c r="AX30" s="1005"/>
      <c r="AY30" s="1005"/>
      <c r="AZ30" s="1005"/>
      <c r="BA30" s="1005"/>
      <c r="BB30" s="1005"/>
      <c r="BC30" s="1005"/>
      <c r="BD30" s="1005"/>
      <c r="BE30" s="1005"/>
      <c r="BF30" s="1005"/>
      <c r="BG30" s="1005"/>
      <c r="BH30" s="1005"/>
      <c r="BI30" s="1005"/>
      <c r="BJ30" s="1005"/>
      <c r="BK30" s="1005"/>
      <c r="BL30" s="1005"/>
      <c r="BM30" s="1005"/>
      <c r="BN30" s="1005"/>
      <c r="BO30" s="1005"/>
      <c r="BP30" s="1005"/>
      <c r="BQ30" s="1005"/>
      <c r="BR30" s="1005"/>
      <c r="BS30" s="1005"/>
      <c r="BT30" s="1005"/>
      <c r="BU30" s="1005"/>
      <c r="BV30" s="1005"/>
      <c r="BW30" s="975" t="s">
        <v>2229</v>
      </c>
      <c r="BX30" s="975"/>
      <c r="BY30" s="975"/>
      <c r="BZ30" s="975"/>
      <c r="CA30" s="975"/>
      <c r="CB30" s="975"/>
      <c r="CC30" s="975" t="e">
        <v>#NAME?</v>
      </c>
      <c r="CD30" s="975"/>
      <c r="CE30" s="976" t="str">
        <f>MID(SUVAHAVUJ!AF86,1,1)</f>
        <v xml:space="preserve"> </v>
      </c>
      <c r="CF30" s="976"/>
      <c r="CG30" s="976"/>
      <c r="CH30" s="976"/>
      <c r="CI30" s="976"/>
      <c r="CJ30" s="976" t="str">
        <f>MID(SUVAHAVUJ!AF86,2,1)</f>
        <v xml:space="preserve"> </v>
      </c>
      <c r="CK30" s="976"/>
      <c r="CL30" s="976"/>
      <c r="CM30" s="976"/>
      <c r="CN30" s="976"/>
      <c r="CO30" s="976"/>
      <c r="CP30" s="976" t="str">
        <f>MID(SUVAHAVUJ!AF86,3,1)</f>
        <v xml:space="preserve"> </v>
      </c>
      <c r="CQ30" s="976"/>
      <c r="CR30" s="976"/>
      <c r="CS30" s="976"/>
      <c r="CT30" s="976"/>
      <c r="CU30" s="976" t="str">
        <f>MID(SUVAHAVUJ!AF86,4,1)</f>
        <v xml:space="preserve"> </v>
      </c>
      <c r="CV30" s="976"/>
      <c r="CW30" s="976"/>
      <c r="CX30" s="976"/>
      <c r="CY30" s="976"/>
      <c r="CZ30" s="976"/>
      <c r="DA30" s="976" t="str">
        <f>MID(SUVAHAVUJ!AF86,5,1)</f>
        <v xml:space="preserve"> </v>
      </c>
      <c r="DB30" s="976"/>
      <c r="DC30" s="976"/>
      <c r="DD30" s="976"/>
      <c r="DE30" s="976"/>
      <c r="DF30" s="976" t="str">
        <f>MID(SUVAHAVUJ!AF86,6,1)</f>
        <v xml:space="preserve"> </v>
      </c>
      <c r="DG30" s="976"/>
      <c r="DH30" s="976"/>
      <c r="DI30" s="976"/>
      <c r="DJ30" s="976"/>
      <c r="DK30" s="976"/>
      <c r="DL30" s="976" t="str">
        <f>MID(SUVAHAVUJ!AF86,7,1)</f>
        <v xml:space="preserve"> </v>
      </c>
      <c r="DM30" s="976"/>
      <c r="DN30" s="976"/>
      <c r="DO30" s="976"/>
      <c r="DP30" s="976"/>
      <c r="DQ30" s="976"/>
      <c r="DR30" s="976" t="str">
        <f>MID(SUVAHAVUJ!AF86,8,1)</f>
        <v xml:space="preserve"> </v>
      </c>
      <c r="DS30" s="976"/>
      <c r="DT30" s="976"/>
      <c r="DU30" s="976"/>
      <c r="DV30" s="976"/>
      <c r="DW30" s="982" t="str">
        <f>MID(SUVAHAVUJ!AF86,9,1)</f>
        <v xml:space="preserve"> </v>
      </c>
      <c r="DX30" s="982"/>
      <c r="DY30" s="982"/>
      <c r="DZ30" s="982"/>
      <c r="EA30" s="982"/>
      <c r="EB30" s="982"/>
      <c r="EC30" s="982" t="str">
        <f>MID(SUVAHAVUJ!AF86,10,1)</f>
        <v xml:space="preserve"> </v>
      </c>
      <c r="ED30" s="982"/>
      <c r="EE30" s="982"/>
      <c r="EF30" s="982"/>
      <c r="EG30" s="982"/>
      <c r="EH30" s="977" t="str">
        <f>MID(SUVAHAVUJ!AF86,11,1)</f>
        <v>0</v>
      </c>
      <c r="EI30" s="977"/>
      <c r="EJ30" s="977"/>
      <c r="EK30" s="977"/>
      <c r="EL30" s="977"/>
      <c r="EM30" s="977"/>
      <c r="EN30" s="665"/>
      <c r="EO30" s="666"/>
      <c r="EP30" s="976" t="str">
        <f>MID(SUVAHAVUJ!AG86,1,1)</f>
        <v xml:space="preserve"> </v>
      </c>
      <c r="EQ30" s="976"/>
      <c r="ER30" s="976"/>
      <c r="ES30" s="976"/>
      <c r="ET30" s="976"/>
      <c r="EU30" s="976"/>
      <c r="EV30" s="976" t="str">
        <f>MID(SUVAHAVUJ!AG86,2,1)</f>
        <v xml:space="preserve"> </v>
      </c>
      <c r="EW30" s="976"/>
      <c r="EX30" s="976"/>
      <c r="EY30" s="976"/>
      <c r="EZ30" s="976"/>
      <c r="FA30" s="976" t="str">
        <f>MID(SUVAHAVUJ!AG86,3,1)</f>
        <v xml:space="preserve"> </v>
      </c>
      <c r="FB30" s="976"/>
      <c r="FC30" s="976"/>
      <c r="FD30" s="976"/>
      <c r="FE30" s="976"/>
      <c r="FF30" s="976"/>
      <c r="FG30" s="976" t="str">
        <f>MID(SUVAHAVUJ!AG86,4,1)</f>
        <v xml:space="preserve"> </v>
      </c>
      <c r="FH30" s="976"/>
      <c r="FI30" s="976"/>
      <c r="FJ30" s="976"/>
      <c r="FK30" s="976"/>
      <c r="FL30" s="982" t="str">
        <f>MID(SUVAHAVUJ!AG86,5,1)</f>
        <v xml:space="preserve"> </v>
      </c>
      <c r="FM30" s="982"/>
      <c r="FN30" s="982"/>
      <c r="FO30" s="982"/>
      <c r="FP30" s="982"/>
      <c r="FQ30" s="982"/>
      <c r="FR30" s="982" t="str">
        <f>MID(SUVAHAVUJ!AG86,6,1)</f>
        <v xml:space="preserve"> </v>
      </c>
      <c r="FS30" s="982"/>
      <c r="FT30" s="982"/>
      <c r="FU30" s="982"/>
      <c r="FV30" s="982"/>
      <c r="FW30" s="982" t="str">
        <f>MID(SUVAHAVUJ!AG86,7,1)</f>
        <v xml:space="preserve"> </v>
      </c>
      <c r="FX30" s="982"/>
      <c r="FY30" s="982"/>
      <c r="FZ30" s="982"/>
      <c r="GA30" s="982"/>
      <c r="GB30" s="982"/>
      <c r="GC30" s="982" t="str">
        <f>MID(SUVAHAVUJ!AG86,8,1)</f>
        <v xml:space="preserve"> </v>
      </c>
      <c r="GD30" s="982"/>
      <c r="GE30" s="982"/>
      <c r="GF30" s="982"/>
      <c r="GG30" s="982"/>
      <c r="GH30" s="982" t="str">
        <f>MID(SUVAHAVUJ!AG86,9,1)</f>
        <v xml:space="preserve"> </v>
      </c>
      <c r="GI30" s="982"/>
      <c r="GJ30" s="982"/>
      <c r="GK30" s="982"/>
      <c r="GL30" s="982"/>
      <c r="GM30" s="982"/>
      <c r="GN30" s="982" t="str">
        <f>MID(SUVAHAVUJ!AG86,10,1)</f>
        <v xml:space="preserve"> </v>
      </c>
      <c r="GO30" s="982"/>
      <c r="GP30" s="982"/>
      <c r="GQ30" s="982"/>
      <c r="GR30" s="982"/>
      <c r="GS30" s="978" t="str">
        <f>MID(SUVAHAVUJ!AG86,11,1)</f>
        <v>0</v>
      </c>
      <c r="GT30" s="978"/>
      <c r="GU30" s="978"/>
      <c r="GV30" s="978"/>
      <c r="GW30" s="978"/>
    </row>
    <row r="31" spans="2:205" s="650" customFormat="1" ht="21.6" customHeight="1" x14ac:dyDescent="0.2">
      <c r="B31" s="981" t="s">
        <v>2173</v>
      </c>
      <c r="C31" s="981"/>
      <c r="D31" s="981"/>
      <c r="E31" s="981"/>
      <c r="F31" s="981"/>
      <c r="G31" s="981"/>
      <c r="H31" s="981"/>
      <c r="I31" s="981"/>
      <c r="J31" s="981"/>
      <c r="K31" s="981"/>
      <c r="L31" s="1004" t="str">
        <f>SUVAHAVUJ!$D$87</f>
        <v>Emisné ážio (412)</v>
      </c>
      <c r="M31" s="1004"/>
      <c r="N31" s="1004"/>
      <c r="O31" s="1004"/>
      <c r="P31" s="1004"/>
      <c r="Q31" s="1004"/>
      <c r="R31" s="1004"/>
      <c r="S31" s="1004"/>
      <c r="T31" s="1004"/>
      <c r="U31" s="1004"/>
      <c r="V31" s="1004"/>
      <c r="W31" s="1004"/>
      <c r="X31" s="1004"/>
      <c r="Y31" s="1004"/>
      <c r="Z31" s="1004"/>
      <c r="AA31" s="1004"/>
      <c r="AB31" s="1004"/>
      <c r="AC31" s="1004"/>
      <c r="AD31" s="1004"/>
      <c r="AE31" s="1004"/>
      <c r="AF31" s="1004"/>
      <c r="AG31" s="1004"/>
      <c r="AH31" s="1004"/>
      <c r="AI31" s="1004"/>
      <c r="AJ31" s="1004"/>
      <c r="AK31" s="1004"/>
      <c r="AL31" s="1004"/>
      <c r="AM31" s="1004"/>
      <c r="AN31" s="1004"/>
      <c r="AO31" s="1004"/>
      <c r="AP31" s="1004"/>
      <c r="AQ31" s="1004"/>
      <c r="AR31" s="1004"/>
      <c r="AS31" s="1004"/>
      <c r="AT31" s="1004"/>
      <c r="AU31" s="1004"/>
      <c r="AV31" s="1004"/>
      <c r="AW31" s="1004"/>
      <c r="AX31" s="1004"/>
      <c r="AY31" s="1004"/>
      <c r="AZ31" s="1004"/>
      <c r="BA31" s="1004"/>
      <c r="BB31" s="1004"/>
      <c r="BC31" s="1004"/>
      <c r="BD31" s="1004"/>
      <c r="BE31" s="1004"/>
      <c r="BF31" s="1004"/>
      <c r="BG31" s="1004"/>
      <c r="BH31" s="1004"/>
      <c r="BI31" s="1004"/>
      <c r="BJ31" s="1004"/>
      <c r="BK31" s="1004"/>
      <c r="BL31" s="1004"/>
      <c r="BM31" s="1004"/>
      <c r="BN31" s="1004"/>
      <c r="BO31" s="1004"/>
      <c r="BP31" s="1004"/>
      <c r="BQ31" s="1004"/>
      <c r="BR31" s="1004"/>
      <c r="BS31" s="1004"/>
      <c r="BT31" s="1004"/>
      <c r="BU31" s="1004"/>
      <c r="BV31" s="1004"/>
      <c r="BW31" s="975" t="s">
        <v>2230</v>
      </c>
      <c r="BX31" s="975"/>
      <c r="BY31" s="975"/>
      <c r="BZ31" s="975"/>
      <c r="CA31" s="975"/>
      <c r="CB31" s="975"/>
      <c r="CC31" s="975" t="e">
        <v>#NAME?</v>
      </c>
      <c r="CD31" s="975"/>
      <c r="CE31" s="976" t="str">
        <f>MID(SUVAHAVUJ!AF87,1,1)</f>
        <v xml:space="preserve"> </v>
      </c>
      <c r="CF31" s="976"/>
      <c r="CG31" s="976"/>
      <c r="CH31" s="976"/>
      <c r="CI31" s="976"/>
      <c r="CJ31" s="976" t="str">
        <f>MID(SUVAHAVUJ!AF87,2,1)</f>
        <v xml:space="preserve"> </v>
      </c>
      <c r="CK31" s="976"/>
      <c r="CL31" s="976"/>
      <c r="CM31" s="976"/>
      <c r="CN31" s="976"/>
      <c r="CO31" s="976"/>
      <c r="CP31" s="976" t="str">
        <f>MID(SUVAHAVUJ!AF87,3,1)</f>
        <v xml:space="preserve"> </v>
      </c>
      <c r="CQ31" s="976"/>
      <c r="CR31" s="976"/>
      <c r="CS31" s="976"/>
      <c r="CT31" s="976"/>
      <c r="CU31" s="976" t="str">
        <f>MID(SUVAHAVUJ!AF87,4,1)</f>
        <v xml:space="preserve"> </v>
      </c>
      <c r="CV31" s="976"/>
      <c r="CW31" s="976"/>
      <c r="CX31" s="976"/>
      <c r="CY31" s="976"/>
      <c r="CZ31" s="976"/>
      <c r="DA31" s="976" t="str">
        <f>MID(SUVAHAVUJ!AF87,5,1)</f>
        <v xml:space="preserve"> </v>
      </c>
      <c r="DB31" s="976"/>
      <c r="DC31" s="976"/>
      <c r="DD31" s="976"/>
      <c r="DE31" s="976"/>
      <c r="DF31" s="976" t="str">
        <f>MID(SUVAHAVUJ!AF87,6,1)</f>
        <v xml:space="preserve"> </v>
      </c>
      <c r="DG31" s="976"/>
      <c r="DH31" s="976"/>
      <c r="DI31" s="976"/>
      <c r="DJ31" s="976"/>
      <c r="DK31" s="976"/>
      <c r="DL31" s="976" t="str">
        <f>MID(SUVAHAVUJ!AF87,7,1)</f>
        <v xml:space="preserve"> </v>
      </c>
      <c r="DM31" s="976"/>
      <c r="DN31" s="976"/>
      <c r="DO31" s="976"/>
      <c r="DP31" s="976"/>
      <c r="DQ31" s="976"/>
      <c r="DR31" s="976" t="str">
        <f>MID(SUVAHAVUJ!AF87,8,1)</f>
        <v xml:space="preserve"> </v>
      </c>
      <c r="DS31" s="976"/>
      <c r="DT31" s="976"/>
      <c r="DU31" s="976"/>
      <c r="DV31" s="976"/>
      <c r="DW31" s="982" t="str">
        <f>MID(SUVAHAVUJ!AF87,9,1)</f>
        <v xml:space="preserve"> </v>
      </c>
      <c r="DX31" s="982"/>
      <c r="DY31" s="982"/>
      <c r="DZ31" s="982"/>
      <c r="EA31" s="982"/>
      <c r="EB31" s="982"/>
      <c r="EC31" s="982" t="str">
        <f>MID(SUVAHAVUJ!AF87,10,1)</f>
        <v xml:space="preserve"> </v>
      </c>
      <c r="ED31" s="982"/>
      <c r="EE31" s="982"/>
      <c r="EF31" s="982"/>
      <c r="EG31" s="982"/>
      <c r="EH31" s="977" t="str">
        <f>MID(SUVAHAVUJ!AF87,11,1)</f>
        <v>0</v>
      </c>
      <c r="EI31" s="977"/>
      <c r="EJ31" s="977"/>
      <c r="EK31" s="977"/>
      <c r="EL31" s="977"/>
      <c r="EM31" s="977"/>
      <c r="EN31" s="665"/>
      <c r="EO31" s="666"/>
      <c r="EP31" s="976" t="str">
        <f>MID(SUVAHAVUJ!AG87,1,1)</f>
        <v xml:space="preserve"> </v>
      </c>
      <c r="EQ31" s="976"/>
      <c r="ER31" s="976"/>
      <c r="ES31" s="976"/>
      <c r="ET31" s="976"/>
      <c r="EU31" s="976"/>
      <c r="EV31" s="976" t="str">
        <f>MID(SUVAHAVUJ!AG87,2,1)</f>
        <v xml:space="preserve"> </v>
      </c>
      <c r="EW31" s="976"/>
      <c r="EX31" s="976"/>
      <c r="EY31" s="976"/>
      <c r="EZ31" s="976"/>
      <c r="FA31" s="976" t="str">
        <f>MID(SUVAHAVUJ!AG87,3,1)</f>
        <v xml:space="preserve"> </v>
      </c>
      <c r="FB31" s="976"/>
      <c r="FC31" s="976"/>
      <c r="FD31" s="976"/>
      <c r="FE31" s="976"/>
      <c r="FF31" s="976"/>
      <c r="FG31" s="976" t="str">
        <f>MID(SUVAHAVUJ!AG87,4,1)</f>
        <v xml:space="preserve"> </v>
      </c>
      <c r="FH31" s="976"/>
      <c r="FI31" s="976"/>
      <c r="FJ31" s="976"/>
      <c r="FK31" s="976"/>
      <c r="FL31" s="982" t="str">
        <f>MID(SUVAHAVUJ!AG87,5,1)</f>
        <v xml:space="preserve"> </v>
      </c>
      <c r="FM31" s="982"/>
      <c r="FN31" s="982"/>
      <c r="FO31" s="982"/>
      <c r="FP31" s="982"/>
      <c r="FQ31" s="982"/>
      <c r="FR31" s="982" t="str">
        <f>MID(SUVAHAVUJ!AG87,6,1)</f>
        <v xml:space="preserve"> </v>
      </c>
      <c r="FS31" s="982"/>
      <c r="FT31" s="982"/>
      <c r="FU31" s="982"/>
      <c r="FV31" s="982"/>
      <c r="FW31" s="982" t="str">
        <f>MID(SUVAHAVUJ!AG87,7,1)</f>
        <v xml:space="preserve"> </v>
      </c>
      <c r="FX31" s="982"/>
      <c r="FY31" s="982"/>
      <c r="FZ31" s="982"/>
      <c r="GA31" s="982"/>
      <c r="GB31" s="982"/>
      <c r="GC31" s="982" t="str">
        <f>MID(SUVAHAVUJ!AG87,8,1)</f>
        <v xml:space="preserve"> </v>
      </c>
      <c r="GD31" s="982"/>
      <c r="GE31" s="982"/>
      <c r="GF31" s="982"/>
      <c r="GG31" s="982"/>
      <c r="GH31" s="982" t="str">
        <f>MID(SUVAHAVUJ!AG87,9,1)</f>
        <v xml:space="preserve"> </v>
      </c>
      <c r="GI31" s="982"/>
      <c r="GJ31" s="982"/>
      <c r="GK31" s="982"/>
      <c r="GL31" s="982"/>
      <c r="GM31" s="982"/>
      <c r="GN31" s="982" t="str">
        <f>MID(SUVAHAVUJ!AG87,10,1)</f>
        <v xml:space="preserve"> </v>
      </c>
      <c r="GO31" s="982"/>
      <c r="GP31" s="982"/>
      <c r="GQ31" s="982"/>
      <c r="GR31" s="982"/>
      <c r="GS31" s="978" t="str">
        <f>MID(SUVAHAVUJ!AG87,11,1)</f>
        <v>0</v>
      </c>
      <c r="GT31" s="978"/>
      <c r="GU31" s="978"/>
      <c r="GV31" s="978"/>
      <c r="GW31" s="978"/>
    </row>
    <row r="32" spans="2:205" ht="21.6" customHeight="1" x14ac:dyDescent="0.25">
      <c r="B32" s="981" t="s">
        <v>2180</v>
      </c>
      <c r="C32" s="981"/>
      <c r="D32" s="981"/>
      <c r="E32" s="981"/>
      <c r="F32" s="981"/>
      <c r="G32" s="981"/>
      <c r="H32" s="981"/>
      <c r="I32" s="981"/>
      <c r="J32" s="981"/>
      <c r="K32" s="981"/>
      <c r="L32" s="1004" t="str">
        <f>SUVAHAVUJ!$D$88</f>
        <v>Ostatné kapitálové fondy (413)</v>
      </c>
      <c r="M32" s="1004"/>
      <c r="N32" s="1004"/>
      <c r="O32" s="1004"/>
      <c r="P32" s="1004"/>
      <c r="Q32" s="1004"/>
      <c r="R32" s="1004"/>
      <c r="S32" s="1004"/>
      <c r="T32" s="1004"/>
      <c r="U32" s="1004"/>
      <c r="V32" s="1004"/>
      <c r="W32" s="1004"/>
      <c r="X32" s="1004"/>
      <c r="Y32" s="1004"/>
      <c r="Z32" s="1004"/>
      <c r="AA32" s="1004"/>
      <c r="AB32" s="1004"/>
      <c r="AC32" s="1004"/>
      <c r="AD32" s="1004"/>
      <c r="AE32" s="1004"/>
      <c r="AF32" s="1004"/>
      <c r="AG32" s="1004"/>
      <c r="AH32" s="1004"/>
      <c r="AI32" s="1004"/>
      <c r="AJ32" s="1004"/>
      <c r="AK32" s="1004"/>
      <c r="AL32" s="1004"/>
      <c r="AM32" s="1004"/>
      <c r="AN32" s="1004"/>
      <c r="AO32" s="1004"/>
      <c r="AP32" s="1004"/>
      <c r="AQ32" s="1004"/>
      <c r="AR32" s="1004"/>
      <c r="AS32" s="1004"/>
      <c r="AT32" s="1004"/>
      <c r="AU32" s="1004"/>
      <c r="AV32" s="1004"/>
      <c r="AW32" s="1004"/>
      <c r="AX32" s="1004"/>
      <c r="AY32" s="1004"/>
      <c r="AZ32" s="1004"/>
      <c r="BA32" s="1004"/>
      <c r="BB32" s="1004"/>
      <c r="BC32" s="1004"/>
      <c r="BD32" s="1004"/>
      <c r="BE32" s="1004"/>
      <c r="BF32" s="1004"/>
      <c r="BG32" s="1004"/>
      <c r="BH32" s="1004"/>
      <c r="BI32" s="1004"/>
      <c r="BJ32" s="1004"/>
      <c r="BK32" s="1004"/>
      <c r="BL32" s="1004"/>
      <c r="BM32" s="1004"/>
      <c r="BN32" s="1004"/>
      <c r="BO32" s="1004"/>
      <c r="BP32" s="1004"/>
      <c r="BQ32" s="1004"/>
      <c r="BR32" s="1004"/>
      <c r="BS32" s="1004"/>
      <c r="BT32" s="1004"/>
      <c r="BU32" s="1004"/>
      <c r="BV32" s="1004"/>
      <c r="BW32" s="975" t="s">
        <v>2232</v>
      </c>
      <c r="BX32" s="975"/>
      <c r="BY32" s="975"/>
      <c r="BZ32" s="975"/>
      <c r="CA32" s="975"/>
      <c r="CB32" s="975"/>
      <c r="CC32" s="975" t="e">
        <v>#NAME?</v>
      </c>
      <c r="CD32" s="975"/>
      <c r="CE32" s="976" t="str">
        <f>MID(SUVAHAVUJ!AF88,1,1)</f>
        <v xml:space="preserve"> </v>
      </c>
      <c r="CF32" s="976"/>
      <c r="CG32" s="976"/>
      <c r="CH32" s="976"/>
      <c r="CI32" s="976"/>
      <c r="CJ32" s="976" t="str">
        <f>MID(SUVAHAVUJ!AF88,2,1)</f>
        <v xml:space="preserve"> </v>
      </c>
      <c r="CK32" s="976"/>
      <c r="CL32" s="976"/>
      <c r="CM32" s="976"/>
      <c r="CN32" s="976"/>
      <c r="CO32" s="976"/>
      <c r="CP32" s="976" t="str">
        <f>MID(SUVAHAVUJ!AF88,3,1)</f>
        <v xml:space="preserve"> </v>
      </c>
      <c r="CQ32" s="976"/>
      <c r="CR32" s="976"/>
      <c r="CS32" s="976"/>
      <c r="CT32" s="976"/>
      <c r="CU32" s="976" t="str">
        <f>MID(SUVAHAVUJ!AF88,4,1)</f>
        <v xml:space="preserve"> </v>
      </c>
      <c r="CV32" s="976"/>
      <c r="CW32" s="976"/>
      <c r="CX32" s="976"/>
      <c r="CY32" s="976"/>
      <c r="CZ32" s="976"/>
      <c r="DA32" s="976" t="str">
        <f>MID(SUVAHAVUJ!AF88,5,1)</f>
        <v xml:space="preserve"> </v>
      </c>
      <c r="DB32" s="976"/>
      <c r="DC32" s="976"/>
      <c r="DD32" s="976"/>
      <c r="DE32" s="976"/>
      <c r="DF32" s="976" t="str">
        <f>MID(SUVAHAVUJ!AF88,6,1)</f>
        <v>1</v>
      </c>
      <c r="DG32" s="976"/>
      <c r="DH32" s="976"/>
      <c r="DI32" s="976"/>
      <c r="DJ32" s="976"/>
      <c r="DK32" s="976"/>
      <c r="DL32" s="976" t="str">
        <f>MID(SUVAHAVUJ!AF88,7,1)</f>
        <v>0</v>
      </c>
      <c r="DM32" s="976"/>
      <c r="DN32" s="976"/>
      <c r="DO32" s="976"/>
      <c r="DP32" s="976"/>
      <c r="DQ32" s="976"/>
      <c r="DR32" s="976" t="str">
        <f>MID(SUVAHAVUJ!AF88,8,1)</f>
        <v>0</v>
      </c>
      <c r="DS32" s="976"/>
      <c r="DT32" s="976"/>
      <c r="DU32" s="976"/>
      <c r="DV32" s="976"/>
      <c r="DW32" s="982" t="str">
        <f>MID(SUVAHAVUJ!AF88,9,1)</f>
        <v>0</v>
      </c>
      <c r="DX32" s="982"/>
      <c r="DY32" s="982"/>
      <c r="DZ32" s="982"/>
      <c r="EA32" s="982"/>
      <c r="EB32" s="982"/>
      <c r="EC32" s="982" t="str">
        <f>MID(SUVAHAVUJ!AF88,10,1)</f>
        <v>1</v>
      </c>
      <c r="ED32" s="982"/>
      <c r="EE32" s="982"/>
      <c r="EF32" s="982"/>
      <c r="EG32" s="982"/>
      <c r="EH32" s="977" t="str">
        <f>MID(SUVAHAVUJ!AF88,11,1)</f>
        <v>0</v>
      </c>
      <c r="EI32" s="977"/>
      <c r="EJ32" s="977"/>
      <c r="EK32" s="977"/>
      <c r="EL32" s="977"/>
      <c r="EM32" s="977"/>
      <c r="EN32" s="665"/>
      <c r="EO32" s="666"/>
      <c r="EP32" s="976" t="str">
        <f>MID(SUVAHAVUJ!AG88,1,1)</f>
        <v xml:space="preserve"> </v>
      </c>
      <c r="EQ32" s="976"/>
      <c r="ER32" s="976"/>
      <c r="ES32" s="976"/>
      <c r="ET32" s="976"/>
      <c r="EU32" s="976"/>
      <c r="EV32" s="976" t="str">
        <f>MID(SUVAHAVUJ!AG88,2,1)</f>
        <v xml:space="preserve"> </v>
      </c>
      <c r="EW32" s="976"/>
      <c r="EX32" s="976"/>
      <c r="EY32" s="976"/>
      <c r="EZ32" s="976"/>
      <c r="FA32" s="976" t="str">
        <f>MID(SUVAHAVUJ!AG88,3,1)</f>
        <v xml:space="preserve"> </v>
      </c>
      <c r="FB32" s="976"/>
      <c r="FC32" s="976"/>
      <c r="FD32" s="976"/>
      <c r="FE32" s="976"/>
      <c r="FF32" s="976"/>
      <c r="FG32" s="976" t="str">
        <f>MID(SUVAHAVUJ!AG88,4,1)</f>
        <v xml:space="preserve"> </v>
      </c>
      <c r="FH32" s="976"/>
      <c r="FI32" s="976"/>
      <c r="FJ32" s="976"/>
      <c r="FK32" s="976"/>
      <c r="FL32" s="982" t="str">
        <f>MID(SUVAHAVUJ!AG88,5,1)</f>
        <v xml:space="preserve"> </v>
      </c>
      <c r="FM32" s="982"/>
      <c r="FN32" s="982"/>
      <c r="FO32" s="982"/>
      <c r="FP32" s="982"/>
      <c r="FQ32" s="982"/>
      <c r="FR32" s="982" t="str">
        <f>MID(SUVAHAVUJ!AG88,6,1)</f>
        <v>1</v>
      </c>
      <c r="FS32" s="982"/>
      <c r="FT32" s="982"/>
      <c r="FU32" s="982"/>
      <c r="FV32" s="982"/>
      <c r="FW32" s="982" t="str">
        <f>MID(SUVAHAVUJ!AG88,7,1)</f>
        <v>0</v>
      </c>
      <c r="FX32" s="982"/>
      <c r="FY32" s="982"/>
      <c r="FZ32" s="982"/>
      <c r="GA32" s="982"/>
      <c r="GB32" s="982"/>
      <c r="GC32" s="982" t="str">
        <f>MID(SUVAHAVUJ!AG88,8,1)</f>
        <v>0</v>
      </c>
      <c r="GD32" s="982"/>
      <c r="GE32" s="982"/>
      <c r="GF32" s="982"/>
      <c r="GG32" s="982"/>
      <c r="GH32" s="982" t="str">
        <f>MID(SUVAHAVUJ!AG88,9,1)</f>
        <v>0</v>
      </c>
      <c r="GI32" s="982"/>
      <c r="GJ32" s="982"/>
      <c r="GK32" s="982"/>
      <c r="GL32" s="982"/>
      <c r="GM32" s="982"/>
      <c r="GN32" s="982" t="str">
        <f>MID(SUVAHAVUJ!AG88,10,1)</f>
        <v>1</v>
      </c>
      <c r="GO32" s="982"/>
      <c r="GP32" s="982"/>
      <c r="GQ32" s="982"/>
      <c r="GR32" s="982"/>
      <c r="GS32" s="978" t="str">
        <f>MID(SUVAHAVUJ!AG88,11,1)</f>
        <v>0</v>
      </c>
      <c r="GT32" s="978"/>
      <c r="GU32" s="978"/>
      <c r="GV32" s="978"/>
      <c r="GW32" s="978"/>
    </row>
    <row r="33" spans="1:205" s="650" customFormat="1" ht="21.6" customHeight="1" x14ac:dyDescent="0.2">
      <c r="B33" s="981" t="s">
        <v>2233</v>
      </c>
      <c r="C33" s="981"/>
      <c r="D33" s="981"/>
      <c r="E33" s="981"/>
      <c r="F33" s="981"/>
      <c r="G33" s="981"/>
      <c r="H33" s="981"/>
      <c r="I33" s="981"/>
      <c r="J33" s="981"/>
      <c r="K33" s="981"/>
      <c r="L33" s="1004" t="str">
        <f>SUVAHAVUJ!$D$89</f>
        <v>Zákonné rezervné fondy r. 88 + r. 89</v>
      </c>
      <c r="M33" s="1004"/>
      <c r="N33" s="1004"/>
      <c r="O33" s="1004"/>
      <c r="P33" s="1004"/>
      <c r="Q33" s="1004"/>
      <c r="R33" s="1004"/>
      <c r="S33" s="1004"/>
      <c r="T33" s="1004"/>
      <c r="U33" s="1004"/>
      <c r="V33" s="1004"/>
      <c r="W33" s="1004"/>
      <c r="X33" s="1004"/>
      <c r="Y33" s="1004"/>
      <c r="Z33" s="1004"/>
      <c r="AA33" s="1004"/>
      <c r="AB33" s="1004"/>
      <c r="AC33" s="1004"/>
      <c r="AD33" s="1004"/>
      <c r="AE33" s="1004"/>
      <c r="AF33" s="1004"/>
      <c r="AG33" s="1004"/>
      <c r="AH33" s="1004"/>
      <c r="AI33" s="1004"/>
      <c r="AJ33" s="1004"/>
      <c r="AK33" s="1004"/>
      <c r="AL33" s="1004"/>
      <c r="AM33" s="1004"/>
      <c r="AN33" s="1004"/>
      <c r="AO33" s="1004"/>
      <c r="AP33" s="1004"/>
      <c r="AQ33" s="1004"/>
      <c r="AR33" s="1004"/>
      <c r="AS33" s="1004"/>
      <c r="AT33" s="1004"/>
      <c r="AU33" s="1004"/>
      <c r="AV33" s="1004"/>
      <c r="AW33" s="1004"/>
      <c r="AX33" s="1004"/>
      <c r="AY33" s="1004"/>
      <c r="AZ33" s="1004"/>
      <c r="BA33" s="1004"/>
      <c r="BB33" s="1004"/>
      <c r="BC33" s="1004"/>
      <c r="BD33" s="1004"/>
      <c r="BE33" s="1004"/>
      <c r="BF33" s="1004"/>
      <c r="BG33" s="1004"/>
      <c r="BH33" s="1004"/>
      <c r="BI33" s="1004"/>
      <c r="BJ33" s="1004"/>
      <c r="BK33" s="1004"/>
      <c r="BL33" s="1004"/>
      <c r="BM33" s="1004"/>
      <c r="BN33" s="1004"/>
      <c r="BO33" s="1004"/>
      <c r="BP33" s="1004"/>
      <c r="BQ33" s="1004"/>
      <c r="BR33" s="1004"/>
      <c r="BS33" s="1004"/>
      <c r="BT33" s="1004"/>
      <c r="BU33" s="1004"/>
      <c r="BV33" s="1004"/>
      <c r="BW33" s="975" t="s">
        <v>2234</v>
      </c>
      <c r="BX33" s="975"/>
      <c r="BY33" s="975"/>
      <c r="BZ33" s="975"/>
      <c r="CA33" s="975"/>
      <c r="CB33" s="975"/>
      <c r="CC33" s="975" t="e">
        <v>#NAME?</v>
      </c>
      <c r="CD33" s="975"/>
      <c r="CE33" s="976" t="str">
        <f>MID(SUVAHAVUJ!AF89,1,1)</f>
        <v xml:space="preserve"> </v>
      </c>
      <c r="CF33" s="976"/>
      <c r="CG33" s="976"/>
      <c r="CH33" s="976"/>
      <c r="CI33" s="976"/>
      <c r="CJ33" s="976" t="str">
        <f>MID(SUVAHAVUJ!AF89,2,1)</f>
        <v xml:space="preserve"> </v>
      </c>
      <c r="CK33" s="976"/>
      <c r="CL33" s="976"/>
      <c r="CM33" s="976"/>
      <c r="CN33" s="976"/>
      <c r="CO33" s="976"/>
      <c r="CP33" s="976" t="str">
        <f>MID(SUVAHAVUJ!AF89,3,1)</f>
        <v xml:space="preserve"> </v>
      </c>
      <c r="CQ33" s="976"/>
      <c r="CR33" s="976"/>
      <c r="CS33" s="976"/>
      <c r="CT33" s="976"/>
      <c r="CU33" s="976" t="str">
        <f>MID(SUVAHAVUJ!AF89,4,1)</f>
        <v xml:space="preserve"> </v>
      </c>
      <c r="CV33" s="976"/>
      <c r="CW33" s="976"/>
      <c r="CX33" s="976"/>
      <c r="CY33" s="976"/>
      <c r="CZ33" s="976"/>
      <c r="DA33" s="976" t="str">
        <f>MID(SUVAHAVUJ!AF89,5,1)</f>
        <v xml:space="preserve"> </v>
      </c>
      <c r="DB33" s="976"/>
      <c r="DC33" s="976"/>
      <c r="DD33" s="976"/>
      <c r="DE33" s="976"/>
      <c r="DF33" s="976" t="str">
        <f>MID(SUVAHAVUJ!AF89,6,1)</f>
        <v xml:space="preserve"> </v>
      </c>
      <c r="DG33" s="976"/>
      <c r="DH33" s="976"/>
      <c r="DI33" s="976"/>
      <c r="DJ33" s="976"/>
      <c r="DK33" s="976"/>
      <c r="DL33" s="976" t="str">
        <f>MID(SUVAHAVUJ!AF89,7,1)</f>
        <v>3</v>
      </c>
      <c r="DM33" s="976"/>
      <c r="DN33" s="976"/>
      <c r="DO33" s="976"/>
      <c r="DP33" s="976"/>
      <c r="DQ33" s="976"/>
      <c r="DR33" s="976" t="str">
        <f>MID(SUVAHAVUJ!AF89,8,1)</f>
        <v>4</v>
      </c>
      <c r="DS33" s="976"/>
      <c r="DT33" s="976"/>
      <c r="DU33" s="976"/>
      <c r="DV33" s="976"/>
      <c r="DW33" s="982" t="str">
        <f>MID(SUVAHAVUJ!AF89,9,1)</f>
        <v>6</v>
      </c>
      <c r="DX33" s="982"/>
      <c r="DY33" s="982"/>
      <c r="DZ33" s="982"/>
      <c r="EA33" s="982"/>
      <c r="EB33" s="982"/>
      <c r="EC33" s="982" t="str">
        <f>MID(SUVAHAVUJ!AF89,10,1)</f>
        <v>9</v>
      </c>
      <c r="ED33" s="982"/>
      <c r="EE33" s="982"/>
      <c r="EF33" s="982"/>
      <c r="EG33" s="982"/>
      <c r="EH33" s="977" t="str">
        <f>MID(SUVAHAVUJ!AF89,11,1)</f>
        <v>8</v>
      </c>
      <c r="EI33" s="977"/>
      <c r="EJ33" s="977"/>
      <c r="EK33" s="977"/>
      <c r="EL33" s="977"/>
      <c r="EM33" s="977"/>
      <c r="EN33" s="665"/>
      <c r="EO33" s="666"/>
      <c r="EP33" s="976" t="str">
        <f>MID(SUVAHAVUJ!AG89,1,1)</f>
        <v xml:space="preserve"> </v>
      </c>
      <c r="EQ33" s="976"/>
      <c r="ER33" s="976"/>
      <c r="ES33" s="976"/>
      <c r="ET33" s="976"/>
      <c r="EU33" s="976"/>
      <c r="EV33" s="976" t="str">
        <f>MID(SUVAHAVUJ!AG89,2,1)</f>
        <v xml:space="preserve"> </v>
      </c>
      <c r="EW33" s="976"/>
      <c r="EX33" s="976"/>
      <c r="EY33" s="976"/>
      <c r="EZ33" s="976"/>
      <c r="FA33" s="976" t="str">
        <f>MID(SUVAHAVUJ!AG89,3,1)</f>
        <v xml:space="preserve"> </v>
      </c>
      <c r="FB33" s="976"/>
      <c r="FC33" s="976"/>
      <c r="FD33" s="976"/>
      <c r="FE33" s="976"/>
      <c r="FF33" s="976"/>
      <c r="FG33" s="976" t="str">
        <f>MID(SUVAHAVUJ!AG89,4,1)</f>
        <v xml:space="preserve"> </v>
      </c>
      <c r="FH33" s="976"/>
      <c r="FI33" s="976"/>
      <c r="FJ33" s="976"/>
      <c r="FK33" s="976"/>
      <c r="FL33" s="982" t="str">
        <f>MID(SUVAHAVUJ!AG89,5,1)</f>
        <v xml:space="preserve"> </v>
      </c>
      <c r="FM33" s="982"/>
      <c r="FN33" s="982"/>
      <c r="FO33" s="982"/>
      <c r="FP33" s="982"/>
      <c r="FQ33" s="982"/>
      <c r="FR33" s="982" t="str">
        <f>MID(SUVAHAVUJ!AG89,6,1)</f>
        <v xml:space="preserve"> </v>
      </c>
      <c r="FS33" s="982"/>
      <c r="FT33" s="982"/>
      <c r="FU33" s="982"/>
      <c r="FV33" s="982"/>
      <c r="FW33" s="982" t="str">
        <f>MID(SUVAHAVUJ!AG89,7,1)</f>
        <v>3</v>
      </c>
      <c r="FX33" s="982"/>
      <c r="FY33" s="982"/>
      <c r="FZ33" s="982"/>
      <c r="GA33" s="982"/>
      <c r="GB33" s="982"/>
      <c r="GC33" s="982" t="str">
        <f>MID(SUVAHAVUJ!AG89,8,1)</f>
        <v>4</v>
      </c>
      <c r="GD33" s="982"/>
      <c r="GE33" s="982"/>
      <c r="GF33" s="982"/>
      <c r="GG33" s="982"/>
      <c r="GH33" s="982" t="str">
        <f>MID(SUVAHAVUJ!AG89,9,1)</f>
        <v>6</v>
      </c>
      <c r="GI33" s="982"/>
      <c r="GJ33" s="982"/>
      <c r="GK33" s="982"/>
      <c r="GL33" s="982"/>
      <c r="GM33" s="982"/>
      <c r="GN33" s="982" t="str">
        <f>MID(SUVAHAVUJ!AG89,10,1)</f>
        <v>9</v>
      </c>
      <c r="GO33" s="982"/>
      <c r="GP33" s="982"/>
      <c r="GQ33" s="982"/>
      <c r="GR33" s="982"/>
      <c r="GS33" s="978" t="str">
        <f>MID(SUVAHAVUJ!AG89,11,1)</f>
        <v>8</v>
      </c>
      <c r="GT33" s="978"/>
      <c r="GU33" s="978"/>
      <c r="GV33" s="978"/>
      <c r="GW33" s="978"/>
    </row>
    <row r="34" spans="1:205" ht="21.6" customHeight="1" x14ac:dyDescent="0.25">
      <c r="B34" s="989" t="s">
        <v>2235</v>
      </c>
      <c r="C34" s="989"/>
      <c r="D34" s="989"/>
      <c r="E34" s="989"/>
      <c r="F34" s="989"/>
      <c r="G34" s="989"/>
      <c r="H34" s="989"/>
      <c r="I34" s="989"/>
      <c r="J34" s="989"/>
      <c r="K34" s="989"/>
      <c r="L34" s="1005" t="str">
        <f>SUVAHAVUJ!$D$90</f>
        <v>Zákonný rezervný fond a nedeliteľný fond (417A, 418, 421A, 422)</v>
      </c>
      <c r="M34" s="1005"/>
      <c r="N34" s="1005"/>
      <c r="O34" s="1005"/>
      <c r="P34" s="1005"/>
      <c r="Q34" s="1005"/>
      <c r="R34" s="1005"/>
      <c r="S34" s="1005"/>
      <c r="T34" s="1005"/>
      <c r="U34" s="1005"/>
      <c r="V34" s="1005"/>
      <c r="W34" s="1005"/>
      <c r="X34" s="1005"/>
      <c r="Y34" s="1005"/>
      <c r="Z34" s="1005"/>
      <c r="AA34" s="1005"/>
      <c r="AB34" s="1005"/>
      <c r="AC34" s="1005"/>
      <c r="AD34" s="1005"/>
      <c r="AE34" s="1005"/>
      <c r="AF34" s="1005"/>
      <c r="AG34" s="1005"/>
      <c r="AH34" s="1005"/>
      <c r="AI34" s="1005"/>
      <c r="AJ34" s="1005"/>
      <c r="AK34" s="1005"/>
      <c r="AL34" s="1005"/>
      <c r="AM34" s="1005"/>
      <c r="AN34" s="1005"/>
      <c r="AO34" s="1005"/>
      <c r="AP34" s="1005"/>
      <c r="AQ34" s="1005"/>
      <c r="AR34" s="1005"/>
      <c r="AS34" s="1005"/>
      <c r="AT34" s="1005"/>
      <c r="AU34" s="1005"/>
      <c r="AV34" s="1005"/>
      <c r="AW34" s="1005"/>
      <c r="AX34" s="1005"/>
      <c r="AY34" s="1005"/>
      <c r="AZ34" s="1005"/>
      <c r="BA34" s="1005"/>
      <c r="BB34" s="1005"/>
      <c r="BC34" s="1005"/>
      <c r="BD34" s="1005"/>
      <c r="BE34" s="1005"/>
      <c r="BF34" s="1005"/>
      <c r="BG34" s="1005"/>
      <c r="BH34" s="1005"/>
      <c r="BI34" s="1005"/>
      <c r="BJ34" s="1005"/>
      <c r="BK34" s="1005"/>
      <c r="BL34" s="1005"/>
      <c r="BM34" s="1005"/>
      <c r="BN34" s="1005"/>
      <c r="BO34" s="1005"/>
      <c r="BP34" s="1005"/>
      <c r="BQ34" s="1005"/>
      <c r="BR34" s="1005"/>
      <c r="BS34" s="1005"/>
      <c r="BT34" s="1005"/>
      <c r="BU34" s="1005"/>
      <c r="BV34" s="1005"/>
      <c r="BW34" s="975" t="s">
        <v>2236</v>
      </c>
      <c r="BX34" s="975"/>
      <c r="BY34" s="975"/>
      <c r="BZ34" s="975"/>
      <c r="CA34" s="975"/>
      <c r="CB34" s="975"/>
      <c r="CC34" s="975" t="e">
        <v>#NAME?</v>
      </c>
      <c r="CD34" s="975"/>
      <c r="CE34" s="976" t="str">
        <f>MID(SUVAHAVUJ!AF90,1,1)</f>
        <v xml:space="preserve"> </v>
      </c>
      <c r="CF34" s="976"/>
      <c r="CG34" s="976"/>
      <c r="CH34" s="976"/>
      <c r="CI34" s="976"/>
      <c r="CJ34" s="976" t="str">
        <f>MID(SUVAHAVUJ!AF90,2,1)</f>
        <v xml:space="preserve"> </v>
      </c>
      <c r="CK34" s="976"/>
      <c r="CL34" s="976"/>
      <c r="CM34" s="976"/>
      <c r="CN34" s="976"/>
      <c r="CO34" s="976"/>
      <c r="CP34" s="976" t="str">
        <f>MID(SUVAHAVUJ!AF90,3,1)</f>
        <v xml:space="preserve"> </v>
      </c>
      <c r="CQ34" s="976"/>
      <c r="CR34" s="976"/>
      <c r="CS34" s="976"/>
      <c r="CT34" s="976"/>
      <c r="CU34" s="976" t="str">
        <f>MID(SUVAHAVUJ!AF90,4,1)</f>
        <v xml:space="preserve"> </v>
      </c>
      <c r="CV34" s="976"/>
      <c r="CW34" s="976"/>
      <c r="CX34" s="976"/>
      <c r="CY34" s="976"/>
      <c r="CZ34" s="976"/>
      <c r="DA34" s="976" t="str">
        <f>MID(SUVAHAVUJ!AF90,5,1)</f>
        <v xml:space="preserve"> </v>
      </c>
      <c r="DB34" s="976"/>
      <c r="DC34" s="976"/>
      <c r="DD34" s="976"/>
      <c r="DE34" s="976"/>
      <c r="DF34" s="976" t="str">
        <f>MID(SUVAHAVUJ!AF90,6,1)</f>
        <v xml:space="preserve"> </v>
      </c>
      <c r="DG34" s="976"/>
      <c r="DH34" s="976"/>
      <c r="DI34" s="976"/>
      <c r="DJ34" s="976"/>
      <c r="DK34" s="976"/>
      <c r="DL34" s="976" t="str">
        <f>MID(SUVAHAVUJ!AF90,7,1)</f>
        <v>3</v>
      </c>
      <c r="DM34" s="976"/>
      <c r="DN34" s="976"/>
      <c r="DO34" s="976"/>
      <c r="DP34" s="976"/>
      <c r="DQ34" s="976"/>
      <c r="DR34" s="976" t="str">
        <f>MID(SUVAHAVUJ!AF90,8,1)</f>
        <v>4</v>
      </c>
      <c r="DS34" s="976"/>
      <c r="DT34" s="976"/>
      <c r="DU34" s="976"/>
      <c r="DV34" s="976"/>
      <c r="DW34" s="982" t="str">
        <f>MID(SUVAHAVUJ!AF90,9,1)</f>
        <v>6</v>
      </c>
      <c r="DX34" s="982"/>
      <c r="DY34" s="982"/>
      <c r="DZ34" s="982"/>
      <c r="EA34" s="982"/>
      <c r="EB34" s="982"/>
      <c r="EC34" s="982" t="str">
        <f>MID(SUVAHAVUJ!AF90,10,1)</f>
        <v>9</v>
      </c>
      <c r="ED34" s="982"/>
      <c r="EE34" s="982"/>
      <c r="EF34" s="982"/>
      <c r="EG34" s="982"/>
      <c r="EH34" s="977" t="str">
        <f>MID(SUVAHAVUJ!AF90,11,1)</f>
        <v>8</v>
      </c>
      <c r="EI34" s="977"/>
      <c r="EJ34" s="977"/>
      <c r="EK34" s="977"/>
      <c r="EL34" s="977"/>
      <c r="EM34" s="977"/>
      <c r="EN34" s="665"/>
      <c r="EO34" s="666"/>
      <c r="EP34" s="976" t="str">
        <f>MID(SUVAHAVUJ!AG90,1,1)</f>
        <v xml:space="preserve"> </v>
      </c>
      <c r="EQ34" s="976"/>
      <c r="ER34" s="976"/>
      <c r="ES34" s="976"/>
      <c r="ET34" s="976"/>
      <c r="EU34" s="976"/>
      <c r="EV34" s="976" t="str">
        <f>MID(SUVAHAVUJ!AG90,2,1)</f>
        <v xml:space="preserve"> </v>
      </c>
      <c r="EW34" s="976"/>
      <c r="EX34" s="976"/>
      <c r="EY34" s="976"/>
      <c r="EZ34" s="976"/>
      <c r="FA34" s="976" t="str">
        <f>MID(SUVAHAVUJ!AG90,3,1)</f>
        <v xml:space="preserve"> </v>
      </c>
      <c r="FB34" s="976"/>
      <c r="FC34" s="976"/>
      <c r="FD34" s="976"/>
      <c r="FE34" s="976"/>
      <c r="FF34" s="976"/>
      <c r="FG34" s="976" t="str">
        <f>MID(SUVAHAVUJ!AG90,4,1)</f>
        <v xml:space="preserve"> </v>
      </c>
      <c r="FH34" s="976"/>
      <c r="FI34" s="976"/>
      <c r="FJ34" s="976"/>
      <c r="FK34" s="976"/>
      <c r="FL34" s="982" t="str">
        <f>MID(SUVAHAVUJ!AG90,5,1)</f>
        <v xml:space="preserve"> </v>
      </c>
      <c r="FM34" s="982"/>
      <c r="FN34" s="982"/>
      <c r="FO34" s="982"/>
      <c r="FP34" s="982"/>
      <c r="FQ34" s="982"/>
      <c r="FR34" s="982" t="str">
        <f>MID(SUVAHAVUJ!AG90,6,1)</f>
        <v xml:space="preserve"> </v>
      </c>
      <c r="FS34" s="982"/>
      <c r="FT34" s="982"/>
      <c r="FU34" s="982"/>
      <c r="FV34" s="982"/>
      <c r="FW34" s="982" t="str">
        <f>MID(SUVAHAVUJ!AG90,7,1)</f>
        <v>3</v>
      </c>
      <c r="FX34" s="982"/>
      <c r="FY34" s="982"/>
      <c r="FZ34" s="982"/>
      <c r="GA34" s="982"/>
      <c r="GB34" s="982"/>
      <c r="GC34" s="982" t="str">
        <f>MID(SUVAHAVUJ!AG90,8,1)</f>
        <v>4</v>
      </c>
      <c r="GD34" s="982"/>
      <c r="GE34" s="982"/>
      <c r="GF34" s="982"/>
      <c r="GG34" s="982"/>
      <c r="GH34" s="982" t="str">
        <f>MID(SUVAHAVUJ!AG90,9,1)</f>
        <v>6</v>
      </c>
      <c r="GI34" s="982"/>
      <c r="GJ34" s="982"/>
      <c r="GK34" s="982"/>
      <c r="GL34" s="982"/>
      <c r="GM34" s="982"/>
      <c r="GN34" s="982" t="str">
        <f>MID(SUVAHAVUJ!AG90,10,1)</f>
        <v>9</v>
      </c>
      <c r="GO34" s="982"/>
      <c r="GP34" s="982"/>
      <c r="GQ34" s="982"/>
      <c r="GR34" s="982"/>
      <c r="GS34" s="978" t="str">
        <f>MID(SUVAHAVUJ!AG90,11,1)</f>
        <v>8</v>
      </c>
      <c r="GT34" s="978"/>
      <c r="GU34" s="978"/>
      <c r="GV34" s="978"/>
      <c r="GW34" s="978"/>
    </row>
    <row r="35" spans="1:205" ht="21.6" customHeight="1" x14ac:dyDescent="0.25">
      <c r="A35" s="650"/>
      <c r="B35" s="985" t="s">
        <v>2166</v>
      </c>
      <c r="C35" s="985"/>
      <c r="D35" s="985"/>
      <c r="E35" s="985"/>
      <c r="F35" s="985"/>
      <c r="G35" s="985"/>
      <c r="H35" s="985"/>
      <c r="I35" s="985"/>
      <c r="J35" s="985"/>
      <c r="K35" s="985"/>
      <c r="L35" s="1005" t="str">
        <f>SUVAHAVUJ!$D$91</f>
        <v>Rezervný fond na vlastné akcie a vlastné podiely (417A, 421A)</v>
      </c>
      <c r="M35" s="1005"/>
      <c r="N35" s="1005"/>
      <c r="O35" s="1005"/>
      <c r="P35" s="1005"/>
      <c r="Q35" s="1005"/>
      <c r="R35" s="1005"/>
      <c r="S35" s="1005"/>
      <c r="T35" s="1005"/>
      <c r="U35" s="1005"/>
      <c r="V35" s="1005"/>
      <c r="W35" s="1005"/>
      <c r="X35" s="1005"/>
      <c r="Y35" s="1005"/>
      <c r="Z35" s="1005"/>
      <c r="AA35" s="1005"/>
      <c r="AB35" s="1005"/>
      <c r="AC35" s="1005"/>
      <c r="AD35" s="1005"/>
      <c r="AE35" s="1005"/>
      <c r="AF35" s="1005"/>
      <c r="AG35" s="1005"/>
      <c r="AH35" s="1005"/>
      <c r="AI35" s="1005"/>
      <c r="AJ35" s="1005"/>
      <c r="AK35" s="1005"/>
      <c r="AL35" s="1005"/>
      <c r="AM35" s="1005"/>
      <c r="AN35" s="1005"/>
      <c r="AO35" s="1005"/>
      <c r="AP35" s="1005"/>
      <c r="AQ35" s="1005"/>
      <c r="AR35" s="1005"/>
      <c r="AS35" s="1005"/>
      <c r="AT35" s="1005"/>
      <c r="AU35" s="1005"/>
      <c r="AV35" s="1005"/>
      <c r="AW35" s="1005"/>
      <c r="AX35" s="1005"/>
      <c r="AY35" s="1005"/>
      <c r="AZ35" s="1005"/>
      <c r="BA35" s="1005"/>
      <c r="BB35" s="1005"/>
      <c r="BC35" s="1005"/>
      <c r="BD35" s="1005"/>
      <c r="BE35" s="1005"/>
      <c r="BF35" s="1005"/>
      <c r="BG35" s="1005"/>
      <c r="BH35" s="1005"/>
      <c r="BI35" s="1005"/>
      <c r="BJ35" s="1005"/>
      <c r="BK35" s="1005"/>
      <c r="BL35" s="1005"/>
      <c r="BM35" s="1005"/>
      <c r="BN35" s="1005"/>
      <c r="BO35" s="1005"/>
      <c r="BP35" s="1005"/>
      <c r="BQ35" s="1005"/>
      <c r="BR35" s="1005"/>
      <c r="BS35" s="1005"/>
      <c r="BT35" s="1005"/>
      <c r="BU35" s="1005"/>
      <c r="BV35" s="1005"/>
      <c r="BW35" s="975" t="s">
        <v>2237</v>
      </c>
      <c r="BX35" s="975"/>
      <c r="BY35" s="975"/>
      <c r="BZ35" s="975"/>
      <c r="CA35" s="975"/>
      <c r="CB35" s="975"/>
      <c r="CC35" s="975"/>
      <c r="CD35" s="975"/>
      <c r="CE35" s="976" t="str">
        <f>MID(SUVAHAVUJ!AF91,1,1)</f>
        <v xml:space="preserve"> </v>
      </c>
      <c r="CF35" s="976"/>
      <c r="CG35" s="976"/>
      <c r="CH35" s="976"/>
      <c r="CI35" s="976"/>
      <c r="CJ35" s="976" t="str">
        <f>MID(SUVAHAVUJ!AF91,2,1)</f>
        <v xml:space="preserve"> </v>
      </c>
      <c r="CK35" s="976"/>
      <c r="CL35" s="976"/>
      <c r="CM35" s="976"/>
      <c r="CN35" s="976"/>
      <c r="CO35" s="976"/>
      <c r="CP35" s="976" t="str">
        <f>MID(SUVAHAVUJ!AF91,3,1)</f>
        <v xml:space="preserve"> </v>
      </c>
      <c r="CQ35" s="976"/>
      <c r="CR35" s="976"/>
      <c r="CS35" s="976"/>
      <c r="CT35" s="976"/>
      <c r="CU35" s="976" t="str">
        <f>MID(SUVAHAVUJ!AF91,4,1)</f>
        <v xml:space="preserve"> </v>
      </c>
      <c r="CV35" s="976"/>
      <c r="CW35" s="976"/>
      <c r="CX35" s="976"/>
      <c r="CY35" s="976"/>
      <c r="CZ35" s="976"/>
      <c r="DA35" s="976" t="str">
        <f>MID(SUVAHAVUJ!AF91,5,1)</f>
        <v xml:space="preserve"> </v>
      </c>
      <c r="DB35" s="976"/>
      <c r="DC35" s="976"/>
      <c r="DD35" s="976"/>
      <c r="DE35" s="976"/>
      <c r="DF35" s="976" t="str">
        <f>MID(SUVAHAVUJ!AF91,6,1)</f>
        <v xml:space="preserve"> </v>
      </c>
      <c r="DG35" s="976"/>
      <c r="DH35" s="976"/>
      <c r="DI35" s="976"/>
      <c r="DJ35" s="976"/>
      <c r="DK35" s="976"/>
      <c r="DL35" s="976" t="str">
        <f>MID(SUVAHAVUJ!AF91,7,1)</f>
        <v xml:space="preserve"> </v>
      </c>
      <c r="DM35" s="976"/>
      <c r="DN35" s="976"/>
      <c r="DO35" s="976"/>
      <c r="DP35" s="976"/>
      <c r="DQ35" s="976"/>
      <c r="DR35" s="976" t="str">
        <f>MID(SUVAHAVUJ!AF91,8,1)</f>
        <v xml:space="preserve"> </v>
      </c>
      <c r="DS35" s="976"/>
      <c r="DT35" s="976"/>
      <c r="DU35" s="976"/>
      <c r="DV35" s="976"/>
      <c r="DW35" s="982" t="str">
        <f>MID(SUVAHAVUJ!AF91,9,1)</f>
        <v xml:space="preserve"> </v>
      </c>
      <c r="DX35" s="982"/>
      <c r="DY35" s="982"/>
      <c r="DZ35" s="982"/>
      <c r="EA35" s="982"/>
      <c r="EB35" s="982"/>
      <c r="EC35" s="982" t="str">
        <f>MID(SUVAHAVUJ!AF91,10,1)</f>
        <v xml:space="preserve"> </v>
      </c>
      <c r="ED35" s="982"/>
      <c r="EE35" s="982"/>
      <c r="EF35" s="982"/>
      <c r="EG35" s="982"/>
      <c r="EH35" s="977" t="str">
        <f>MID(SUVAHAVUJ!AF91,11,1)</f>
        <v>0</v>
      </c>
      <c r="EI35" s="977"/>
      <c r="EJ35" s="977"/>
      <c r="EK35" s="977"/>
      <c r="EL35" s="977"/>
      <c r="EM35" s="977"/>
      <c r="EN35" s="665"/>
      <c r="EO35" s="666"/>
      <c r="EP35" s="976" t="str">
        <f>MID(SUVAHAVUJ!AG91,1,1)</f>
        <v xml:space="preserve"> </v>
      </c>
      <c r="EQ35" s="976"/>
      <c r="ER35" s="976"/>
      <c r="ES35" s="976"/>
      <c r="ET35" s="976"/>
      <c r="EU35" s="976"/>
      <c r="EV35" s="976" t="str">
        <f>MID(SUVAHAVUJ!AG91,2,1)</f>
        <v xml:space="preserve"> </v>
      </c>
      <c r="EW35" s="976"/>
      <c r="EX35" s="976"/>
      <c r="EY35" s="976"/>
      <c r="EZ35" s="976"/>
      <c r="FA35" s="976" t="str">
        <f>MID(SUVAHAVUJ!AG91,3,1)</f>
        <v xml:space="preserve"> </v>
      </c>
      <c r="FB35" s="976"/>
      <c r="FC35" s="976"/>
      <c r="FD35" s="976"/>
      <c r="FE35" s="976"/>
      <c r="FF35" s="976"/>
      <c r="FG35" s="976" t="str">
        <f>MID(SUVAHAVUJ!AG91,4,1)</f>
        <v xml:space="preserve"> </v>
      </c>
      <c r="FH35" s="976"/>
      <c r="FI35" s="976"/>
      <c r="FJ35" s="976"/>
      <c r="FK35" s="976"/>
      <c r="FL35" s="982" t="str">
        <f>MID(SUVAHAVUJ!AG91,5,1)</f>
        <v xml:space="preserve"> </v>
      </c>
      <c r="FM35" s="982"/>
      <c r="FN35" s="982"/>
      <c r="FO35" s="982"/>
      <c r="FP35" s="982"/>
      <c r="FQ35" s="982"/>
      <c r="FR35" s="982" t="str">
        <f>MID(SUVAHAVUJ!AG91,6,1)</f>
        <v xml:space="preserve"> </v>
      </c>
      <c r="FS35" s="982"/>
      <c r="FT35" s="982"/>
      <c r="FU35" s="982"/>
      <c r="FV35" s="982"/>
      <c r="FW35" s="982" t="str">
        <f>MID(SUVAHAVUJ!AG91,7,1)</f>
        <v xml:space="preserve"> </v>
      </c>
      <c r="FX35" s="982"/>
      <c r="FY35" s="982"/>
      <c r="FZ35" s="982"/>
      <c r="GA35" s="982"/>
      <c r="GB35" s="982"/>
      <c r="GC35" s="982" t="str">
        <f>MID(SUVAHAVUJ!AG91,8,1)</f>
        <v xml:space="preserve"> </v>
      </c>
      <c r="GD35" s="982"/>
      <c r="GE35" s="982"/>
      <c r="GF35" s="982"/>
      <c r="GG35" s="982"/>
      <c r="GH35" s="982" t="str">
        <f>MID(SUVAHAVUJ!AG91,9,1)</f>
        <v xml:space="preserve"> </v>
      </c>
      <c r="GI35" s="982"/>
      <c r="GJ35" s="982"/>
      <c r="GK35" s="982"/>
      <c r="GL35" s="982"/>
      <c r="GM35" s="982"/>
      <c r="GN35" s="982" t="str">
        <f>MID(SUVAHAVUJ!AG91,10,1)</f>
        <v xml:space="preserve"> </v>
      </c>
      <c r="GO35" s="982"/>
      <c r="GP35" s="982"/>
      <c r="GQ35" s="982"/>
      <c r="GR35" s="982"/>
      <c r="GS35" s="978" t="str">
        <f>MID(SUVAHAVUJ!AG91,11,1)</f>
        <v>0</v>
      </c>
      <c r="GT35" s="978"/>
      <c r="GU35" s="978"/>
      <c r="GV35" s="978"/>
      <c r="GW35" s="978"/>
    </row>
    <row r="36" spans="1:205" ht="12.75" customHeight="1" x14ac:dyDescent="0.25">
      <c r="A36" s="650"/>
      <c r="B36" s="667"/>
      <c r="C36" s="668"/>
      <c r="D36" s="668"/>
      <c r="E36" s="668"/>
      <c r="F36" s="668"/>
      <c r="G36" s="668"/>
      <c r="H36" s="668"/>
      <c r="I36" s="668"/>
      <c r="J36" s="668"/>
      <c r="K36" s="668"/>
      <c r="L36" s="650"/>
      <c r="M36" s="650"/>
      <c r="N36" s="650"/>
      <c r="O36" s="650"/>
      <c r="P36" s="650"/>
      <c r="Q36" s="650"/>
      <c r="R36" s="650"/>
      <c r="S36" s="650"/>
      <c r="T36" s="650"/>
      <c r="U36" s="650"/>
      <c r="V36" s="650"/>
      <c r="W36" s="650"/>
      <c r="X36" s="650"/>
      <c r="Y36" s="650"/>
      <c r="Z36" s="650"/>
      <c r="AA36" s="650"/>
      <c r="AB36" s="650"/>
      <c r="AC36" s="650"/>
      <c r="AD36" s="650"/>
      <c r="AE36" s="650"/>
      <c r="AF36" s="650"/>
      <c r="AG36" s="650"/>
      <c r="AH36" s="650"/>
      <c r="AI36" s="650"/>
      <c r="AJ36" s="650"/>
      <c r="AK36" s="650"/>
      <c r="AL36" s="650"/>
      <c r="AM36" s="650"/>
      <c r="AN36" s="650"/>
      <c r="AO36" s="650"/>
      <c r="AP36" s="650"/>
      <c r="AQ36" s="650"/>
      <c r="AR36" s="650"/>
      <c r="AS36" s="650"/>
      <c r="AT36" s="650"/>
      <c r="AU36" s="650"/>
      <c r="AV36" s="650"/>
      <c r="AW36" s="650"/>
      <c r="AX36" s="650"/>
      <c r="AY36" s="650"/>
      <c r="AZ36" s="650"/>
      <c r="BA36" s="650"/>
      <c r="BB36" s="650"/>
      <c r="BC36" s="650"/>
      <c r="BD36" s="650"/>
      <c r="BE36" s="650"/>
      <c r="BF36" s="650"/>
      <c r="BG36" s="650"/>
      <c r="BH36" s="650"/>
      <c r="BI36" s="650"/>
      <c r="BJ36" s="650"/>
      <c r="BK36" s="650"/>
      <c r="BL36" s="650"/>
      <c r="BM36" s="650"/>
      <c r="BN36" s="650"/>
      <c r="BO36" s="650"/>
      <c r="BP36" s="650"/>
      <c r="BQ36" s="650"/>
      <c r="BR36" s="650"/>
      <c r="BS36" s="650"/>
      <c r="BT36" s="650"/>
      <c r="BU36" s="650"/>
      <c r="BV36" s="650"/>
      <c r="BW36" s="650"/>
      <c r="BX36" s="650"/>
      <c r="BY36" s="650"/>
      <c r="BZ36" s="650"/>
      <c r="CA36" s="650"/>
      <c r="CB36" s="650"/>
      <c r="CC36" s="650"/>
      <c r="CD36" s="650"/>
      <c r="CE36" s="650"/>
      <c r="CF36" s="650"/>
      <c r="CG36" s="650"/>
      <c r="CH36" s="650"/>
      <c r="CI36" s="650"/>
      <c r="CJ36" s="650"/>
      <c r="CK36" s="650"/>
      <c r="CL36" s="650"/>
      <c r="CM36" s="650"/>
      <c r="CN36" s="650"/>
      <c r="CO36" s="650"/>
      <c r="CP36" s="650"/>
      <c r="CQ36" s="650"/>
      <c r="CR36" s="650"/>
      <c r="CS36" s="650"/>
      <c r="CT36" s="650"/>
      <c r="CU36" s="650"/>
      <c r="CV36" s="650"/>
      <c r="CW36" s="650"/>
      <c r="CX36" s="650"/>
      <c r="CY36" s="650"/>
      <c r="CZ36" s="650"/>
      <c r="DA36" s="650"/>
      <c r="DB36" s="650"/>
      <c r="DC36" s="650"/>
      <c r="DD36" s="650"/>
      <c r="DE36" s="650"/>
      <c r="DF36" s="650"/>
      <c r="DG36" s="650"/>
      <c r="DH36" s="650"/>
      <c r="DI36" s="650"/>
      <c r="DJ36" s="650"/>
      <c r="DK36" s="650"/>
      <c r="DL36" s="650"/>
      <c r="DM36" s="650"/>
      <c r="DN36" s="650"/>
      <c r="DO36" s="650"/>
      <c r="DP36" s="650"/>
      <c r="DQ36" s="650"/>
      <c r="DR36" s="650"/>
      <c r="DS36" s="650"/>
      <c r="DT36" s="650"/>
      <c r="DU36" s="650"/>
      <c r="DV36" s="650"/>
      <c r="DW36" s="650"/>
      <c r="DX36" s="650"/>
      <c r="DY36" s="650"/>
      <c r="DZ36" s="650"/>
      <c r="EA36" s="650"/>
      <c r="EB36" s="650"/>
      <c r="EC36" s="650"/>
      <c r="ED36" s="650"/>
      <c r="EE36" s="650"/>
      <c r="EF36" s="650"/>
      <c r="EG36" s="650"/>
      <c r="EH36" s="650"/>
      <c r="EI36" s="650"/>
      <c r="EJ36" s="650"/>
      <c r="EK36" s="650"/>
      <c r="EL36" s="650"/>
      <c r="EM36" s="650"/>
      <c r="EN36" s="650"/>
      <c r="EO36" s="650"/>
      <c r="EP36" s="650"/>
      <c r="EQ36" s="650"/>
      <c r="ER36" s="650"/>
      <c r="ES36" s="650"/>
      <c r="ET36" s="650"/>
      <c r="EU36" s="650"/>
      <c r="EV36" s="650"/>
      <c r="EW36" s="650"/>
      <c r="EX36" s="650"/>
      <c r="EY36" s="650"/>
      <c r="EZ36" s="650"/>
      <c r="FA36" s="650"/>
      <c r="FB36" s="650"/>
      <c r="FC36" s="650"/>
      <c r="FD36" s="650"/>
      <c r="FE36" s="650"/>
      <c r="FF36" s="650"/>
      <c r="FG36" s="650"/>
      <c r="FH36" s="650"/>
      <c r="FI36" s="650"/>
      <c r="FJ36" s="650"/>
      <c r="FK36" s="650"/>
      <c r="FL36" s="650"/>
      <c r="FM36" s="650"/>
      <c r="FN36" s="650"/>
      <c r="FO36" s="650"/>
      <c r="FP36" s="650"/>
      <c r="FQ36" s="650"/>
      <c r="FR36" s="650"/>
      <c r="FS36" s="650"/>
      <c r="FT36" s="650"/>
      <c r="FU36" s="650"/>
      <c r="FV36" s="650"/>
      <c r="FW36" s="650"/>
      <c r="FX36" s="650"/>
      <c r="FY36" s="650"/>
      <c r="FZ36" s="650"/>
      <c r="GA36" s="650"/>
      <c r="GB36" s="650"/>
      <c r="GC36" s="650"/>
      <c r="GD36" s="650"/>
      <c r="GE36" s="650"/>
      <c r="GF36" s="650"/>
      <c r="GG36" s="650"/>
      <c r="GH36" s="650"/>
      <c r="GI36" s="650"/>
      <c r="GJ36" s="650"/>
      <c r="GK36" s="650"/>
      <c r="GL36" s="650"/>
      <c r="GM36" s="650"/>
      <c r="GN36" s="650"/>
      <c r="GO36" s="650"/>
      <c r="GP36" s="650"/>
      <c r="GQ36" s="668"/>
      <c r="GR36" s="668"/>
      <c r="GS36" s="668"/>
      <c r="GT36" s="668"/>
      <c r="GU36" s="668"/>
      <c r="GV36" s="668"/>
      <c r="GW36" s="669"/>
    </row>
    <row r="37" spans="1:205" ht="9" customHeight="1" x14ac:dyDescent="0.25">
      <c r="B37" s="650"/>
      <c r="C37" s="650"/>
      <c r="D37" s="650"/>
      <c r="E37" s="650"/>
      <c r="F37" s="650"/>
      <c r="G37" s="650"/>
      <c r="H37" s="650"/>
      <c r="I37" s="650"/>
      <c r="J37" s="650"/>
      <c r="K37" s="650"/>
      <c r="L37" s="650"/>
      <c r="M37" s="650"/>
      <c r="N37" s="650"/>
      <c r="O37" s="650"/>
      <c r="P37" s="650"/>
      <c r="Q37" s="650"/>
      <c r="R37" s="650"/>
      <c r="S37" s="650"/>
      <c r="T37" s="650"/>
      <c r="U37" s="650"/>
      <c r="V37" s="650"/>
      <c r="W37" s="650"/>
      <c r="X37" s="650"/>
      <c r="Y37" s="650"/>
      <c r="Z37" s="650"/>
      <c r="AA37" s="650"/>
      <c r="AB37" s="650"/>
      <c r="AC37" s="650"/>
      <c r="AD37" s="650"/>
      <c r="AE37" s="650"/>
      <c r="AF37" s="650"/>
      <c r="AG37" s="650"/>
      <c r="AH37" s="650"/>
      <c r="AI37" s="650"/>
      <c r="AJ37" s="650"/>
      <c r="AK37" s="650"/>
      <c r="AL37" s="650"/>
      <c r="AM37" s="650"/>
      <c r="AN37" s="650"/>
      <c r="AO37" s="650"/>
      <c r="AP37" s="650"/>
      <c r="AQ37" s="650"/>
      <c r="AR37" s="650"/>
      <c r="AS37" s="650"/>
      <c r="AT37" s="650"/>
      <c r="AU37" s="650"/>
      <c r="AV37" s="650"/>
      <c r="AW37" s="650"/>
      <c r="AX37" s="650"/>
      <c r="AY37" s="650"/>
      <c r="AZ37" s="650"/>
      <c r="BA37" s="650"/>
      <c r="BB37" s="650"/>
      <c r="BC37" s="650"/>
      <c r="BD37" s="650"/>
      <c r="BE37" s="650"/>
      <c r="BF37" s="650"/>
      <c r="BG37" s="650"/>
      <c r="BH37" s="650"/>
      <c r="BI37" s="650"/>
      <c r="BJ37" s="650"/>
      <c r="BK37" s="650"/>
      <c r="BL37" s="650"/>
      <c r="BM37" s="650"/>
      <c r="BN37" s="650"/>
      <c r="BO37" s="650"/>
      <c r="BP37" s="650"/>
      <c r="BQ37" s="650"/>
      <c r="BR37" s="650"/>
      <c r="BS37" s="650"/>
      <c r="BT37" s="650"/>
      <c r="BU37" s="650"/>
      <c r="BV37" s="650"/>
      <c r="BW37" s="650"/>
      <c r="BX37" s="650"/>
      <c r="BY37" s="650"/>
      <c r="BZ37" s="650"/>
      <c r="CA37" s="650"/>
      <c r="CB37" s="650"/>
      <c r="CC37" s="650"/>
      <c r="CD37" s="650"/>
      <c r="CE37" s="650"/>
      <c r="CF37" s="650"/>
      <c r="CG37" s="650"/>
      <c r="CH37" s="650"/>
      <c r="CI37" s="650"/>
      <c r="CJ37" s="650"/>
      <c r="CK37" s="650"/>
      <c r="CL37" s="650"/>
      <c r="CM37" s="650"/>
      <c r="CN37" s="650"/>
      <c r="CO37" s="650"/>
      <c r="CP37" s="650"/>
      <c r="CQ37" s="650"/>
      <c r="CR37" s="650"/>
      <c r="CS37" s="650"/>
      <c r="CT37" s="650"/>
      <c r="CU37" s="650"/>
      <c r="CV37" s="650"/>
      <c r="CW37" s="650"/>
      <c r="CX37" s="650"/>
      <c r="CY37" s="650"/>
      <c r="CZ37" s="650"/>
      <c r="DA37" s="650"/>
      <c r="DB37" s="650"/>
      <c r="DC37" s="650"/>
      <c r="DD37" s="650"/>
      <c r="DE37" s="650"/>
      <c r="DF37" s="650"/>
      <c r="DG37" s="650"/>
      <c r="DH37" s="650"/>
      <c r="DI37" s="650"/>
      <c r="DJ37" s="650"/>
      <c r="DK37" s="650"/>
      <c r="DL37" s="650"/>
      <c r="DM37" s="650"/>
      <c r="DN37" s="650"/>
      <c r="DO37" s="650"/>
      <c r="DP37" s="650"/>
      <c r="DQ37" s="650"/>
      <c r="DR37" s="650"/>
      <c r="DS37" s="650"/>
      <c r="DT37" s="650"/>
      <c r="DU37" s="650"/>
      <c r="DV37" s="650"/>
      <c r="DW37" s="650"/>
      <c r="DX37" s="650"/>
      <c r="DY37" s="650"/>
      <c r="DZ37" s="650"/>
      <c r="EA37" s="650"/>
      <c r="EB37" s="650"/>
      <c r="EC37" s="650"/>
      <c r="ED37" s="650"/>
      <c r="EE37" s="650"/>
      <c r="EF37" s="650"/>
      <c r="EG37" s="650"/>
      <c r="EH37" s="650"/>
      <c r="EI37" s="650"/>
      <c r="EJ37" s="650"/>
      <c r="EK37" s="650"/>
      <c r="EL37" s="650"/>
      <c r="EM37" s="650"/>
      <c r="EN37" s="650"/>
      <c r="EO37" s="650"/>
      <c r="EP37" s="650"/>
      <c r="EQ37" s="650"/>
      <c r="ER37" s="650"/>
      <c r="ES37" s="650"/>
      <c r="ET37" s="650"/>
      <c r="EU37" s="650"/>
      <c r="EV37" s="650"/>
      <c r="EW37" s="650"/>
      <c r="EX37" s="650"/>
      <c r="EY37" s="650"/>
      <c r="EZ37" s="650"/>
      <c r="FA37" s="650"/>
      <c r="FB37" s="650"/>
      <c r="FC37" s="650"/>
      <c r="FD37" s="650"/>
      <c r="FE37" s="650"/>
      <c r="FF37" s="650"/>
      <c r="FG37" s="650"/>
      <c r="FH37" s="650"/>
      <c r="FI37" s="650"/>
      <c r="FJ37" s="650"/>
      <c r="FK37" s="650"/>
      <c r="FL37" s="650"/>
      <c r="FM37" s="650"/>
      <c r="FN37" s="650"/>
      <c r="FO37" s="650"/>
      <c r="FP37" s="650"/>
      <c r="FQ37" s="650"/>
      <c r="FR37" s="650"/>
      <c r="FS37" s="650"/>
      <c r="FT37" s="650"/>
      <c r="FU37" s="650"/>
      <c r="FV37" s="650"/>
      <c r="FW37" s="650"/>
      <c r="FX37" s="650"/>
      <c r="FY37" s="650"/>
      <c r="FZ37" s="650"/>
      <c r="GA37" s="650"/>
      <c r="GB37" s="650"/>
      <c r="GC37" s="650"/>
      <c r="GD37" s="650"/>
      <c r="GE37" s="650"/>
      <c r="GF37" s="650"/>
      <c r="GG37" s="650"/>
      <c r="GH37" s="650"/>
      <c r="GI37" s="650"/>
      <c r="GJ37" s="650"/>
      <c r="GK37" s="650"/>
      <c r="GL37" s="650"/>
      <c r="GM37" s="650"/>
      <c r="GN37" s="650"/>
      <c r="GO37" s="650"/>
      <c r="GP37" s="650"/>
      <c r="GQ37" s="650"/>
      <c r="GR37" s="650"/>
      <c r="GS37" s="650"/>
      <c r="GT37" s="650"/>
      <c r="GU37" s="650"/>
    </row>
    <row r="38" spans="1:205" ht="3.75" customHeight="1" x14ac:dyDescent="0.25">
      <c r="B38" s="650"/>
      <c r="C38" s="650"/>
      <c r="D38" s="650"/>
      <c r="E38" s="650"/>
      <c r="F38" s="650"/>
      <c r="G38" s="650"/>
      <c r="H38" s="650"/>
      <c r="I38" s="650"/>
      <c r="J38" s="650"/>
      <c r="K38" s="650"/>
      <c r="L38" s="650"/>
      <c r="M38" s="650"/>
      <c r="N38" s="650"/>
      <c r="O38" s="650"/>
      <c r="P38" s="650"/>
      <c r="Q38" s="650"/>
      <c r="R38" s="650"/>
      <c r="S38" s="650"/>
      <c r="T38" s="650"/>
      <c r="U38" s="650"/>
      <c r="V38" s="650"/>
      <c r="W38" s="650"/>
      <c r="X38" s="650"/>
      <c r="Y38" s="650"/>
      <c r="Z38" s="650"/>
      <c r="AA38" s="650"/>
      <c r="AB38" s="650"/>
      <c r="AC38" s="650"/>
      <c r="AD38" s="650"/>
      <c r="AE38" s="650"/>
      <c r="AF38" s="650"/>
      <c r="AG38" s="650"/>
      <c r="AH38" s="650"/>
      <c r="AI38" s="650"/>
      <c r="AJ38" s="650"/>
      <c r="AK38" s="650"/>
      <c r="AL38" s="650"/>
      <c r="AM38" s="650"/>
      <c r="AN38" s="650"/>
      <c r="AO38" s="650"/>
      <c r="AP38" s="650"/>
      <c r="AQ38" s="650"/>
      <c r="AR38" s="650"/>
      <c r="AS38" s="650"/>
      <c r="AT38" s="650"/>
      <c r="AU38" s="650"/>
      <c r="AV38" s="650"/>
      <c r="AW38" s="650"/>
      <c r="AX38" s="650"/>
      <c r="AY38" s="650"/>
      <c r="AZ38" s="650"/>
      <c r="BA38" s="650"/>
      <c r="BB38" s="650"/>
      <c r="BC38" s="650"/>
      <c r="BD38" s="650"/>
      <c r="BE38" s="650"/>
      <c r="BF38" s="650"/>
      <c r="BG38" s="650"/>
      <c r="BH38" s="650"/>
      <c r="BI38" s="650"/>
      <c r="BJ38" s="650"/>
      <c r="BK38" s="650"/>
      <c r="BL38" s="650"/>
      <c r="BM38" s="650"/>
      <c r="BN38" s="650"/>
      <c r="BO38" s="650"/>
      <c r="BP38" s="650"/>
      <c r="BQ38" s="650"/>
      <c r="BR38" s="650"/>
      <c r="BS38" s="650"/>
      <c r="BT38" s="650"/>
      <c r="BU38" s="650"/>
      <c r="BV38" s="650"/>
      <c r="BW38" s="650"/>
      <c r="BX38" s="650"/>
      <c r="BY38" s="650"/>
      <c r="BZ38" s="650"/>
      <c r="CA38" s="650"/>
      <c r="CB38" s="650"/>
      <c r="CC38" s="650"/>
      <c r="CD38" s="650"/>
      <c r="CE38" s="650"/>
      <c r="CF38" s="650"/>
      <c r="CG38" s="650"/>
      <c r="CH38" s="650"/>
      <c r="CI38" s="650"/>
      <c r="CJ38" s="650"/>
      <c r="CK38" s="650"/>
      <c r="CL38" s="650"/>
      <c r="CM38" s="650"/>
      <c r="CN38" s="650"/>
      <c r="CO38" s="650"/>
      <c r="CP38" s="650"/>
      <c r="CQ38" s="650"/>
      <c r="CR38" s="650"/>
      <c r="CS38" s="650"/>
      <c r="CT38" s="650"/>
      <c r="CU38" s="650"/>
      <c r="CV38" s="650"/>
      <c r="CW38" s="650"/>
      <c r="CX38" s="650"/>
      <c r="CY38" s="650"/>
      <c r="CZ38" s="650"/>
      <c r="DA38" s="650"/>
      <c r="DB38" s="650"/>
      <c r="DC38" s="650"/>
      <c r="DD38" s="650"/>
      <c r="DE38" s="650"/>
      <c r="DF38" s="650"/>
      <c r="DG38" s="650"/>
      <c r="DH38" s="650"/>
      <c r="DI38" s="650"/>
      <c r="DJ38" s="650"/>
      <c r="DK38" s="650"/>
      <c r="DL38" s="650"/>
      <c r="DM38" s="650"/>
      <c r="DN38" s="650"/>
      <c r="DO38" s="650"/>
      <c r="DP38" s="650"/>
      <c r="DQ38" s="650"/>
      <c r="DR38" s="650"/>
      <c r="DS38" s="650"/>
      <c r="DT38" s="650"/>
      <c r="DU38" s="650"/>
      <c r="DV38" s="650"/>
      <c r="DW38" s="650"/>
      <c r="DX38" s="650"/>
      <c r="DY38" s="650"/>
      <c r="DZ38" s="650"/>
      <c r="EA38" s="650"/>
      <c r="EB38" s="650"/>
      <c r="EC38" s="650"/>
      <c r="ED38" s="650"/>
      <c r="EE38" s="650"/>
      <c r="EF38" s="650"/>
      <c r="EG38" s="650"/>
      <c r="EH38" s="650"/>
      <c r="EI38" s="650"/>
      <c r="EJ38" s="650"/>
      <c r="EK38" s="650"/>
      <c r="EL38" s="650"/>
      <c r="EM38" s="650"/>
      <c r="EN38" s="650"/>
      <c r="EO38" s="650"/>
      <c r="EP38" s="650"/>
      <c r="EQ38" s="650"/>
      <c r="ER38" s="650"/>
      <c r="ES38" s="650"/>
      <c r="ET38" s="650"/>
      <c r="EU38" s="650"/>
      <c r="EV38" s="650"/>
      <c r="EW38" s="650"/>
      <c r="EX38" s="650"/>
      <c r="EY38" s="650"/>
      <c r="EZ38" s="650"/>
      <c r="FA38" s="650"/>
      <c r="FB38" s="650"/>
      <c r="FC38" s="650"/>
      <c r="FD38" s="650"/>
      <c r="FE38" s="650"/>
      <c r="FF38" s="650"/>
      <c r="FG38" s="650"/>
      <c r="FH38" s="650"/>
      <c r="FI38" s="650"/>
      <c r="FJ38" s="650"/>
      <c r="FK38" s="650"/>
      <c r="FL38" s="650"/>
      <c r="FM38" s="650"/>
      <c r="FN38" s="650"/>
      <c r="FO38" s="650"/>
      <c r="FP38" s="650"/>
      <c r="FQ38" s="650"/>
      <c r="FR38" s="650"/>
      <c r="FS38" s="650"/>
      <c r="FT38" s="650"/>
      <c r="FU38" s="650"/>
      <c r="FV38" s="650"/>
      <c r="FW38" s="650"/>
      <c r="FX38" s="650"/>
      <c r="FY38" s="650"/>
      <c r="FZ38" s="650"/>
      <c r="GA38" s="650"/>
      <c r="GB38" s="650"/>
      <c r="GC38" s="650"/>
      <c r="GD38" s="650"/>
      <c r="GE38" s="650"/>
      <c r="GF38" s="650"/>
      <c r="GG38" s="650"/>
      <c r="GH38" s="650"/>
      <c r="GI38" s="650"/>
      <c r="GJ38" s="650"/>
      <c r="GK38" s="650"/>
      <c r="GL38" s="650"/>
      <c r="GM38" s="650"/>
      <c r="GN38" s="650"/>
      <c r="GO38" s="650"/>
      <c r="GP38" s="650"/>
      <c r="GQ38" s="650"/>
      <c r="GR38" s="650"/>
      <c r="GS38" s="650"/>
      <c r="GT38" s="650"/>
      <c r="GU38" s="650"/>
    </row>
    <row r="39" spans="1:205" ht="3.75" customHeight="1" x14ac:dyDescent="0.25"/>
    <row r="40" spans="1:205" ht="3.75" customHeight="1" x14ac:dyDescent="0.25"/>
    <row r="41" spans="1:205" ht="3.75" customHeight="1" x14ac:dyDescent="0.25"/>
    <row r="42" spans="1:205" ht="3.75" customHeight="1" x14ac:dyDescent="0.25"/>
    <row r="43" spans="1:205" ht="3.75" customHeight="1" x14ac:dyDescent="0.25"/>
    <row r="44" spans="1:205" ht="3.75" customHeight="1" x14ac:dyDescent="0.25"/>
    <row r="45" spans="1:205" ht="3.75" customHeight="1" x14ac:dyDescent="0.25"/>
    <row r="46" spans="1:205" ht="3.75" customHeight="1" x14ac:dyDescent="0.25"/>
    <row r="47" spans="1:205" ht="3.75" customHeight="1" x14ac:dyDescent="0.25"/>
    <row r="48" spans="1:205" ht="3.75" customHeight="1" x14ac:dyDescent="0.25"/>
    <row r="49" spans="43:43" ht="3.75" customHeight="1" x14ac:dyDescent="0.25"/>
    <row r="50" spans="43:43" ht="3.75" customHeight="1" x14ac:dyDescent="0.25"/>
    <row r="51" spans="43:43" ht="3.75" customHeight="1" x14ac:dyDescent="0.25"/>
    <row r="52" spans="43:43" ht="3.75" customHeight="1" x14ac:dyDescent="0.25">
      <c r="AQ52" s="659">
        <v>57</v>
      </c>
    </row>
    <row r="53" spans="43:43" ht="3.75" customHeight="1" x14ac:dyDescent="0.25"/>
    <row r="54" spans="43:43" ht="3.75" customHeight="1" x14ac:dyDescent="0.25"/>
    <row r="55" spans="43:43" ht="3.75" customHeight="1" x14ac:dyDescent="0.25"/>
    <row r="56" spans="43:43" ht="3.75" customHeight="1" x14ac:dyDescent="0.25"/>
    <row r="57" spans="43:43" ht="3.75" customHeight="1" x14ac:dyDescent="0.25"/>
    <row r="58" spans="43:43" ht="3.75" customHeight="1" x14ac:dyDescent="0.25"/>
    <row r="59" spans="43:43" ht="3.75" customHeight="1" x14ac:dyDescent="0.25"/>
    <row r="60" spans="43:43" ht="3.75" customHeight="1" x14ac:dyDescent="0.25"/>
    <row r="61" spans="43:43" ht="3.75" customHeight="1" x14ac:dyDescent="0.25"/>
    <row r="62" spans="43:43" ht="3.75" customHeight="1" x14ac:dyDescent="0.25"/>
    <row r="63" spans="43:43" ht="3.75" customHeight="1" x14ac:dyDescent="0.25"/>
    <row r="64" spans="43:43" ht="3.75" customHeight="1" x14ac:dyDescent="0.25"/>
    <row r="65" ht="3.75" customHeight="1" x14ac:dyDescent="0.25"/>
    <row r="66" ht="3.75" customHeight="1" x14ac:dyDescent="0.25"/>
    <row r="67" ht="3.75" customHeight="1" x14ac:dyDescent="0.25"/>
    <row r="68" ht="3.75" customHeight="1" x14ac:dyDescent="0.25"/>
    <row r="69" ht="3.75" customHeight="1" x14ac:dyDescent="0.25"/>
    <row r="70" ht="3.75" customHeight="1" x14ac:dyDescent="0.25"/>
    <row r="71" ht="3.75" customHeight="1" x14ac:dyDescent="0.25"/>
    <row r="72" ht="3.75" customHeight="1" x14ac:dyDescent="0.25"/>
    <row r="73" ht="3.75" customHeight="1" x14ac:dyDescent="0.25"/>
    <row r="74" ht="3.75" customHeight="1" x14ac:dyDescent="0.25"/>
    <row r="75" ht="3.75" customHeight="1" x14ac:dyDescent="0.25"/>
    <row r="76" ht="3.75" customHeight="1" x14ac:dyDescent="0.25"/>
    <row r="77" ht="3.75" customHeight="1" x14ac:dyDescent="0.25"/>
    <row r="78" ht="3.75" customHeight="1" x14ac:dyDescent="0.25"/>
    <row r="79" ht="3.75" customHeight="1" x14ac:dyDescent="0.25"/>
    <row r="80" ht="3.75" customHeight="1" x14ac:dyDescent="0.25"/>
    <row r="81" ht="3.75" customHeight="1" x14ac:dyDescent="0.25"/>
    <row r="82" ht="3.75" customHeight="1" x14ac:dyDescent="0.25"/>
    <row r="83" ht="3.75" customHeight="1" x14ac:dyDescent="0.25"/>
    <row r="84" ht="3.75" customHeight="1" x14ac:dyDescent="0.25"/>
    <row r="85" ht="3.75" customHeight="1" x14ac:dyDescent="0.25"/>
    <row r="86" ht="3.75" customHeight="1" x14ac:dyDescent="0.25"/>
    <row r="87" ht="3.75" customHeight="1" x14ac:dyDescent="0.25"/>
    <row r="88" ht="3.75" customHeight="1" x14ac:dyDescent="0.25"/>
    <row r="89" ht="3.75" customHeight="1" x14ac:dyDescent="0.25"/>
    <row r="90" ht="3.75" customHeight="1" x14ac:dyDescent="0.25"/>
    <row r="91" ht="3.75" customHeight="1" x14ac:dyDescent="0.25"/>
    <row r="92" ht="3.75" customHeight="1" x14ac:dyDescent="0.25"/>
    <row r="93" ht="3.75" customHeight="1" x14ac:dyDescent="0.25"/>
    <row r="94" ht="3.75" customHeight="1" x14ac:dyDescent="0.25"/>
    <row r="95" ht="3.75" customHeight="1" x14ac:dyDescent="0.25"/>
    <row r="96" ht="3.75" customHeight="1" x14ac:dyDescent="0.25"/>
    <row r="97" ht="3.75" customHeight="1" x14ac:dyDescent="0.25"/>
    <row r="98" ht="3.75" customHeight="1" x14ac:dyDescent="0.25"/>
    <row r="99" ht="3.75" customHeight="1" x14ac:dyDescent="0.25"/>
    <row r="100" ht="3.75" customHeight="1" x14ac:dyDescent="0.25"/>
    <row r="101" ht="3.75" customHeight="1" x14ac:dyDescent="0.25"/>
    <row r="102" ht="3.75" customHeight="1" x14ac:dyDescent="0.25"/>
    <row r="103" ht="3.75" customHeight="1" x14ac:dyDescent="0.25"/>
    <row r="104" ht="3.75" customHeight="1" x14ac:dyDescent="0.25"/>
    <row r="105" ht="3.75" customHeight="1" x14ac:dyDescent="0.25"/>
    <row r="106" ht="3.75" customHeight="1" x14ac:dyDescent="0.25"/>
    <row r="107" ht="3.75" customHeight="1" x14ac:dyDescent="0.25"/>
    <row r="108" ht="3.75" customHeight="1" x14ac:dyDescent="0.25"/>
    <row r="109" ht="3.75" customHeight="1" x14ac:dyDescent="0.25"/>
    <row r="110" ht="3.75" customHeight="1" x14ac:dyDescent="0.25"/>
    <row r="111" ht="3.75" customHeight="1" x14ac:dyDescent="0.25"/>
    <row r="112" ht="3.75" customHeight="1" x14ac:dyDescent="0.25"/>
    <row r="113" ht="3.75" customHeight="1" x14ac:dyDescent="0.25"/>
    <row r="114" ht="3.75" customHeight="1" x14ac:dyDescent="0.25"/>
    <row r="115" ht="3.75" customHeight="1" x14ac:dyDescent="0.25"/>
    <row r="116" ht="3.75" customHeight="1" x14ac:dyDescent="0.25"/>
    <row r="117" ht="3.75" customHeight="1" x14ac:dyDescent="0.25"/>
    <row r="118" ht="3.75" customHeight="1" x14ac:dyDescent="0.25"/>
    <row r="119" ht="3.75" customHeight="1" x14ac:dyDescent="0.25"/>
    <row r="120" ht="3.75" customHeight="1" x14ac:dyDescent="0.25"/>
    <row r="121" ht="3.75" customHeight="1" x14ac:dyDescent="0.25"/>
    <row r="122" ht="3.75" customHeight="1" x14ac:dyDescent="0.25"/>
    <row r="123" ht="3.75" customHeight="1" x14ac:dyDescent="0.25"/>
    <row r="124" ht="3.75" customHeight="1" x14ac:dyDescent="0.25"/>
    <row r="125" ht="3.75" customHeight="1" x14ac:dyDescent="0.25"/>
    <row r="126" ht="3.75" customHeight="1" x14ac:dyDescent="0.25"/>
    <row r="127" ht="3.75" customHeight="1" x14ac:dyDescent="0.25"/>
    <row r="128" ht="3.75" customHeight="1" x14ac:dyDescent="0.25"/>
    <row r="129" ht="3.75" customHeight="1" x14ac:dyDescent="0.25"/>
    <row r="130" ht="3.75" customHeight="1" x14ac:dyDescent="0.25"/>
    <row r="131" ht="3.75" customHeight="1" x14ac:dyDescent="0.25"/>
    <row r="132" ht="3.75" customHeight="1" x14ac:dyDescent="0.25"/>
    <row r="133" ht="3.75" customHeight="1" x14ac:dyDescent="0.25"/>
    <row r="134" ht="3.75" customHeight="1" x14ac:dyDescent="0.25"/>
    <row r="135" ht="3.75" customHeight="1" x14ac:dyDescent="0.25"/>
    <row r="136" ht="3.75" customHeight="1" x14ac:dyDescent="0.25"/>
    <row r="137" ht="3.75" customHeight="1" x14ac:dyDescent="0.25"/>
    <row r="138" ht="3.75" customHeight="1" x14ac:dyDescent="0.25"/>
    <row r="139" ht="3.75" customHeight="1" x14ac:dyDescent="0.25"/>
    <row r="140" ht="3.75" customHeight="1" x14ac:dyDescent="0.25"/>
    <row r="141" ht="3.75" customHeight="1" x14ac:dyDescent="0.25"/>
    <row r="142" ht="3.75" customHeight="1" x14ac:dyDescent="0.25"/>
    <row r="143" ht="3.75" customHeight="1" x14ac:dyDescent="0.25"/>
    <row r="144" ht="3.75" customHeight="1" x14ac:dyDescent="0.25"/>
    <row r="145" spans="10:10" ht="3.75" customHeight="1" x14ac:dyDescent="0.25"/>
    <row r="146" spans="10:10" ht="3.75" customHeight="1" x14ac:dyDescent="0.25"/>
    <row r="147" spans="10:10" ht="3.75" customHeight="1" x14ac:dyDescent="0.25">
      <c r="J147" s="659">
        <v>33</v>
      </c>
    </row>
  </sheetData>
  <mergeCells count="713">
    <mergeCell ref="FG35:FK35"/>
    <mergeCell ref="FL35:FQ35"/>
    <mergeCell ref="FR35:FV35"/>
    <mergeCell ref="FW35:GB35"/>
    <mergeCell ref="GC35:GG35"/>
    <mergeCell ref="GH35:GM35"/>
    <mergeCell ref="GN35:GR35"/>
    <mergeCell ref="GS35:GW35"/>
    <mergeCell ref="FL34:FQ34"/>
    <mergeCell ref="FR34:FV34"/>
    <mergeCell ref="FW34:GB34"/>
    <mergeCell ref="GC34:GG34"/>
    <mergeCell ref="GH34:GM34"/>
    <mergeCell ref="GN34:GR34"/>
    <mergeCell ref="GS34:GW34"/>
    <mergeCell ref="B35:K35"/>
    <mergeCell ref="L35:BV35"/>
    <mergeCell ref="BW35:CD35"/>
    <mergeCell ref="CE35:CI35"/>
    <mergeCell ref="CJ35:CO35"/>
    <mergeCell ref="CP35:CT35"/>
    <mergeCell ref="CU35:CZ35"/>
    <mergeCell ref="DA35:DE35"/>
    <mergeCell ref="DF35:DK35"/>
    <mergeCell ref="DL35:DQ35"/>
    <mergeCell ref="DR35:DV35"/>
    <mergeCell ref="DW35:EB35"/>
    <mergeCell ref="EC35:EG35"/>
    <mergeCell ref="EH35:EM35"/>
    <mergeCell ref="EP35:EU35"/>
    <mergeCell ref="EV35:EZ35"/>
    <mergeCell ref="FA35:FF35"/>
    <mergeCell ref="DL34:DQ34"/>
    <mergeCell ref="DR34:DV34"/>
    <mergeCell ref="DW34:EB34"/>
    <mergeCell ref="EC34:EG34"/>
    <mergeCell ref="EH34:EM34"/>
    <mergeCell ref="EP34:EU34"/>
    <mergeCell ref="EV34:EZ34"/>
    <mergeCell ref="FA34:FF34"/>
    <mergeCell ref="FG34:FK34"/>
    <mergeCell ref="B34:K34"/>
    <mergeCell ref="L34:BV34"/>
    <mergeCell ref="BW34:CD34"/>
    <mergeCell ref="CE34:CI34"/>
    <mergeCell ref="CJ34:CO34"/>
    <mergeCell ref="CP34:CT34"/>
    <mergeCell ref="CU34:CZ34"/>
    <mergeCell ref="DA34:DE34"/>
    <mergeCell ref="DF34:DK34"/>
    <mergeCell ref="FA33:FF33"/>
    <mergeCell ref="FG33:FK33"/>
    <mergeCell ref="FL33:FQ33"/>
    <mergeCell ref="FR33:FV33"/>
    <mergeCell ref="FW33:GB33"/>
    <mergeCell ref="GC33:GG33"/>
    <mergeCell ref="GH33:GM33"/>
    <mergeCell ref="GN33:GR33"/>
    <mergeCell ref="GS33:GW33"/>
    <mergeCell ref="FG32:FK32"/>
    <mergeCell ref="FL32:FQ32"/>
    <mergeCell ref="FR32:FV32"/>
    <mergeCell ref="FW32:GB32"/>
    <mergeCell ref="GC32:GG32"/>
    <mergeCell ref="GH32:GM32"/>
    <mergeCell ref="GN32:GR32"/>
    <mergeCell ref="GS32:GW32"/>
    <mergeCell ref="B33:K33"/>
    <mergeCell ref="L33:BV33"/>
    <mergeCell ref="BW33:CD33"/>
    <mergeCell ref="CE33:CI33"/>
    <mergeCell ref="CJ33:CO33"/>
    <mergeCell ref="CP33:CT33"/>
    <mergeCell ref="CU33:CZ33"/>
    <mergeCell ref="DA33:DE33"/>
    <mergeCell ref="DF33:DK33"/>
    <mergeCell ref="DL33:DQ33"/>
    <mergeCell ref="DR33:DV33"/>
    <mergeCell ref="DW33:EB33"/>
    <mergeCell ref="EC33:EG33"/>
    <mergeCell ref="EH33:EM33"/>
    <mergeCell ref="EP33:EU33"/>
    <mergeCell ref="EV33:EZ33"/>
    <mergeCell ref="FL31:FQ31"/>
    <mergeCell ref="FR31:FV31"/>
    <mergeCell ref="FW31:GB31"/>
    <mergeCell ref="GC31:GG31"/>
    <mergeCell ref="GH31:GM31"/>
    <mergeCell ref="GN31:GR31"/>
    <mergeCell ref="GS31:GW31"/>
    <mergeCell ref="B32:K32"/>
    <mergeCell ref="L32:BV32"/>
    <mergeCell ref="BW32:CD32"/>
    <mergeCell ref="CE32:CI32"/>
    <mergeCell ref="CJ32:CO32"/>
    <mergeCell ref="CP32:CT32"/>
    <mergeCell ref="CU32:CZ32"/>
    <mergeCell ref="DA32:DE32"/>
    <mergeCell ref="DF32:DK32"/>
    <mergeCell ref="DL32:DQ32"/>
    <mergeCell ref="DR32:DV32"/>
    <mergeCell ref="DW32:EB32"/>
    <mergeCell ref="EC32:EG32"/>
    <mergeCell ref="EH32:EM32"/>
    <mergeCell ref="EP32:EU32"/>
    <mergeCell ref="EV32:EZ32"/>
    <mergeCell ref="FA32:FF32"/>
    <mergeCell ref="DL31:DQ31"/>
    <mergeCell ref="DR31:DV31"/>
    <mergeCell ref="DW31:EB31"/>
    <mergeCell ref="EC31:EG31"/>
    <mergeCell ref="EH31:EM31"/>
    <mergeCell ref="EP31:EU31"/>
    <mergeCell ref="EV31:EZ31"/>
    <mergeCell ref="FA31:FF31"/>
    <mergeCell ref="FG31:FK31"/>
    <mergeCell ref="B31:K31"/>
    <mergeCell ref="L31:BV31"/>
    <mergeCell ref="BW31:CD31"/>
    <mergeCell ref="CE31:CI31"/>
    <mergeCell ref="CJ31:CO31"/>
    <mergeCell ref="CP31:CT31"/>
    <mergeCell ref="CU31:CZ31"/>
    <mergeCell ref="DA31:DE31"/>
    <mergeCell ref="DF31:DK31"/>
    <mergeCell ref="FA30:FF30"/>
    <mergeCell ref="FG30:FK30"/>
    <mergeCell ref="FL30:FQ30"/>
    <mergeCell ref="FR30:FV30"/>
    <mergeCell ref="FW30:GB30"/>
    <mergeCell ref="GC30:GG30"/>
    <mergeCell ref="GH30:GM30"/>
    <mergeCell ref="GN30:GR30"/>
    <mergeCell ref="GS30:GW30"/>
    <mergeCell ref="FG29:FK29"/>
    <mergeCell ref="FL29:FQ29"/>
    <mergeCell ref="FR29:FV29"/>
    <mergeCell ref="FW29:GB29"/>
    <mergeCell ref="GC29:GG29"/>
    <mergeCell ref="GH29:GM29"/>
    <mergeCell ref="GN29:GR29"/>
    <mergeCell ref="GS29:GW29"/>
    <mergeCell ref="B30:K30"/>
    <mergeCell ref="L30:BV30"/>
    <mergeCell ref="BW30:CD30"/>
    <mergeCell ref="CE30:CI30"/>
    <mergeCell ref="CJ30:CO30"/>
    <mergeCell ref="CP30:CT30"/>
    <mergeCell ref="CU30:CZ30"/>
    <mergeCell ref="DA30:DE30"/>
    <mergeCell ref="DF30:DK30"/>
    <mergeCell ref="DL30:DQ30"/>
    <mergeCell ref="DR30:DV30"/>
    <mergeCell ref="DW30:EB30"/>
    <mergeCell ref="EC30:EG30"/>
    <mergeCell ref="EH30:EM30"/>
    <mergeCell ref="EP30:EU30"/>
    <mergeCell ref="EV30:EZ30"/>
    <mergeCell ref="FL28:FQ28"/>
    <mergeCell ref="FR28:FV28"/>
    <mergeCell ref="FW28:GB28"/>
    <mergeCell ref="GC28:GG28"/>
    <mergeCell ref="GH28:GM28"/>
    <mergeCell ref="GN28:GR28"/>
    <mergeCell ref="GS28:GW28"/>
    <mergeCell ref="B29:K29"/>
    <mergeCell ref="L29:BV29"/>
    <mergeCell ref="BW29:CD29"/>
    <mergeCell ref="CE29:CI29"/>
    <mergeCell ref="CJ29:CO29"/>
    <mergeCell ref="CP29:CT29"/>
    <mergeCell ref="CU29:CZ29"/>
    <mergeCell ref="DA29:DE29"/>
    <mergeCell ref="DF29:DK29"/>
    <mergeCell ref="DL29:DQ29"/>
    <mergeCell ref="DR29:DV29"/>
    <mergeCell ref="DW29:EB29"/>
    <mergeCell ref="EC29:EG29"/>
    <mergeCell ref="EH29:EM29"/>
    <mergeCell ref="EP29:EU29"/>
    <mergeCell ref="EV29:EZ29"/>
    <mergeCell ref="FA29:FF29"/>
    <mergeCell ref="DL28:DQ28"/>
    <mergeCell ref="DR28:DV28"/>
    <mergeCell ref="DW28:EB28"/>
    <mergeCell ref="EC28:EG28"/>
    <mergeCell ref="EH28:EM28"/>
    <mergeCell ref="EP28:EU28"/>
    <mergeCell ref="EV28:EZ28"/>
    <mergeCell ref="FA28:FF28"/>
    <mergeCell ref="FG28:FK28"/>
    <mergeCell ref="B28:K28"/>
    <mergeCell ref="L28:BV28"/>
    <mergeCell ref="BW28:CD28"/>
    <mergeCell ref="CE28:CI28"/>
    <mergeCell ref="CJ28:CO28"/>
    <mergeCell ref="CP28:CT28"/>
    <mergeCell ref="CU28:CZ28"/>
    <mergeCell ref="DA28:DE28"/>
    <mergeCell ref="DF28:DK28"/>
    <mergeCell ref="FA27:FF27"/>
    <mergeCell ref="FG27:FK27"/>
    <mergeCell ref="FL27:FQ27"/>
    <mergeCell ref="FR27:FV27"/>
    <mergeCell ref="FW27:GB27"/>
    <mergeCell ref="GC27:GG27"/>
    <mergeCell ref="GH27:GM27"/>
    <mergeCell ref="GN27:GR27"/>
    <mergeCell ref="GS27:GW27"/>
    <mergeCell ref="FG26:FK26"/>
    <mergeCell ref="FL26:FQ26"/>
    <mergeCell ref="FR26:FV26"/>
    <mergeCell ref="FW26:GB26"/>
    <mergeCell ref="GC26:GG26"/>
    <mergeCell ref="GH26:GM26"/>
    <mergeCell ref="GN26:GR26"/>
    <mergeCell ref="GS26:GW26"/>
    <mergeCell ref="B27:K27"/>
    <mergeCell ref="L27:BV27"/>
    <mergeCell ref="BW27:CD27"/>
    <mergeCell ref="CE27:CI27"/>
    <mergeCell ref="CJ27:CO27"/>
    <mergeCell ref="CP27:CT27"/>
    <mergeCell ref="CU27:CZ27"/>
    <mergeCell ref="DA27:DE27"/>
    <mergeCell ref="DF27:DK27"/>
    <mergeCell ref="DL27:DQ27"/>
    <mergeCell ref="DR27:DV27"/>
    <mergeCell ref="DW27:EB27"/>
    <mergeCell ref="EC27:EG27"/>
    <mergeCell ref="EH27:EM27"/>
    <mergeCell ref="EP27:EU27"/>
    <mergeCell ref="EV27:EZ27"/>
    <mergeCell ref="FL25:FQ25"/>
    <mergeCell ref="FR25:FV25"/>
    <mergeCell ref="FW25:GB25"/>
    <mergeCell ref="GC25:GG25"/>
    <mergeCell ref="GH25:GM25"/>
    <mergeCell ref="GN25:GR25"/>
    <mergeCell ref="GS25:GW25"/>
    <mergeCell ref="B26:K26"/>
    <mergeCell ref="L26:BV26"/>
    <mergeCell ref="BW26:CD26"/>
    <mergeCell ref="CE26:CI26"/>
    <mergeCell ref="CJ26:CO26"/>
    <mergeCell ref="CP26:CT26"/>
    <mergeCell ref="CU26:CZ26"/>
    <mergeCell ref="DA26:DE26"/>
    <mergeCell ref="DF26:DK26"/>
    <mergeCell ref="DL26:DQ26"/>
    <mergeCell ref="DR26:DV26"/>
    <mergeCell ref="DW26:EB26"/>
    <mergeCell ref="EC26:EG26"/>
    <mergeCell ref="EH26:EM26"/>
    <mergeCell ref="EP26:EU26"/>
    <mergeCell ref="EV26:EZ26"/>
    <mergeCell ref="FA26:FF26"/>
    <mergeCell ref="DL25:DQ25"/>
    <mergeCell ref="DR25:DV25"/>
    <mergeCell ref="DW25:EB25"/>
    <mergeCell ref="EC25:EG25"/>
    <mergeCell ref="EH25:EM25"/>
    <mergeCell ref="EP25:EU25"/>
    <mergeCell ref="EV25:EZ25"/>
    <mergeCell ref="FA25:FF25"/>
    <mergeCell ref="FG25:FK25"/>
    <mergeCell ref="B25:K25"/>
    <mergeCell ref="L25:BV25"/>
    <mergeCell ref="BW25:CD25"/>
    <mergeCell ref="CE25:CI25"/>
    <mergeCell ref="CJ25:CO25"/>
    <mergeCell ref="CP25:CT25"/>
    <mergeCell ref="CU25:CZ25"/>
    <mergeCell ref="DA25:DE25"/>
    <mergeCell ref="DF25:DK25"/>
    <mergeCell ref="FD23:FI23"/>
    <mergeCell ref="FJ23:FN23"/>
    <mergeCell ref="FO23:FS23"/>
    <mergeCell ref="FT23:GW23"/>
    <mergeCell ref="B24:K24"/>
    <mergeCell ref="L24:BV24"/>
    <mergeCell ref="BW24:CD24"/>
    <mergeCell ref="CE24:EM24"/>
    <mergeCell ref="EN24:GW24"/>
    <mergeCell ref="FW22:GB22"/>
    <mergeCell ref="GC22:GG22"/>
    <mergeCell ref="GH22:GM22"/>
    <mergeCell ref="GN22:GR22"/>
    <mergeCell ref="GS22:GW22"/>
    <mergeCell ref="BA23:BF23"/>
    <mergeCell ref="BG23:BK23"/>
    <mergeCell ref="BL23:BQ23"/>
    <mergeCell ref="BR23:BV23"/>
    <mergeCell ref="BW23:CB23"/>
    <mergeCell ref="CC23:CG23"/>
    <mergeCell ref="CH23:CM23"/>
    <mergeCell ref="CN23:CR23"/>
    <mergeCell ref="CS23:CX23"/>
    <mergeCell ref="CY23:DC23"/>
    <mergeCell ref="DD23:DI23"/>
    <mergeCell ref="DL23:DQ23"/>
    <mergeCell ref="DR23:DV23"/>
    <mergeCell ref="DW23:EB23"/>
    <mergeCell ref="EC23:EG23"/>
    <mergeCell ref="EH23:EM23"/>
    <mergeCell ref="EN23:ER23"/>
    <mergeCell ref="ES23:EX23"/>
    <mergeCell ref="EY23:FC23"/>
    <mergeCell ref="CY22:DC22"/>
    <mergeCell ref="DD22:DI22"/>
    <mergeCell ref="DJ22:EM22"/>
    <mergeCell ref="EP22:EU22"/>
    <mergeCell ref="EV22:EZ22"/>
    <mergeCell ref="FA22:FF22"/>
    <mergeCell ref="FG22:FK22"/>
    <mergeCell ref="FL22:FQ22"/>
    <mergeCell ref="FR22:FV22"/>
    <mergeCell ref="BA22:BF22"/>
    <mergeCell ref="BG22:BK22"/>
    <mergeCell ref="BL22:BQ22"/>
    <mergeCell ref="BR22:BV22"/>
    <mergeCell ref="BW22:CB22"/>
    <mergeCell ref="CC22:CG22"/>
    <mergeCell ref="CH22:CM22"/>
    <mergeCell ref="CN22:CR22"/>
    <mergeCell ref="CS22:CX22"/>
    <mergeCell ref="EC21:EG21"/>
    <mergeCell ref="EH21:EM21"/>
    <mergeCell ref="EN21:ER21"/>
    <mergeCell ref="ES21:EX21"/>
    <mergeCell ref="EY21:FC21"/>
    <mergeCell ref="FD21:FI21"/>
    <mergeCell ref="FJ21:FN21"/>
    <mergeCell ref="FO21:FS21"/>
    <mergeCell ref="FT21:GW21"/>
    <mergeCell ref="FL20:FQ20"/>
    <mergeCell ref="FR20:FV20"/>
    <mergeCell ref="FW20:GB20"/>
    <mergeCell ref="GC20:GG20"/>
    <mergeCell ref="GH20:GM20"/>
    <mergeCell ref="GN20:GR20"/>
    <mergeCell ref="GS20:GW20"/>
    <mergeCell ref="B21:K22"/>
    <mergeCell ref="L21:AP22"/>
    <mergeCell ref="AQ21:AX22"/>
    <mergeCell ref="BA21:BF21"/>
    <mergeCell ref="BG21:BK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EH19:EM19"/>
    <mergeCell ref="EN19:ER19"/>
    <mergeCell ref="ES19:EX19"/>
    <mergeCell ref="EY19:FC19"/>
    <mergeCell ref="FD19:FI19"/>
    <mergeCell ref="FJ19:FN19"/>
    <mergeCell ref="FO19:FS19"/>
    <mergeCell ref="FT19:GW19"/>
    <mergeCell ref="BA20:BF20"/>
    <mergeCell ref="BG20:BK20"/>
    <mergeCell ref="BL20:BQ20"/>
    <mergeCell ref="BR20:BV20"/>
    <mergeCell ref="BW20:CB20"/>
    <mergeCell ref="CC20:CG20"/>
    <mergeCell ref="CH20:CM20"/>
    <mergeCell ref="CN20:CR20"/>
    <mergeCell ref="CS20:CX20"/>
    <mergeCell ref="CY20:DC20"/>
    <mergeCell ref="DD20:DI20"/>
    <mergeCell ref="DJ20:EM20"/>
    <mergeCell ref="EP20:EU20"/>
    <mergeCell ref="EV20:EZ20"/>
    <mergeCell ref="FA20:FF20"/>
    <mergeCell ref="FG20:FK20"/>
    <mergeCell ref="FR18:FV18"/>
    <mergeCell ref="FW18:GB18"/>
    <mergeCell ref="GC18:GG18"/>
    <mergeCell ref="GH18:GM18"/>
    <mergeCell ref="GN18:GR18"/>
    <mergeCell ref="GS18:GW18"/>
    <mergeCell ref="B19:K20"/>
    <mergeCell ref="L19:AP20"/>
    <mergeCell ref="AQ19:AX20"/>
    <mergeCell ref="BA19:BF19"/>
    <mergeCell ref="BG19:BK19"/>
    <mergeCell ref="BL19:BQ19"/>
    <mergeCell ref="BR19:BV19"/>
    <mergeCell ref="BW19:CB19"/>
    <mergeCell ref="CC19:CG19"/>
    <mergeCell ref="CH19:CM19"/>
    <mergeCell ref="CN19:CR19"/>
    <mergeCell ref="CS19:CX19"/>
    <mergeCell ref="CY19:DC19"/>
    <mergeCell ref="DD19:DI19"/>
    <mergeCell ref="DL19:DQ19"/>
    <mergeCell ref="DR19:DV19"/>
    <mergeCell ref="DW19:EB19"/>
    <mergeCell ref="EC19:EG19"/>
    <mergeCell ref="EN17:ER17"/>
    <mergeCell ref="ES17:EX17"/>
    <mergeCell ref="EY17:FC17"/>
    <mergeCell ref="FD17:FI17"/>
    <mergeCell ref="FJ17:FN17"/>
    <mergeCell ref="FO17:FS17"/>
    <mergeCell ref="FT17:GW17"/>
    <mergeCell ref="BA18:BF18"/>
    <mergeCell ref="BG18:BK18"/>
    <mergeCell ref="BL18:BQ18"/>
    <mergeCell ref="BR18:BV18"/>
    <mergeCell ref="BW18:CB18"/>
    <mergeCell ref="CC18:CG18"/>
    <mergeCell ref="CH18:CM18"/>
    <mergeCell ref="CN18:CR18"/>
    <mergeCell ref="CS18:CX18"/>
    <mergeCell ref="CY18:DC18"/>
    <mergeCell ref="DD18:DI18"/>
    <mergeCell ref="DJ18:EM18"/>
    <mergeCell ref="EP18:EU18"/>
    <mergeCell ref="EV18:EZ18"/>
    <mergeCell ref="FA18:FF18"/>
    <mergeCell ref="FG18:FK18"/>
    <mergeCell ref="FL18:FQ18"/>
    <mergeCell ref="FW16:GB16"/>
    <mergeCell ref="GC16:GG16"/>
    <mergeCell ref="GH16:GM16"/>
    <mergeCell ref="GN16:GR16"/>
    <mergeCell ref="GS16:GW16"/>
    <mergeCell ref="B17:K18"/>
    <mergeCell ref="L17:AP18"/>
    <mergeCell ref="AQ17:AX18"/>
    <mergeCell ref="BA17:BF17"/>
    <mergeCell ref="BG17:BK17"/>
    <mergeCell ref="BL17:BQ17"/>
    <mergeCell ref="BR17:BV17"/>
    <mergeCell ref="BW17:CB17"/>
    <mergeCell ref="CC17:CG17"/>
    <mergeCell ref="CH17:CM17"/>
    <mergeCell ref="CN17:CR17"/>
    <mergeCell ref="CS17:CX17"/>
    <mergeCell ref="CY17:DC17"/>
    <mergeCell ref="DD17:DI17"/>
    <mergeCell ref="DL17:DQ17"/>
    <mergeCell ref="DR17:DV17"/>
    <mergeCell ref="DW17:EB17"/>
    <mergeCell ref="EC17:EG17"/>
    <mergeCell ref="EH17:EM17"/>
    <mergeCell ref="CY16:DC16"/>
    <mergeCell ref="DD16:DI16"/>
    <mergeCell ref="DJ16:EM16"/>
    <mergeCell ref="EP16:EU16"/>
    <mergeCell ref="EV16:EZ16"/>
    <mergeCell ref="FA16:FF16"/>
    <mergeCell ref="FG16:FK16"/>
    <mergeCell ref="FL16:FQ16"/>
    <mergeCell ref="FR16:FV16"/>
    <mergeCell ref="BA16:BF16"/>
    <mergeCell ref="BG16:BK16"/>
    <mergeCell ref="BL16:BQ16"/>
    <mergeCell ref="BR16:BV16"/>
    <mergeCell ref="BW16:CB16"/>
    <mergeCell ref="CC16:CG16"/>
    <mergeCell ref="CH16:CM16"/>
    <mergeCell ref="CN16:CR16"/>
    <mergeCell ref="CS16:CX16"/>
    <mergeCell ref="EC15:EG15"/>
    <mergeCell ref="EH15:EM15"/>
    <mergeCell ref="EN15:ER15"/>
    <mergeCell ref="ES15:EX15"/>
    <mergeCell ref="EY15:FC15"/>
    <mergeCell ref="FD15:FI15"/>
    <mergeCell ref="FJ15:FN15"/>
    <mergeCell ref="FO15:FS15"/>
    <mergeCell ref="FT15:GW15"/>
    <mergeCell ref="FL14:FQ14"/>
    <mergeCell ref="FR14:FV14"/>
    <mergeCell ref="FW14:GB14"/>
    <mergeCell ref="GC14:GG14"/>
    <mergeCell ref="GH14:GM14"/>
    <mergeCell ref="GN14:GR14"/>
    <mergeCell ref="GS14:GW14"/>
    <mergeCell ref="B15:K16"/>
    <mergeCell ref="L15:AP16"/>
    <mergeCell ref="AQ15:AX16"/>
    <mergeCell ref="BA15:BF15"/>
    <mergeCell ref="BG15:BK15"/>
    <mergeCell ref="BL15:BQ15"/>
    <mergeCell ref="BR15:BV15"/>
    <mergeCell ref="BW15:CB15"/>
    <mergeCell ref="CC15:CG15"/>
    <mergeCell ref="CH15:CM15"/>
    <mergeCell ref="CN15:CR15"/>
    <mergeCell ref="CS15:CX15"/>
    <mergeCell ref="CY15:DC15"/>
    <mergeCell ref="DD15:DI15"/>
    <mergeCell ref="DL15:DQ15"/>
    <mergeCell ref="DR15:DV15"/>
    <mergeCell ref="DW15:EB15"/>
    <mergeCell ref="EH13:EM13"/>
    <mergeCell ref="EN13:ER13"/>
    <mergeCell ref="ES13:EX13"/>
    <mergeCell ref="EY13:FC13"/>
    <mergeCell ref="FD13:FI13"/>
    <mergeCell ref="FJ13:FN13"/>
    <mergeCell ref="FO13:FS13"/>
    <mergeCell ref="FT13:GW13"/>
    <mergeCell ref="BA14:BF14"/>
    <mergeCell ref="BG14:BK14"/>
    <mergeCell ref="BL14:BQ14"/>
    <mergeCell ref="BR14:BV14"/>
    <mergeCell ref="BW14:CB14"/>
    <mergeCell ref="CC14:CG14"/>
    <mergeCell ref="CH14:CM14"/>
    <mergeCell ref="CN14:CR14"/>
    <mergeCell ref="CS14:CX14"/>
    <mergeCell ref="CY14:DC14"/>
    <mergeCell ref="DD14:DI14"/>
    <mergeCell ref="DJ14:EM14"/>
    <mergeCell ref="EP14:EU14"/>
    <mergeCell ref="EV14:EZ14"/>
    <mergeCell ref="FA14:FF14"/>
    <mergeCell ref="FG14:FK14"/>
    <mergeCell ref="FR12:FV12"/>
    <mergeCell ref="FW12:GB12"/>
    <mergeCell ref="GC12:GG12"/>
    <mergeCell ref="GH12:GM12"/>
    <mergeCell ref="GN12:GR12"/>
    <mergeCell ref="GS12:GW12"/>
    <mergeCell ref="B13:K14"/>
    <mergeCell ref="L13:AP14"/>
    <mergeCell ref="AQ13:AX14"/>
    <mergeCell ref="BA13:BF13"/>
    <mergeCell ref="BG13:BK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EC13:EG13"/>
    <mergeCell ref="EN11:ER11"/>
    <mergeCell ref="ES11:EX11"/>
    <mergeCell ref="EY11:FC11"/>
    <mergeCell ref="FD11:FI11"/>
    <mergeCell ref="FJ11:FN11"/>
    <mergeCell ref="FO11:FS11"/>
    <mergeCell ref="FT11:GW11"/>
    <mergeCell ref="BA12:BF12"/>
    <mergeCell ref="BG12:BK12"/>
    <mergeCell ref="BL12:BQ12"/>
    <mergeCell ref="BR12:BV12"/>
    <mergeCell ref="BW12:CB12"/>
    <mergeCell ref="CC12:CG12"/>
    <mergeCell ref="CH12:CM12"/>
    <mergeCell ref="CN12:CR12"/>
    <mergeCell ref="CS12:CX12"/>
    <mergeCell ref="CY12:DC12"/>
    <mergeCell ref="DD12:DI12"/>
    <mergeCell ref="DJ12:EM12"/>
    <mergeCell ref="EP12:EU12"/>
    <mergeCell ref="EV12:EZ12"/>
    <mergeCell ref="FA12:FF12"/>
    <mergeCell ref="FG12:FK12"/>
    <mergeCell ref="FL12:FQ12"/>
    <mergeCell ref="FW10:GB10"/>
    <mergeCell ref="GC10:GG10"/>
    <mergeCell ref="GH10:GM10"/>
    <mergeCell ref="GN10:GR10"/>
    <mergeCell ref="GS10:GW10"/>
    <mergeCell ref="B11:K12"/>
    <mergeCell ref="L11:AP12"/>
    <mergeCell ref="AQ11:AX12"/>
    <mergeCell ref="BA11:BF11"/>
    <mergeCell ref="BG11:BK11"/>
    <mergeCell ref="BL11:BQ11"/>
    <mergeCell ref="BR11:BV11"/>
    <mergeCell ref="BW11:CB11"/>
    <mergeCell ref="CC11:CG11"/>
    <mergeCell ref="CH11:CM11"/>
    <mergeCell ref="CN11:CR11"/>
    <mergeCell ref="CS11:CX11"/>
    <mergeCell ref="CY11:DC11"/>
    <mergeCell ref="DD11:DI11"/>
    <mergeCell ref="DL11:DQ11"/>
    <mergeCell ref="DR11:DV11"/>
    <mergeCell ref="DW11:EB11"/>
    <mergeCell ref="EC11:EG11"/>
    <mergeCell ref="EH11:EM11"/>
    <mergeCell ref="CY10:DC10"/>
    <mergeCell ref="DD10:DI10"/>
    <mergeCell ref="DJ10:EM10"/>
    <mergeCell ref="EP10:EU10"/>
    <mergeCell ref="EV10:EZ10"/>
    <mergeCell ref="FA10:FF10"/>
    <mergeCell ref="FG10:FK10"/>
    <mergeCell ref="FL10:FQ10"/>
    <mergeCell ref="FR10:FV10"/>
    <mergeCell ref="BA10:BF10"/>
    <mergeCell ref="BG10:BK10"/>
    <mergeCell ref="BL10:BQ10"/>
    <mergeCell ref="BR10:BV10"/>
    <mergeCell ref="BW10:CB10"/>
    <mergeCell ref="CC10:CG10"/>
    <mergeCell ref="CH10:CM10"/>
    <mergeCell ref="CN10:CR10"/>
    <mergeCell ref="CS10:CX10"/>
    <mergeCell ref="EC9:EG9"/>
    <mergeCell ref="EH9:EM9"/>
    <mergeCell ref="EN9:ER9"/>
    <mergeCell ref="ES9:EX9"/>
    <mergeCell ref="EY9:FC9"/>
    <mergeCell ref="FD9:FI9"/>
    <mergeCell ref="FJ9:FN9"/>
    <mergeCell ref="FO9:FS9"/>
    <mergeCell ref="FT9:GW9"/>
    <mergeCell ref="FL8:FQ8"/>
    <mergeCell ref="FR8:FV8"/>
    <mergeCell ref="FW8:GB8"/>
    <mergeCell ref="GC8:GG8"/>
    <mergeCell ref="GH8:GM8"/>
    <mergeCell ref="GN8:GR8"/>
    <mergeCell ref="GS8:GW8"/>
    <mergeCell ref="B9:K10"/>
    <mergeCell ref="L9:AP10"/>
    <mergeCell ref="AQ9:AX10"/>
    <mergeCell ref="BA9:BF9"/>
    <mergeCell ref="BG9:BK9"/>
    <mergeCell ref="BL9:BQ9"/>
    <mergeCell ref="BR9:BV9"/>
    <mergeCell ref="BW9:CB9"/>
    <mergeCell ref="CC9:CG9"/>
    <mergeCell ref="CH9:CM9"/>
    <mergeCell ref="CN9:CR9"/>
    <mergeCell ref="CS9:CX9"/>
    <mergeCell ref="CY9:DC9"/>
    <mergeCell ref="DD9:DI9"/>
    <mergeCell ref="DL9:DQ9"/>
    <mergeCell ref="DR9:DV9"/>
    <mergeCell ref="DW9:EB9"/>
    <mergeCell ref="EH7:EM7"/>
    <mergeCell ref="EN7:ER7"/>
    <mergeCell ref="ES7:EX7"/>
    <mergeCell ref="EY7:FC7"/>
    <mergeCell ref="FD7:FI7"/>
    <mergeCell ref="FJ7:FN7"/>
    <mergeCell ref="FO7:FS7"/>
    <mergeCell ref="FT7:GW7"/>
    <mergeCell ref="BA8:BF8"/>
    <mergeCell ref="BG8:BK8"/>
    <mergeCell ref="BL8:BQ8"/>
    <mergeCell ref="BR8:BV8"/>
    <mergeCell ref="BW8:CB8"/>
    <mergeCell ref="CC8:CG8"/>
    <mergeCell ref="CH8:CM8"/>
    <mergeCell ref="CN8:CR8"/>
    <mergeCell ref="CS8:CX8"/>
    <mergeCell ref="CY8:DC8"/>
    <mergeCell ref="DD8:DI8"/>
    <mergeCell ref="DJ8:EM8"/>
    <mergeCell ref="EP8:EU8"/>
    <mergeCell ref="EV8:EZ8"/>
    <mergeCell ref="FA8:FF8"/>
    <mergeCell ref="FG8:FK8"/>
    <mergeCell ref="CH7:CM7"/>
    <mergeCell ref="CN7:CR7"/>
    <mergeCell ref="CS7:CX7"/>
    <mergeCell ref="CY7:DC7"/>
    <mergeCell ref="DD7:DI7"/>
    <mergeCell ref="DL7:DQ7"/>
    <mergeCell ref="DR7:DV7"/>
    <mergeCell ref="DW7:EB7"/>
    <mergeCell ref="EC7:EG7"/>
    <mergeCell ref="B7:K8"/>
    <mergeCell ref="L7:AP8"/>
    <mergeCell ref="AQ7:AX8"/>
    <mergeCell ref="BA7:BF7"/>
    <mergeCell ref="BG7:BK7"/>
    <mergeCell ref="BL7:BQ7"/>
    <mergeCell ref="BR7:BV7"/>
    <mergeCell ref="BW7:CB7"/>
    <mergeCell ref="CC7:CG7"/>
    <mergeCell ref="FC4:GW5"/>
    <mergeCell ref="B5:K5"/>
    <mergeCell ref="AY5:BD6"/>
    <mergeCell ref="BE5:DI5"/>
    <mergeCell ref="DJ5:FB5"/>
    <mergeCell ref="B6:K6"/>
    <mergeCell ref="BE6:DI6"/>
    <mergeCell ref="DJ6:FB6"/>
    <mergeCell ref="FC6:GW6"/>
    <mergeCell ref="J2:AJ2"/>
    <mergeCell ref="AK2:AR2"/>
    <mergeCell ref="AT2:CS2"/>
    <mergeCell ref="CW2:DC2"/>
    <mergeCell ref="DE2:EU2"/>
    <mergeCell ref="B4:K4"/>
    <mergeCell ref="L4:AP6"/>
    <mergeCell ref="AQ4:AX6"/>
    <mergeCell ref="AY4:FB4"/>
  </mergeCells>
  <pageMargins left="0.70833333333333304" right="0.70833333333333304" top="0.78749999999999998" bottom="0.78749999999999998" header="0.51180555555555496" footer="0.51180555555555496"/>
  <pageSetup paperSize="9" firstPageNumber="0" orientation="portrait" horizontalDpi="300" verticalDpi="300"/>
  <rowBreaks count="1" manualBreakCount="1">
    <brk id="36" max="16383" man="1"/>
  </rowBreaks>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Normal="100" workbookViewId="0"/>
  </sheetViews>
  <sheetFormatPr defaultRowHeight="15" x14ac:dyDescent="0.25"/>
  <cols>
    <col min="1" max="1025" width="0.42578125" customWidth="1"/>
  </cols>
  <sheetData>
    <row r="1" spans="1:205" ht="3.75" customHeight="1" x14ac:dyDescent="0.25">
      <c r="A1" s="642"/>
    </row>
    <row r="2" spans="1:205" ht="25.5" customHeight="1" x14ac:dyDescent="0.25">
      <c r="B2" s="643"/>
      <c r="C2" s="644"/>
      <c r="D2" s="644"/>
      <c r="E2" s="644"/>
      <c r="F2" s="644"/>
      <c r="G2" s="644"/>
      <c r="H2" s="644"/>
      <c r="J2" s="957" t="s">
        <v>5351</v>
      </c>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J2" s="957"/>
      <c r="AK2" s="958" t="s">
        <v>2327</v>
      </c>
      <c r="AL2" s="958"/>
      <c r="AM2" s="958"/>
      <c r="AN2" s="958"/>
      <c r="AO2" s="958"/>
      <c r="AP2" s="958"/>
      <c r="AQ2" s="958"/>
      <c r="AR2" s="958"/>
      <c r="AS2" s="645"/>
      <c r="AT2" s="986" t="str">
        <f>'S 002'!$AT$2</f>
        <v>2020473411</v>
      </c>
      <c r="AU2" s="986"/>
      <c r="AV2" s="986"/>
      <c r="AW2" s="986"/>
      <c r="AX2" s="986"/>
      <c r="AY2" s="986"/>
      <c r="AZ2" s="986"/>
      <c r="BA2" s="986"/>
      <c r="BB2" s="986"/>
      <c r="BC2" s="986"/>
      <c r="BD2" s="986"/>
      <c r="BE2" s="986"/>
      <c r="BF2" s="986"/>
      <c r="BG2" s="986"/>
      <c r="BH2" s="986"/>
      <c r="BI2" s="986"/>
      <c r="BJ2" s="986"/>
      <c r="BK2" s="986"/>
      <c r="BL2" s="986"/>
      <c r="BM2" s="986"/>
      <c r="BN2" s="986"/>
      <c r="BO2" s="986"/>
      <c r="BP2" s="986"/>
      <c r="BQ2" s="986"/>
      <c r="BR2" s="986"/>
      <c r="BS2" s="986"/>
      <c r="BT2" s="986"/>
      <c r="BU2" s="986"/>
      <c r="BV2" s="986"/>
      <c r="BW2" s="986"/>
      <c r="BX2" s="986"/>
      <c r="BY2" s="986"/>
      <c r="BZ2" s="986"/>
      <c r="CA2" s="986"/>
      <c r="CB2" s="986"/>
      <c r="CC2" s="986"/>
      <c r="CD2" s="986"/>
      <c r="CE2" s="986"/>
      <c r="CF2" s="986"/>
      <c r="CG2" s="986"/>
      <c r="CH2" s="986"/>
      <c r="CI2" s="986"/>
      <c r="CJ2" s="986"/>
      <c r="CK2" s="986"/>
      <c r="CL2" s="986"/>
      <c r="CM2" s="986"/>
      <c r="CN2" s="986"/>
      <c r="CO2" s="986"/>
      <c r="CP2" s="986"/>
      <c r="CQ2" s="986"/>
      <c r="CR2" s="986"/>
      <c r="CS2" s="986"/>
      <c r="CT2" s="645"/>
      <c r="CU2" s="646"/>
      <c r="CW2" s="958" t="s">
        <v>5</v>
      </c>
      <c r="CX2" s="958"/>
      <c r="CY2" s="958"/>
      <c r="CZ2" s="958"/>
      <c r="DA2" s="958"/>
      <c r="DB2" s="958"/>
      <c r="DC2" s="958"/>
      <c r="DD2" s="645"/>
      <c r="DE2" s="986" t="str">
        <f>'S 002'!$DE$2</f>
        <v>00651052</v>
      </c>
      <c r="DF2" s="986"/>
      <c r="DG2" s="986"/>
      <c r="DH2" s="986"/>
      <c r="DI2" s="986"/>
      <c r="DJ2" s="986"/>
      <c r="DK2" s="986"/>
      <c r="DL2" s="986"/>
      <c r="DM2" s="986"/>
      <c r="DN2" s="986"/>
      <c r="DO2" s="986"/>
      <c r="DP2" s="986"/>
      <c r="DQ2" s="986"/>
      <c r="DR2" s="986"/>
      <c r="DS2" s="986"/>
      <c r="DT2" s="986"/>
      <c r="DU2" s="986"/>
      <c r="DV2" s="986"/>
      <c r="DW2" s="986"/>
      <c r="DX2" s="986"/>
      <c r="DY2" s="986"/>
      <c r="DZ2" s="986"/>
      <c r="EA2" s="986"/>
      <c r="EB2" s="986"/>
      <c r="EC2" s="986"/>
      <c r="ED2" s="986"/>
      <c r="EE2" s="986"/>
      <c r="EF2" s="986"/>
      <c r="EG2" s="986"/>
      <c r="EH2" s="986"/>
      <c r="EI2" s="986"/>
      <c r="EJ2" s="986"/>
      <c r="EK2" s="986"/>
      <c r="EL2" s="986"/>
      <c r="EM2" s="986"/>
      <c r="EN2" s="986"/>
      <c r="EO2" s="986"/>
      <c r="EP2" s="986"/>
      <c r="EQ2" s="986"/>
      <c r="ER2" s="986"/>
      <c r="ES2" s="986"/>
      <c r="ET2" s="986"/>
      <c r="EU2" s="986"/>
      <c r="EV2" s="645"/>
      <c r="EW2" s="646"/>
      <c r="GQ2" s="644"/>
      <c r="GR2" s="644"/>
      <c r="GS2" s="644"/>
      <c r="GT2" s="644"/>
      <c r="GU2" s="644"/>
      <c r="GV2" s="644"/>
      <c r="GW2" s="647"/>
    </row>
    <row r="3" spans="1:205" ht="3" customHeight="1" x14ac:dyDescent="0.25"/>
    <row r="4" spans="1:205" s="650" customFormat="1" ht="2.25" customHeight="1" x14ac:dyDescent="0.3">
      <c r="B4" s="670"/>
      <c r="C4" s="670"/>
      <c r="D4" s="670"/>
      <c r="E4" s="670"/>
      <c r="F4" s="670"/>
      <c r="G4" s="670"/>
      <c r="H4" s="670"/>
      <c r="I4" s="670"/>
      <c r="J4" s="670"/>
      <c r="K4" s="670"/>
      <c r="L4" s="671"/>
      <c r="M4" s="672"/>
      <c r="N4" s="672"/>
      <c r="O4" s="672"/>
      <c r="P4" s="672"/>
      <c r="Q4" s="672"/>
      <c r="R4" s="672"/>
      <c r="S4" s="672"/>
      <c r="T4" s="672"/>
      <c r="U4" s="672"/>
      <c r="V4" s="672"/>
      <c r="W4" s="672"/>
      <c r="X4" s="672"/>
      <c r="Y4" s="672"/>
      <c r="Z4" s="672"/>
      <c r="AA4" s="672"/>
      <c r="AB4" s="672"/>
      <c r="AC4" s="672"/>
      <c r="AD4" s="672"/>
      <c r="AE4" s="672"/>
      <c r="AF4" s="672"/>
      <c r="AG4" s="672"/>
      <c r="AH4" s="672"/>
      <c r="AI4" s="672"/>
      <c r="AJ4" s="672"/>
      <c r="AK4" s="672"/>
      <c r="AL4" s="672"/>
      <c r="AM4" s="672"/>
      <c r="AN4" s="672"/>
      <c r="AO4" s="672"/>
      <c r="AP4" s="672"/>
      <c r="AQ4" s="673"/>
      <c r="AR4" s="673"/>
      <c r="AS4" s="673"/>
      <c r="AT4" s="673"/>
      <c r="AU4" s="673"/>
      <c r="AV4" s="673"/>
      <c r="AW4" s="673"/>
      <c r="AX4" s="673"/>
      <c r="AY4" s="674"/>
      <c r="AZ4" s="664"/>
      <c r="BA4" s="995"/>
      <c r="BB4" s="995"/>
      <c r="BC4" s="995"/>
      <c r="BD4" s="995"/>
      <c r="BE4" s="995"/>
      <c r="BF4" s="995"/>
      <c r="BG4" s="995"/>
      <c r="BH4" s="995"/>
      <c r="BI4" s="995"/>
      <c r="BJ4" s="995"/>
      <c r="BK4" s="995"/>
      <c r="BL4" s="995"/>
      <c r="BM4" s="995"/>
      <c r="BN4" s="995"/>
      <c r="BO4" s="995"/>
      <c r="BP4" s="995"/>
      <c r="BQ4" s="995"/>
      <c r="BR4" s="995"/>
      <c r="BS4" s="995"/>
      <c r="BT4" s="995"/>
      <c r="BU4" s="995"/>
      <c r="BV4" s="995"/>
      <c r="BW4" s="995"/>
      <c r="BX4" s="995"/>
      <c r="BY4" s="995"/>
      <c r="BZ4" s="995"/>
      <c r="CA4" s="995"/>
      <c r="CB4" s="995"/>
      <c r="CC4" s="995"/>
      <c r="CD4" s="995"/>
      <c r="CE4" s="995"/>
      <c r="CF4" s="995"/>
      <c r="CG4" s="995"/>
      <c r="CH4" s="995"/>
      <c r="CI4" s="995"/>
      <c r="CJ4" s="995"/>
      <c r="CK4" s="995"/>
      <c r="CL4" s="995"/>
      <c r="CM4" s="995"/>
      <c r="CN4" s="995"/>
      <c r="CO4" s="995"/>
      <c r="CP4" s="995"/>
      <c r="CQ4" s="995"/>
      <c r="CR4" s="995"/>
      <c r="CS4" s="995"/>
      <c r="CT4" s="995"/>
      <c r="CU4" s="995"/>
      <c r="CV4" s="995"/>
      <c r="CW4" s="995"/>
      <c r="CX4" s="995"/>
      <c r="CY4" s="995"/>
      <c r="CZ4" s="995"/>
      <c r="DA4" s="995"/>
      <c r="DB4" s="995"/>
      <c r="DC4" s="995"/>
      <c r="DD4" s="1006"/>
      <c r="DE4" s="1006"/>
      <c r="DF4" s="1006"/>
      <c r="DG4" s="1006"/>
      <c r="DH4" s="1006"/>
      <c r="DI4" s="1006"/>
      <c r="DJ4" s="674"/>
      <c r="DK4" s="664"/>
      <c r="DL4" s="995"/>
      <c r="DM4" s="995"/>
      <c r="DN4" s="995"/>
      <c r="DO4" s="995"/>
      <c r="DP4" s="995"/>
      <c r="DQ4" s="995"/>
      <c r="DR4" s="995"/>
      <c r="DS4" s="995"/>
      <c r="DT4" s="995"/>
      <c r="DU4" s="995"/>
      <c r="DV4" s="995"/>
      <c r="DW4" s="995"/>
      <c r="DX4" s="995"/>
      <c r="DY4" s="995"/>
      <c r="DZ4" s="995"/>
      <c r="EA4" s="995"/>
      <c r="EB4" s="995"/>
      <c r="EC4" s="995"/>
      <c r="ED4" s="995"/>
      <c r="EE4" s="995"/>
      <c r="EF4" s="995"/>
      <c r="EG4" s="995"/>
      <c r="EH4" s="995"/>
      <c r="EI4" s="995"/>
      <c r="EJ4" s="995"/>
      <c r="EK4" s="995"/>
      <c r="EL4" s="995"/>
      <c r="EM4" s="995"/>
      <c r="EN4" s="995"/>
      <c r="EO4" s="995"/>
      <c r="EP4" s="995"/>
      <c r="EQ4" s="995"/>
      <c r="ER4" s="995"/>
      <c r="ES4" s="995"/>
      <c r="ET4" s="995"/>
      <c r="EU4" s="995"/>
      <c r="EV4" s="995"/>
      <c r="EW4" s="995"/>
      <c r="EX4" s="995"/>
      <c r="EY4" s="995"/>
      <c r="EZ4" s="995"/>
      <c r="FA4" s="995"/>
      <c r="FB4" s="995"/>
      <c r="FC4" s="995"/>
      <c r="FD4" s="995"/>
      <c r="FE4" s="995"/>
      <c r="FF4" s="995"/>
      <c r="FG4" s="995"/>
      <c r="FH4" s="995"/>
      <c r="FI4" s="995"/>
      <c r="FJ4" s="995"/>
      <c r="FK4" s="995"/>
      <c r="FL4" s="995"/>
      <c r="FM4" s="995"/>
      <c r="FN4" s="995"/>
      <c r="FO4" s="1007"/>
      <c r="FP4" s="1007"/>
      <c r="FQ4" s="1007"/>
      <c r="FR4" s="1007"/>
      <c r="FS4" s="1007"/>
      <c r="FT4" s="1008"/>
      <c r="FU4" s="1008"/>
      <c r="FV4" s="1008"/>
      <c r="FW4" s="1008"/>
      <c r="FX4" s="1008"/>
      <c r="FY4" s="1008"/>
      <c r="FZ4" s="1008"/>
      <c r="GA4" s="1008"/>
      <c r="GB4" s="1008"/>
      <c r="GC4" s="1008"/>
      <c r="GD4" s="1008"/>
      <c r="GE4" s="1008"/>
      <c r="GF4" s="1008"/>
      <c r="GG4" s="1008"/>
      <c r="GH4" s="1008"/>
      <c r="GI4" s="1008"/>
      <c r="GJ4" s="1008"/>
      <c r="GK4" s="1008"/>
      <c r="GL4" s="1008"/>
      <c r="GM4" s="1008"/>
      <c r="GN4" s="1008"/>
      <c r="GO4" s="1008"/>
      <c r="GP4" s="1008"/>
      <c r="GQ4" s="1008"/>
      <c r="GR4" s="1008"/>
      <c r="GS4" s="1008"/>
      <c r="GT4" s="1008"/>
      <c r="GU4" s="1008"/>
      <c r="GV4" s="1008"/>
      <c r="GW4" s="1008"/>
    </row>
    <row r="5" spans="1:205" ht="25.5" customHeight="1" x14ac:dyDescent="0.25">
      <c r="B5" s="998" t="s">
        <v>5349</v>
      </c>
      <c r="C5" s="998"/>
      <c r="D5" s="998"/>
      <c r="E5" s="998"/>
      <c r="F5" s="998"/>
      <c r="G5" s="998"/>
      <c r="H5" s="998"/>
      <c r="I5" s="998"/>
      <c r="J5" s="998"/>
      <c r="K5" s="998"/>
      <c r="L5" s="999" t="s">
        <v>5350</v>
      </c>
      <c r="M5" s="999"/>
      <c r="N5" s="999"/>
      <c r="O5" s="999"/>
      <c r="P5" s="999"/>
      <c r="Q5" s="999"/>
      <c r="R5" s="999"/>
      <c r="S5" s="999"/>
      <c r="T5" s="999"/>
      <c r="U5" s="999"/>
      <c r="V5" s="999"/>
      <c r="W5" s="999"/>
      <c r="X5" s="999"/>
      <c r="Y5" s="999"/>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999"/>
      <c r="BI5" s="999"/>
      <c r="BJ5" s="999"/>
      <c r="BK5" s="999"/>
      <c r="BL5" s="999"/>
      <c r="BM5" s="999"/>
      <c r="BN5" s="999"/>
      <c r="BO5" s="999"/>
      <c r="BP5" s="999"/>
      <c r="BQ5" s="999"/>
      <c r="BR5" s="999"/>
      <c r="BS5" s="999"/>
      <c r="BT5" s="999"/>
      <c r="BU5" s="999"/>
      <c r="BV5" s="999"/>
      <c r="BW5" s="1000" t="str">
        <f>'S 007'!BW24</f>
        <v>Číslo riadku</v>
      </c>
      <c r="BX5" s="1000"/>
      <c r="BY5" s="1000"/>
      <c r="BZ5" s="1000"/>
      <c r="CA5" s="1000"/>
      <c r="CB5" s="1000"/>
      <c r="CC5" s="1000"/>
      <c r="CD5" s="1000"/>
      <c r="CE5" s="1009" t="str">
        <f>'S 007'!CE24</f>
        <v>Bežné účtovné obdobie</v>
      </c>
      <c r="CF5" s="1009"/>
      <c r="CG5" s="1009"/>
      <c r="CH5" s="1009"/>
      <c r="CI5" s="1009"/>
      <c r="CJ5" s="1009"/>
      <c r="CK5" s="1009"/>
      <c r="CL5" s="1009"/>
      <c r="CM5" s="1009"/>
      <c r="CN5" s="1009"/>
      <c r="CO5" s="1009"/>
      <c r="CP5" s="1009"/>
      <c r="CQ5" s="1009"/>
      <c r="CR5" s="1009"/>
      <c r="CS5" s="1009"/>
      <c r="CT5" s="1009"/>
      <c r="CU5" s="1009"/>
      <c r="CV5" s="1009"/>
      <c r="CW5" s="1009"/>
      <c r="CX5" s="1009"/>
      <c r="CY5" s="1009"/>
      <c r="CZ5" s="1009"/>
      <c r="DA5" s="1009"/>
      <c r="DB5" s="1009"/>
      <c r="DC5" s="1009"/>
      <c r="DD5" s="1009"/>
      <c r="DE5" s="1009"/>
      <c r="DF5" s="1009"/>
      <c r="DG5" s="1009"/>
      <c r="DH5" s="1009"/>
      <c r="DI5" s="1009"/>
      <c r="DJ5" s="1009"/>
      <c r="DK5" s="1009"/>
      <c r="DL5" s="1009"/>
      <c r="DM5" s="1009"/>
      <c r="DN5" s="1009"/>
      <c r="DO5" s="1009"/>
      <c r="DP5" s="1009"/>
      <c r="DQ5" s="1009"/>
      <c r="DR5" s="1009"/>
      <c r="DS5" s="1009"/>
      <c r="DT5" s="1009"/>
      <c r="DU5" s="1009"/>
      <c r="DV5" s="1009"/>
      <c r="DW5" s="1009"/>
      <c r="DX5" s="1009"/>
      <c r="DY5" s="1009"/>
      <c r="DZ5" s="1009"/>
      <c r="EA5" s="1009"/>
      <c r="EB5" s="1009"/>
      <c r="EC5" s="1009"/>
      <c r="ED5" s="1009"/>
      <c r="EE5" s="1009"/>
      <c r="EF5" s="1009"/>
      <c r="EG5" s="1009"/>
      <c r="EH5" s="1009"/>
      <c r="EI5" s="1009"/>
      <c r="EJ5" s="1009"/>
      <c r="EK5" s="1009"/>
      <c r="EL5" s="1009"/>
      <c r="EM5" s="1009"/>
      <c r="EN5" s="1010">
        <f>'S 007'!EN24</f>
        <v>0</v>
      </c>
      <c r="EO5" s="1010"/>
      <c r="EP5" s="1010"/>
      <c r="EQ5" s="1010"/>
      <c r="ER5" s="1010"/>
      <c r="ES5" s="1010"/>
      <c r="ET5" s="1010"/>
      <c r="EU5" s="1010"/>
      <c r="EV5" s="1010"/>
      <c r="EW5" s="1010"/>
      <c r="EX5" s="1010"/>
      <c r="EY5" s="1010"/>
      <c r="EZ5" s="1010"/>
      <c r="FA5" s="1010"/>
      <c r="FB5" s="1010"/>
      <c r="FC5" s="1010"/>
      <c r="FD5" s="1010"/>
      <c r="FE5" s="1010"/>
      <c r="FF5" s="1010"/>
      <c r="FG5" s="1010"/>
      <c r="FH5" s="1010"/>
      <c r="FI5" s="1010"/>
      <c r="FJ5" s="1010"/>
      <c r="FK5" s="1010"/>
      <c r="FL5" s="1010"/>
      <c r="FM5" s="1010"/>
      <c r="FN5" s="1010"/>
      <c r="FO5" s="1010"/>
      <c r="FP5" s="1010"/>
      <c r="FQ5" s="1010"/>
      <c r="FR5" s="1010"/>
      <c r="FS5" s="1010"/>
      <c r="FT5" s="1010"/>
      <c r="FU5" s="1010"/>
      <c r="FV5" s="1010"/>
      <c r="FW5" s="1010"/>
      <c r="FX5" s="1010"/>
      <c r="FY5" s="1010"/>
      <c r="FZ5" s="1010"/>
      <c r="GA5" s="1010"/>
      <c r="GB5" s="1010"/>
      <c r="GC5" s="1010"/>
      <c r="GD5" s="1010"/>
      <c r="GE5" s="1010"/>
      <c r="GF5" s="1010"/>
      <c r="GG5" s="1010"/>
      <c r="GH5" s="1010"/>
      <c r="GI5" s="1010"/>
      <c r="GJ5" s="1010"/>
      <c r="GK5" s="1010"/>
      <c r="GL5" s="1010"/>
      <c r="GM5" s="1010"/>
      <c r="GN5" s="1010"/>
      <c r="GO5" s="1010"/>
      <c r="GP5" s="1010"/>
      <c r="GQ5" s="1010"/>
      <c r="GR5" s="1010"/>
      <c r="GS5" s="1010"/>
      <c r="GT5" s="1010"/>
      <c r="GU5" s="1010"/>
      <c r="GV5" s="1010"/>
      <c r="GW5" s="1010"/>
    </row>
    <row r="6" spans="1:205" s="650" customFormat="1" ht="24" customHeight="1" x14ac:dyDescent="0.2">
      <c r="B6" s="1003" t="s">
        <v>2238</v>
      </c>
      <c r="C6" s="1003"/>
      <c r="D6" s="1003"/>
      <c r="E6" s="1003"/>
      <c r="F6" s="1003"/>
      <c r="G6" s="1003"/>
      <c r="H6" s="1003"/>
      <c r="I6" s="1003"/>
      <c r="J6" s="1003"/>
      <c r="K6" s="1003"/>
      <c r="L6" s="1004" t="str">
        <f>SUVAHAVUJ!$D$92</f>
        <v>Ostatné fondy zo zisku r. 91 + r. 92</v>
      </c>
      <c r="M6" s="1004"/>
      <c r="N6" s="1004"/>
      <c r="O6" s="1004"/>
      <c r="P6" s="1004"/>
      <c r="Q6" s="1004"/>
      <c r="R6" s="1004"/>
      <c r="S6" s="1004"/>
      <c r="T6" s="1004"/>
      <c r="U6" s="1004"/>
      <c r="V6" s="1004"/>
      <c r="W6" s="1004"/>
      <c r="X6" s="1004"/>
      <c r="Y6" s="1004"/>
      <c r="Z6" s="1004"/>
      <c r="AA6" s="1004"/>
      <c r="AB6" s="1004"/>
      <c r="AC6" s="1004"/>
      <c r="AD6" s="1004"/>
      <c r="AE6" s="1004"/>
      <c r="AF6" s="1004"/>
      <c r="AG6" s="1004"/>
      <c r="AH6" s="1004"/>
      <c r="AI6" s="1004"/>
      <c r="AJ6" s="1004"/>
      <c r="AK6" s="1004"/>
      <c r="AL6" s="1004"/>
      <c r="AM6" s="1004"/>
      <c r="AN6" s="1004"/>
      <c r="AO6" s="1004"/>
      <c r="AP6" s="1004"/>
      <c r="AQ6" s="1004"/>
      <c r="AR6" s="1004"/>
      <c r="AS6" s="1004"/>
      <c r="AT6" s="1004"/>
      <c r="AU6" s="1004"/>
      <c r="AV6" s="1004"/>
      <c r="AW6" s="1004"/>
      <c r="AX6" s="1004"/>
      <c r="AY6" s="1004"/>
      <c r="AZ6" s="1004"/>
      <c r="BA6" s="1004"/>
      <c r="BB6" s="1004"/>
      <c r="BC6" s="1004"/>
      <c r="BD6" s="1004"/>
      <c r="BE6" s="1004"/>
      <c r="BF6" s="1004"/>
      <c r="BG6" s="1004"/>
      <c r="BH6" s="1004"/>
      <c r="BI6" s="1004"/>
      <c r="BJ6" s="1004"/>
      <c r="BK6" s="1004"/>
      <c r="BL6" s="1004"/>
      <c r="BM6" s="1004"/>
      <c r="BN6" s="1004"/>
      <c r="BO6" s="1004"/>
      <c r="BP6" s="1004"/>
      <c r="BQ6" s="1004"/>
      <c r="BR6" s="1004"/>
      <c r="BS6" s="1004"/>
      <c r="BT6" s="1004"/>
      <c r="BU6" s="1004"/>
      <c r="BV6" s="1004"/>
      <c r="BW6" s="975" t="s">
        <v>2239</v>
      </c>
      <c r="BX6" s="975"/>
      <c r="BY6" s="975"/>
      <c r="BZ6" s="975"/>
      <c r="CA6" s="975"/>
      <c r="CB6" s="975"/>
      <c r="CC6" s="975"/>
      <c r="CD6" s="975"/>
      <c r="CE6" s="976" t="str">
        <f>MID(SUVAHAVUJ!AF92,1,1)</f>
        <v xml:space="preserve"> </v>
      </c>
      <c r="CF6" s="976"/>
      <c r="CG6" s="976"/>
      <c r="CH6" s="976"/>
      <c r="CI6" s="976"/>
      <c r="CJ6" s="976" t="str">
        <f>MID(SUVAHAVUJ!AF92,2,1)</f>
        <v xml:space="preserve"> </v>
      </c>
      <c r="CK6" s="976"/>
      <c r="CL6" s="976"/>
      <c r="CM6" s="976"/>
      <c r="CN6" s="976"/>
      <c r="CO6" s="976"/>
      <c r="CP6" s="976" t="str">
        <f>MID(SUVAHAVUJ!AF92,3,1)</f>
        <v xml:space="preserve"> </v>
      </c>
      <c r="CQ6" s="976"/>
      <c r="CR6" s="976"/>
      <c r="CS6" s="976"/>
      <c r="CT6" s="976"/>
      <c r="CU6" s="976" t="str">
        <f>MID(SUVAHAVUJ!AF92,4,1)</f>
        <v xml:space="preserve"> </v>
      </c>
      <c r="CV6" s="976"/>
      <c r="CW6" s="976"/>
      <c r="CX6" s="976"/>
      <c r="CY6" s="976"/>
      <c r="CZ6" s="976"/>
      <c r="DA6" s="976" t="str">
        <f>MID(SUVAHAVUJ!AF92,5,1)</f>
        <v xml:space="preserve"> </v>
      </c>
      <c r="DB6" s="976"/>
      <c r="DC6" s="976"/>
      <c r="DD6" s="976"/>
      <c r="DE6" s="976"/>
      <c r="DF6" s="976" t="str">
        <f>MID(SUVAHAVUJ!AF92,6,1)</f>
        <v xml:space="preserve"> </v>
      </c>
      <c r="DG6" s="976"/>
      <c r="DH6" s="976"/>
      <c r="DI6" s="976"/>
      <c r="DJ6" s="976"/>
      <c r="DK6" s="976"/>
      <c r="DL6" s="976" t="str">
        <f>MID(SUVAHAVUJ!AF92,7,1)</f>
        <v>9</v>
      </c>
      <c r="DM6" s="976"/>
      <c r="DN6" s="976"/>
      <c r="DO6" s="976"/>
      <c r="DP6" s="976"/>
      <c r="DQ6" s="976"/>
      <c r="DR6" s="976" t="str">
        <f>MID(SUVAHAVUJ!AF92,8,1)</f>
        <v>3</v>
      </c>
      <c r="DS6" s="976"/>
      <c r="DT6" s="976"/>
      <c r="DU6" s="976"/>
      <c r="DV6" s="976"/>
      <c r="DW6" s="982" t="str">
        <f>MID(SUVAHAVUJ!AF92,9,1)</f>
        <v>4</v>
      </c>
      <c r="DX6" s="982"/>
      <c r="DY6" s="982"/>
      <c r="DZ6" s="982"/>
      <c r="EA6" s="982"/>
      <c r="EB6" s="982"/>
      <c r="EC6" s="982" t="str">
        <f>MID(SUVAHAVUJ!AF92,10,1)</f>
        <v>2</v>
      </c>
      <c r="ED6" s="982"/>
      <c r="EE6" s="982"/>
      <c r="EF6" s="982"/>
      <c r="EG6" s="982"/>
      <c r="EH6" s="977" t="str">
        <f>MID(SUVAHAVUJ!AF92,11,1)</f>
        <v>4</v>
      </c>
      <c r="EI6" s="977"/>
      <c r="EJ6" s="977"/>
      <c r="EK6" s="977"/>
      <c r="EL6" s="977"/>
      <c r="EM6" s="977"/>
      <c r="EN6" s="665"/>
      <c r="EO6" s="666"/>
      <c r="EP6" s="976" t="str">
        <f>MID(SUVAHAVUJ!AG92,1,1)</f>
        <v xml:space="preserve"> </v>
      </c>
      <c r="EQ6" s="976"/>
      <c r="ER6" s="976"/>
      <c r="ES6" s="976"/>
      <c r="ET6" s="976"/>
      <c r="EU6" s="976"/>
      <c r="EV6" s="976" t="str">
        <f>MID(SUVAHAVUJ!AG92,2,1)</f>
        <v xml:space="preserve"> </v>
      </c>
      <c r="EW6" s="976"/>
      <c r="EX6" s="976"/>
      <c r="EY6" s="976"/>
      <c r="EZ6" s="976"/>
      <c r="FA6" s="976" t="str">
        <f>MID(SUVAHAVUJ!AG92,3,1)</f>
        <v xml:space="preserve"> </v>
      </c>
      <c r="FB6" s="976"/>
      <c r="FC6" s="976"/>
      <c r="FD6" s="976"/>
      <c r="FE6" s="976"/>
      <c r="FF6" s="976"/>
      <c r="FG6" s="976" t="str">
        <f>MID(SUVAHAVUJ!AG92,4,1)</f>
        <v xml:space="preserve"> </v>
      </c>
      <c r="FH6" s="976"/>
      <c r="FI6" s="976"/>
      <c r="FJ6" s="976"/>
      <c r="FK6" s="976"/>
      <c r="FL6" s="982" t="str">
        <f>MID(SUVAHAVUJ!AG92,5,1)</f>
        <v xml:space="preserve"> </v>
      </c>
      <c r="FM6" s="982"/>
      <c r="FN6" s="982"/>
      <c r="FO6" s="982"/>
      <c r="FP6" s="982"/>
      <c r="FQ6" s="982"/>
      <c r="FR6" s="982" t="str">
        <f>MID(SUVAHAVUJ!AG92,6,1)</f>
        <v xml:space="preserve"> </v>
      </c>
      <c r="FS6" s="982"/>
      <c r="FT6" s="982"/>
      <c r="FU6" s="982"/>
      <c r="FV6" s="982"/>
      <c r="FW6" s="982" t="str">
        <f>MID(SUVAHAVUJ!AG92,7,1)</f>
        <v>9</v>
      </c>
      <c r="FX6" s="982"/>
      <c r="FY6" s="982"/>
      <c r="FZ6" s="982"/>
      <c r="GA6" s="982"/>
      <c r="GB6" s="982"/>
      <c r="GC6" s="982" t="str">
        <f>MID(SUVAHAVUJ!AG92,8,1)</f>
        <v>3</v>
      </c>
      <c r="GD6" s="982"/>
      <c r="GE6" s="982"/>
      <c r="GF6" s="982"/>
      <c r="GG6" s="982"/>
      <c r="GH6" s="982" t="str">
        <f>MID(SUVAHAVUJ!AG92,9,1)</f>
        <v>4</v>
      </c>
      <c r="GI6" s="982"/>
      <c r="GJ6" s="982"/>
      <c r="GK6" s="982"/>
      <c r="GL6" s="982"/>
      <c r="GM6" s="982"/>
      <c r="GN6" s="982" t="str">
        <f>MID(SUVAHAVUJ!AG92,10,1)</f>
        <v>2</v>
      </c>
      <c r="GO6" s="982"/>
      <c r="GP6" s="982"/>
      <c r="GQ6" s="982"/>
      <c r="GR6" s="982"/>
      <c r="GS6" s="978" t="str">
        <f>MID(SUVAHAVUJ!AG92,11,1)</f>
        <v>4</v>
      </c>
      <c r="GT6" s="978"/>
      <c r="GU6" s="978"/>
      <c r="GV6" s="978"/>
      <c r="GW6" s="978"/>
    </row>
    <row r="7" spans="1:205" ht="24" customHeight="1" x14ac:dyDescent="0.25">
      <c r="B7" s="989" t="s">
        <v>2240</v>
      </c>
      <c r="C7" s="989"/>
      <c r="D7" s="989"/>
      <c r="E7" s="989"/>
      <c r="F7" s="989"/>
      <c r="G7" s="989"/>
      <c r="H7" s="989"/>
      <c r="I7" s="989"/>
      <c r="J7" s="989"/>
      <c r="K7" s="989"/>
      <c r="L7" s="1005" t="str">
        <f>SUVAHAVUJ!$D$93</f>
        <v>Štatutárne fondy (423, 42X)</v>
      </c>
      <c r="M7" s="1005"/>
      <c r="N7" s="1005"/>
      <c r="O7" s="1005"/>
      <c r="P7" s="1005"/>
      <c r="Q7" s="1005"/>
      <c r="R7" s="1005"/>
      <c r="S7" s="1005"/>
      <c r="T7" s="1005"/>
      <c r="U7" s="1005"/>
      <c r="V7" s="1005"/>
      <c r="W7" s="1005"/>
      <c r="X7" s="1005"/>
      <c r="Y7" s="1005"/>
      <c r="Z7" s="1005"/>
      <c r="AA7" s="1005"/>
      <c r="AB7" s="1005"/>
      <c r="AC7" s="1005"/>
      <c r="AD7" s="1005"/>
      <c r="AE7" s="1005"/>
      <c r="AF7" s="1005"/>
      <c r="AG7" s="1005"/>
      <c r="AH7" s="1005"/>
      <c r="AI7" s="1005"/>
      <c r="AJ7" s="1005"/>
      <c r="AK7" s="1005"/>
      <c r="AL7" s="1005"/>
      <c r="AM7" s="1005"/>
      <c r="AN7" s="1005"/>
      <c r="AO7" s="1005"/>
      <c r="AP7" s="1005"/>
      <c r="AQ7" s="1005"/>
      <c r="AR7" s="1005"/>
      <c r="AS7" s="1005"/>
      <c r="AT7" s="1005"/>
      <c r="AU7" s="1005"/>
      <c r="AV7" s="1005"/>
      <c r="AW7" s="1005"/>
      <c r="AX7" s="1005"/>
      <c r="AY7" s="1005"/>
      <c r="AZ7" s="1005"/>
      <c r="BA7" s="1005"/>
      <c r="BB7" s="1005"/>
      <c r="BC7" s="1005"/>
      <c r="BD7" s="1005"/>
      <c r="BE7" s="1005"/>
      <c r="BF7" s="1005"/>
      <c r="BG7" s="1005"/>
      <c r="BH7" s="1005"/>
      <c r="BI7" s="1005"/>
      <c r="BJ7" s="1005"/>
      <c r="BK7" s="1005"/>
      <c r="BL7" s="1005"/>
      <c r="BM7" s="1005"/>
      <c r="BN7" s="1005"/>
      <c r="BO7" s="1005"/>
      <c r="BP7" s="1005"/>
      <c r="BQ7" s="1005"/>
      <c r="BR7" s="1005"/>
      <c r="BS7" s="1005"/>
      <c r="BT7" s="1005"/>
      <c r="BU7" s="1005"/>
      <c r="BV7" s="1005"/>
      <c r="BW7" s="975" t="s">
        <v>2241</v>
      </c>
      <c r="BX7" s="975"/>
      <c r="BY7" s="975"/>
      <c r="BZ7" s="975"/>
      <c r="CA7" s="975"/>
      <c r="CB7" s="975"/>
      <c r="CC7" s="975"/>
      <c r="CD7" s="975"/>
      <c r="CE7" s="976" t="str">
        <f>MID(SUVAHAVUJ!AF93,1,1)</f>
        <v xml:space="preserve"> </v>
      </c>
      <c r="CF7" s="976"/>
      <c r="CG7" s="976"/>
      <c r="CH7" s="976"/>
      <c r="CI7" s="976"/>
      <c r="CJ7" s="976" t="str">
        <f>MID(SUVAHAVUJ!AF93,2,1)</f>
        <v xml:space="preserve"> </v>
      </c>
      <c r="CK7" s="976"/>
      <c r="CL7" s="976"/>
      <c r="CM7" s="976"/>
      <c r="CN7" s="976"/>
      <c r="CO7" s="976"/>
      <c r="CP7" s="976" t="str">
        <f>MID(SUVAHAVUJ!AF93,3,1)</f>
        <v xml:space="preserve"> </v>
      </c>
      <c r="CQ7" s="976"/>
      <c r="CR7" s="976"/>
      <c r="CS7" s="976"/>
      <c r="CT7" s="976"/>
      <c r="CU7" s="976" t="str">
        <f>MID(SUVAHAVUJ!AF93,4,1)</f>
        <v xml:space="preserve"> </v>
      </c>
      <c r="CV7" s="976"/>
      <c r="CW7" s="976"/>
      <c r="CX7" s="976"/>
      <c r="CY7" s="976"/>
      <c r="CZ7" s="976"/>
      <c r="DA7" s="976" t="str">
        <f>MID(SUVAHAVUJ!AF93,5,1)</f>
        <v xml:space="preserve"> </v>
      </c>
      <c r="DB7" s="976"/>
      <c r="DC7" s="976"/>
      <c r="DD7" s="976"/>
      <c r="DE7" s="976"/>
      <c r="DF7" s="976" t="str">
        <f>MID(SUVAHAVUJ!AF93,6,1)</f>
        <v xml:space="preserve"> </v>
      </c>
      <c r="DG7" s="976"/>
      <c r="DH7" s="976"/>
      <c r="DI7" s="976"/>
      <c r="DJ7" s="976"/>
      <c r="DK7" s="976"/>
      <c r="DL7" s="976" t="str">
        <f>MID(SUVAHAVUJ!AF93,7,1)</f>
        <v xml:space="preserve"> </v>
      </c>
      <c r="DM7" s="976"/>
      <c r="DN7" s="976"/>
      <c r="DO7" s="976"/>
      <c r="DP7" s="976"/>
      <c r="DQ7" s="976"/>
      <c r="DR7" s="976" t="str">
        <f>MID(SUVAHAVUJ!AF93,8,1)</f>
        <v xml:space="preserve"> </v>
      </c>
      <c r="DS7" s="976"/>
      <c r="DT7" s="976"/>
      <c r="DU7" s="976"/>
      <c r="DV7" s="976"/>
      <c r="DW7" s="982" t="str">
        <f>MID(SUVAHAVUJ!AF93,9,1)</f>
        <v xml:space="preserve"> </v>
      </c>
      <c r="DX7" s="982"/>
      <c r="DY7" s="982"/>
      <c r="DZ7" s="982"/>
      <c r="EA7" s="982"/>
      <c r="EB7" s="982"/>
      <c r="EC7" s="982" t="str">
        <f>MID(SUVAHAVUJ!AF93,10,1)</f>
        <v xml:space="preserve"> </v>
      </c>
      <c r="ED7" s="982"/>
      <c r="EE7" s="982"/>
      <c r="EF7" s="982"/>
      <c r="EG7" s="982"/>
      <c r="EH7" s="977" t="str">
        <f>MID(SUVAHAVUJ!AF93,11,1)</f>
        <v>0</v>
      </c>
      <c r="EI7" s="977"/>
      <c r="EJ7" s="977"/>
      <c r="EK7" s="977"/>
      <c r="EL7" s="977"/>
      <c r="EM7" s="977"/>
      <c r="EN7" s="665"/>
      <c r="EO7" s="666"/>
      <c r="EP7" s="976" t="str">
        <f>MID(SUVAHAVUJ!AG93,1,1)</f>
        <v xml:space="preserve"> </v>
      </c>
      <c r="EQ7" s="976"/>
      <c r="ER7" s="976"/>
      <c r="ES7" s="976"/>
      <c r="ET7" s="976"/>
      <c r="EU7" s="976"/>
      <c r="EV7" s="976" t="str">
        <f>MID(SUVAHAVUJ!AG93,2,1)</f>
        <v xml:space="preserve"> </v>
      </c>
      <c r="EW7" s="976"/>
      <c r="EX7" s="976"/>
      <c r="EY7" s="976"/>
      <c r="EZ7" s="976"/>
      <c r="FA7" s="976" t="str">
        <f>MID(SUVAHAVUJ!AG93,3,1)</f>
        <v xml:space="preserve"> </v>
      </c>
      <c r="FB7" s="976"/>
      <c r="FC7" s="976"/>
      <c r="FD7" s="976"/>
      <c r="FE7" s="976"/>
      <c r="FF7" s="976"/>
      <c r="FG7" s="976" t="str">
        <f>MID(SUVAHAVUJ!AG93,4,1)</f>
        <v xml:space="preserve"> </v>
      </c>
      <c r="FH7" s="976"/>
      <c r="FI7" s="976"/>
      <c r="FJ7" s="976"/>
      <c r="FK7" s="976"/>
      <c r="FL7" s="982" t="str">
        <f>MID(SUVAHAVUJ!AG93,5,1)</f>
        <v xml:space="preserve"> </v>
      </c>
      <c r="FM7" s="982"/>
      <c r="FN7" s="982"/>
      <c r="FO7" s="982"/>
      <c r="FP7" s="982"/>
      <c r="FQ7" s="982"/>
      <c r="FR7" s="982" t="str">
        <f>MID(SUVAHAVUJ!AG93,6,1)</f>
        <v xml:space="preserve"> </v>
      </c>
      <c r="FS7" s="982"/>
      <c r="FT7" s="982"/>
      <c r="FU7" s="982"/>
      <c r="FV7" s="982"/>
      <c r="FW7" s="982" t="str">
        <f>MID(SUVAHAVUJ!AG93,7,1)</f>
        <v xml:space="preserve"> </v>
      </c>
      <c r="FX7" s="982"/>
      <c r="FY7" s="982"/>
      <c r="FZ7" s="982"/>
      <c r="GA7" s="982"/>
      <c r="GB7" s="982"/>
      <c r="GC7" s="982" t="str">
        <f>MID(SUVAHAVUJ!AG93,8,1)</f>
        <v xml:space="preserve"> </v>
      </c>
      <c r="GD7" s="982"/>
      <c r="GE7" s="982"/>
      <c r="GF7" s="982"/>
      <c r="GG7" s="982"/>
      <c r="GH7" s="982" t="str">
        <f>MID(SUVAHAVUJ!AG93,9,1)</f>
        <v xml:space="preserve"> </v>
      </c>
      <c r="GI7" s="982"/>
      <c r="GJ7" s="982"/>
      <c r="GK7" s="982"/>
      <c r="GL7" s="982"/>
      <c r="GM7" s="982"/>
      <c r="GN7" s="982" t="str">
        <f>MID(SUVAHAVUJ!AG93,10,1)</f>
        <v xml:space="preserve"> </v>
      </c>
      <c r="GO7" s="982"/>
      <c r="GP7" s="982"/>
      <c r="GQ7" s="982"/>
      <c r="GR7" s="982"/>
      <c r="GS7" s="978" t="str">
        <f>MID(SUVAHAVUJ!AG93,11,1)</f>
        <v>0</v>
      </c>
      <c r="GT7" s="978"/>
      <c r="GU7" s="978"/>
      <c r="GV7" s="978"/>
      <c r="GW7" s="978"/>
    </row>
    <row r="8" spans="1:205" ht="24" customHeight="1" x14ac:dyDescent="0.25">
      <c r="B8" s="985" t="s">
        <v>2166</v>
      </c>
      <c r="C8" s="985"/>
      <c r="D8" s="985"/>
      <c r="E8" s="985"/>
      <c r="F8" s="985"/>
      <c r="G8" s="985"/>
      <c r="H8" s="985"/>
      <c r="I8" s="985"/>
      <c r="J8" s="985"/>
      <c r="K8" s="985"/>
      <c r="L8" s="1005" t="str">
        <f>SUVAHAVUJ!$D$94</f>
        <v>Ostatné fondy (427, 42X)</v>
      </c>
      <c r="M8" s="1005"/>
      <c r="N8" s="1005"/>
      <c r="O8" s="1005"/>
      <c r="P8" s="1005"/>
      <c r="Q8" s="1005"/>
      <c r="R8" s="1005"/>
      <c r="S8" s="1005"/>
      <c r="T8" s="1005"/>
      <c r="U8" s="1005"/>
      <c r="V8" s="1005"/>
      <c r="W8" s="1005"/>
      <c r="X8" s="1005"/>
      <c r="Y8" s="1005"/>
      <c r="Z8" s="1005"/>
      <c r="AA8" s="1005"/>
      <c r="AB8" s="1005"/>
      <c r="AC8" s="1005"/>
      <c r="AD8" s="1005"/>
      <c r="AE8" s="1005"/>
      <c r="AF8" s="1005"/>
      <c r="AG8" s="1005"/>
      <c r="AH8" s="1005"/>
      <c r="AI8" s="1005"/>
      <c r="AJ8" s="1005"/>
      <c r="AK8" s="1005"/>
      <c r="AL8" s="1005"/>
      <c r="AM8" s="1005"/>
      <c r="AN8" s="1005"/>
      <c r="AO8" s="1005"/>
      <c r="AP8" s="1005"/>
      <c r="AQ8" s="1005"/>
      <c r="AR8" s="1005"/>
      <c r="AS8" s="1005"/>
      <c r="AT8" s="1005"/>
      <c r="AU8" s="1005"/>
      <c r="AV8" s="1005"/>
      <c r="AW8" s="1005"/>
      <c r="AX8" s="1005"/>
      <c r="AY8" s="1005"/>
      <c r="AZ8" s="1005"/>
      <c r="BA8" s="1005"/>
      <c r="BB8" s="1005"/>
      <c r="BC8" s="1005"/>
      <c r="BD8" s="1005"/>
      <c r="BE8" s="1005"/>
      <c r="BF8" s="1005"/>
      <c r="BG8" s="1005"/>
      <c r="BH8" s="1005"/>
      <c r="BI8" s="1005"/>
      <c r="BJ8" s="1005"/>
      <c r="BK8" s="1005"/>
      <c r="BL8" s="1005"/>
      <c r="BM8" s="1005"/>
      <c r="BN8" s="1005"/>
      <c r="BO8" s="1005"/>
      <c r="BP8" s="1005"/>
      <c r="BQ8" s="1005"/>
      <c r="BR8" s="1005"/>
      <c r="BS8" s="1005"/>
      <c r="BT8" s="1005"/>
      <c r="BU8" s="1005"/>
      <c r="BV8" s="1005"/>
      <c r="BW8" s="975" t="s">
        <v>2242</v>
      </c>
      <c r="BX8" s="975"/>
      <c r="BY8" s="975"/>
      <c r="BZ8" s="975"/>
      <c r="CA8" s="975"/>
      <c r="CB8" s="975"/>
      <c r="CC8" s="975"/>
      <c r="CD8" s="975"/>
      <c r="CE8" s="976" t="str">
        <f>MID(SUVAHAVUJ!AF94,1,1)</f>
        <v xml:space="preserve"> </v>
      </c>
      <c r="CF8" s="976"/>
      <c r="CG8" s="976"/>
      <c r="CH8" s="976"/>
      <c r="CI8" s="976"/>
      <c r="CJ8" s="976" t="str">
        <f>MID(SUVAHAVUJ!AF94,2,1)</f>
        <v xml:space="preserve"> </v>
      </c>
      <c r="CK8" s="976"/>
      <c r="CL8" s="976"/>
      <c r="CM8" s="976"/>
      <c r="CN8" s="976"/>
      <c r="CO8" s="976"/>
      <c r="CP8" s="976" t="str">
        <f>MID(SUVAHAVUJ!AF94,3,1)</f>
        <v xml:space="preserve"> </v>
      </c>
      <c r="CQ8" s="976"/>
      <c r="CR8" s="976"/>
      <c r="CS8" s="976"/>
      <c r="CT8" s="976"/>
      <c r="CU8" s="976" t="str">
        <f>MID(SUVAHAVUJ!AF94,4,1)</f>
        <v xml:space="preserve"> </v>
      </c>
      <c r="CV8" s="976"/>
      <c r="CW8" s="976"/>
      <c r="CX8" s="976"/>
      <c r="CY8" s="976"/>
      <c r="CZ8" s="976"/>
      <c r="DA8" s="976" t="str">
        <f>MID(SUVAHAVUJ!AF94,5,1)</f>
        <v xml:space="preserve"> </v>
      </c>
      <c r="DB8" s="976"/>
      <c r="DC8" s="976"/>
      <c r="DD8" s="976"/>
      <c r="DE8" s="976"/>
      <c r="DF8" s="976" t="str">
        <f>MID(SUVAHAVUJ!AF94,6,1)</f>
        <v xml:space="preserve"> </v>
      </c>
      <c r="DG8" s="976"/>
      <c r="DH8" s="976"/>
      <c r="DI8" s="976"/>
      <c r="DJ8" s="976"/>
      <c r="DK8" s="976"/>
      <c r="DL8" s="976" t="str">
        <f>MID(SUVAHAVUJ!AF94,7,1)</f>
        <v>9</v>
      </c>
      <c r="DM8" s="976"/>
      <c r="DN8" s="976"/>
      <c r="DO8" s="976"/>
      <c r="DP8" s="976"/>
      <c r="DQ8" s="976"/>
      <c r="DR8" s="976" t="str">
        <f>MID(SUVAHAVUJ!AF94,8,1)</f>
        <v>3</v>
      </c>
      <c r="DS8" s="976"/>
      <c r="DT8" s="976"/>
      <c r="DU8" s="976"/>
      <c r="DV8" s="976"/>
      <c r="DW8" s="982" t="str">
        <f>MID(SUVAHAVUJ!AF94,9,1)</f>
        <v>4</v>
      </c>
      <c r="DX8" s="982"/>
      <c r="DY8" s="982"/>
      <c r="DZ8" s="982"/>
      <c r="EA8" s="982"/>
      <c r="EB8" s="982"/>
      <c r="EC8" s="982" t="str">
        <f>MID(SUVAHAVUJ!AF94,10,1)</f>
        <v>2</v>
      </c>
      <c r="ED8" s="982"/>
      <c r="EE8" s="982"/>
      <c r="EF8" s="982"/>
      <c r="EG8" s="982"/>
      <c r="EH8" s="977" t="str">
        <f>MID(SUVAHAVUJ!AF94,11,1)</f>
        <v>4</v>
      </c>
      <c r="EI8" s="977"/>
      <c r="EJ8" s="977"/>
      <c r="EK8" s="977"/>
      <c r="EL8" s="977"/>
      <c r="EM8" s="977"/>
      <c r="EN8" s="665"/>
      <c r="EO8" s="666"/>
      <c r="EP8" s="976" t="str">
        <f>MID(SUVAHAVUJ!AG94,1,1)</f>
        <v xml:space="preserve"> </v>
      </c>
      <c r="EQ8" s="976"/>
      <c r="ER8" s="976"/>
      <c r="ES8" s="976"/>
      <c r="ET8" s="976"/>
      <c r="EU8" s="976"/>
      <c r="EV8" s="976" t="str">
        <f>MID(SUVAHAVUJ!AG94,2,1)</f>
        <v xml:space="preserve"> </v>
      </c>
      <c r="EW8" s="976"/>
      <c r="EX8" s="976"/>
      <c r="EY8" s="976"/>
      <c r="EZ8" s="976"/>
      <c r="FA8" s="976" t="str">
        <f>MID(SUVAHAVUJ!AG94,3,1)</f>
        <v xml:space="preserve"> </v>
      </c>
      <c r="FB8" s="976"/>
      <c r="FC8" s="976"/>
      <c r="FD8" s="976"/>
      <c r="FE8" s="976"/>
      <c r="FF8" s="976"/>
      <c r="FG8" s="976" t="str">
        <f>MID(SUVAHAVUJ!AG94,4,1)</f>
        <v xml:space="preserve"> </v>
      </c>
      <c r="FH8" s="976"/>
      <c r="FI8" s="976"/>
      <c r="FJ8" s="976"/>
      <c r="FK8" s="976"/>
      <c r="FL8" s="982" t="str">
        <f>MID(SUVAHAVUJ!AG94,5,1)</f>
        <v xml:space="preserve"> </v>
      </c>
      <c r="FM8" s="982"/>
      <c r="FN8" s="982"/>
      <c r="FO8" s="982"/>
      <c r="FP8" s="982"/>
      <c r="FQ8" s="982"/>
      <c r="FR8" s="982" t="str">
        <f>MID(SUVAHAVUJ!AG94,6,1)</f>
        <v xml:space="preserve"> </v>
      </c>
      <c r="FS8" s="982"/>
      <c r="FT8" s="982"/>
      <c r="FU8" s="982"/>
      <c r="FV8" s="982"/>
      <c r="FW8" s="982" t="str">
        <f>MID(SUVAHAVUJ!AG94,7,1)</f>
        <v>9</v>
      </c>
      <c r="FX8" s="982"/>
      <c r="FY8" s="982"/>
      <c r="FZ8" s="982"/>
      <c r="GA8" s="982"/>
      <c r="GB8" s="982"/>
      <c r="GC8" s="982" t="str">
        <f>MID(SUVAHAVUJ!AG94,8,1)</f>
        <v>3</v>
      </c>
      <c r="GD8" s="982"/>
      <c r="GE8" s="982"/>
      <c r="GF8" s="982"/>
      <c r="GG8" s="982"/>
      <c r="GH8" s="982" t="str">
        <f>MID(SUVAHAVUJ!AG94,9,1)</f>
        <v>4</v>
      </c>
      <c r="GI8" s="982"/>
      <c r="GJ8" s="982"/>
      <c r="GK8" s="982"/>
      <c r="GL8" s="982"/>
      <c r="GM8" s="982"/>
      <c r="GN8" s="982" t="str">
        <f>MID(SUVAHAVUJ!AG94,10,1)</f>
        <v>2</v>
      </c>
      <c r="GO8" s="982"/>
      <c r="GP8" s="982"/>
      <c r="GQ8" s="982"/>
      <c r="GR8" s="982"/>
      <c r="GS8" s="978" t="str">
        <f>MID(SUVAHAVUJ!AG94,11,1)</f>
        <v>4</v>
      </c>
      <c r="GT8" s="978"/>
      <c r="GU8" s="978"/>
      <c r="GV8" s="978"/>
      <c r="GW8" s="978"/>
    </row>
    <row r="9" spans="1:205" ht="24" customHeight="1" x14ac:dyDescent="0.25">
      <c r="B9" s="981" t="s">
        <v>2243</v>
      </c>
      <c r="C9" s="981"/>
      <c r="D9" s="981"/>
      <c r="E9" s="981"/>
      <c r="F9" s="981"/>
      <c r="G9" s="981"/>
      <c r="H9" s="981"/>
      <c r="I9" s="981"/>
      <c r="J9" s="981"/>
      <c r="K9" s="981"/>
      <c r="L9" s="1004" t="str">
        <f>SUVAHAVUJ!$D$95</f>
        <v>Oceňovacie rozdiely z precenenia súčet (r. 94 až r. 96)</v>
      </c>
      <c r="M9" s="1004"/>
      <c r="N9" s="1004"/>
      <c r="O9" s="1004"/>
      <c r="P9" s="1004"/>
      <c r="Q9" s="1004"/>
      <c r="R9" s="1004"/>
      <c r="S9" s="1004"/>
      <c r="T9" s="1004"/>
      <c r="U9" s="1004"/>
      <c r="V9" s="1004"/>
      <c r="W9" s="1004"/>
      <c r="X9" s="1004"/>
      <c r="Y9" s="1004"/>
      <c r="Z9" s="1004"/>
      <c r="AA9" s="1004"/>
      <c r="AB9" s="1004"/>
      <c r="AC9" s="1004"/>
      <c r="AD9" s="1004"/>
      <c r="AE9" s="1004"/>
      <c r="AF9" s="1004"/>
      <c r="AG9" s="1004"/>
      <c r="AH9" s="1004"/>
      <c r="AI9" s="1004"/>
      <c r="AJ9" s="1004"/>
      <c r="AK9" s="1004"/>
      <c r="AL9" s="1004"/>
      <c r="AM9" s="1004"/>
      <c r="AN9" s="1004"/>
      <c r="AO9" s="1004"/>
      <c r="AP9" s="1004"/>
      <c r="AQ9" s="1004"/>
      <c r="AR9" s="1004"/>
      <c r="AS9" s="1004"/>
      <c r="AT9" s="1004"/>
      <c r="AU9" s="1004"/>
      <c r="AV9" s="1004"/>
      <c r="AW9" s="1004"/>
      <c r="AX9" s="1004"/>
      <c r="AY9" s="1004"/>
      <c r="AZ9" s="1004"/>
      <c r="BA9" s="1004"/>
      <c r="BB9" s="1004"/>
      <c r="BC9" s="1004"/>
      <c r="BD9" s="1004"/>
      <c r="BE9" s="1004"/>
      <c r="BF9" s="1004"/>
      <c r="BG9" s="1004"/>
      <c r="BH9" s="1004"/>
      <c r="BI9" s="1004"/>
      <c r="BJ9" s="1004"/>
      <c r="BK9" s="1004"/>
      <c r="BL9" s="1004"/>
      <c r="BM9" s="1004"/>
      <c r="BN9" s="1004"/>
      <c r="BO9" s="1004"/>
      <c r="BP9" s="1004"/>
      <c r="BQ9" s="1004"/>
      <c r="BR9" s="1004"/>
      <c r="BS9" s="1004"/>
      <c r="BT9" s="1004"/>
      <c r="BU9" s="1004"/>
      <c r="BV9" s="1004"/>
      <c r="BW9" s="975" t="s">
        <v>2244</v>
      </c>
      <c r="BX9" s="975"/>
      <c r="BY9" s="975"/>
      <c r="BZ9" s="975"/>
      <c r="CA9" s="975"/>
      <c r="CB9" s="975"/>
      <c r="CC9" s="975"/>
      <c r="CD9" s="975"/>
      <c r="CE9" s="976" t="str">
        <f>MID(SUVAHAVUJ!AF95,1,1)</f>
        <v xml:space="preserve"> </v>
      </c>
      <c r="CF9" s="976"/>
      <c r="CG9" s="976"/>
      <c r="CH9" s="976"/>
      <c r="CI9" s="976"/>
      <c r="CJ9" s="976" t="str">
        <f>MID(SUVAHAVUJ!AF95,2,1)</f>
        <v xml:space="preserve"> </v>
      </c>
      <c r="CK9" s="976"/>
      <c r="CL9" s="976"/>
      <c r="CM9" s="976"/>
      <c r="CN9" s="976"/>
      <c r="CO9" s="976"/>
      <c r="CP9" s="976" t="str">
        <f>MID(SUVAHAVUJ!AF95,3,1)</f>
        <v xml:space="preserve"> </v>
      </c>
      <c r="CQ9" s="976"/>
      <c r="CR9" s="976"/>
      <c r="CS9" s="976"/>
      <c r="CT9" s="976"/>
      <c r="CU9" s="976" t="str">
        <f>MID(SUVAHAVUJ!AF95,4,1)</f>
        <v xml:space="preserve"> </v>
      </c>
      <c r="CV9" s="976"/>
      <c r="CW9" s="976"/>
      <c r="CX9" s="976"/>
      <c r="CY9" s="976"/>
      <c r="CZ9" s="976"/>
      <c r="DA9" s="976" t="str">
        <f>MID(SUVAHAVUJ!AF95,5,1)</f>
        <v xml:space="preserve"> </v>
      </c>
      <c r="DB9" s="976"/>
      <c r="DC9" s="976"/>
      <c r="DD9" s="976"/>
      <c r="DE9" s="976"/>
      <c r="DF9" s="976" t="str">
        <f>MID(SUVAHAVUJ!AF95,6,1)</f>
        <v xml:space="preserve"> </v>
      </c>
      <c r="DG9" s="976"/>
      <c r="DH9" s="976"/>
      <c r="DI9" s="976"/>
      <c r="DJ9" s="976"/>
      <c r="DK9" s="976"/>
      <c r="DL9" s="976" t="str">
        <f>MID(SUVAHAVUJ!AF95,7,1)</f>
        <v xml:space="preserve"> </v>
      </c>
      <c r="DM9" s="976"/>
      <c r="DN9" s="976"/>
      <c r="DO9" s="976"/>
      <c r="DP9" s="976"/>
      <c r="DQ9" s="976"/>
      <c r="DR9" s="976" t="str">
        <f>MID(SUVAHAVUJ!AF95,8,1)</f>
        <v xml:space="preserve"> </v>
      </c>
      <c r="DS9" s="976"/>
      <c r="DT9" s="976"/>
      <c r="DU9" s="976"/>
      <c r="DV9" s="976"/>
      <c r="DW9" s="982" t="str">
        <f>MID(SUVAHAVUJ!AF95,9,1)</f>
        <v xml:space="preserve"> </v>
      </c>
      <c r="DX9" s="982"/>
      <c r="DY9" s="982"/>
      <c r="DZ9" s="982"/>
      <c r="EA9" s="982"/>
      <c r="EB9" s="982"/>
      <c r="EC9" s="982" t="str">
        <f>MID(SUVAHAVUJ!AF95,10,1)</f>
        <v xml:space="preserve"> </v>
      </c>
      <c r="ED9" s="982"/>
      <c r="EE9" s="982"/>
      <c r="EF9" s="982"/>
      <c r="EG9" s="982"/>
      <c r="EH9" s="977" t="str">
        <f>MID(SUVAHAVUJ!AF95,11,1)</f>
        <v>0</v>
      </c>
      <c r="EI9" s="977"/>
      <c r="EJ9" s="977"/>
      <c r="EK9" s="977"/>
      <c r="EL9" s="977"/>
      <c r="EM9" s="977"/>
      <c r="EN9" s="665"/>
      <c r="EO9" s="666"/>
      <c r="EP9" s="976" t="str">
        <f>MID(SUVAHAVUJ!AG95,1,1)</f>
        <v xml:space="preserve"> </v>
      </c>
      <c r="EQ9" s="976"/>
      <c r="ER9" s="976"/>
      <c r="ES9" s="976"/>
      <c r="ET9" s="976"/>
      <c r="EU9" s="976"/>
      <c r="EV9" s="976" t="str">
        <f>MID(SUVAHAVUJ!AG95,2,1)</f>
        <v xml:space="preserve"> </v>
      </c>
      <c r="EW9" s="976"/>
      <c r="EX9" s="976"/>
      <c r="EY9" s="976"/>
      <c r="EZ9" s="976"/>
      <c r="FA9" s="976" t="str">
        <f>MID(SUVAHAVUJ!AG95,3,1)</f>
        <v xml:space="preserve"> </v>
      </c>
      <c r="FB9" s="976"/>
      <c r="FC9" s="976"/>
      <c r="FD9" s="976"/>
      <c r="FE9" s="976"/>
      <c r="FF9" s="976"/>
      <c r="FG9" s="976" t="str">
        <f>MID(SUVAHAVUJ!AG95,4,1)</f>
        <v xml:space="preserve"> </v>
      </c>
      <c r="FH9" s="976"/>
      <c r="FI9" s="976"/>
      <c r="FJ9" s="976"/>
      <c r="FK9" s="976"/>
      <c r="FL9" s="982" t="str">
        <f>MID(SUVAHAVUJ!AG95,5,1)</f>
        <v xml:space="preserve"> </v>
      </c>
      <c r="FM9" s="982"/>
      <c r="FN9" s="982"/>
      <c r="FO9" s="982"/>
      <c r="FP9" s="982"/>
      <c r="FQ9" s="982"/>
      <c r="FR9" s="982" t="str">
        <f>MID(SUVAHAVUJ!AG95,6,1)</f>
        <v xml:space="preserve"> </v>
      </c>
      <c r="FS9" s="982"/>
      <c r="FT9" s="982"/>
      <c r="FU9" s="982"/>
      <c r="FV9" s="982"/>
      <c r="FW9" s="982" t="str">
        <f>MID(SUVAHAVUJ!AG95,7,1)</f>
        <v xml:space="preserve"> </v>
      </c>
      <c r="FX9" s="982"/>
      <c r="FY9" s="982"/>
      <c r="FZ9" s="982"/>
      <c r="GA9" s="982"/>
      <c r="GB9" s="982"/>
      <c r="GC9" s="982" t="str">
        <f>MID(SUVAHAVUJ!AG95,8,1)</f>
        <v xml:space="preserve"> </v>
      </c>
      <c r="GD9" s="982"/>
      <c r="GE9" s="982"/>
      <c r="GF9" s="982"/>
      <c r="GG9" s="982"/>
      <c r="GH9" s="982" t="str">
        <f>MID(SUVAHAVUJ!AG95,9,1)</f>
        <v xml:space="preserve"> </v>
      </c>
      <c r="GI9" s="982"/>
      <c r="GJ9" s="982"/>
      <c r="GK9" s="982"/>
      <c r="GL9" s="982"/>
      <c r="GM9" s="982"/>
      <c r="GN9" s="982" t="str">
        <f>MID(SUVAHAVUJ!AG95,10,1)</f>
        <v xml:space="preserve"> </v>
      </c>
      <c r="GO9" s="982"/>
      <c r="GP9" s="982"/>
      <c r="GQ9" s="982"/>
      <c r="GR9" s="982"/>
      <c r="GS9" s="978" t="str">
        <f>MID(SUVAHAVUJ!AG95,11,1)</f>
        <v>0</v>
      </c>
      <c r="GT9" s="978"/>
      <c r="GU9" s="978"/>
      <c r="GV9" s="978"/>
      <c r="GW9" s="978"/>
    </row>
    <row r="10" spans="1:205" ht="24" customHeight="1" x14ac:dyDescent="0.25">
      <c r="B10" s="1011" t="s">
        <v>2245</v>
      </c>
      <c r="C10" s="1011"/>
      <c r="D10" s="1011"/>
      <c r="E10" s="1011"/>
      <c r="F10" s="1011"/>
      <c r="G10" s="1011"/>
      <c r="H10" s="1011"/>
      <c r="I10" s="1011"/>
      <c r="J10" s="1011"/>
      <c r="K10" s="1011"/>
      <c r="L10" s="1005" t="str">
        <f>SUVAHAVUJ!$D$96</f>
        <v>Oceňovacie rozdiely z precenenia majetku a záväzkov (+/- 414)</v>
      </c>
      <c r="M10" s="1005"/>
      <c r="N10" s="1005"/>
      <c r="O10" s="1005"/>
      <c r="P10" s="1005"/>
      <c r="Q10" s="1005"/>
      <c r="R10" s="1005"/>
      <c r="S10" s="1005"/>
      <c r="T10" s="1005"/>
      <c r="U10" s="1005"/>
      <c r="V10" s="1005"/>
      <c r="W10" s="1005"/>
      <c r="X10" s="1005"/>
      <c r="Y10" s="1005"/>
      <c r="Z10" s="1005"/>
      <c r="AA10" s="1005"/>
      <c r="AB10" s="1005"/>
      <c r="AC10" s="1005"/>
      <c r="AD10" s="1005"/>
      <c r="AE10" s="1005"/>
      <c r="AF10" s="1005"/>
      <c r="AG10" s="1005"/>
      <c r="AH10" s="1005"/>
      <c r="AI10" s="1005"/>
      <c r="AJ10" s="1005"/>
      <c r="AK10" s="1005"/>
      <c r="AL10" s="1005"/>
      <c r="AM10" s="1005"/>
      <c r="AN10" s="1005"/>
      <c r="AO10" s="1005"/>
      <c r="AP10" s="1005"/>
      <c r="AQ10" s="1005"/>
      <c r="AR10" s="1005"/>
      <c r="AS10" s="1005"/>
      <c r="AT10" s="1005"/>
      <c r="AU10" s="1005"/>
      <c r="AV10" s="1005"/>
      <c r="AW10" s="1005"/>
      <c r="AX10" s="1005"/>
      <c r="AY10" s="1005"/>
      <c r="AZ10" s="1005"/>
      <c r="BA10" s="1005"/>
      <c r="BB10" s="1005"/>
      <c r="BC10" s="1005"/>
      <c r="BD10" s="1005"/>
      <c r="BE10" s="1005"/>
      <c r="BF10" s="1005"/>
      <c r="BG10" s="1005"/>
      <c r="BH10" s="1005"/>
      <c r="BI10" s="1005"/>
      <c r="BJ10" s="1005"/>
      <c r="BK10" s="1005"/>
      <c r="BL10" s="1005"/>
      <c r="BM10" s="1005"/>
      <c r="BN10" s="1005"/>
      <c r="BO10" s="1005"/>
      <c r="BP10" s="1005"/>
      <c r="BQ10" s="1005"/>
      <c r="BR10" s="1005"/>
      <c r="BS10" s="1005"/>
      <c r="BT10" s="1005"/>
      <c r="BU10" s="1005"/>
      <c r="BV10" s="1005"/>
      <c r="BW10" s="975" t="s">
        <v>2246</v>
      </c>
      <c r="BX10" s="975"/>
      <c r="BY10" s="975"/>
      <c r="BZ10" s="975"/>
      <c r="CA10" s="975"/>
      <c r="CB10" s="975"/>
      <c r="CC10" s="975"/>
      <c r="CD10" s="975"/>
      <c r="CE10" s="976" t="str">
        <f>MID(SUVAHAVUJ!AF96,1,1)</f>
        <v xml:space="preserve"> </v>
      </c>
      <c r="CF10" s="976"/>
      <c r="CG10" s="976"/>
      <c r="CH10" s="976"/>
      <c r="CI10" s="976"/>
      <c r="CJ10" s="976" t="str">
        <f>MID(SUVAHAVUJ!AF96,2,1)</f>
        <v xml:space="preserve"> </v>
      </c>
      <c r="CK10" s="976"/>
      <c r="CL10" s="976"/>
      <c r="CM10" s="976"/>
      <c r="CN10" s="976"/>
      <c r="CO10" s="976"/>
      <c r="CP10" s="976" t="str">
        <f>MID(SUVAHAVUJ!AF96,3,1)</f>
        <v xml:space="preserve"> </v>
      </c>
      <c r="CQ10" s="976"/>
      <c r="CR10" s="976"/>
      <c r="CS10" s="976"/>
      <c r="CT10" s="976"/>
      <c r="CU10" s="976" t="str">
        <f>MID(SUVAHAVUJ!AF96,4,1)</f>
        <v xml:space="preserve"> </v>
      </c>
      <c r="CV10" s="976"/>
      <c r="CW10" s="976"/>
      <c r="CX10" s="976"/>
      <c r="CY10" s="976"/>
      <c r="CZ10" s="976"/>
      <c r="DA10" s="976" t="str">
        <f>MID(SUVAHAVUJ!AF96,5,1)</f>
        <v xml:space="preserve"> </v>
      </c>
      <c r="DB10" s="976"/>
      <c r="DC10" s="976"/>
      <c r="DD10" s="976"/>
      <c r="DE10" s="976"/>
      <c r="DF10" s="976" t="str">
        <f>MID(SUVAHAVUJ!AF96,6,1)</f>
        <v xml:space="preserve"> </v>
      </c>
      <c r="DG10" s="976"/>
      <c r="DH10" s="976"/>
      <c r="DI10" s="976"/>
      <c r="DJ10" s="976"/>
      <c r="DK10" s="976"/>
      <c r="DL10" s="976" t="str">
        <f>MID(SUVAHAVUJ!AF96,7,1)</f>
        <v xml:space="preserve"> </v>
      </c>
      <c r="DM10" s="976"/>
      <c r="DN10" s="976"/>
      <c r="DO10" s="976"/>
      <c r="DP10" s="976"/>
      <c r="DQ10" s="976"/>
      <c r="DR10" s="976" t="str">
        <f>MID(SUVAHAVUJ!AF96,8,1)</f>
        <v xml:space="preserve"> </v>
      </c>
      <c r="DS10" s="976"/>
      <c r="DT10" s="976"/>
      <c r="DU10" s="976"/>
      <c r="DV10" s="976"/>
      <c r="DW10" s="982" t="str">
        <f>MID(SUVAHAVUJ!AF96,9,1)</f>
        <v xml:space="preserve"> </v>
      </c>
      <c r="DX10" s="982"/>
      <c r="DY10" s="982"/>
      <c r="DZ10" s="982"/>
      <c r="EA10" s="982"/>
      <c r="EB10" s="982"/>
      <c r="EC10" s="982" t="str">
        <f>MID(SUVAHAVUJ!AF96,10,1)</f>
        <v xml:space="preserve"> </v>
      </c>
      <c r="ED10" s="982"/>
      <c r="EE10" s="982"/>
      <c r="EF10" s="982"/>
      <c r="EG10" s="982"/>
      <c r="EH10" s="977" t="str">
        <f>MID(SUVAHAVUJ!AF96,11,1)</f>
        <v>0</v>
      </c>
      <c r="EI10" s="977"/>
      <c r="EJ10" s="977"/>
      <c r="EK10" s="977"/>
      <c r="EL10" s="977"/>
      <c r="EM10" s="977"/>
      <c r="EN10" s="665"/>
      <c r="EO10" s="666"/>
      <c r="EP10" s="976" t="str">
        <f>MID(SUVAHAVUJ!AG96,1,1)</f>
        <v xml:space="preserve"> </v>
      </c>
      <c r="EQ10" s="976"/>
      <c r="ER10" s="976"/>
      <c r="ES10" s="976"/>
      <c r="ET10" s="976"/>
      <c r="EU10" s="976"/>
      <c r="EV10" s="976" t="str">
        <f>MID(SUVAHAVUJ!AG96,2,1)</f>
        <v xml:space="preserve"> </v>
      </c>
      <c r="EW10" s="976"/>
      <c r="EX10" s="976"/>
      <c r="EY10" s="976"/>
      <c r="EZ10" s="976"/>
      <c r="FA10" s="976" t="str">
        <f>MID(SUVAHAVUJ!AG96,3,1)</f>
        <v xml:space="preserve"> </v>
      </c>
      <c r="FB10" s="976"/>
      <c r="FC10" s="976"/>
      <c r="FD10" s="976"/>
      <c r="FE10" s="976"/>
      <c r="FF10" s="976"/>
      <c r="FG10" s="976" t="str">
        <f>MID(SUVAHAVUJ!AG96,4,1)</f>
        <v xml:space="preserve"> </v>
      </c>
      <c r="FH10" s="976"/>
      <c r="FI10" s="976"/>
      <c r="FJ10" s="976"/>
      <c r="FK10" s="976"/>
      <c r="FL10" s="982" t="str">
        <f>MID(SUVAHAVUJ!AG96,5,1)</f>
        <v xml:space="preserve"> </v>
      </c>
      <c r="FM10" s="982"/>
      <c r="FN10" s="982"/>
      <c r="FO10" s="982"/>
      <c r="FP10" s="982"/>
      <c r="FQ10" s="982"/>
      <c r="FR10" s="982" t="str">
        <f>MID(SUVAHAVUJ!AG96,6,1)</f>
        <v xml:space="preserve"> </v>
      </c>
      <c r="FS10" s="982"/>
      <c r="FT10" s="982"/>
      <c r="FU10" s="982"/>
      <c r="FV10" s="982"/>
      <c r="FW10" s="982" t="str">
        <f>MID(SUVAHAVUJ!AG96,7,1)</f>
        <v xml:space="preserve"> </v>
      </c>
      <c r="FX10" s="982"/>
      <c r="FY10" s="982"/>
      <c r="FZ10" s="982"/>
      <c r="GA10" s="982"/>
      <c r="GB10" s="982"/>
      <c r="GC10" s="982" t="str">
        <f>MID(SUVAHAVUJ!AG96,8,1)</f>
        <v xml:space="preserve"> </v>
      </c>
      <c r="GD10" s="982"/>
      <c r="GE10" s="982"/>
      <c r="GF10" s="982"/>
      <c r="GG10" s="982"/>
      <c r="GH10" s="982" t="str">
        <f>MID(SUVAHAVUJ!AG96,9,1)</f>
        <v xml:space="preserve"> </v>
      </c>
      <c r="GI10" s="982"/>
      <c r="GJ10" s="982"/>
      <c r="GK10" s="982"/>
      <c r="GL10" s="982"/>
      <c r="GM10" s="982"/>
      <c r="GN10" s="982" t="str">
        <f>MID(SUVAHAVUJ!AG96,10,1)</f>
        <v xml:space="preserve"> </v>
      </c>
      <c r="GO10" s="982"/>
      <c r="GP10" s="982"/>
      <c r="GQ10" s="982"/>
      <c r="GR10" s="982"/>
      <c r="GS10" s="978" t="str">
        <f>MID(SUVAHAVUJ!AG96,11,1)</f>
        <v>0</v>
      </c>
      <c r="GT10" s="978"/>
      <c r="GU10" s="978"/>
      <c r="GV10" s="978"/>
      <c r="GW10" s="978"/>
    </row>
    <row r="11" spans="1:205" ht="24" customHeight="1" x14ac:dyDescent="0.25">
      <c r="B11" s="985" t="s">
        <v>2166</v>
      </c>
      <c r="C11" s="985"/>
      <c r="D11" s="985"/>
      <c r="E11" s="985"/>
      <c r="F11" s="985"/>
      <c r="G11" s="985"/>
      <c r="H11" s="985"/>
      <c r="I11" s="985"/>
      <c r="J11" s="985"/>
      <c r="K11" s="985"/>
      <c r="L11" s="1005" t="str">
        <f>SUVAHAVUJ!$D$97</f>
        <v>Oceňovacie rozdiely z kapitálových účastín
(+/- 415)</v>
      </c>
      <c r="M11" s="1005"/>
      <c r="N11" s="1005"/>
      <c r="O11" s="1005"/>
      <c r="P11" s="1005"/>
      <c r="Q11" s="1005"/>
      <c r="R11" s="1005"/>
      <c r="S11" s="1005"/>
      <c r="T11" s="1005"/>
      <c r="U11" s="1005"/>
      <c r="V11" s="1005"/>
      <c r="W11" s="1005"/>
      <c r="X11" s="1005"/>
      <c r="Y11" s="1005"/>
      <c r="Z11" s="1005"/>
      <c r="AA11" s="1005"/>
      <c r="AB11" s="1005"/>
      <c r="AC11" s="1005"/>
      <c r="AD11" s="1005"/>
      <c r="AE11" s="1005"/>
      <c r="AF11" s="1005"/>
      <c r="AG11" s="1005"/>
      <c r="AH11" s="1005"/>
      <c r="AI11" s="1005"/>
      <c r="AJ11" s="1005"/>
      <c r="AK11" s="1005"/>
      <c r="AL11" s="1005"/>
      <c r="AM11" s="1005"/>
      <c r="AN11" s="1005"/>
      <c r="AO11" s="1005"/>
      <c r="AP11" s="1005"/>
      <c r="AQ11" s="1005"/>
      <c r="AR11" s="1005"/>
      <c r="AS11" s="1005"/>
      <c r="AT11" s="1005"/>
      <c r="AU11" s="1005"/>
      <c r="AV11" s="1005"/>
      <c r="AW11" s="1005"/>
      <c r="AX11" s="1005"/>
      <c r="AY11" s="1005"/>
      <c r="AZ11" s="1005"/>
      <c r="BA11" s="1005"/>
      <c r="BB11" s="1005"/>
      <c r="BC11" s="1005"/>
      <c r="BD11" s="1005"/>
      <c r="BE11" s="1005"/>
      <c r="BF11" s="1005"/>
      <c r="BG11" s="1005"/>
      <c r="BH11" s="1005"/>
      <c r="BI11" s="1005"/>
      <c r="BJ11" s="1005"/>
      <c r="BK11" s="1005"/>
      <c r="BL11" s="1005"/>
      <c r="BM11" s="1005"/>
      <c r="BN11" s="1005"/>
      <c r="BO11" s="1005"/>
      <c r="BP11" s="1005"/>
      <c r="BQ11" s="1005"/>
      <c r="BR11" s="1005"/>
      <c r="BS11" s="1005"/>
      <c r="BT11" s="1005"/>
      <c r="BU11" s="1005"/>
      <c r="BV11" s="1005"/>
      <c r="BW11" s="975" t="s">
        <v>2247</v>
      </c>
      <c r="BX11" s="975"/>
      <c r="BY11" s="975"/>
      <c r="BZ11" s="975"/>
      <c r="CA11" s="975"/>
      <c r="CB11" s="975"/>
      <c r="CC11" s="975"/>
      <c r="CD11" s="975"/>
      <c r="CE11" s="976" t="str">
        <f>MID(SUVAHAVUJ!AF97,1,1)</f>
        <v xml:space="preserve"> </v>
      </c>
      <c r="CF11" s="976"/>
      <c r="CG11" s="976"/>
      <c r="CH11" s="976"/>
      <c r="CI11" s="976"/>
      <c r="CJ11" s="976" t="str">
        <f>MID(SUVAHAVUJ!AF97,2,1)</f>
        <v xml:space="preserve"> </v>
      </c>
      <c r="CK11" s="976"/>
      <c r="CL11" s="976"/>
      <c r="CM11" s="976"/>
      <c r="CN11" s="976"/>
      <c r="CO11" s="976"/>
      <c r="CP11" s="976" t="str">
        <f>MID(SUVAHAVUJ!AF97,3,1)</f>
        <v xml:space="preserve"> </v>
      </c>
      <c r="CQ11" s="976"/>
      <c r="CR11" s="976"/>
      <c r="CS11" s="976"/>
      <c r="CT11" s="976"/>
      <c r="CU11" s="976" t="str">
        <f>MID(SUVAHAVUJ!AF97,4,1)</f>
        <v xml:space="preserve"> </v>
      </c>
      <c r="CV11" s="976"/>
      <c r="CW11" s="976"/>
      <c r="CX11" s="976"/>
      <c r="CY11" s="976"/>
      <c r="CZ11" s="976"/>
      <c r="DA11" s="976" t="str">
        <f>MID(SUVAHAVUJ!AF97,5,1)</f>
        <v xml:space="preserve"> </v>
      </c>
      <c r="DB11" s="976"/>
      <c r="DC11" s="976"/>
      <c r="DD11" s="976"/>
      <c r="DE11" s="976"/>
      <c r="DF11" s="976" t="str">
        <f>MID(SUVAHAVUJ!AF97,6,1)</f>
        <v xml:space="preserve"> </v>
      </c>
      <c r="DG11" s="976"/>
      <c r="DH11" s="976"/>
      <c r="DI11" s="976"/>
      <c r="DJ11" s="976"/>
      <c r="DK11" s="976"/>
      <c r="DL11" s="976" t="str">
        <f>MID(SUVAHAVUJ!AF97,7,1)</f>
        <v xml:space="preserve"> </v>
      </c>
      <c r="DM11" s="976"/>
      <c r="DN11" s="976"/>
      <c r="DO11" s="976"/>
      <c r="DP11" s="976"/>
      <c r="DQ11" s="976"/>
      <c r="DR11" s="976" t="str">
        <f>MID(SUVAHAVUJ!AF97,8,1)</f>
        <v xml:space="preserve"> </v>
      </c>
      <c r="DS11" s="976"/>
      <c r="DT11" s="976"/>
      <c r="DU11" s="976"/>
      <c r="DV11" s="976"/>
      <c r="DW11" s="982" t="str">
        <f>MID(SUVAHAVUJ!AF97,9,1)</f>
        <v xml:space="preserve"> </v>
      </c>
      <c r="DX11" s="982"/>
      <c r="DY11" s="982"/>
      <c r="DZ11" s="982"/>
      <c r="EA11" s="982"/>
      <c r="EB11" s="982"/>
      <c r="EC11" s="982" t="str">
        <f>MID(SUVAHAVUJ!AF97,10,1)</f>
        <v xml:space="preserve"> </v>
      </c>
      <c r="ED11" s="982"/>
      <c r="EE11" s="982"/>
      <c r="EF11" s="982"/>
      <c r="EG11" s="982"/>
      <c r="EH11" s="977" t="str">
        <f>MID(SUVAHAVUJ!AF97,11,1)</f>
        <v>0</v>
      </c>
      <c r="EI11" s="977"/>
      <c r="EJ11" s="977"/>
      <c r="EK11" s="977"/>
      <c r="EL11" s="977"/>
      <c r="EM11" s="977"/>
      <c r="EN11" s="665"/>
      <c r="EO11" s="666"/>
      <c r="EP11" s="976" t="str">
        <f>MID(SUVAHAVUJ!AG97,1,1)</f>
        <v xml:space="preserve"> </v>
      </c>
      <c r="EQ11" s="976"/>
      <c r="ER11" s="976"/>
      <c r="ES11" s="976"/>
      <c r="ET11" s="976"/>
      <c r="EU11" s="976"/>
      <c r="EV11" s="976" t="str">
        <f>MID(SUVAHAVUJ!AG97,2,1)</f>
        <v xml:space="preserve"> </v>
      </c>
      <c r="EW11" s="976"/>
      <c r="EX11" s="976"/>
      <c r="EY11" s="976"/>
      <c r="EZ11" s="976"/>
      <c r="FA11" s="976" t="str">
        <f>MID(SUVAHAVUJ!AG97,3,1)</f>
        <v xml:space="preserve"> </v>
      </c>
      <c r="FB11" s="976"/>
      <c r="FC11" s="976"/>
      <c r="FD11" s="976"/>
      <c r="FE11" s="976"/>
      <c r="FF11" s="976"/>
      <c r="FG11" s="976" t="str">
        <f>MID(SUVAHAVUJ!AG97,4,1)</f>
        <v xml:space="preserve"> </v>
      </c>
      <c r="FH11" s="976"/>
      <c r="FI11" s="976"/>
      <c r="FJ11" s="976"/>
      <c r="FK11" s="976"/>
      <c r="FL11" s="982" t="str">
        <f>MID(SUVAHAVUJ!AG97,5,1)</f>
        <v xml:space="preserve"> </v>
      </c>
      <c r="FM11" s="982"/>
      <c r="FN11" s="982"/>
      <c r="FO11" s="982"/>
      <c r="FP11" s="982"/>
      <c r="FQ11" s="982"/>
      <c r="FR11" s="982" t="str">
        <f>MID(SUVAHAVUJ!AG97,6,1)</f>
        <v xml:space="preserve"> </v>
      </c>
      <c r="FS11" s="982"/>
      <c r="FT11" s="982"/>
      <c r="FU11" s="982"/>
      <c r="FV11" s="982"/>
      <c r="FW11" s="982" t="str">
        <f>MID(SUVAHAVUJ!AG97,7,1)</f>
        <v xml:space="preserve"> </v>
      </c>
      <c r="FX11" s="982"/>
      <c r="FY11" s="982"/>
      <c r="FZ11" s="982"/>
      <c r="GA11" s="982"/>
      <c r="GB11" s="982"/>
      <c r="GC11" s="982" t="str">
        <f>MID(SUVAHAVUJ!AG97,8,1)</f>
        <v xml:space="preserve"> </v>
      </c>
      <c r="GD11" s="982"/>
      <c r="GE11" s="982"/>
      <c r="GF11" s="982"/>
      <c r="GG11" s="982"/>
      <c r="GH11" s="982" t="str">
        <f>MID(SUVAHAVUJ!AG97,9,1)</f>
        <v xml:space="preserve"> </v>
      </c>
      <c r="GI11" s="982"/>
      <c r="GJ11" s="982"/>
      <c r="GK11" s="982"/>
      <c r="GL11" s="982"/>
      <c r="GM11" s="982"/>
      <c r="GN11" s="982" t="str">
        <f>MID(SUVAHAVUJ!AG97,10,1)</f>
        <v xml:space="preserve"> </v>
      </c>
      <c r="GO11" s="982"/>
      <c r="GP11" s="982"/>
      <c r="GQ11" s="982"/>
      <c r="GR11" s="982"/>
      <c r="GS11" s="978" t="str">
        <f>MID(SUVAHAVUJ!AG97,11,1)</f>
        <v>0</v>
      </c>
      <c r="GT11" s="978"/>
      <c r="GU11" s="978"/>
      <c r="GV11" s="978"/>
      <c r="GW11" s="978"/>
    </row>
    <row r="12" spans="1:205" ht="24" customHeight="1" x14ac:dyDescent="0.25">
      <c r="B12" s="985" t="s">
        <v>2167</v>
      </c>
      <c r="C12" s="985"/>
      <c r="D12" s="985"/>
      <c r="E12" s="985"/>
      <c r="F12" s="985"/>
      <c r="G12" s="985"/>
      <c r="H12" s="985"/>
      <c r="I12" s="985"/>
      <c r="J12" s="985"/>
      <c r="K12" s="985"/>
      <c r="L12" s="1005" t="str">
        <f>SUVAHAVUJ!$D$98</f>
        <v>Oceňovacie rozdiely z precenenia pri zlúčení, splynutí a rozdelení (+/- 416)</v>
      </c>
      <c r="M12" s="1005"/>
      <c r="N12" s="1005"/>
      <c r="O12" s="1005"/>
      <c r="P12" s="1005"/>
      <c r="Q12" s="1005"/>
      <c r="R12" s="1005"/>
      <c r="S12" s="1005"/>
      <c r="T12" s="1005"/>
      <c r="U12" s="1005"/>
      <c r="V12" s="1005"/>
      <c r="W12" s="1005"/>
      <c r="X12" s="1005"/>
      <c r="Y12" s="1005"/>
      <c r="Z12" s="1005"/>
      <c r="AA12" s="1005"/>
      <c r="AB12" s="1005"/>
      <c r="AC12" s="1005"/>
      <c r="AD12" s="1005"/>
      <c r="AE12" s="1005"/>
      <c r="AF12" s="1005"/>
      <c r="AG12" s="1005"/>
      <c r="AH12" s="1005"/>
      <c r="AI12" s="1005"/>
      <c r="AJ12" s="1005"/>
      <c r="AK12" s="1005"/>
      <c r="AL12" s="1005"/>
      <c r="AM12" s="1005"/>
      <c r="AN12" s="1005"/>
      <c r="AO12" s="1005"/>
      <c r="AP12" s="1005"/>
      <c r="AQ12" s="1005"/>
      <c r="AR12" s="1005"/>
      <c r="AS12" s="1005"/>
      <c r="AT12" s="1005"/>
      <c r="AU12" s="1005"/>
      <c r="AV12" s="1005"/>
      <c r="AW12" s="1005"/>
      <c r="AX12" s="1005"/>
      <c r="AY12" s="1005"/>
      <c r="AZ12" s="1005"/>
      <c r="BA12" s="1005"/>
      <c r="BB12" s="1005"/>
      <c r="BC12" s="1005"/>
      <c r="BD12" s="1005"/>
      <c r="BE12" s="1005"/>
      <c r="BF12" s="1005"/>
      <c r="BG12" s="1005"/>
      <c r="BH12" s="1005"/>
      <c r="BI12" s="1005"/>
      <c r="BJ12" s="1005"/>
      <c r="BK12" s="1005"/>
      <c r="BL12" s="1005"/>
      <c r="BM12" s="1005"/>
      <c r="BN12" s="1005"/>
      <c r="BO12" s="1005"/>
      <c r="BP12" s="1005"/>
      <c r="BQ12" s="1005"/>
      <c r="BR12" s="1005"/>
      <c r="BS12" s="1005"/>
      <c r="BT12" s="1005"/>
      <c r="BU12" s="1005"/>
      <c r="BV12" s="1005"/>
      <c r="BW12" s="975" t="s">
        <v>2248</v>
      </c>
      <c r="BX12" s="975"/>
      <c r="BY12" s="975"/>
      <c r="BZ12" s="975"/>
      <c r="CA12" s="975"/>
      <c r="CB12" s="975"/>
      <c r="CC12" s="975"/>
      <c r="CD12" s="975"/>
      <c r="CE12" s="976" t="str">
        <f>MID(SUVAHAVUJ!AF98,1,1)</f>
        <v xml:space="preserve"> </v>
      </c>
      <c r="CF12" s="976"/>
      <c r="CG12" s="976"/>
      <c r="CH12" s="976"/>
      <c r="CI12" s="976"/>
      <c r="CJ12" s="976" t="str">
        <f>MID(SUVAHAVUJ!AF98,2,1)</f>
        <v xml:space="preserve"> </v>
      </c>
      <c r="CK12" s="976"/>
      <c r="CL12" s="976"/>
      <c r="CM12" s="976"/>
      <c r="CN12" s="976"/>
      <c r="CO12" s="976"/>
      <c r="CP12" s="976" t="str">
        <f>MID(SUVAHAVUJ!AF98,3,1)</f>
        <v xml:space="preserve"> </v>
      </c>
      <c r="CQ12" s="976"/>
      <c r="CR12" s="976"/>
      <c r="CS12" s="976"/>
      <c r="CT12" s="976"/>
      <c r="CU12" s="976" t="str">
        <f>MID(SUVAHAVUJ!AF98,4,1)</f>
        <v xml:space="preserve"> </v>
      </c>
      <c r="CV12" s="976"/>
      <c r="CW12" s="976"/>
      <c r="CX12" s="976"/>
      <c r="CY12" s="976"/>
      <c r="CZ12" s="976"/>
      <c r="DA12" s="976" t="str">
        <f>MID(SUVAHAVUJ!AF98,5,1)</f>
        <v xml:space="preserve"> </v>
      </c>
      <c r="DB12" s="976"/>
      <c r="DC12" s="976"/>
      <c r="DD12" s="976"/>
      <c r="DE12" s="976"/>
      <c r="DF12" s="976" t="str">
        <f>MID(SUVAHAVUJ!AF98,6,1)</f>
        <v xml:space="preserve"> </v>
      </c>
      <c r="DG12" s="976"/>
      <c r="DH12" s="976"/>
      <c r="DI12" s="976"/>
      <c r="DJ12" s="976"/>
      <c r="DK12" s="976"/>
      <c r="DL12" s="976" t="str">
        <f>MID(SUVAHAVUJ!AF98,7,1)</f>
        <v xml:space="preserve"> </v>
      </c>
      <c r="DM12" s="976"/>
      <c r="DN12" s="976"/>
      <c r="DO12" s="976"/>
      <c r="DP12" s="976"/>
      <c r="DQ12" s="976"/>
      <c r="DR12" s="976" t="str">
        <f>MID(SUVAHAVUJ!AF98,8,1)</f>
        <v xml:space="preserve"> </v>
      </c>
      <c r="DS12" s="976"/>
      <c r="DT12" s="976"/>
      <c r="DU12" s="976"/>
      <c r="DV12" s="976"/>
      <c r="DW12" s="982" t="str">
        <f>MID(SUVAHAVUJ!AF98,9,1)</f>
        <v xml:space="preserve"> </v>
      </c>
      <c r="DX12" s="982"/>
      <c r="DY12" s="982"/>
      <c r="DZ12" s="982"/>
      <c r="EA12" s="982"/>
      <c r="EB12" s="982"/>
      <c r="EC12" s="982" t="str">
        <f>MID(SUVAHAVUJ!AF98,10,1)</f>
        <v xml:space="preserve"> </v>
      </c>
      <c r="ED12" s="982"/>
      <c r="EE12" s="982"/>
      <c r="EF12" s="982"/>
      <c r="EG12" s="982"/>
      <c r="EH12" s="977" t="str">
        <f>MID(SUVAHAVUJ!AF98,11,1)</f>
        <v>0</v>
      </c>
      <c r="EI12" s="977"/>
      <c r="EJ12" s="977"/>
      <c r="EK12" s="977"/>
      <c r="EL12" s="977"/>
      <c r="EM12" s="977"/>
      <c r="EN12" s="665"/>
      <c r="EO12" s="666"/>
      <c r="EP12" s="976" t="str">
        <f>MID(SUVAHAVUJ!AG98,1,1)</f>
        <v xml:space="preserve"> </v>
      </c>
      <c r="EQ12" s="976"/>
      <c r="ER12" s="976"/>
      <c r="ES12" s="976"/>
      <c r="ET12" s="976"/>
      <c r="EU12" s="976"/>
      <c r="EV12" s="976" t="str">
        <f>MID(SUVAHAVUJ!AG98,2,1)</f>
        <v xml:space="preserve"> </v>
      </c>
      <c r="EW12" s="976"/>
      <c r="EX12" s="976"/>
      <c r="EY12" s="976"/>
      <c r="EZ12" s="976"/>
      <c r="FA12" s="976" t="str">
        <f>MID(SUVAHAVUJ!AG98,3,1)</f>
        <v xml:space="preserve"> </v>
      </c>
      <c r="FB12" s="976"/>
      <c r="FC12" s="976"/>
      <c r="FD12" s="976"/>
      <c r="FE12" s="976"/>
      <c r="FF12" s="976"/>
      <c r="FG12" s="976" t="str">
        <f>MID(SUVAHAVUJ!AG98,4,1)</f>
        <v xml:space="preserve"> </v>
      </c>
      <c r="FH12" s="976"/>
      <c r="FI12" s="976"/>
      <c r="FJ12" s="976"/>
      <c r="FK12" s="976"/>
      <c r="FL12" s="982" t="str">
        <f>MID(SUVAHAVUJ!AG98,5,1)</f>
        <v xml:space="preserve"> </v>
      </c>
      <c r="FM12" s="982"/>
      <c r="FN12" s="982"/>
      <c r="FO12" s="982"/>
      <c r="FP12" s="982"/>
      <c r="FQ12" s="982"/>
      <c r="FR12" s="982" t="str">
        <f>MID(SUVAHAVUJ!AG98,6,1)</f>
        <v xml:space="preserve"> </v>
      </c>
      <c r="FS12" s="982"/>
      <c r="FT12" s="982"/>
      <c r="FU12" s="982"/>
      <c r="FV12" s="982"/>
      <c r="FW12" s="982" t="str">
        <f>MID(SUVAHAVUJ!AG98,7,1)</f>
        <v xml:space="preserve"> </v>
      </c>
      <c r="FX12" s="982"/>
      <c r="FY12" s="982"/>
      <c r="FZ12" s="982"/>
      <c r="GA12" s="982"/>
      <c r="GB12" s="982"/>
      <c r="GC12" s="982" t="str">
        <f>MID(SUVAHAVUJ!AG98,8,1)</f>
        <v xml:space="preserve"> </v>
      </c>
      <c r="GD12" s="982"/>
      <c r="GE12" s="982"/>
      <c r="GF12" s="982"/>
      <c r="GG12" s="982"/>
      <c r="GH12" s="982" t="str">
        <f>MID(SUVAHAVUJ!AG98,9,1)</f>
        <v xml:space="preserve"> </v>
      </c>
      <c r="GI12" s="982"/>
      <c r="GJ12" s="982"/>
      <c r="GK12" s="982"/>
      <c r="GL12" s="982"/>
      <c r="GM12" s="982"/>
      <c r="GN12" s="982" t="str">
        <f>MID(SUVAHAVUJ!AG98,10,1)</f>
        <v xml:space="preserve"> </v>
      </c>
      <c r="GO12" s="982"/>
      <c r="GP12" s="982"/>
      <c r="GQ12" s="982"/>
      <c r="GR12" s="982"/>
      <c r="GS12" s="978" t="str">
        <f>MID(SUVAHAVUJ!AG98,11,1)</f>
        <v>0</v>
      </c>
      <c r="GT12" s="978"/>
      <c r="GU12" s="978"/>
      <c r="GV12" s="978"/>
      <c r="GW12" s="978"/>
    </row>
    <row r="13" spans="1:205" ht="24" customHeight="1" x14ac:dyDescent="0.25">
      <c r="B13" s="981" t="s">
        <v>2249</v>
      </c>
      <c r="C13" s="981"/>
      <c r="D13" s="981"/>
      <c r="E13" s="981"/>
      <c r="F13" s="981"/>
      <c r="G13" s="981"/>
      <c r="H13" s="981"/>
      <c r="I13" s="981"/>
      <c r="J13" s="981"/>
      <c r="K13" s="981"/>
      <c r="L13" s="1004" t="str">
        <f>SUVAHAVUJ!$D$99</f>
        <v>Výsledok hospodárenia minulých rokov r. 98 + r. 99</v>
      </c>
      <c r="M13" s="1004"/>
      <c r="N13" s="1004"/>
      <c r="O13" s="1004"/>
      <c r="P13" s="1004"/>
      <c r="Q13" s="1004"/>
      <c r="R13" s="1004"/>
      <c r="S13" s="1004"/>
      <c r="T13" s="1004"/>
      <c r="U13" s="1004"/>
      <c r="V13" s="1004"/>
      <c r="W13" s="1004"/>
      <c r="X13" s="1004"/>
      <c r="Y13" s="1004"/>
      <c r="Z13" s="1004"/>
      <c r="AA13" s="1004"/>
      <c r="AB13" s="1004"/>
      <c r="AC13" s="1004"/>
      <c r="AD13" s="1004"/>
      <c r="AE13" s="1004"/>
      <c r="AF13" s="1004"/>
      <c r="AG13" s="1004"/>
      <c r="AH13" s="1004"/>
      <c r="AI13" s="1004"/>
      <c r="AJ13" s="1004"/>
      <c r="AK13" s="1004"/>
      <c r="AL13" s="1004"/>
      <c r="AM13" s="1004"/>
      <c r="AN13" s="1004"/>
      <c r="AO13" s="1004"/>
      <c r="AP13" s="1004"/>
      <c r="AQ13" s="1004"/>
      <c r="AR13" s="1004"/>
      <c r="AS13" s="1004"/>
      <c r="AT13" s="1004"/>
      <c r="AU13" s="1004"/>
      <c r="AV13" s="1004"/>
      <c r="AW13" s="1004"/>
      <c r="AX13" s="1004"/>
      <c r="AY13" s="1004"/>
      <c r="AZ13" s="1004"/>
      <c r="BA13" s="1004"/>
      <c r="BB13" s="1004"/>
      <c r="BC13" s="1004"/>
      <c r="BD13" s="1004"/>
      <c r="BE13" s="1004"/>
      <c r="BF13" s="1004"/>
      <c r="BG13" s="1004"/>
      <c r="BH13" s="1004"/>
      <c r="BI13" s="1004"/>
      <c r="BJ13" s="1004"/>
      <c r="BK13" s="1004"/>
      <c r="BL13" s="1004"/>
      <c r="BM13" s="1004"/>
      <c r="BN13" s="1004"/>
      <c r="BO13" s="1004"/>
      <c r="BP13" s="1004"/>
      <c r="BQ13" s="1004"/>
      <c r="BR13" s="1004"/>
      <c r="BS13" s="1004"/>
      <c r="BT13" s="1004"/>
      <c r="BU13" s="1004"/>
      <c r="BV13" s="1004"/>
      <c r="BW13" s="975" t="s">
        <v>2250</v>
      </c>
      <c r="BX13" s="975"/>
      <c r="BY13" s="975"/>
      <c r="BZ13" s="975"/>
      <c r="CA13" s="975"/>
      <c r="CB13" s="975"/>
      <c r="CC13" s="975"/>
      <c r="CD13" s="975"/>
      <c r="CE13" s="976" t="str">
        <f>MID(SUVAHAVUJ!AF99,1,1)</f>
        <v xml:space="preserve"> </v>
      </c>
      <c r="CF13" s="976"/>
      <c r="CG13" s="976"/>
      <c r="CH13" s="976"/>
      <c r="CI13" s="976"/>
      <c r="CJ13" s="976" t="str">
        <f>MID(SUVAHAVUJ!AF99,2,1)</f>
        <v xml:space="preserve"> </v>
      </c>
      <c r="CK13" s="976"/>
      <c r="CL13" s="976"/>
      <c r="CM13" s="976"/>
      <c r="CN13" s="976"/>
      <c r="CO13" s="976"/>
      <c r="CP13" s="976" t="str">
        <f>MID(SUVAHAVUJ!AF99,3,1)</f>
        <v xml:space="preserve"> </v>
      </c>
      <c r="CQ13" s="976"/>
      <c r="CR13" s="976"/>
      <c r="CS13" s="976"/>
      <c r="CT13" s="976"/>
      <c r="CU13" s="976" t="str">
        <f>MID(SUVAHAVUJ!AF99,4,1)</f>
        <v xml:space="preserve"> </v>
      </c>
      <c r="CV13" s="976"/>
      <c r="CW13" s="976"/>
      <c r="CX13" s="976"/>
      <c r="CY13" s="976"/>
      <c r="CZ13" s="976"/>
      <c r="DA13" s="976" t="str">
        <f>MID(SUVAHAVUJ!AF99,5,1)</f>
        <v>-</v>
      </c>
      <c r="DB13" s="976"/>
      <c r="DC13" s="976"/>
      <c r="DD13" s="976"/>
      <c r="DE13" s="976"/>
      <c r="DF13" s="976" t="str">
        <f>MID(SUVAHAVUJ!AF99,6,1)</f>
        <v>2</v>
      </c>
      <c r="DG13" s="976"/>
      <c r="DH13" s="976"/>
      <c r="DI13" s="976"/>
      <c r="DJ13" s="976"/>
      <c r="DK13" s="976"/>
      <c r="DL13" s="976" t="str">
        <f>MID(SUVAHAVUJ!AF99,7,1)</f>
        <v>0</v>
      </c>
      <c r="DM13" s="976"/>
      <c r="DN13" s="976"/>
      <c r="DO13" s="976"/>
      <c r="DP13" s="976"/>
      <c r="DQ13" s="976"/>
      <c r="DR13" s="976" t="str">
        <f>MID(SUVAHAVUJ!AF99,8,1)</f>
        <v>8</v>
      </c>
      <c r="DS13" s="976"/>
      <c r="DT13" s="976"/>
      <c r="DU13" s="976"/>
      <c r="DV13" s="976"/>
      <c r="DW13" s="982" t="str">
        <f>MID(SUVAHAVUJ!AF99,9,1)</f>
        <v>4</v>
      </c>
      <c r="DX13" s="982"/>
      <c r="DY13" s="982"/>
      <c r="DZ13" s="982"/>
      <c r="EA13" s="982"/>
      <c r="EB13" s="982"/>
      <c r="EC13" s="982" t="str">
        <f>MID(SUVAHAVUJ!AF99,10,1)</f>
        <v>4</v>
      </c>
      <c r="ED13" s="982"/>
      <c r="EE13" s="982"/>
      <c r="EF13" s="982"/>
      <c r="EG13" s="982"/>
      <c r="EH13" s="977" t="str">
        <f>MID(SUVAHAVUJ!AF99,11,1)</f>
        <v>1</v>
      </c>
      <c r="EI13" s="977"/>
      <c r="EJ13" s="977"/>
      <c r="EK13" s="977"/>
      <c r="EL13" s="977"/>
      <c r="EM13" s="977"/>
      <c r="EN13" s="665"/>
      <c r="EO13" s="666"/>
      <c r="EP13" s="976" t="str">
        <f>MID(SUVAHAVUJ!AG99,1,1)</f>
        <v xml:space="preserve"> </v>
      </c>
      <c r="EQ13" s="976"/>
      <c r="ER13" s="976"/>
      <c r="ES13" s="976"/>
      <c r="ET13" s="976"/>
      <c r="EU13" s="976"/>
      <c r="EV13" s="976" t="str">
        <f>MID(SUVAHAVUJ!AG99,2,1)</f>
        <v xml:space="preserve"> </v>
      </c>
      <c r="EW13" s="976"/>
      <c r="EX13" s="976"/>
      <c r="EY13" s="976"/>
      <c r="EZ13" s="976"/>
      <c r="FA13" s="976" t="str">
        <f>MID(SUVAHAVUJ!AG99,3,1)</f>
        <v xml:space="preserve"> </v>
      </c>
      <c r="FB13" s="976"/>
      <c r="FC13" s="976"/>
      <c r="FD13" s="976"/>
      <c r="FE13" s="976"/>
      <c r="FF13" s="976"/>
      <c r="FG13" s="976" t="str">
        <f>MID(SUVAHAVUJ!AG99,4,1)</f>
        <v xml:space="preserve"> </v>
      </c>
      <c r="FH13" s="976"/>
      <c r="FI13" s="976"/>
      <c r="FJ13" s="976"/>
      <c r="FK13" s="976"/>
      <c r="FL13" s="982" t="str">
        <f>MID(SUVAHAVUJ!AG99,5,1)</f>
        <v>-</v>
      </c>
      <c r="FM13" s="982"/>
      <c r="FN13" s="982"/>
      <c r="FO13" s="982"/>
      <c r="FP13" s="982"/>
      <c r="FQ13" s="982"/>
      <c r="FR13" s="982" t="str">
        <f>MID(SUVAHAVUJ!AG99,6,1)</f>
        <v>2</v>
      </c>
      <c r="FS13" s="982"/>
      <c r="FT13" s="982"/>
      <c r="FU13" s="982"/>
      <c r="FV13" s="982"/>
      <c r="FW13" s="982" t="str">
        <f>MID(SUVAHAVUJ!AG99,7,1)</f>
        <v>2</v>
      </c>
      <c r="FX13" s="982"/>
      <c r="FY13" s="982"/>
      <c r="FZ13" s="982"/>
      <c r="GA13" s="982"/>
      <c r="GB13" s="982"/>
      <c r="GC13" s="982" t="str">
        <f>MID(SUVAHAVUJ!AG99,8,1)</f>
        <v>4</v>
      </c>
      <c r="GD13" s="982"/>
      <c r="GE13" s="982"/>
      <c r="GF13" s="982"/>
      <c r="GG13" s="982"/>
      <c r="GH13" s="982" t="str">
        <f>MID(SUVAHAVUJ!AG99,9,1)</f>
        <v>3</v>
      </c>
      <c r="GI13" s="982"/>
      <c r="GJ13" s="982"/>
      <c r="GK13" s="982"/>
      <c r="GL13" s="982"/>
      <c r="GM13" s="982"/>
      <c r="GN13" s="982" t="str">
        <f>MID(SUVAHAVUJ!AG99,10,1)</f>
        <v>8</v>
      </c>
      <c r="GO13" s="982"/>
      <c r="GP13" s="982"/>
      <c r="GQ13" s="982"/>
      <c r="GR13" s="982"/>
      <c r="GS13" s="978" t="str">
        <f>MID(SUVAHAVUJ!AG99,11,1)</f>
        <v>4</v>
      </c>
      <c r="GT13" s="978"/>
      <c r="GU13" s="978"/>
      <c r="GV13" s="978"/>
      <c r="GW13" s="978"/>
    </row>
    <row r="14" spans="1:205" ht="24" customHeight="1" x14ac:dyDescent="0.25">
      <c r="B14" s="1012" t="s">
        <v>2251</v>
      </c>
      <c r="C14" s="1012"/>
      <c r="D14" s="1012"/>
      <c r="E14" s="1012"/>
      <c r="F14" s="1012"/>
      <c r="G14" s="1012"/>
      <c r="H14" s="1012"/>
      <c r="I14" s="1012"/>
      <c r="J14" s="1012"/>
      <c r="K14" s="1012"/>
      <c r="L14" s="1005" t="str">
        <f>SUVAHAVUJ!$D$100</f>
        <v>Nerozdelený zisk minulých rokov (428)</v>
      </c>
      <c r="M14" s="1005"/>
      <c r="N14" s="1005"/>
      <c r="O14" s="1005"/>
      <c r="P14" s="1005"/>
      <c r="Q14" s="1005"/>
      <c r="R14" s="1005"/>
      <c r="S14" s="1005"/>
      <c r="T14" s="1005"/>
      <c r="U14" s="1005"/>
      <c r="V14" s="1005"/>
      <c r="W14" s="1005"/>
      <c r="X14" s="1005"/>
      <c r="Y14" s="1005"/>
      <c r="Z14" s="1005"/>
      <c r="AA14" s="1005"/>
      <c r="AB14" s="1005"/>
      <c r="AC14" s="1005"/>
      <c r="AD14" s="1005"/>
      <c r="AE14" s="1005"/>
      <c r="AF14" s="1005"/>
      <c r="AG14" s="1005"/>
      <c r="AH14" s="1005"/>
      <c r="AI14" s="1005"/>
      <c r="AJ14" s="1005"/>
      <c r="AK14" s="1005"/>
      <c r="AL14" s="1005"/>
      <c r="AM14" s="1005"/>
      <c r="AN14" s="1005"/>
      <c r="AO14" s="1005"/>
      <c r="AP14" s="1005"/>
      <c r="AQ14" s="1005"/>
      <c r="AR14" s="1005"/>
      <c r="AS14" s="1005"/>
      <c r="AT14" s="1005"/>
      <c r="AU14" s="1005"/>
      <c r="AV14" s="1005"/>
      <c r="AW14" s="1005"/>
      <c r="AX14" s="1005"/>
      <c r="AY14" s="1005"/>
      <c r="AZ14" s="1005"/>
      <c r="BA14" s="1005"/>
      <c r="BB14" s="1005"/>
      <c r="BC14" s="1005"/>
      <c r="BD14" s="1005"/>
      <c r="BE14" s="1005"/>
      <c r="BF14" s="1005"/>
      <c r="BG14" s="1005"/>
      <c r="BH14" s="1005"/>
      <c r="BI14" s="1005"/>
      <c r="BJ14" s="1005"/>
      <c r="BK14" s="1005"/>
      <c r="BL14" s="1005"/>
      <c r="BM14" s="1005"/>
      <c r="BN14" s="1005"/>
      <c r="BO14" s="1005"/>
      <c r="BP14" s="1005"/>
      <c r="BQ14" s="1005"/>
      <c r="BR14" s="1005"/>
      <c r="BS14" s="1005"/>
      <c r="BT14" s="1005"/>
      <c r="BU14" s="1005"/>
      <c r="BV14" s="1005"/>
      <c r="BW14" s="975" t="s">
        <v>2252</v>
      </c>
      <c r="BX14" s="975"/>
      <c r="BY14" s="975"/>
      <c r="BZ14" s="975"/>
      <c r="CA14" s="975"/>
      <c r="CB14" s="975"/>
      <c r="CC14" s="975"/>
      <c r="CD14" s="975"/>
      <c r="CE14" s="976" t="str">
        <f>MID(SUVAHAVUJ!AF100,1,1)</f>
        <v xml:space="preserve"> </v>
      </c>
      <c r="CF14" s="976"/>
      <c r="CG14" s="976"/>
      <c r="CH14" s="976"/>
      <c r="CI14" s="976"/>
      <c r="CJ14" s="976" t="str">
        <f>MID(SUVAHAVUJ!AF100,2,1)</f>
        <v xml:space="preserve"> </v>
      </c>
      <c r="CK14" s="976"/>
      <c r="CL14" s="976"/>
      <c r="CM14" s="976"/>
      <c r="CN14" s="976"/>
      <c r="CO14" s="976"/>
      <c r="CP14" s="976" t="str">
        <f>MID(SUVAHAVUJ!AF100,3,1)</f>
        <v xml:space="preserve"> </v>
      </c>
      <c r="CQ14" s="976"/>
      <c r="CR14" s="976"/>
      <c r="CS14" s="976"/>
      <c r="CT14" s="976"/>
      <c r="CU14" s="976" t="str">
        <f>MID(SUVAHAVUJ!AF100,4,1)</f>
        <v xml:space="preserve"> </v>
      </c>
      <c r="CV14" s="976"/>
      <c r="CW14" s="976"/>
      <c r="CX14" s="976"/>
      <c r="CY14" s="976"/>
      <c r="CZ14" s="976"/>
      <c r="DA14" s="976" t="str">
        <f>MID(SUVAHAVUJ!AF100,5,1)</f>
        <v xml:space="preserve"> </v>
      </c>
      <c r="DB14" s="976"/>
      <c r="DC14" s="976"/>
      <c r="DD14" s="976"/>
      <c r="DE14" s="976"/>
      <c r="DF14" s="976" t="str">
        <f>MID(SUVAHAVUJ!AF100,6,1)</f>
        <v xml:space="preserve"> </v>
      </c>
      <c r="DG14" s="976"/>
      <c r="DH14" s="976"/>
      <c r="DI14" s="976"/>
      <c r="DJ14" s="976"/>
      <c r="DK14" s="976"/>
      <c r="DL14" s="976" t="str">
        <f>MID(SUVAHAVUJ!AF100,7,1)</f>
        <v xml:space="preserve"> </v>
      </c>
      <c r="DM14" s="976"/>
      <c r="DN14" s="976"/>
      <c r="DO14" s="976"/>
      <c r="DP14" s="976"/>
      <c r="DQ14" s="976"/>
      <c r="DR14" s="976" t="str">
        <f>MID(SUVAHAVUJ!AF100,8,1)</f>
        <v xml:space="preserve"> </v>
      </c>
      <c r="DS14" s="976"/>
      <c r="DT14" s="976"/>
      <c r="DU14" s="976"/>
      <c r="DV14" s="976"/>
      <c r="DW14" s="982" t="str">
        <f>MID(SUVAHAVUJ!AF100,9,1)</f>
        <v xml:space="preserve"> </v>
      </c>
      <c r="DX14" s="982"/>
      <c r="DY14" s="982"/>
      <c r="DZ14" s="982"/>
      <c r="EA14" s="982"/>
      <c r="EB14" s="982"/>
      <c r="EC14" s="982" t="str">
        <f>MID(SUVAHAVUJ!AF100,10,1)</f>
        <v xml:space="preserve"> </v>
      </c>
      <c r="ED14" s="982"/>
      <c r="EE14" s="982"/>
      <c r="EF14" s="982"/>
      <c r="EG14" s="982"/>
      <c r="EH14" s="977" t="str">
        <f>MID(SUVAHAVUJ!AF100,11,1)</f>
        <v>0</v>
      </c>
      <c r="EI14" s="977"/>
      <c r="EJ14" s="977"/>
      <c r="EK14" s="977"/>
      <c r="EL14" s="977"/>
      <c r="EM14" s="977"/>
      <c r="EN14" s="665"/>
      <c r="EO14" s="666"/>
      <c r="EP14" s="976" t="str">
        <f>MID(SUVAHAVUJ!AG100,1,1)</f>
        <v xml:space="preserve"> </v>
      </c>
      <c r="EQ14" s="976"/>
      <c r="ER14" s="976"/>
      <c r="ES14" s="976"/>
      <c r="ET14" s="976"/>
      <c r="EU14" s="976"/>
      <c r="EV14" s="976" t="str">
        <f>MID(SUVAHAVUJ!AG100,2,1)</f>
        <v xml:space="preserve"> </v>
      </c>
      <c r="EW14" s="976"/>
      <c r="EX14" s="976"/>
      <c r="EY14" s="976"/>
      <c r="EZ14" s="976"/>
      <c r="FA14" s="976" t="str">
        <f>MID(SUVAHAVUJ!AG100,3,1)</f>
        <v xml:space="preserve"> </v>
      </c>
      <c r="FB14" s="976"/>
      <c r="FC14" s="976"/>
      <c r="FD14" s="976"/>
      <c r="FE14" s="976"/>
      <c r="FF14" s="976"/>
      <c r="FG14" s="976" t="str">
        <f>MID(SUVAHAVUJ!AG100,4,1)</f>
        <v xml:space="preserve"> </v>
      </c>
      <c r="FH14" s="976"/>
      <c r="FI14" s="976"/>
      <c r="FJ14" s="976"/>
      <c r="FK14" s="976"/>
      <c r="FL14" s="982" t="str">
        <f>MID(SUVAHAVUJ!AG100,5,1)</f>
        <v xml:space="preserve"> </v>
      </c>
      <c r="FM14" s="982"/>
      <c r="FN14" s="982"/>
      <c r="FO14" s="982"/>
      <c r="FP14" s="982"/>
      <c r="FQ14" s="982"/>
      <c r="FR14" s="982" t="str">
        <f>MID(SUVAHAVUJ!AG100,6,1)</f>
        <v xml:space="preserve"> </v>
      </c>
      <c r="FS14" s="982"/>
      <c r="FT14" s="982"/>
      <c r="FU14" s="982"/>
      <c r="FV14" s="982"/>
      <c r="FW14" s="982" t="str">
        <f>MID(SUVAHAVUJ!AG100,7,1)</f>
        <v xml:space="preserve"> </v>
      </c>
      <c r="FX14" s="982"/>
      <c r="FY14" s="982"/>
      <c r="FZ14" s="982"/>
      <c r="GA14" s="982"/>
      <c r="GB14" s="982"/>
      <c r="GC14" s="982" t="str">
        <f>MID(SUVAHAVUJ!AG100,8,1)</f>
        <v xml:space="preserve"> </v>
      </c>
      <c r="GD14" s="982"/>
      <c r="GE14" s="982"/>
      <c r="GF14" s="982"/>
      <c r="GG14" s="982"/>
      <c r="GH14" s="982" t="str">
        <f>MID(SUVAHAVUJ!AG100,9,1)</f>
        <v xml:space="preserve"> </v>
      </c>
      <c r="GI14" s="982"/>
      <c r="GJ14" s="982"/>
      <c r="GK14" s="982"/>
      <c r="GL14" s="982"/>
      <c r="GM14" s="982"/>
      <c r="GN14" s="982" t="str">
        <f>MID(SUVAHAVUJ!AG100,10,1)</f>
        <v xml:space="preserve"> </v>
      </c>
      <c r="GO14" s="982"/>
      <c r="GP14" s="982"/>
      <c r="GQ14" s="982"/>
      <c r="GR14" s="982"/>
      <c r="GS14" s="978" t="str">
        <f>MID(SUVAHAVUJ!AG100,11,1)</f>
        <v>0</v>
      </c>
      <c r="GT14" s="978"/>
      <c r="GU14" s="978"/>
      <c r="GV14" s="978"/>
      <c r="GW14" s="978"/>
    </row>
    <row r="15" spans="1:205" ht="24" customHeight="1" x14ac:dyDescent="0.25">
      <c r="B15" s="985" t="s">
        <v>2166</v>
      </c>
      <c r="C15" s="985"/>
      <c r="D15" s="985"/>
      <c r="E15" s="985"/>
      <c r="F15" s="985"/>
      <c r="G15" s="985"/>
      <c r="H15" s="985"/>
      <c r="I15" s="985"/>
      <c r="J15" s="985"/>
      <c r="K15" s="985"/>
      <c r="L15" s="1005" t="str">
        <f>SUVAHAVUJ!$D$101</f>
        <v>Neuhradená strata minulých rokov (/-/429)</v>
      </c>
      <c r="M15" s="1005"/>
      <c r="N15" s="1005"/>
      <c r="O15" s="1005"/>
      <c r="P15" s="1005"/>
      <c r="Q15" s="1005"/>
      <c r="R15" s="1005"/>
      <c r="S15" s="1005"/>
      <c r="T15" s="1005"/>
      <c r="U15" s="1005"/>
      <c r="V15" s="1005"/>
      <c r="W15" s="1005"/>
      <c r="X15" s="1005"/>
      <c r="Y15" s="1005"/>
      <c r="Z15" s="1005"/>
      <c r="AA15" s="1005"/>
      <c r="AB15" s="1005"/>
      <c r="AC15" s="1005"/>
      <c r="AD15" s="1005"/>
      <c r="AE15" s="1005"/>
      <c r="AF15" s="1005"/>
      <c r="AG15" s="1005"/>
      <c r="AH15" s="1005"/>
      <c r="AI15" s="1005"/>
      <c r="AJ15" s="1005"/>
      <c r="AK15" s="1005"/>
      <c r="AL15" s="1005"/>
      <c r="AM15" s="1005"/>
      <c r="AN15" s="1005"/>
      <c r="AO15" s="1005"/>
      <c r="AP15" s="1005"/>
      <c r="AQ15" s="1005"/>
      <c r="AR15" s="1005"/>
      <c r="AS15" s="1005"/>
      <c r="AT15" s="1005"/>
      <c r="AU15" s="1005"/>
      <c r="AV15" s="1005"/>
      <c r="AW15" s="1005"/>
      <c r="AX15" s="1005"/>
      <c r="AY15" s="1005"/>
      <c r="AZ15" s="1005"/>
      <c r="BA15" s="1005"/>
      <c r="BB15" s="1005"/>
      <c r="BC15" s="1005"/>
      <c r="BD15" s="1005"/>
      <c r="BE15" s="1005"/>
      <c r="BF15" s="1005"/>
      <c r="BG15" s="1005"/>
      <c r="BH15" s="1005"/>
      <c r="BI15" s="1005"/>
      <c r="BJ15" s="1005"/>
      <c r="BK15" s="1005"/>
      <c r="BL15" s="1005"/>
      <c r="BM15" s="1005"/>
      <c r="BN15" s="1005"/>
      <c r="BO15" s="1005"/>
      <c r="BP15" s="1005"/>
      <c r="BQ15" s="1005"/>
      <c r="BR15" s="1005"/>
      <c r="BS15" s="1005"/>
      <c r="BT15" s="1005"/>
      <c r="BU15" s="1005"/>
      <c r="BV15" s="1005"/>
      <c r="BW15" s="975" t="s">
        <v>2253</v>
      </c>
      <c r="BX15" s="975"/>
      <c r="BY15" s="975"/>
      <c r="BZ15" s="975"/>
      <c r="CA15" s="975"/>
      <c r="CB15" s="975"/>
      <c r="CC15" s="975"/>
      <c r="CD15" s="975"/>
      <c r="CE15" s="976" t="str">
        <f>MID(SUVAHAVUJ!AF101,1,1)</f>
        <v xml:space="preserve"> </v>
      </c>
      <c r="CF15" s="976"/>
      <c r="CG15" s="976"/>
      <c r="CH15" s="976"/>
      <c r="CI15" s="976"/>
      <c r="CJ15" s="976" t="str">
        <f>MID(SUVAHAVUJ!AF101,2,1)</f>
        <v xml:space="preserve"> </v>
      </c>
      <c r="CK15" s="976"/>
      <c r="CL15" s="976"/>
      <c r="CM15" s="976"/>
      <c r="CN15" s="976"/>
      <c r="CO15" s="976"/>
      <c r="CP15" s="976" t="str">
        <f>MID(SUVAHAVUJ!AF101,3,1)</f>
        <v xml:space="preserve"> </v>
      </c>
      <c r="CQ15" s="976"/>
      <c r="CR15" s="976"/>
      <c r="CS15" s="976"/>
      <c r="CT15" s="976"/>
      <c r="CU15" s="976" t="str">
        <f>MID(SUVAHAVUJ!AF101,4,1)</f>
        <v xml:space="preserve"> </v>
      </c>
      <c r="CV15" s="976"/>
      <c r="CW15" s="976"/>
      <c r="CX15" s="976"/>
      <c r="CY15" s="976"/>
      <c r="CZ15" s="976"/>
      <c r="DA15" s="976" t="str">
        <f>MID(SUVAHAVUJ!AF101,5,1)</f>
        <v>-</v>
      </c>
      <c r="DB15" s="976"/>
      <c r="DC15" s="976"/>
      <c r="DD15" s="976"/>
      <c r="DE15" s="976"/>
      <c r="DF15" s="976" t="str">
        <f>MID(SUVAHAVUJ!AF101,6,1)</f>
        <v>2</v>
      </c>
      <c r="DG15" s="976"/>
      <c r="DH15" s="976"/>
      <c r="DI15" s="976"/>
      <c r="DJ15" s="976"/>
      <c r="DK15" s="976"/>
      <c r="DL15" s="976" t="str">
        <f>MID(SUVAHAVUJ!AF101,7,1)</f>
        <v>0</v>
      </c>
      <c r="DM15" s="976"/>
      <c r="DN15" s="976"/>
      <c r="DO15" s="976"/>
      <c r="DP15" s="976"/>
      <c r="DQ15" s="976"/>
      <c r="DR15" s="976" t="str">
        <f>MID(SUVAHAVUJ!AF101,8,1)</f>
        <v>8</v>
      </c>
      <c r="DS15" s="976"/>
      <c r="DT15" s="976"/>
      <c r="DU15" s="976"/>
      <c r="DV15" s="976"/>
      <c r="DW15" s="982" t="str">
        <f>MID(SUVAHAVUJ!AF101,9,1)</f>
        <v>4</v>
      </c>
      <c r="DX15" s="982"/>
      <c r="DY15" s="982"/>
      <c r="DZ15" s="982"/>
      <c r="EA15" s="982"/>
      <c r="EB15" s="982"/>
      <c r="EC15" s="982" t="str">
        <f>MID(SUVAHAVUJ!AF101,10,1)</f>
        <v>4</v>
      </c>
      <c r="ED15" s="982"/>
      <c r="EE15" s="982"/>
      <c r="EF15" s="982"/>
      <c r="EG15" s="982"/>
      <c r="EH15" s="977" t="str">
        <f>MID(SUVAHAVUJ!AF101,11,1)</f>
        <v>1</v>
      </c>
      <c r="EI15" s="977"/>
      <c r="EJ15" s="977"/>
      <c r="EK15" s="977"/>
      <c r="EL15" s="977"/>
      <c r="EM15" s="977"/>
      <c r="EN15" s="665"/>
      <c r="EO15" s="666"/>
      <c r="EP15" s="976" t="str">
        <f>MID(SUVAHAVUJ!AG101,1,1)</f>
        <v xml:space="preserve"> </v>
      </c>
      <c r="EQ15" s="976"/>
      <c r="ER15" s="976"/>
      <c r="ES15" s="976"/>
      <c r="ET15" s="976"/>
      <c r="EU15" s="976"/>
      <c r="EV15" s="976" t="str">
        <f>MID(SUVAHAVUJ!AG101,2,1)</f>
        <v xml:space="preserve"> </v>
      </c>
      <c r="EW15" s="976"/>
      <c r="EX15" s="976"/>
      <c r="EY15" s="976"/>
      <c r="EZ15" s="976"/>
      <c r="FA15" s="976" t="str">
        <f>MID(SUVAHAVUJ!AG101,3,1)</f>
        <v xml:space="preserve"> </v>
      </c>
      <c r="FB15" s="976"/>
      <c r="FC15" s="976"/>
      <c r="FD15" s="976"/>
      <c r="FE15" s="976"/>
      <c r="FF15" s="976"/>
      <c r="FG15" s="976" t="str">
        <f>MID(SUVAHAVUJ!AG101,4,1)</f>
        <v xml:space="preserve"> </v>
      </c>
      <c r="FH15" s="976"/>
      <c r="FI15" s="976"/>
      <c r="FJ15" s="976"/>
      <c r="FK15" s="976"/>
      <c r="FL15" s="982" t="str">
        <f>MID(SUVAHAVUJ!AG101,5,1)</f>
        <v>-</v>
      </c>
      <c r="FM15" s="982"/>
      <c r="FN15" s="982"/>
      <c r="FO15" s="982"/>
      <c r="FP15" s="982"/>
      <c r="FQ15" s="982"/>
      <c r="FR15" s="982" t="str">
        <f>MID(SUVAHAVUJ!AG101,6,1)</f>
        <v>2</v>
      </c>
      <c r="FS15" s="982"/>
      <c r="FT15" s="982"/>
      <c r="FU15" s="982"/>
      <c r="FV15" s="982"/>
      <c r="FW15" s="982" t="str">
        <f>MID(SUVAHAVUJ!AG101,7,1)</f>
        <v>2</v>
      </c>
      <c r="FX15" s="982"/>
      <c r="FY15" s="982"/>
      <c r="FZ15" s="982"/>
      <c r="GA15" s="982"/>
      <c r="GB15" s="982"/>
      <c r="GC15" s="982" t="str">
        <f>MID(SUVAHAVUJ!AG101,8,1)</f>
        <v>4</v>
      </c>
      <c r="GD15" s="982"/>
      <c r="GE15" s="982"/>
      <c r="GF15" s="982"/>
      <c r="GG15" s="982"/>
      <c r="GH15" s="982" t="str">
        <f>MID(SUVAHAVUJ!AG101,9,1)</f>
        <v>3</v>
      </c>
      <c r="GI15" s="982"/>
      <c r="GJ15" s="982"/>
      <c r="GK15" s="982"/>
      <c r="GL15" s="982"/>
      <c r="GM15" s="982"/>
      <c r="GN15" s="982" t="str">
        <f>MID(SUVAHAVUJ!AG101,10,1)</f>
        <v>8</v>
      </c>
      <c r="GO15" s="982"/>
      <c r="GP15" s="982"/>
      <c r="GQ15" s="982"/>
      <c r="GR15" s="982"/>
      <c r="GS15" s="978" t="str">
        <f>MID(SUVAHAVUJ!AG101,11,1)</f>
        <v>4</v>
      </c>
      <c r="GT15" s="978"/>
      <c r="GU15" s="978"/>
      <c r="GV15" s="978"/>
      <c r="GW15" s="978"/>
    </row>
    <row r="16" spans="1:205" ht="24" customHeight="1" x14ac:dyDescent="0.25">
      <c r="B16" s="981" t="s">
        <v>2254</v>
      </c>
      <c r="C16" s="981"/>
      <c r="D16" s="981"/>
      <c r="E16" s="981"/>
      <c r="F16" s="981"/>
      <c r="G16" s="981"/>
      <c r="H16" s="981"/>
      <c r="I16" s="981"/>
      <c r="J16" s="981"/>
      <c r="K16" s="981"/>
      <c r="L16" s="1004" t="str">
        <f>SUVAHAVUJ!$D$102</f>
        <v>Výsledok hospodárenia za účtovné obdobie po zdanení /+-/  r. 01 - (r. 81 + r. 85 + r. 86 + r. 87 + r. 90 + r. 93 + r. 97
+ r. 101 + r. 141)</v>
      </c>
      <c r="M16" s="1004"/>
      <c r="N16" s="1004"/>
      <c r="O16" s="1004"/>
      <c r="P16" s="1004"/>
      <c r="Q16" s="1004"/>
      <c r="R16" s="1004"/>
      <c r="S16" s="1004"/>
      <c r="T16" s="1004"/>
      <c r="U16" s="1004"/>
      <c r="V16" s="1004"/>
      <c r="W16" s="1004"/>
      <c r="X16" s="1004"/>
      <c r="Y16" s="1004"/>
      <c r="Z16" s="1004"/>
      <c r="AA16" s="1004"/>
      <c r="AB16" s="1004"/>
      <c r="AC16" s="1004"/>
      <c r="AD16" s="1004"/>
      <c r="AE16" s="1004"/>
      <c r="AF16" s="1004"/>
      <c r="AG16" s="1004"/>
      <c r="AH16" s="1004"/>
      <c r="AI16" s="1004"/>
      <c r="AJ16" s="1004"/>
      <c r="AK16" s="1004"/>
      <c r="AL16" s="1004"/>
      <c r="AM16" s="1004"/>
      <c r="AN16" s="1004"/>
      <c r="AO16" s="1004"/>
      <c r="AP16" s="1004"/>
      <c r="AQ16" s="1004"/>
      <c r="AR16" s="1004"/>
      <c r="AS16" s="1004"/>
      <c r="AT16" s="1004"/>
      <c r="AU16" s="1004"/>
      <c r="AV16" s="1004"/>
      <c r="AW16" s="1004"/>
      <c r="AX16" s="1004"/>
      <c r="AY16" s="1004"/>
      <c r="AZ16" s="1004"/>
      <c r="BA16" s="1004"/>
      <c r="BB16" s="1004"/>
      <c r="BC16" s="1004"/>
      <c r="BD16" s="1004"/>
      <c r="BE16" s="1004"/>
      <c r="BF16" s="1004"/>
      <c r="BG16" s="1004"/>
      <c r="BH16" s="1004"/>
      <c r="BI16" s="1004"/>
      <c r="BJ16" s="1004"/>
      <c r="BK16" s="1004"/>
      <c r="BL16" s="1004"/>
      <c r="BM16" s="1004"/>
      <c r="BN16" s="1004"/>
      <c r="BO16" s="1004"/>
      <c r="BP16" s="1004"/>
      <c r="BQ16" s="1004"/>
      <c r="BR16" s="1004"/>
      <c r="BS16" s="1004"/>
      <c r="BT16" s="1004"/>
      <c r="BU16" s="1004"/>
      <c r="BV16" s="1004"/>
      <c r="BW16" s="975" t="s">
        <v>2255</v>
      </c>
      <c r="BX16" s="975"/>
      <c r="BY16" s="975"/>
      <c r="BZ16" s="975"/>
      <c r="CA16" s="975"/>
      <c r="CB16" s="975"/>
      <c r="CC16" s="975"/>
      <c r="CD16" s="975"/>
      <c r="CE16" s="976" t="str">
        <f>MID(SUVAHAVUJ!AF102,1,1)</f>
        <v xml:space="preserve"> </v>
      </c>
      <c r="CF16" s="976"/>
      <c r="CG16" s="976"/>
      <c r="CH16" s="976"/>
      <c r="CI16" s="976"/>
      <c r="CJ16" s="976" t="str">
        <f>MID(SUVAHAVUJ!AF102,2,1)</f>
        <v xml:space="preserve"> </v>
      </c>
      <c r="CK16" s="976"/>
      <c r="CL16" s="976"/>
      <c r="CM16" s="976"/>
      <c r="CN16" s="976"/>
      <c r="CO16" s="976"/>
      <c r="CP16" s="976" t="str">
        <f>MID(SUVAHAVUJ!AF102,3,1)</f>
        <v xml:space="preserve"> </v>
      </c>
      <c r="CQ16" s="976"/>
      <c r="CR16" s="976"/>
      <c r="CS16" s="976"/>
      <c r="CT16" s="976"/>
      <c r="CU16" s="976" t="str">
        <f>MID(SUVAHAVUJ!AF102,4,1)</f>
        <v xml:space="preserve"> </v>
      </c>
      <c r="CV16" s="976"/>
      <c r="CW16" s="976"/>
      <c r="CX16" s="976"/>
      <c r="CY16" s="976"/>
      <c r="CZ16" s="976"/>
      <c r="DA16" s="976" t="str">
        <f>MID(SUVAHAVUJ!AF102,5,1)</f>
        <v xml:space="preserve"> </v>
      </c>
      <c r="DB16" s="976"/>
      <c r="DC16" s="976"/>
      <c r="DD16" s="976"/>
      <c r="DE16" s="976"/>
      <c r="DF16" s="976" t="str">
        <f>MID(SUVAHAVUJ!AF102,6,1)</f>
        <v>1</v>
      </c>
      <c r="DG16" s="976"/>
      <c r="DH16" s="976"/>
      <c r="DI16" s="976"/>
      <c r="DJ16" s="976"/>
      <c r="DK16" s="976"/>
      <c r="DL16" s="976" t="str">
        <f>MID(SUVAHAVUJ!AF102,7,1)</f>
        <v>5</v>
      </c>
      <c r="DM16" s="976"/>
      <c r="DN16" s="976"/>
      <c r="DO16" s="976"/>
      <c r="DP16" s="976"/>
      <c r="DQ16" s="976"/>
      <c r="DR16" s="976" t="str">
        <f>MID(SUVAHAVUJ!AF102,8,1)</f>
        <v>5</v>
      </c>
      <c r="DS16" s="976"/>
      <c r="DT16" s="976"/>
      <c r="DU16" s="976"/>
      <c r="DV16" s="976"/>
      <c r="DW16" s="982" t="str">
        <f>MID(SUVAHAVUJ!AF102,9,1)</f>
        <v>4</v>
      </c>
      <c r="DX16" s="982"/>
      <c r="DY16" s="982"/>
      <c r="DZ16" s="982"/>
      <c r="EA16" s="982"/>
      <c r="EB16" s="982"/>
      <c r="EC16" s="982" t="str">
        <f>MID(SUVAHAVUJ!AF102,10,1)</f>
        <v>0</v>
      </c>
      <c r="ED16" s="982"/>
      <c r="EE16" s="982"/>
      <c r="EF16" s="982"/>
      <c r="EG16" s="982"/>
      <c r="EH16" s="977" t="str">
        <f>MID(SUVAHAVUJ!AF102,11,1)</f>
        <v>2</v>
      </c>
      <c r="EI16" s="977"/>
      <c r="EJ16" s="977"/>
      <c r="EK16" s="977"/>
      <c r="EL16" s="977"/>
      <c r="EM16" s="977"/>
      <c r="EN16" s="665"/>
      <c r="EO16" s="666"/>
      <c r="EP16" s="976" t="str">
        <f>MID(SUVAHAVUJ!AG102,1,1)</f>
        <v xml:space="preserve"> </v>
      </c>
      <c r="EQ16" s="976"/>
      <c r="ER16" s="976"/>
      <c r="ES16" s="976"/>
      <c r="ET16" s="976"/>
      <c r="EU16" s="976"/>
      <c r="EV16" s="976" t="str">
        <f>MID(SUVAHAVUJ!AG102,2,1)</f>
        <v xml:space="preserve"> </v>
      </c>
      <c r="EW16" s="976"/>
      <c r="EX16" s="976"/>
      <c r="EY16" s="976"/>
      <c r="EZ16" s="976"/>
      <c r="FA16" s="976" t="str">
        <f>MID(SUVAHAVUJ!AG102,3,1)</f>
        <v xml:space="preserve"> </v>
      </c>
      <c r="FB16" s="976"/>
      <c r="FC16" s="976"/>
      <c r="FD16" s="976"/>
      <c r="FE16" s="976"/>
      <c r="FF16" s="976"/>
      <c r="FG16" s="976" t="str">
        <f>MID(SUVAHAVUJ!AG102,4,1)</f>
        <v xml:space="preserve"> </v>
      </c>
      <c r="FH16" s="976"/>
      <c r="FI16" s="976"/>
      <c r="FJ16" s="976"/>
      <c r="FK16" s="976"/>
      <c r="FL16" s="982" t="str">
        <f>MID(SUVAHAVUJ!AG102,5,1)</f>
        <v xml:space="preserve"> </v>
      </c>
      <c r="FM16" s="982"/>
      <c r="FN16" s="982"/>
      <c r="FO16" s="982"/>
      <c r="FP16" s="982"/>
      <c r="FQ16" s="982"/>
      <c r="FR16" s="982" t="str">
        <f>MID(SUVAHAVUJ!AG102,6,1)</f>
        <v>1</v>
      </c>
      <c r="FS16" s="982"/>
      <c r="FT16" s="982"/>
      <c r="FU16" s="982"/>
      <c r="FV16" s="982"/>
      <c r="FW16" s="982" t="str">
        <f>MID(SUVAHAVUJ!AG102,7,1)</f>
        <v>7</v>
      </c>
      <c r="FX16" s="982"/>
      <c r="FY16" s="982"/>
      <c r="FZ16" s="982"/>
      <c r="GA16" s="982"/>
      <c r="GB16" s="982"/>
      <c r="GC16" s="982" t="str">
        <f>MID(SUVAHAVUJ!AG102,8,1)</f>
        <v>2</v>
      </c>
      <c r="GD16" s="982"/>
      <c r="GE16" s="982"/>
      <c r="GF16" s="982"/>
      <c r="GG16" s="982"/>
      <c r="GH16" s="982" t="str">
        <f>MID(SUVAHAVUJ!AG102,9,1)</f>
        <v>9</v>
      </c>
      <c r="GI16" s="982"/>
      <c r="GJ16" s="982"/>
      <c r="GK16" s="982"/>
      <c r="GL16" s="982"/>
      <c r="GM16" s="982"/>
      <c r="GN16" s="982" t="str">
        <f>MID(SUVAHAVUJ!AG102,10,1)</f>
        <v>8</v>
      </c>
      <c r="GO16" s="982"/>
      <c r="GP16" s="982"/>
      <c r="GQ16" s="982"/>
      <c r="GR16" s="982"/>
      <c r="GS16" s="978" t="str">
        <f>MID(SUVAHAVUJ!AG102,11,1)</f>
        <v>9</v>
      </c>
      <c r="GT16" s="978"/>
      <c r="GU16" s="978"/>
      <c r="GV16" s="978"/>
      <c r="GW16" s="978"/>
    </row>
    <row r="17" spans="1:205" ht="24" customHeight="1" x14ac:dyDescent="0.25">
      <c r="B17" s="981" t="s">
        <v>2186</v>
      </c>
      <c r="C17" s="981"/>
      <c r="D17" s="981"/>
      <c r="E17" s="981"/>
      <c r="F17" s="981"/>
      <c r="G17" s="981"/>
      <c r="H17" s="981"/>
      <c r="I17" s="981"/>
      <c r="J17" s="981"/>
      <c r="K17" s="981"/>
      <c r="L17" s="1004" t="str">
        <f>SUVAHAVUJ!$D$103</f>
        <v>Záväzky r. 102 + r. 118 + r. 121 + r. 122 + r. 136 + r. 139
 + r. 140</v>
      </c>
      <c r="M17" s="1004"/>
      <c r="N17" s="1004"/>
      <c r="O17" s="1004"/>
      <c r="P17" s="1004"/>
      <c r="Q17" s="1004"/>
      <c r="R17" s="1004"/>
      <c r="S17" s="1004"/>
      <c r="T17" s="1004"/>
      <c r="U17" s="1004"/>
      <c r="V17" s="1004"/>
      <c r="W17" s="1004"/>
      <c r="X17" s="1004"/>
      <c r="Y17" s="1004"/>
      <c r="Z17" s="1004"/>
      <c r="AA17" s="1004"/>
      <c r="AB17" s="1004"/>
      <c r="AC17" s="1004"/>
      <c r="AD17" s="1004"/>
      <c r="AE17" s="1004"/>
      <c r="AF17" s="1004"/>
      <c r="AG17" s="1004"/>
      <c r="AH17" s="1004"/>
      <c r="AI17" s="1004"/>
      <c r="AJ17" s="1004"/>
      <c r="AK17" s="1004"/>
      <c r="AL17" s="1004"/>
      <c r="AM17" s="1004"/>
      <c r="AN17" s="1004"/>
      <c r="AO17" s="1004"/>
      <c r="AP17" s="1004"/>
      <c r="AQ17" s="1004"/>
      <c r="AR17" s="1004"/>
      <c r="AS17" s="1004"/>
      <c r="AT17" s="1004"/>
      <c r="AU17" s="1004"/>
      <c r="AV17" s="1004"/>
      <c r="AW17" s="1004"/>
      <c r="AX17" s="1004"/>
      <c r="AY17" s="1004"/>
      <c r="AZ17" s="1004"/>
      <c r="BA17" s="1004"/>
      <c r="BB17" s="1004"/>
      <c r="BC17" s="1004"/>
      <c r="BD17" s="1004"/>
      <c r="BE17" s="1004"/>
      <c r="BF17" s="1004"/>
      <c r="BG17" s="1004"/>
      <c r="BH17" s="1004"/>
      <c r="BI17" s="1004"/>
      <c r="BJ17" s="1004"/>
      <c r="BK17" s="1004"/>
      <c r="BL17" s="1004"/>
      <c r="BM17" s="1004"/>
      <c r="BN17" s="1004"/>
      <c r="BO17" s="1004"/>
      <c r="BP17" s="1004"/>
      <c r="BQ17" s="1004"/>
      <c r="BR17" s="1004"/>
      <c r="BS17" s="1004"/>
      <c r="BT17" s="1004"/>
      <c r="BU17" s="1004"/>
      <c r="BV17" s="1004"/>
      <c r="BW17" s="975" t="s">
        <v>2256</v>
      </c>
      <c r="BX17" s="975"/>
      <c r="BY17" s="975"/>
      <c r="BZ17" s="975"/>
      <c r="CA17" s="975"/>
      <c r="CB17" s="975"/>
      <c r="CC17" s="975"/>
      <c r="CD17" s="975"/>
      <c r="CE17" s="976" t="str">
        <f>MID(SUVAHAVUJ!AF103,1,1)</f>
        <v xml:space="preserve"> </v>
      </c>
      <c r="CF17" s="976"/>
      <c r="CG17" s="976"/>
      <c r="CH17" s="976"/>
      <c r="CI17" s="976"/>
      <c r="CJ17" s="976" t="str">
        <f>MID(SUVAHAVUJ!AF103,2,1)</f>
        <v xml:space="preserve"> </v>
      </c>
      <c r="CK17" s="976"/>
      <c r="CL17" s="976"/>
      <c r="CM17" s="976"/>
      <c r="CN17" s="976"/>
      <c r="CO17" s="976"/>
      <c r="CP17" s="976" t="str">
        <f>MID(SUVAHAVUJ!AF103,3,1)</f>
        <v xml:space="preserve"> </v>
      </c>
      <c r="CQ17" s="976"/>
      <c r="CR17" s="976"/>
      <c r="CS17" s="976"/>
      <c r="CT17" s="976"/>
      <c r="CU17" s="976" t="str">
        <f>MID(SUVAHAVUJ!AF103,4,1)</f>
        <v xml:space="preserve"> </v>
      </c>
      <c r="CV17" s="976"/>
      <c r="CW17" s="976"/>
      <c r="CX17" s="976"/>
      <c r="CY17" s="976"/>
      <c r="CZ17" s="976"/>
      <c r="DA17" s="976" t="str">
        <f>MID(SUVAHAVUJ!AF103,5,1)</f>
        <v xml:space="preserve"> </v>
      </c>
      <c r="DB17" s="976"/>
      <c r="DC17" s="976"/>
      <c r="DD17" s="976"/>
      <c r="DE17" s="976"/>
      <c r="DF17" s="976" t="str">
        <f>MID(SUVAHAVUJ!AF103,6,1)</f>
        <v>1</v>
      </c>
      <c r="DG17" s="976"/>
      <c r="DH17" s="976"/>
      <c r="DI17" s="976"/>
      <c r="DJ17" s="976"/>
      <c r="DK17" s="976"/>
      <c r="DL17" s="976" t="str">
        <f>MID(SUVAHAVUJ!AF103,7,1)</f>
        <v>3</v>
      </c>
      <c r="DM17" s="976"/>
      <c r="DN17" s="976"/>
      <c r="DO17" s="976"/>
      <c r="DP17" s="976"/>
      <c r="DQ17" s="976"/>
      <c r="DR17" s="976" t="str">
        <f>MID(SUVAHAVUJ!AF103,8,1)</f>
        <v>2</v>
      </c>
      <c r="DS17" s="976"/>
      <c r="DT17" s="976"/>
      <c r="DU17" s="976"/>
      <c r="DV17" s="976"/>
      <c r="DW17" s="982" t="str">
        <f>MID(SUVAHAVUJ!AF103,9,1)</f>
        <v>1</v>
      </c>
      <c r="DX17" s="982"/>
      <c r="DY17" s="982"/>
      <c r="DZ17" s="982"/>
      <c r="EA17" s="982"/>
      <c r="EB17" s="982"/>
      <c r="EC17" s="982" t="str">
        <f>MID(SUVAHAVUJ!AF103,10,1)</f>
        <v>5</v>
      </c>
      <c r="ED17" s="982"/>
      <c r="EE17" s="982"/>
      <c r="EF17" s="982"/>
      <c r="EG17" s="982"/>
      <c r="EH17" s="977" t="str">
        <f>MID(SUVAHAVUJ!AF103,11,1)</f>
        <v>7</v>
      </c>
      <c r="EI17" s="977"/>
      <c r="EJ17" s="977"/>
      <c r="EK17" s="977"/>
      <c r="EL17" s="977"/>
      <c r="EM17" s="977"/>
      <c r="EN17" s="665"/>
      <c r="EO17" s="666"/>
      <c r="EP17" s="976" t="str">
        <f>MID(SUVAHAVUJ!AG103,1,1)</f>
        <v xml:space="preserve"> </v>
      </c>
      <c r="EQ17" s="976"/>
      <c r="ER17" s="976"/>
      <c r="ES17" s="976"/>
      <c r="ET17" s="976"/>
      <c r="EU17" s="976"/>
      <c r="EV17" s="976" t="str">
        <f>MID(SUVAHAVUJ!AG103,2,1)</f>
        <v xml:space="preserve"> </v>
      </c>
      <c r="EW17" s="976"/>
      <c r="EX17" s="976"/>
      <c r="EY17" s="976"/>
      <c r="EZ17" s="976"/>
      <c r="FA17" s="976" t="str">
        <f>MID(SUVAHAVUJ!AG103,3,1)</f>
        <v xml:space="preserve"> </v>
      </c>
      <c r="FB17" s="976"/>
      <c r="FC17" s="976"/>
      <c r="FD17" s="976"/>
      <c r="FE17" s="976"/>
      <c r="FF17" s="976"/>
      <c r="FG17" s="976" t="str">
        <f>MID(SUVAHAVUJ!AG103,4,1)</f>
        <v xml:space="preserve"> </v>
      </c>
      <c r="FH17" s="976"/>
      <c r="FI17" s="976"/>
      <c r="FJ17" s="976"/>
      <c r="FK17" s="976"/>
      <c r="FL17" s="982" t="str">
        <f>MID(SUVAHAVUJ!AG103,5,1)</f>
        <v xml:space="preserve"> </v>
      </c>
      <c r="FM17" s="982"/>
      <c r="FN17" s="982"/>
      <c r="FO17" s="982"/>
      <c r="FP17" s="982"/>
      <c r="FQ17" s="982"/>
      <c r="FR17" s="982" t="str">
        <f>MID(SUVAHAVUJ!AG103,6,1)</f>
        <v>1</v>
      </c>
      <c r="FS17" s="982"/>
      <c r="FT17" s="982"/>
      <c r="FU17" s="982"/>
      <c r="FV17" s="982"/>
      <c r="FW17" s="982" t="str">
        <f>MID(SUVAHAVUJ!AG103,7,1)</f>
        <v>6</v>
      </c>
      <c r="FX17" s="982"/>
      <c r="FY17" s="982"/>
      <c r="FZ17" s="982"/>
      <c r="GA17" s="982"/>
      <c r="GB17" s="982"/>
      <c r="GC17" s="982" t="str">
        <f>MID(SUVAHAVUJ!AG103,8,1)</f>
        <v>1</v>
      </c>
      <c r="GD17" s="982"/>
      <c r="GE17" s="982"/>
      <c r="GF17" s="982"/>
      <c r="GG17" s="982"/>
      <c r="GH17" s="982" t="str">
        <f>MID(SUVAHAVUJ!AG103,9,1)</f>
        <v>8</v>
      </c>
      <c r="GI17" s="982"/>
      <c r="GJ17" s="982"/>
      <c r="GK17" s="982"/>
      <c r="GL17" s="982"/>
      <c r="GM17" s="982"/>
      <c r="GN17" s="982" t="str">
        <f>MID(SUVAHAVUJ!AG103,10,1)</f>
        <v>9</v>
      </c>
      <c r="GO17" s="982"/>
      <c r="GP17" s="982"/>
      <c r="GQ17" s="982"/>
      <c r="GR17" s="982"/>
      <c r="GS17" s="978" t="str">
        <f>MID(SUVAHAVUJ!AG103,11,1)</f>
        <v>1</v>
      </c>
      <c r="GT17" s="978"/>
      <c r="GU17" s="978"/>
      <c r="GV17" s="978"/>
      <c r="GW17" s="978"/>
    </row>
    <row r="18" spans="1:205" ht="24" customHeight="1" x14ac:dyDescent="0.25">
      <c r="B18" s="981" t="s">
        <v>2188</v>
      </c>
      <c r="C18" s="981"/>
      <c r="D18" s="981"/>
      <c r="E18" s="981"/>
      <c r="F18" s="981"/>
      <c r="G18" s="981"/>
      <c r="H18" s="981"/>
      <c r="I18" s="981"/>
      <c r="J18" s="981"/>
      <c r="K18" s="981"/>
      <c r="L18" s="1004" t="str">
        <f>SUVAHAVUJ!$D$104</f>
        <v>Dlhodobé záväzky súčet (r. 103 + r. 107 až r. 117)</v>
      </c>
      <c r="M18" s="1004"/>
      <c r="N18" s="1004"/>
      <c r="O18" s="1004"/>
      <c r="P18" s="1004"/>
      <c r="Q18" s="1004"/>
      <c r="R18" s="1004"/>
      <c r="S18" s="1004"/>
      <c r="T18" s="1004"/>
      <c r="U18" s="1004"/>
      <c r="V18" s="1004"/>
      <c r="W18" s="1004"/>
      <c r="X18" s="1004"/>
      <c r="Y18" s="1004"/>
      <c r="Z18" s="1004"/>
      <c r="AA18" s="1004"/>
      <c r="AB18" s="1004"/>
      <c r="AC18" s="1004"/>
      <c r="AD18" s="1004"/>
      <c r="AE18" s="1004"/>
      <c r="AF18" s="1004"/>
      <c r="AG18" s="1004"/>
      <c r="AH18" s="1004"/>
      <c r="AI18" s="1004"/>
      <c r="AJ18" s="1004"/>
      <c r="AK18" s="1004"/>
      <c r="AL18" s="1004"/>
      <c r="AM18" s="1004"/>
      <c r="AN18" s="1004"/>
      <c r="AO18" s="1004"/>
      <c r="AP18" s="1004"/>
      <c r="AQ18" s="1004"/>
      <c r="AR18" s="1004"/>
      <c r="AS18" s="1004"/>
      <c r="AT18" s="1004"/>
      <c r="AU18" s="1004"/>
      <c r="AV18" s="1004"/>
      <c r="AW18" s="1004"/>
      <c r="AX18" s="1004"/>
      <c r="AY18" s="1004"/>
      <c r="AZ18" s="1004"/>
      <c r="BA18" s="1004"/>
      <c r="BB18" s="1004"/>
      <c r="BC18" s="1004"/>
      <c r="BD18" s="1004"/>
      <c r="BE18" s="1004"/>
      <c r="BF18" s="1004"/>
      <c r="BG18" s="1004"/>
      <c r="BH18" s="1004"/>
      <c r="BI18" s="1004"/>
      <c r="BJ18" s="1004"/>
      <c r="BK18" s="1004"/>
      <c r="BL18" s="1004"/>
      <c r="BM18" s="1004"/>
      <c r="BN18" s="1004"/>
      <c r="BO18" s="1004"/>
      <c r="BP18" s="1004"/>
      <c r="BQ18" s="1004"/>
      <c r="BR18" s="1004"/>
      <c r="BS18" s="1004"/>
      <c r="BT18" s="1004"/>
      <c r="BU18" s="1004"/>
      <c r="BV18" s="1004"/>
      <c r="BW18" s="975" t="s">
        <v>2257</v>
      </c>
      <c r="BX18" s="975"/>
      <c r="BY18" s="975"/>
      <c r="BZ18" s="975"/>
      <c r="CA18" s="975"/>
      <c r="CB18" s="975"/>
      <c r="CC18" s="975"/>
      <c r="CD18" s="975"/>
      <c r="CE18" s="976" t="str">
        <f>MID(SUVAHAVUJ!AF104,1,1)</f>
        <v xml:space="preserve"> </v>
      </c>
      <c r="CF18" s="976"/>
      <c r="CG18" s="976"/>
      <c r="CH18" s="976"/>
      <c r="CI18" s="976"/>
      <c r="CJ18" s="976" t="str">
        <f>MID(SUVAHAVUJ!AF104,2,1)</f>
        <v xml:space="preserve"> </v>
      </c>
      <c r="CK18" s="976"/>
      <c r="CL18" s="976"/>
      <c r="CM18" s="976"/>
      <c r="CN18" s="976"/>
      <c r="CO18" s="976"/>
      <c r="CP18" s="976" t="str">
        <f>MID(SUVAHAVUJ!AF104,3,1)</f>
        <v xml:space="preserve"> </v>
      </c>
      <c r="CQ18" s="976"/>
      <c r="CR18" s="976"/>
      <c r="CS18" s="976"/>
      <c r="CT18" s="976"/>
      <c r="CU18" s="976" t="str">
        <f>MID(SUVAHAVUJ!AF104,4,1)</f>
        <v xml:space="preserve"> </v>
      </c>
      <c r="CV18" s="976"/>
      <c r="CW18" s="976"/>
      <c r="CX18" s="976"/>
      <c r="CY18" s="976"/>
      <c r="CZ18" s="976"/>
      <c r="DA18" s="976" t="str">
        <f>MID(SUVAHAVUJ!AF104,5,1)</f>
        <v xml:space="preserve"> </v>
      </c>
      <c r="DB18" s="976"/>
      <c r="DC18" s="976"/>
      <c r="DD18" s="976"/>
      <c r="DE18" s="976"/>
      <c r="DF18" s="976" t="str">
        <f>MID(SUVAHAVUJ!AF104,6,1)</f>
        <v xml:space="preserve"> </v>
      </c>
      <c r="DG18" s="976"/>
      <c r="DH18" s="976"/>
      <c r="DI18" s="976"/>
      <c r="DJ18" s="976"/>
      <c r="DK18" s="976"/>
      <c r="DL18" s="976" t="str">
        <f>MID(SUVAHAVUJ!AF104,7,1)</f>
        <v xml:space="preserve"> </v>
      </c>
      <c r="DM18" s="976"/>
      <c r="DN18" s="976"/>
      <c r="DO18" s="976"/>
      <c r="DP18" s="976"/>
      <c r="DQ18" s="976"/>
      <c r="DR18" s="976" t="str">
        <f>MID(SUVAHAVUJ!AF104,8,1)</f>
        <v>1</v>
      </c>
      <c r="DS18" s="976"/>
      <c r="DT18" s="976"/>
      <c r="DU18" s="976"/>
      <c r="DV18" s="976"/>
      <c r="DW18" s="982" t="str">
        <f>MID(SUVAHAVUJ!AF104,9,1)</f>
        <v>3</v>
      </c>
      <c r="DX18" s="982"/>
      <c r="DY18" s="982"/>
      <c r="DZ18" s="982"/>
      <c r="EA18" s="982"/>
      <c r="EB18" s="982"/>
      <c r="EC18" s="982" t="str">
        <f>MID(SUVAHAVUJ!AF104,10,1)</f>
        <v>2</v>
      </c>
      <c r="ED18" s="982"/>
      <c r="EE18" s="982"/>
      <c r="EF18" s="982"/>
      <c r="EG18" s="982"/>
      <c r="EH18" s="977" t="str">
        <f>MID(SUVAHAVUJ!AF104,11,1)</f>
        <v>3</v>
      </c>
      <c r="EI18" s="977"/>
      <c r="EJ18" s="977"/>
      <c r="EK18" s="977"/>
      <c r="EL18" s="977"/>
      <c r="EM18" s="977"/>
      <c r="EN18" s="665"/>
      <c r="EO18" s="666"/>
      <c r="EP18" s="976" t="str">
        <f>MID(SUVAHAVUJ!AG104,1,1)</f>
        <v xml:space="preserve"> </v>
      </c>
      <c r="EQ18" s="976"/>
      <c r="ER18" s="976"/>
      <c r="ES18" s="976"/>
      <c r="ET18" s="976"/>
      <c r="EU18" s="976"/>
      <c r="EV18" s="976" t="str">
        <f>MID(SUVAHAVUJ!AG104,2,1)</f>
        <v xml:space="preserve"> </v>
      </c>
      <c r="EW18" s="976"/>
      <c r="EX18" s="976"/>
      <c r="EY18" s="976"/>
      <c r="EZ18" s="976"/>
      <c r="FA18" s="976" t="str">
        <f>MID(SUVAHAVUJ!AG104,3,1)</f>
        <v xml:space="preserve"> </v>
      </c>
      <c r="FB18" s="976"/>
      <c r="FC18" s="976"/>
      <c r="FD18" s="976"/>
      <c r="FE18" s="976"/>
      <c r="FF18" s="976"/>
      <c r="FG18" s="976" t="str">
        <f>MID(SUVAHAVUJ!AG104,4,1)</f>
        <v xml:space="preserve"> </v>
      </c>
      <c r="FH18" s="976"/>
      <c r="FI18" s="976"/>
      <c r="FJ18" s="976"/>
      <c r="FK18" s="976"/>
      <c r="FL18" s="982" t="str">
        <f>MID(SUVAHAVUJ!AG104,5,1)</f>
        <v xml:space="preserve"> </v>
      </c>
      <c r="FM18" s="982"/>
      <c r="FN18" s="982"/>
      <c r="FO18" s="982"/>
      <c r="FP18" s="982"/>
      <c r="FQ18" s="982"/>
      <c r="FR18" s="982" t="str">
        <f>MID(SUVAHAVUJ!AG104,6,1)</f>
        <v xml:space="preserve"> </v>
      </c>
      <c r="FS18" s="982"/>
      <c r="FT18" s="982"/>
      <c r="FU18" s="982"/>
      <c r="FV18" s="982"/>
      <c r="FW18" s="982" t="str">
        <f>MID(SUVAHAVUJ!AG104,7,1)</f>
        <v xml:space="preserve"> </v>
      </c>
      <c r="FX18" s="982"/>
      <c r="FY18" s="982"/>
      <c r="FZ18" s="982"/>
      <c r="GA18" s="982"/>
      <c r="GB18" s="982"/>
      <c r="GC18" s="982" t="str">
        <f>MID(SUVAHAVUJ!AG104,8,1)</f>
        <v>1</v>
      </c>
      <c r="GD18" s="982"/>
      <c r="GE18" s="982"/>
      <c r="GF18" s="982"/>
      <c r="GG18" s="982"/>
      <c r="GH18" s="982" t="str">
        <f>MID(SUVAHAVUJ!AG104,9,1)</f>
        <v>2</v>
      </c>
      <c r="GI18" s="982"/>
      <c r="GJ18" s="982"/>
      <c r="GK18" s="982"/>
      <c r="GL18" s="982"/>
      <c r="GM18" s="982"/>
      <c r="GN18" s="982" t="str">
        <f>MID(SUVAHAVUJ!AG104,10,1)</f>
        <v>3</v>
      </c>
      <c r="GO18" s="982"/>
      <c r="GP18" s="982"/>
      <c r="GQ18" s="982"/>
      <c r="GR18" s="982"/>
      <c r="GS18" s="978" t="str">
        <f>MID(SUVAHAVUJ!AG104,11,1)</f>
        <v>8</v>
      </c>
      <c r="GT18" s="978"/>
      <c r="GU18" s="978"/>
      <c r="GV18" s="978"/>
      <c r="GW18" s="978"/>
    </row>
    <row r="19" spans="1:205" ht="24" customHeight="1" x14ac:dyDescent="0.25">
      <c r="B19" s="981" t="s">
        <v>2190</v>
      </c>
      <c r="C19" s="981"/>
      <c r="D19" s="981"/>
      <c r="E19" s="981"/>
      <c r="F19" s="981"/>
      <c r="G19" s="981"/>
      <c r="H19" s="981"/>
      <c r="I19" s="981"/>
      <c r="J19" s="981"/>
      <c r="K19" s="981"/>
      <c r="L19" s="1004" t="str">
        <f>SUVAHAVUJ!$D$105</f>
        <v>Dlhodobé záväzky z obchodného styku súčet
(r. 104 až r. 106)</v>
      </c>
      <c r="M19" s="1004"/>
      <c r="N19" s="1004"/>
      <c r="O19" s="1004"/>
      <c r="P19" s="1004"/>
      <c r="Q19" s="1004"/>
      <c r="R19" s="1004"/>
      <c r="S19" s="1004"/>
      <c r="T19" s="1004"/>
      <c r="U19" s="1004"/>
      <c r="V19" s="1004"/>
      <c r="W19" s="1004"/>
      <c r="X19" s="1004"/>
      <c r="Y19" s="1004"/>
      <c r="Z19" s="1004"/>
      <c r="AA19" s="1004"/>
      <c r="AB19" s="1004"/>
      <c r="AC19" s="1004"/>
      <c r="AD19" s="1004"/>
      <c r="AE19" s="1004"/>
      <c r="AF19" s="1004"/>
      <c r="AG19" s="1004"/>
      <c r="AH19" s="1004"/>
      <c r="AI19" s="1004"/>
      <c r="AJ19" s="1004"/>
      <c r="AK19" s="1004"/>
      <c r="AL19" s="1004"/>
      <c r="AM19" s="1004"/>
      <c r="AN19" s="1004"/>
      <c r="AO19" s="1004"/>
      <c r="AP19" s="1004"/>
      <c r="AQ19" s="1004"/>
      <c r="AR19" s="1004"/>
      <c r="AS19" s="1004"/>
      <c r="AT19" s="1004"/>
      <c r="AU19" s="1004"/>
      <c r="AV19" s="1004"/>
      <c r="AW19" s="1004"/>
      <c r="AX19" s="1004"/>
      <c r="AY19" s="1004"/>
      <c r="AZ19" s="1004"/>
      <c r="BA19" s="1004"/>
      <c r="BB19" s="1004"/>
      <c r="BC19" s="1004"/>
      <c r="BD19" s="1004"/>
      <c r="BE19" s="1004"/>
      <c r="BF19" s="1004"/>
      <c r="BG19" s="1004"/>
      <c r="BH19" s="1004"/>
      <c r="BI19" s="1004"/>
      <c r="BJ19" s="1004"/>
      <c r="BK19" s="1004"/>
      <c r="BL19" s="1004"/>
      <c r="BM19" s="1004"/>
      <c r="BN19" s="1004"/>
      <c r="BO19" s="1004"/>
      <c r="BP19" s="1004"/>
      <c r="BQ19" s="1004"/>
      <c r="BR19" s="1004"/>
      <c r="BS19" s="1004"/>
      <c r="BT19" s="1004"/>
      <c r="BU19" s="1004"/>
      <c r="BV19" s="1004"/>
      <c r="BW19" s="975" t="s">
        <v>2258</v>
      </c>
      <c r="BX19" s="975"/>
      <c r="BY19" s="975"/>
      <c r="BZ19" s="975"/>
      <c r="CA19" s="975"/>
      <c r="CB19" s="975"/>
      <c r="CC19" s="975"/>
      <c r="CD19" s="975"/>
      <c r="CE19" s="976" t="str">
        <f>MID(SUVAHAVUJ!AF105,1,1)</f>
        <v xml:space="preserve"> </v>
      </c>
      <c r="CF19" s="976"/>
      <c r="CG19" s="976"/>
      <c r="CH19" s="976"/>
      <c r="CI19" s="976"/>
      <c r="CJ19" s="976" t="str">
        <f>MID(SUVAHAVUJ!AF105,2,1)</f>
        <v xml:space="preserve"> </v>
      </c>
      <c r="CK19" s="976"/>
      <c r="CL19" s="976"/>
      <c r="CM19" s="976"/>
      <c r="CN19" s="976"/>
      <c r="CO19" s="976"/>
      <c r="CP19" s="976" t="str">
        <f>MID(SUVAHAVUJ!AF105,3,1)</f>
        <v xml:space="preserve"> </v>
      </c>
      <c r="CQ19" s="976"/>
      <c r="CR19" s="976"/>
      <c r="CS19" s="976"/>
      <c r="CT19" s="976"/>
      <c r="CU19" s="976" t="str">
        <f>MID(SUVAHAVUJ!AF105,4,1)</f>
        <v xml:space="preserve"> </v>
      </c>
      <c r="CV19" s="976"/>
      <c r="CW19" s="976"/>
      <c r="CX19" s="976"/>
      <c r="CY19" s="976"/>
      <c r="CZ19" s="976"/>
      <c r="DA19" s="976" t="str">
        <f>MID(SUVAHAVUJ!AF105,5,1)</f>
        <v xml:space="preserve"> </v>
      </c>
      <c r="DB19" s="976"/>
      <c r="DC19" s="976"/>
      <c r="DD19" s="976"/>
      <c r="DE19" s="976"/>
      <c r="DF19" s="976" t="str">
        <f>MID(SUVAHAVUJ!AF105,6,1)</f>
        <v xml:space="preserve"> </v>
      </c>
      <c r="DG19" s="976"/>
      <c r="DH19" s="976"/>
      <c r="DI19" s="976"/>
      <c r="DJ19" s="976"/>
      <c r="DK19" s="976"/>
      <c r="DL19" s="976" t="str">
        <f>MID(SUVAHAVUJ!AF105,7,1)</f>
        <v xml:space="preserve"> </v>
      </c>
      <c r="DM19" s="976"/>
      <c r="DN19" s="976"/>
      <c r="DO19" s="976"/>
      <c r="DP19" s="976"/>
      <c r="DQ19" s="976"/>
      <c r="DR19" s="976" t="str">
        <f>MID(SUVAHAVUJ!AF105,8,1)</f>
        <v xml:space="preserve"> </v>
      </c>
      <c r="DS19" s="976"/>
      <c r="DT19" s="976"/>
      <c r="DU19" s="976"/>
      <c r="DV19" s="976"/>
      <c r="DW19" s="982" t="str">
        <f>MID(SUVAHAVUJ!AF105,9,1)</f>
        <v xml:space="preserve"> </v>
      </c>
      <c r="DX19" s="982"/>
      <c r="DY19" s="982"/>
      <c r="DZ19" s="982"/>
      <c r="EA19" s="982"/>
      <c r="EB19" s="982"/>
      <c r="EC19" s="982" t="str">
        <f>MID(SUVAHAVUJ!AF105,10,1)</f>
        <v xml:space="preserve"> </v>
      </c>
      <c r="ED19" s="982"/>
      <c r="EE19" s="982"/>
      <c r="EF19" s="982"/>
      <c r="EG19" s="982"/>
      <c r="EH19" s="977" t="str">
        <f>MID(SUVAHAVUJ!AF105,11,1)</f>
        <v>0</v>
      </c>
      <c r="EI19" s="977"/>
      <c r="EJ19" s="977"/>
      <c r="EK19" s="977"/>
      <c r="EL19" s="977"/>
      <c r="EM19" s="977"/>
      <c r="EN19" s="665"/>
      <c r="EO19" s="666"/>
      <c r="EP19" s="976" t="str">
        <f>MID(SUVAHAVUJ!AG105,1,1)</f>
        <v xml:space="preserve"> </v>
      </c>
      <c r="EQ19" s="976"/>
      <c r="ER19" s="976"/>
      <c r="ES19" s="976"/>
      <c r="ET19" s="976"/>
      <c r="EU19" s="976"/>
      <c r="EV19" s="976" t="str">
        <f>MID(SUVAHAVUJ!AG105,2,1)</f>
        <v xml:space="preserve"> </v>
      </c>
      <c r="EW19" s="976"/>
      <c r="EX19" s="976"/>
      <c r="EY19" s="976"/>
      <c r="EZ19" s="976"/>
      <c r="FA19" s="976" t="str">
        <f>MID(SUVAHAVUJ!AG105,3,1)</f>
        <v xml:space="preserve"> </v>
      </c>
      <c r="FB19" s="976"/>
      <c r="FC19" s="976"/>
      <c r="FD19" s="976"/>
      <c r="FE19" s="976"/>
      <c r="FF19" s="976"/>
      <c r="FG19" s="976" t="str">
        <f>MID(SUVAHAVUJ!AG105,4,1)</f>
        <v xml:space="preserve"> </v>
      </c>
      <c r="FH19" s="976"/>
      <c r="FI19" s="976"/>
      <c r="FJ19" s="976"/>
      <c r="FK19" s="976"/>
      <c r="FL19" s="982" t="str">
        <f>MID(SUVAHAVUJ!AG105,5,1)</f>
        <v xml:space="preserve"> </v>
      </c>
      <c r="FM19" s="982"/>
      <c r="FN19" s="982"/>
      <c r="FO19" s="982"/>
      <c r="FP19" s="982"/>
      <c r="FQ19" s="982"/>
      <c r="FR19" s="982" t="str">
        <f>MID(SUVAHAVUJ!AG105,6,1)</f>
        <v xml:space="preserve"> </v>
      </c>
      <c r="FS19" s="982"/>
      <c r="FT19" s="982"/>
      <c r="FU19" s="982"/>
      <c r="FV19" s="982"/>
      <c r="FW19" s="982" t="str">
        <f>MID(SUVAHAVUJ!AG105,7,1)</f>
        <v xml:space="preserve"> </v>
      </c>
      <c r="FX19" s="982"/>
      <c r="FY19" s="982"/>
      <c r="FZ19" s="982"/>
      <c r="GA19" s="982"/>
      <c r="GB19" s="982"/>
      <c r="GC19" s="982" t="str">
        <f>MID(SUVAHAVUJ!AG105,8,1)</f>
        <v xml:space="preserve"> </v>
      </c>
      <c r="GD19" s="982"/>
      <c r="GE19" s="982"/>
      <c r="GF19" s="982"/>
      <c r="GG19" s="982"/>
      <c r="GH19" s="982" t="str">
        <f>MID(SUVAHAVUJ!AG105,9,1)</f>
        <v xml:space="preserve"> </v>
      </c>
      <c r="GI19" s="982"/>
      <c r="GJ19" s="982"/>
      <c r="GK19" s="982"/>
      <c r="GL19" s="982"/>
      <c r="GM19" s="982"/>
      <c r="GN19" s="982" t="str">
        <f>MID(SUVAHAVUJ!AG105,10,1)</f>
        <v xml:space="preserve"> </v>
      </c>
      <c r="GO19" s="982"/>
      <c r="GP19" s="982"/>
      <c r="GQ19" s="982"/>
      <c r="GR19" s="982"/>
      <c r="GS19" s="978" t="str">
        <f>MID(SUVAHAVUJ!AG105,11,1)</f>
        <v>0</v>
      </c>
      <c r="GT19" s="978"/>
      <c r="GU19" s="978"/>
      <c r="GV19" s="978"/>
      <c r="GW19" s="978"/>
    </row>
    <row r="20" spans="1:205" ht="24" customHeight="1" x14ac:dyDescent="0.25">
      <c r="B20" s="985" t="s">
        <v>2199</v>
      </c>
      <c r="C20" s="985"/>
      <c r="D20" s="985"/>
      <c r="E20" s="985"/>
      <c r="F20" s="985"/>
      <c r="G20" s="985"/>
      <c r="H20" s="985"/>
      <c r="I20" s="985"/>
      <c r="J20" s="985"/>
      <c r="K20" s="985"/>
      <c r="L20" s="1005" t="str">
        <f>SUVAHAVUJ!$D$106</f>
        <v>Záväzky z obchodného styku voči prepojeným účtovným jednotkám (321A, 475A, 476A)</v>
      </c>
      <c r="M20" s="1005"/>
      <c r="N20" s="1005"/>
      <c r="O20" s="1005"/>
      <c r="P20" s="1005"/>
      <c r="Q20" s="1005"/>
      <c r="R20" s="1005"/>
      <c r="S20" s="1005"/>
      <c r="T20" s="1005"/>
      <c r="U20" s="1005"/>
      <c r="V20" s="1005"/>
      <c r="W20" s="1005"/>
      <c r="X20" s="1005"/>
      <c r="Y20" s="1005"/>
      <c r="Z20" s="1005"/>
      <c r="AA20" s="1005"/>
      <c r="AB20" s="1005"/>
      <c r="AC20" s="1005"/>
      <c r="AD20" s="1005"/>
      <c r="AE20" s="1005"/>
      <c r="AF20" s="1005"/>
      <c r="AG20" s="1005"/>
      <c r="AH20" s="1005"/>
      <c r="AI20" s="1005"/>
      <c r="AJ20" s="1005"/>
      <c r="AK20" s="1005"/>
      <c r="AL20" s="1005"/>
      <c r="AM20" s="1005"/>
      <c r="AN20" s="1005"/>
      <c r="AO20" s="1005"/>
      <c r="AP20" s="1005"/>
      <c r="AQ20" s="1005"/>
      <c r="AR20" s="1005"/>
      <c r="AS20" s="1005"/>
      <c r="AT20" s="1005"/>
      <c r="AU20" s="1005"/>
      <c r="AV20" s="1005"/>
      <c r="AW20" s="1005"/>
      <c r="AX20" s="1005"/>
      <c r="AY20" s="1005"/>
      <c r="AZ20" s="1005"/>
      <c r="BA20" s="1005"/>
      <c r="BB20" s="1005"/>
      <c r="BC20" s="1005"/>
      <c r="BD20" s="1005"/>
      <c r="BE20" s="1005"/>
      <c r="BF20" s="1005"/>
      <c r="BG20" s="1005"/>
      <c r="BH20" s="1005"/>
      <c r="BI20" s="1005"/>
      <c r="BJ20" s="1005"/>
      <c r="BK20" s="1005"/>
      <c r="BL20" s="1005"/>
      <c r="BM20" s="1005"/>
      <c r="BN20" s="1005"/>
      <c r="BO20" s="1005"/>
      <c r="BP20" s="1005"/>
      <c r="BQ20" s="1005"/>
      <c r="BR20" s="1005"/>
      <c r="BS20" s="1005"/>
      <c r="BT20" s="1005"/>
      <c r="BU20" s="1005"/>
      <c r="BV20" s="1005"/>
      <c r="BW20" s="975" t="s">
        <v>2259</v>
      </c>
      <c r="BX20" s="975"/>
      <c r="BY20" s="975"/>
      <c r="BZ20" s="975"/>
      <c r="CA20" s="975"/>
      <c r="CB20" s="975"/>
      <c r="CC20" s="975"/>
      <c r="CD20" s="975"/>
      <c r="CE20" s="976" t="str">
        <f>MID(SUVAHAVUJ!AF106,1,1)</f>
        <v xml:space="preserve"> </v>
      </c>
      <c r="CF20" s="976"/>
      <c r="CG20" s="976"/>
      <c r="CH20" s="976"/>
      <c r="CI20" s="976"/>
      <c r="CJ20" s="976" t="str">
        <f>MID(SUVAHAVUJ!AF106,2,1)</f>
        <v xml:space="preserve"> </v>
      </c>
      <c r="CK20" s="976"/>
      <c r="CL20" s="976"/>
      <c r="CM20" s="976"/>
      <c r="CN20" s="976"/>
      <c r="CO20" s="976"/>
      <c r="CP20" s="976" t="str">
        <f>MID(SUVAHAVUJ!AF106,3,1)</f>
        <v xml:space="preserve"> </v>
      </c>
      <c r="CQ20" s="976"/>
      <c r="CR20" s="976"/>
      <c r="CS20" s="976"/>
      <c r="CT20" s="976"/>
      <c r="CU20" s="976" t="str">
        <f>MID(SUVAHAVUJ!AF106,4,1)</f>
        <v xml:space="preserve"> </v>
      </c>
      <c r="CV20" s="976"/>
      <c r="CW20" s="976"/>
      <c r="CX20" s="976"/>
      <c r="CY20" s="976"/>
      <c r="CZ20" s="976"/>
      <c r="DA20" s="976" t="str">
        <f>MID(SUVAHAVUJ!AF106,5,1)</f>
        <v xml:space="preserve"> </v>
      </c>
      <c r="DB20" s="976"/>
      <c r="DC20" s="976"/>
      <c r="DD20" s="976"/>
      <c r="DE20" s="976"/>
      <c r="DF20" s="976" t="str">
        <f>MID(SUVAHAVUJ!AF106,6,1)</f>
        <v xml:space="preserve"> </v>
      </c>
      <c r="DG20" s="976"/>
      <c r="DH20" s="976"/>
      <c r="DI20" s="976"/>
      <c r="DJ20" s="976"/>
      <c r="DK20" s="976"/>
      <c r="DL20" s="976" t="str">
        <f>MID(SUVAHAVUJ!AF106,7,1)</f>
        <v xml:space="preserve"> </v>
      </c>
      <c r="DM20" s="976"/>
      <c r="DN20" s="976"/>
      <c r="DO20" s="976"/>
      <c r="DP20" s="976"/>
      <c r="DQ20" s="976"/>
      <c r="DR20" s="976" t="str">
        <f>MID(SUVAHAVUJ!AF106,8,1)</f>
        <v xml:space="preserve"> </v>
      </c>
      <c r="DS20" s="976"/>
      <c r="DT20" s="976"/>
      <c r="DU20" s="976"/>
      <c r="DV20" s="976"/>
      <c r="DW20" s="982" t="str">
        <f>MID(SUVAHAVUJ!AF106,9,1)</f>
        <v xml:space="preserve"> </v>
      </c>
      <c r="DX20" s="982"/>
      <c r="DY20" s="982"/>
      <c r="DZ20" s="982"/>
      <c r="EA20" s="982"/>
      <c r="EB20" s="982"/>
      <c r="EC20" s="982" t="str">
        <f>MID(SUVAHAVUJ!AF106,10,1)</f>
        <v xml:space="preserve"> </v>
      </c>
      <c r="ED20" s="982"/>
      <c r="EE20" s="982"/>
      <c r="EF20" s="982"/>
      <c r="EG20" s="982"/>
      <c r="EH20" s="977" t="str">
        <f>MID(SUVAHAVUJ!AF106,11,1)</f>
        <v>0</v>
      </c>
      <c r="EI20" s="977"/>
      <c r="EJ20" s="977"/>
      <c r="EK20" s="977"/>
      <c r="EL20" s="977"/>
      <c r="EM20" s="977"/>
      <c r="EN20" s="665"/>
      <c r="EO20" s="666"/>
      <c r="EP20" s="976" t="str">
        <f>MID(SUVAHAVUJ!AG106,1,1)</f>
        <v xml:space="preserve"> </v>
      </c>
      <c r="EQ20" s="976"/>
      <c r="ER20" s="976"/>
      <c r="ES20" s="976"/>
      <c r="ET20" s="976"/>
      <c r="EU20" s="976"/>
      <c r="EV20" s="976" t="str">
        <f>MID(SUVAHAVUJ!AG106,2,1)</f>
        <v xml:space="preserve"> </v>
      </c>
      <c r="EW20" s="976"/>
      <c r="EX20" s="976"/>
      <c r="EY20" s="976"/>
      <c r="EZ20" s="976"/>
      <c r="FA20" s="976" t="str">
        <f>MID(SUVAHAVUJ!AG106,3,1)</f>
        <v xml:space="preserve"> </v>
      </c>
      <c r="FB20" s="976"/>
      <c r="FC20" s="976"/>
      <c r="FD20" s="976"/>
      <c r="FE20" s="976"/>
      <c r="FF20" s="976"/>
      <c r="FG20" s="976" t="str">
        <f>MID(SUVAHAVUJ!AG106,4,1)</f>
        <v xml:space="preserve"> </v>
      </c>
      <c r="FH20" s="976"/>
      <c r="FI20" s="976"/>
      <c r="FJ20" s="976"/>
      <c r="FK20" s="976"/>
      <c r="FL20" s="982" t="str">
        <f>MID(SUVAHAVUJ!AG106,5,1)</f>
        <v xml:space="preserve"> </v>
      </c>
      <c r="FM20" s="982"/>
      <c r="FN20" s="982"/>
      <c r="FO20" s="982"/>
      <c r="FP20" s="982"/>
      <c r="FQ20" s="982"/>
      <c r="FR20" s="982" t="str">
        <f>MID(SUVAHAVUJ!AG106,6,1)</f>
        <v xml:space="preserve"> </v>
      </c>
      <c r="FS20" s="982"/>
      <c r="FT20" s="982"/>
      <c r="FU20" s="982"/>
      <c r="FV20" s="982"/>
      <c r="FW20" s="982" t="str">
        <f>MID(SUVAHAVUJ!AG106,7,1)</f>
        <v xml:space="preserve"> </v>
      </c>
      <c r="FX20" s="982"/>
      <c r="FY20" s="982"/>
      <c r="FZ20" s="982"/>
      <c r="GA20" s="982"/>
      <c r="GB20" s="982"/>
      <c r="GC20" s="982" t="str">
        <f>MID(SUVAHAVUJ!AG106,8,1)</f>
        <v xml:space="preserve"> </v>
      </c>
      <c r="GD20" s="982"/>
      <c r="GE20" s="982"/>
      <c r="GF20" s="982"/>
      <c r="GG20" s="982"/>
      <c r="GH20" s="982" t="str">
        <f>MID(SUVAHAVUJ!AG106,9,1)</f>
        <v xml:space="preserve"> </v>
      </c>
      <c r="GI20" s="982"/>
      <c r="GJ20" s="982"/>
      <c r="GK20" s="982"/>
      <c r="GL20" s="982"/>
      <c r="GM20" s="982"/>
      <c r="GN20" s="982" t="str">
        <f>MID(SUVAHAVUJ!AG106,10,1)</f>
        <v xml:space="preserve"> </v>
      </c>
      <c r="GO20" s="982"/>
      <c r="GP20" s="982"/>
      <c r="GQ20" s="982"/>
      <c r="GR20" s="982"/>
      <c r="GS20" s="978" t="str">
        <f>MID(SUVAHAVUJ!AG106,11,1)</f>
        <v>0</v>
      </c>
      <c r="GT20" s="978"/>
      <c r="GU20" s="978"/>
      <c r="GV20" s="978"/>
      <c r="GW20" s="978"/>
    </row>
    <row r="21" spans="1:205" ht="24" customHeight="1" x14ac:dyDescent="0.25">
      <c r="B21" s="985" t="s">
        <v>2200</v>
      </c>
      <c r="C21" s="985"/>
      <c r="D21" s="985"/>
      <c r="E21" s="985"/>
      <c r="F21" s="985"/>
      <c r="G21" s="985"/>
      <c r="H21" s="985"/>
      <c r="I21" s="985"/>
      <c r="J21" s="985"/>
      <c r="K21" s="985"/>
      <c r="L21" s="1005" t="str">
        <f>SUVAHAVUJ!$D$107</f>
        <v>Záväzky z obchodného styku v rámci podielovej účasti okrem záväzkov voči prepojeným účtovným jednotkám (321A, 475A, 476A)</v>
      </c>
      <c r="M21" s="1005"/>
      <c r="N21" s="1005"/>
      <c r="O21" s="1005"/>
      <c r="P21" s="1005"/>
      <c r="Q21" s="1005"/>
      <c r="R21" s="1005"/>
      <c r="S21" s="1005"/>
      <c r="T21" s="1005"/>
      <c r="U21" s="1005"/>
      <c r="V21" s="1005"/>
      <c r="W21" s="1005"/>
      <c r="X21" s="1005"/>
      <c r="Y21" s="1005"/>
      <c r="Z21" s="1005"/>
      <c r="AA21" s="1005"/>
      <c r="AB21" s="1005"/>
      <c r="AC21" s="1005"/>
      <c r="AD21" s="1005"/>
      <c r="AE21" s="1005"/>
      <c r="AF21" s="1005"/>
      <c r="AG21" s="1005"/>
      <c r="AH21" s="1005"/>
      <c r="AI21" s="1005"/>
      <c r="AJ21" s="1005"/>
      <c r="AK21" s="1005"/>
      <c r="AL21" s="1005"/>
      <c r="AM21" s="1005"/>
      <c r="AN21" s="1005"/>
      <c r="AO21" s="1005"/>
      <c r="AP21" s="1005"/>
      <c r="AQ21" s="1005"/>
      <c r="AR21" s="1005"/>
      <c r="AS21" s="1005"/>
      <c r="AT21" s="1005"/>
      <c r="AU21" s="1005"/>
      <c r="AV21" s="1005"/>
      <c r="AW21" s="1005"/>
      <c r="AX21" s="1005"/>
      <c r="AY21" s="1005"/>
      <c r="AZ21" s="1005"/>
      <c r="BA21" s="1005"/>
      <c r="BB21" s="1005"/>
      <c r="BC21" s="1005"/>
      <c r="BD21" s="1005"/>
      <c r="BE21" s="1005"/>
      <c r="BF21" s="1005"/>
      <c r="BG21" s="1005"/>
      <c r="BH21" s="1005"/>
      <c r="BI21" s="1005"/>
      <c r="BJ21" s="1005"/>
      <c r="BK21" s="1005"/>
      <c r="BL21" s="1005"/>
      <c r="BM21" s="1005"/>
      <c r="BN21" s="1005"/>
      <c r="BO21" s="1005"/>
      <c r="BP21" s="1005"/>
      <c r="BQ21" s="1005"/>
      <c r="BR21" s="1005"/>
      <c r="BS21" s="1005"/>
      <c r="BT21" s="1005"/>
      <c r="BU21" s="1005"/>
      <c r="BV21" s="1005"/>
      <c r="BW21" s="975" t="s">
        <v>2260</v>
      </c>
      <c r="BX21" s="975"/>
      <c r="BY21" s="975"/>
      <c r="BZ21" s="975"/>
      <c r="CA21" s="975"/>
      <c r="CB21" s="975"/>
      <c r="CC21" s="975"/>
      <c r="CD21" s="975"/>
      <c r="CE21" s="976" t="str">
        <f>MID(SUVAHAVUJ!AF107,1,1)</f>
        <v xml:space="preserve"> </v>
      </c>
      <c r="CF21" s="976"/>
      <c r="CG21" s="976"/>
      <c r="CH21" s="976"/>
      <c r="CI21" s="976"/>
      <c r="CJ21" s="976" t="str">
        <f>MID(SUVAHAVUJ!AF107,2,1)</f>
        <v xml:space="preserve"> </v>
      </c>
      <c r="CK21" s="976"/>
      <c r="CL21" s="976"/>
      <c r="CM21" s="976"/>
      <c r="CN21" s="976"/>
      <c r="CO21" s="976"/>
      <c r="CP21" s="976" t="str">
        <f>MID(SUVAHAVUJ!AF107,3,1)</f>
        <v xml:space="preserve"> </v>
      </c>
      <c r="CQ21" s="976"/>
      <c r="CR21" s="976"/>
      <c r="CS21" s="976"/>
      <c r="CT21" s="976"/>
      <c r="CU21" s="976" t="str">
        <f>MID(SUVAHAVUJ!AF107,4,1)</f>
        <v xml:space="preserve"> </v>
      </c>
      <c r="CV21" s="976"/>
      <c r="CW21" s="976"/>
      <c r="CX21" s="976"/>
      <c r="CY21" s="976"/>
      <c r="CZ21" s="976"/>
      <c r="DA21" s="976" t="str">
        <f>MID(SUVAHAVUJ!AF107,5,1)</f>
        <v xml:space="preserve"> </v>
      </c>
      <c r="DB21" s="976"/>
      <c r="DC21" s="976"/>
      <c r="DD21" s="976"/>
      <c r="DE21" s="976"/>
      <c r="DF21" s="976" t="str">
        <f>MID(SUVAHAVUJ!AF107,6,1)</f>
        <v xml:space="preserve"> </v>
      </c>
      <c r="DG21" s="976"/>
      <c r="DH21" s="976"/>
      <c r="DI21" s="976"/>
      <c r="DJ21" s="976"/>
      <c r="DK21" s="976"/>
      <c r="DL21" s="976" t="str">
        <f>MID(SUVAHAVUJ!AF107,7,1)</f>
        <v xml:space="preserve"> </v>
      </c>
      <c r="DM21" s="976"/>
      <c r="DN21" s="976"/>
      <c r="DO21" s="976"/>
      <c r="DP21" s="976"/>
      <c r="DQ21" s="976"/>
      <c r="DR21" s="976" t="str">
        <f>MID(SUVAHAVUJ!AF107,8,1)</f>
        <v xml:space="preserve"> </v>
      </c>
      <c r="DS21" s="976"/>
      <c r="DT21" s="976"/>
      <c r="DU21" s="976"/>
      <c r="DV21" s="976"/>
      <c r="DW21" s="982" t="str">
        <f>MID(SUVAHAVUJ!AF107,9,1)</f>
        <v xml:space="preserve"> </v>
      </c>
      <c r="DX21" s="982"/>
      <c r="DY21" s="982"/>
      <c r="DZ21" s="982"/>
      <c r="EA21" s="982"/>
      <c r="EB21" s="982"/>
      <c r="EC21" s="982" t="str">
        <f>MID(SUVAHAVUJ!AF107,10,1)</f>
        <v xml:space="preserve"> </v>
      </c>
      <c r="ED21" s="982"/>
      <c r="EE21" s="982"/>
      <c r="EF21" s="982"/>
      <c r="EG21" s="982"/>
      <c r="EH21" s="977" t="str">
        <f>MID(SUVAHAVUJ!AF107,11,1)</f>
        <v>0</v>
      </c>
      <c r="EI21" s="977"/>
      <c r="EJ21" s="977"/>
      <c r="EK21" s="977"/>
      <c r="EL21" s="977"/>
      <c r="EM21" s="977"/>
      <c r="EN21" s="665"/>
      <c r="EO21" s="666"/>
      <c r="EP21" s="976" t="str">
        <f>MID(SUVAHAVUJ!AG107,1,1)</f>
        <v xml:space="preserve"> </v>
      </c>
      <c r="EQ21" s="976"/>
      <c r="ER21" s="976"/>
      <c r="ES21" s="976"/>
      <c r="ET21" s="976"/>
      <c r="EU21" s="976"/>
      <c r="EV21" s="976" t="str">
        <f>MID(SUVAHAVUJ!AG107,2,1)</f>
        <v xml:space="preserve"> </v>
      </c>
      <c r="EW21" s="976"/>
      <c r="EX21" s="976"/>
      <c r="EY21" s="976"/>
      <c r="EZ21" s="976"/>
      <c r="FA21" s="976" t="str">
        <f>MID(SUVAHAVUJ!AG107,3,1)</f>
        <v xml:space="preserve"> </v>
      </c>
      <c r="FB21" s="976"/>
      <c r="FC21" s="976"/>
      <c r="FD21" s="976"/>
      <c r="FE21" s="976"/>
      <c r="FF21" s="976"/>
      <c r="FG21" s="976" t="str">
        <f>MID(SUVAHAVUJ!AG107,4,1)</f>
        <v xml:space="preserve"> </v>
      </c>
      <c r="FH21" s="976"/>
      <c r="FI21" s="976"/>
      <c r="FJ21" s="976"/>
      <c r="FK21" s="976"/>
      <c r="FL21" s="982" t="str">
        <f>MID(SUVAHAVUJ!AG107,5,1)</f>
        <v xml:space="preserve"> </v>
      </c>
      <c r="FM21" s="982"/>
      <c r="FN21" s="982"/>
      <c r="FO21" s="982"/>
      <c r="FP21" s="982"/>
      <c r="FQ21" s="982"/>
      <c r="FR21" s="982" t="str">
        <f>MID(SUVAHAVUJ!AG107,6,1)</f>
        <v xml:space="preserve"> </v>
      </c>
      <c r="FS21" s="982"/>
      <c r="FT21" s="982"/>
      <c r="FU21" s="982"/>
      <c r="FV21" s="982"/>
      <c r="FW21" s="982" t="str">
        <f>MID(SUVAHAVUJ!AG107,7,1)</f>
        <v xml:space="preserve"> </v>
      </c>
      <c r="FX21" s="982"/>
      <c r="FY21" s="982"/>
      <c r="FZ21" s="982"/>
      <c r="GA21" s="982"/>
      <c r="GB21" s="982"/>
      <c r="GC21" s="982" t="str">
        <f>MID(SUVAHAVUJ!AG107,8,1)</f>
        <v xml:space="preserve"> </v>
      </c>
      <c r="GD21" s="982"/>
      <c r="GE21" s="982"/>
      <c r="GF21" s="982"/>
      <c r="GG21" s="982"/>
      <c r="GH21" s="982" t="str">
        <f>MID(SUVAHAVUJ!AG107,9,1)</f>
        <v xml:space="preserve"> </v>
      </c>
      <c r="GI21" s="982"/>
      <c r="GJ21" s="982"/>
      <c r="GK21" s="982"/>
      <c r="GL21" s="982"/>
      <c r="GM21" s="982"/>
      <c r="GN21" s="982" t="str">
        <f>MID(SUVAHAVUJ!AG107,10,1)</f>
        <v xml:space="preserve"> </v>
      </c>
      <c r="GO21" s="982"/>
      <c r="GP21" s="982"/>
      <c r="GQ21" s="982"/>
      <c r="GR21" s="982"/>
      <c r="GS21" s="978" t="str">
        <f>MID(SUVAHAVUJ!AG107,11,1)</f>
        <v>0</v>
      </c>
      <c r="GT21" s="978"/>
      <c r="GU21" s="978"/>
      <c r="GV21" s="978"/>
      <c r="GW21" s="978"/>
    </row>
    <row r="22" spans="1:205" ht="24" customHeight="1" x14ac:dyDescent="0.25">
      <c r="B22" s="985" t="s">
        <v>2201</v>
      </c>
      <c r="C22" s="985"/>
      <c r="D22" s="985"/>
      <c r="E22" s="985"/>
      <c r="F22" s="985"/>
      <c r="G22" s="985"/>
      <c r="H22" s="985"/>
      <c r="I22" s="985"/>
      <c r="J22" s="985"/>
      <c r="K22" s="985"/>
      <c r="L22" s="1005" t="str">
        <f>SUVAHAVUJ!$D$108</f>
        <v>Ostatné záväzky z obchodného styku (321A, 475A, 476A)</v>
      </c>
      <c r="M22" s="1005"/>
      <c r="N22" s="1005"/>
      <c r="O22" s="1005"/>
      <c r="P22" s="1005"/>
      <c r="Q22" s="1005"/>
      <c r="R22" s="1005"/>
      <c r="S22" s="1005"/>
      <c r="T22" s="1005"/>
      <c r="U22" s="1005"/>
      <c r="V22" s="1005"/>
      <c r="W22" s="1005"/>
      <c r="X22" s="1005"/>
      <c r="Y22" s="1005"/>
      <c r="Z22" s="1005"/>
      <c r="AA22" s="1005"/>
      <c r="AB22" s="1005"/>
      <c r="AC22" s="1005"/>
      <c r="AD22" s="1005"/>
      <c r="AE22" s="1005"/>
      <c r="AF22" s="1005"/>
      <c r="AG22" s="1005"/>
      <c r="AH22" s="1005"/>
      <c r="AI22" s="1005"/>
      <c r="AJ22" s="1005"/>
      <c r="AK22" s="1005"/>
      <c r="AL22" s="1005"/>
      <c r="AM22" s="1005"/>
      <c r="AN22" s="1005"/>
      <c r="AO22" s="1005"/>
      <c r="AP22" s="1005"/>
      <c r="AQ22" s="1005"/>
      <c r="AR22" s="1005"/>
      <c r="AS22" s="1005"/>
      <c r="AT22" s="1005"/>
      <c r="AU22" s="1005"/>
      <c r="AV22" s="1005"/>
      <c r="AW22" s="1005"/>
      <c r="AX22" s="1005"/>
      <c r="AY22" s="1005"/>
      <c r="AZ22" s="1005"/>
      <c r="BA22" s="1005"/>
      <c r="BB22" s="1005"/>
      <c r="BC22" s="1005"/>
      <c r="BD22" s="1005"/>
      <c r="BE22" s="1005"/>
      <c r="BF22" s="1005"/>
      <c r="BG22" s="1005"/>
      <c r="BH22" s="1005"/>
      <c r="BI22" s="1005"/>
      <c r="BJ22" s="1005"/>
      <c r="BK22" s="1005"/>
      <c r="BL22" s="1005"/>
      <c r="BM22" s="1005"/>
      <c r="BN22" s="1005"/>
      <c r="BO22" s="1005"/>
      <c r="BP22" s="1005"/>
      <c r="BQ22" s="1005"/>
      <c r="BR22" s="1005"/>
      <c r="BS22" s="1005"/>
      <c r="BT22" s="1005"/>
      <c r="BU22" s="1005"/>
      <c r="BV22" s="1005"/>
      <c r="BW22" s="975" t="s">
        <v>2261</v>
      </c>
      <c r="BX22" s="975"/>
      <c r="BY22" s="975"/>
      <c r="BZ22" s="975"/>
      <c r="CA22" s="975"/>
      <c r="CB22" s="975"/>
      <c r="CC22" s="975"/>
      <c r="CD22" s="975"/>
      <c r="CE22" s="976" t="str">
        <f>MID(SUVAHAVUJ!AF108,1,1)</f>
        <v xml:space="preserve"> </v>
      </c>
      <c r="CF22" s="976"/>
      <c r="CG22" s="976"/>
      <c r="CH22" s="976"/>
      <c r="CI22" s="976"/>
      <c r="CJ22" s="976" t="str">
        <f>MID(SUVAHAVUJ!AF108,2,1)</f>
        <v xml:space="preserve"> </v>
      </c>
      <c r="CK22" s="976"/>
      <c r="CL22" s="976"/>
      <c r="CM22" s="976"/>
      <c r="CN22" s="976"/>
      <c r="CO22" s="976"/>
      <c r="CP22" s="976" t="str">
        <f>MID(SUVAHAVUJ!AF108,3,1)</f>
        <v xml:space="preserve"> </v>
      </c>
      <c r="CQ22" s="976"/>
      <c r="CR22" s="976"/>
      <c r="CS22" s="976"/>
      <c r="CT22" s="976"/>
      <c r="CU22" s="976" t="str">
        <f>MID(SUVAHAVUJ!AF108,4,1)</f>
        <v xml:space="preserve"> </v>
      </c>
      <c r="CV22" s="976"/>
      <c r="CW22" s="976"/>
      <c r="CX22" s="976"/>
      <c r="CY22" s="976"/>
      <c r="CZ22" s="976"/>
      <c r="DA22" s="976" t="str">
        <f>MID(SUVAHAVUJ!AF108,5,1)</f>
        <v xml:space="preserve"> </v>
      </c>
      <c r="DB22" s="976"/>
      <c r="DC22" s="976"/>
      <c r="DD22" s="976"/>
      <c r="DE22" s="976"/>
      <c r="DF22" s="976" t="str">
        <f>MID(SUVAHAVUJ!AF108,6,1)</f>
        <v xml:space="preserve"> </v>
      </c>
      <c r="DG22" s="976"/>
      <c r="DH22" s="976"/>
      <c r="DI22" s="976"/>
      <c r="DJ22" s="976"/>
      <c r="DK22" s="976"/>
      <c r="DL22" s="976" t="str">
        <f>MID(SUVAHAVUJ!AF108,7,1)</f>
        <v xml:space="preserve"> </v>
      </c>
      <c r="DM22" s="976"/>
      <c r="DN22" s="976"/>
      <c r="DO22" s="976"/>
      <c r="DP22" s="976"/>
      <c r="DQ22" s="976"/>
      <c r="DR22" s="976" t="str">
        <f>MID(SUVAHAVUJ!AF108,8,1)</f>
        <v xml:space="preserve"> </v>
      </c>
      <c r="DS22" s="976"/>
      <c r="DT22" s="976"/>
      <c r="DU22" s="976"/>
      <c r="DV22" s="976"/>
      <c r="DW22" s="982" t="str">
        <f>MID(SUVAHAVUJ!AF108,9,1)</f>
        <v xml:space="preserve"> </v>
      </c>
      <c r="DX22" s="982"/>
      <c r="DY22" s="982"/>
      <c r="DZ22" s="982"/>
      <c r="EA22" s="982"/>
      <c r="EB22" s="982"/>
      <c r="EC22" s="982" t="str">
        <f>MID(SUVAHAVUJ!AF108,10,1)</f>
        <v xml:space="preserve"> </v>
      </c>
      <c r="ED22" s="982"/>
      <c r="EE22" s="982"/>
      <c r="EF22" s="982"/>
      <c r="EG22" s="982"/>
      <c r="EH22" s="977" t="str">
        <f>MID(SUVAHAVUJ!AF108,11,1)</f>
        <v>0</v>
      </c>
      <c r="EI22" s="977"/>
      <c r="EJ22" s="977"/>
      <c r="EK22" s="977"/>
      <c r="EL22" s="977"/>
      <c r="EM22" s="977"/>
      <c r="EN22" s="665"/>
      <c r="EO22" s="666"/>
      <c r="EP22" s="976" t="str">
        <f>MID(SUVAHAVUJ!AG108,1,1)</f>
        <v xml:space="preserve"> </v>
      </c>
      <c r="EQ22" s="976"/>
      <c r="ER22" s="976"/>
      <c r="ES22" s="976"/>
      <c r="ET22" s="976"/>
      <c r="EU22" s="976"/>
      <c r="EV22" s="976" t="str">
        <f>MID(SUVAHAVUJ!AG108,2,1)</f>
        <v xml:space="preserve"> </v>
      </c>
      <c r="EW22" s="976"/>
      <c r="EX22" s="976"/>
      <c r="EY22" s="976"/>
      <c r="EZ22" s="976"/>
      <c r="FA22" s="976" t="str">
        <f>MID(SUVAHAVUJ!AG108,3,1)</f>
        <v xml:space="preserve"> </v>
      </c>
      <c r="FB22" s="976"/>
      <c r="FC22" s="976"/>
      <c r="FD22" s="976"/>
      <c r="FE22" s="976"/>
      <c r="FF22" s="976"/>
      <c r="FG22" s="976" t="str">
        <f>MID(SUVAHAVUJ!AG108,4,1)</f>
        <v xml:space="preserve"> </v>
      </c>
      <c r="FH22" s="976"/>
      <c r="FI22" s="976"/>
      <c r="FJ22" s="976"/>
      <c r="FK22" s="976"/>
      <c r="FL22" s="982" t="str">
        <f>MID(SUVAHAVUJ!AG108,5,1)</f>
        <v xml:space="preserve"> </v>
      </c>
      <c r="FM22" s="982"/>
      <c r="FN22" s="982"/>
      <c r="FO22" s="982"/>
      <c r="FP22" s="982"/>
      <c r="FQ22" s="982"/>
      <c r="FR22" s="982" t="str">
        <f>MID(SUVAHAVUJ!AG108,6,1)</f>
        <v xml:space="preserve"> </v>
      </c>
      <c r="FS22" s="982"/>
      <c r="FT22" s="982"/>
      <c r="FU22" s="982"/>
      <c r="FV22" s="982"/>
      <c r="FW22" s="982" t="str">
        <f>MID(SUVAHAVUJ!AG108,7,1)</f>
        <v xml:space="preserve"> </v>
      </c>
      <c r="FX22" s="982"/>
      <c r="FY22" s="982"/>
      <c r="FZ22" s="982"/>
      <c r="GA22" s="982"/>
      <c r="GB22" s="982"/>
      <c r="GC22" s="982" t="str">
        <f>MID(SUVAHAVUJ!AG108,8,1)</f>
        <v xml:space="preserve"> </v>
      </c>
      <c r="GD22" s="982"/>
      <c r="GE22" s="982"/>
      <c r="GF22" s="982"/>
      <c r="GG22" s="982"/>
      <c r="GH22" s="982" t="str">
        <f>MID(SUVAHAVUJ!AG108,9,1)</f>
        <v xml:space="preserve"> </v>
      </c>
      <c r="GI22" s="982"/>
      <c r="GJ22" s="982"/>
      <c r="GK22" s="982"/>
      <c r="GL22" s="982"/>
      <c r="GM22" s="982"/>
      <c r="GN22" s="982" t="str">
        <f>MID(SUVAHAVUJ!AG108,10,1)</f>
        <v xml:space="preserve"> </v>
      </c>
      <c r="GO22" s="982"/>
      <c r="GP22" s="982"/>
      <c r="GQ22" s="982"/>
      <c r="GR22" s="982"/>
      <c r="GS22" s="978" t="str">
        <f>MID(SUVAHAVUJ!AG108,11,1)</f>
        <v>0</v>
      </c>
      <c r="GT22" s="978"/>
      <c r="GU22" s="978"/>
      <c r="GV22" s="978"/>
      <c r="GW22" s="978"/>
    </row>
    <row r="23" spans="1:205" ht="24" customHeight="1" x14ac:dyDescent="0.25">
      <c r="A23" s="675"/>
      <c r="B23" s="985" t="s">
        <v>2166</v>
      </c>
      <c r="C23" s="985"/>
      <c r="D23" s="985"/>
      <c r="E23" s="985"/>
      <c r="F23" s="985"/>
      <c r="G23" s="985"/>
      <c r="H23" s="985"/>
      <c r="I23" s="985"/>
      <c r="J23" s="985"/>
      <c r="K23" s="985"/>
      <c r="L23" s="1005" t="str">
        <f>SUVAHAVUJ!$D$109</f>
        <v>Čistá hodnota zákazky (316A)</v>
      </c>
      <c r="M23" s="1005"/>
      <c r="N23" s="1005"/>
      <c r="O23" s="1005"/>
      <c r="P23" s="1005"/>
      <c r="Q23" s="1005"/>
      <c r="R23" s="1005"/>
      <c r="S23" s="1005"/>
      <c r="T23" s="1005"/>
      <c r="U23" s="1005"/>
      <c r="V23" s="1005"/>
      <c r="W23" s="1005"/>
      <c r="X23" s="1005"/>
      <c r="Y23" s="1005"/>
      <c r="Z23" s="1005"/>
      <c r="AA23" s="1005"/>
      <c r="AB23" s="1005"/>
      <c r="AC23" s="1005"/>
      <c r="AD23" s="1005"/>
      <c r="AE23" s="1005"/>
      <c r="AF23" s="1005"/>
      <c r="AG23" s="1005"/>
      <c r="AH23" s="1005"/>
      <c r="AI23" s="1005"/>
      <c r="AJ23" s="1005"/>
      <c r="AK23" s="1005"/>
      <c r="AL23" s="1005"/>
      <c r="AM23" s="1005"/>
      <c r="AN23" s="1005"/>
      <c r="AO23" s="1005"/>
      <c r="AP23" s="1005"/>
      <c r="AQ23" s="1005"/>
      <c r="AR23" s="1005"/>
      <c r="AS23" s="1005"/>
      <c r="AT23" s="1005"/>
      <c r="AU23" s="1005"/>
      <c r="AV23" s="1005"/>
      <c r="AW23" s="1005"/>
      <c r="AX23" s="1005"/>
      <c r="AY23" s="1005"/>
      <c r="AZ23" s="1005"/>
      <c r="BA23" s="1005"/>
      <c r="BB23" s="1005"/>
      <c r="BC23" s="1005"/>
      <c r="BD23" s="1005"/>
      <c r="BE23" s="1005"/>
      <c r="BF23" s="1005"/>
      <c r="BG23" s="1005"/>
      <c r="BH23" s="1005"/>
      <c r="BI23" s="1005"/>
      <c r="BJ23" s="1005"/>
      <c r="BK23" s="1005"/>
      <c r="BL23" s="1005"/>
      <c r="BM23" s="1005"/>
      <c r="BN23" s="1005"/>
      <c r="BO23" s="1005"/>
      <c r="BP23" s="1005"/>
      <c r="BQ23" s="1005"/>
      <c r="BR23" s="1005"/>
      <c r="BS23" s="1005"/>
      <c r="BT23" s="1005"/>
      <c r="BU23" s="1005"/>
      <c r="BV23" s="1005"/>
      <c r="BW23" s="975" t="s">
        <v>1263</v>
      </c>
      <c r="BX23" s="975"/>
      <c r="BY23" s="975"/>
      <c r="BZ23" s="975"/>
      <c r="CA23" s="975"/>
      <c r="CB23" s="975"/>
      <c r="CC23" s="975"/>
      <c r="CD23" s="975"/>
      <c r="CE23" s="976" t="str">
        <f>MID(SUVAHAVUJ!AF109,1,1)</f>
        <v xml:space="preserve"> </v>
      </c>
      <c r="CF23" s="976"/>
      <c r="CG23" s="976"/>
      <c r="CH23" s="976"/>
      <c r="CI23" s="976"/>
      <c r="CJ23" s="976" t="str">
        <f>MID(SUVAHAVUJ!AF109,2,1)</f>
        <v xml:space="preserve"> </v>
      </c>
      <c r="CK23" s="976"/>
      <c r="CL23" s="976"/>
      <c r="CM23" s="976"/>
      <c r="CN23" s="976"/>
      <c r="CO23" s="976"/>
      <c r="CP23" s="976" t="str">
        <f>MID(SUVAHAVUJ!AF109,3,1)</f>
        <v xml:space="preserve"> </v>
      </c>
      <c r="CQ23" s="976"/>
      <c r="CR23" s="976"/>
      <c r="CS23" s="976"/>
      <c r="CT23" s="976"/>
      <c r="CU23" s="976" t="str">
        <f>MID(SUVAHAVUJ!AF109,4,1)</f>
        <v xml:space="preserve"> </v>
      </c>
      <c r="CV23" s="976"/>
      <c r="CW23" s="976"/>
      <c r="CX23" s="976"/>
      <c r="CY23" s="976"/>
      <c r="CZ23" s="976"/>
      <c r="DA23" s="976" t="str">
        <f>MID(SUVAHAVUJ!AF109,5,1)</f>
        <v xml:space="preserve"> </v>
      </c>
      <c r="DB23" s="976"/>
      <c r="DC23" s="976"/>
      <c r="DD23" s="976"/>
      <c r="DE23" s="976"/>
      <c r="DF23" s="976" t="str">
        <f>MID(SUVAHAVUJ!AF109,6,1)</f>
        <v xml:space="preserve"> </v>
      </c>
      <c r="DG23" s="976"/>
      <c r="DH23" s="976"/>
      <c r="DI23" s="976"/>
      <c r="DJ23" s="976"/>
      <c r="DK23" s="976"/>
      <c r="DL23" s="976" t="str">
        <f>MID(SUVAHAVUJ!AF109,7,1)</f>
        <v xml:space="preserve"> </v>
      </c>
      <c r="DM23" s="976"/>
      <c r="DN23" s="976"/>
      <c r="DO23" s="976"/>
      <c r="DP23" s="976"/>
      <c r="DQ23" s="976"/>
      <c r="DR23" s="976" t="str">
        <f>MID(SUVAHAVUJ!AF109,8,1)</f>
        <v xml:space="preserve"> </v>
      </c>
      <c r="DS23" s="976"/>
      <c r="DT23" s="976"/>
      <c r="DU23" s="976"/>
      <c r="DV23" s="976"/>
      <c r="DW23" s="982" t="str">
        <f>MID(SUVAHAVUJ!AF109,9,1)</f>
        <v xml:space="preserve"> </v>
      </c>
      <c r="DX23" s="982"/>
      <c r="DY23" s="982"/>
      <c r="DZ23" s="982"/>
      <c r="EA23" s="982"/>
      <c r="EB23" s="982"/>
      <c r="EC23" s="982" t="str">
        <f>MID(SUVAHAVUJ!AF109,10,1)</f>
        <v xml:space="preserve"> </v>
      </c>
      <c r="ED23" s="982"/>
      <c r="EE23" s="982"/>
      <c r="EF23" s="982"/>
      <c r="EG23" s="982"/>
      <c r="EH23" s="977" t="str">
        <f>MID(SUVAHAVUJ!AF109,11,1)</f>
        <v>0</v>
      </c>
      <c r="EI23" s="977"/>
      <c r="EJ23" s="977"/>
      <c r="EK23" s="977"/>
      <c r="EL23" s="977"/>
      <c r="EM23" s="977"/>
      <c r="EN23" s="665"/>
      <c r="EO23" s="666"/>
      <c r="EP23" s="976" t="str">
        <f>MID(SUVAHAVUJ!AG109,1,1)</f>
        <v xml:space="preserve"> </v>
      </c>
      <c r="EQ23" s="976"/>
      <c r="ER23" s="976"/>
      <c r="ES23" s="976"/>
      <c r="ET23" s="976"/>
      <c r="EU23" s="976"/>
      <c r="EV23" s="976" t="str">
        <f>MID(SUVAHAVUJ!AG109,2,1)</f>
        <v xml:space="preserve"> </v>
      </c>
      <c r="EW23" s="976"/>
      <c r="EX23" s="976"/>
      <c r="EY23" s="976"/>
      <c r="EZ23" s="976"/>
      <c r="FA23" s="976" t="str">
        <f>MID(SUVAHAVUJ!AG109,3,1)</f>
        <v xml:space="preserve"> </v>
      </c>
      <c r="FB23" s="976"/>
      <c r="FC23" s="976"/>
      <c r="FD23" s="976"/>
      <c r="FE23" s="976"/>
      <c r="FF23" s="976"/>
      <c r="FG23" s="976" t="str">
        <f>MID(SUVAHAVUJ!AG109,4,1)</f>
        <v xml:space="preserve"> </v>
      </c>
      <c r="FH23" s="976"/>
      <c r="FI23" s="976"/>
      <c r="FJ23" s="976"/>
      <c r="FK23" s="976"/>
      <c r="FL23" s="982" t="str">
        <f>MID(SUVAHAVUJ!AG109,5,1)</f>
        <v xml:space="preserve"> </v>
      </c>
      <c r="FM23" s="982"/>
      <c r="FN23" s="982"/>
      <c r="FO23" s="982"/>
      <c r="FP23" s="982"/>
      <c r="FQ23" s="982"/>
      <c r="FR23" s="982" t="str">
        <f>MID(SUVAHAVUJ!AG109,6,1)</f>
        <v xml:space="preserve"> </v>
      </c>
      <c r="FS23" s="982"/>
      <c r="FT23" s="982"/>
      <c r="FU23" s="982"/>
      <c r="FV23" s="982"/>
      <c r="FW23" s="982" t="str">
        <f>MID(SUVAHAVUJ!AG109,7,1)</f>
        <v xml:space="preserve"> </v>
      </c>
      <c r="FX23" s="982"/>
      <c r="FY23" s="982"/>
      <c r="FZ23" s="982"/>
      <c r="GA23" s="982"/>
      <c r="GB23" s="982"/>
      <c r="GC23" s="982" t="str">
        <f>MID(SUVAHAVUJ!AG109,8,1)</f>
        <v xml:space="preserve"> </v>
      </c>
      <c r="GD23" s="982"/>
      <c r="GE23" s="982"/>
      <c r="GF23" s="982"/>
      <c r="GG23" s="982"/>
      <c r="GH23" s="982" t="str">
        <f>MID(SUVAHAVUJ!AG109,9,1)</f>
        <v xml:space="preserve"> </v>
      </c>
      <c r="GI23" s="982"/>
      <c r="GJ23" s="982"/>
      <c r="GK23" s="982"/>
      <c r="GL23" s="982"/>
      <c r="GM23" s="982"/>
      <c r="GN23" s="982" t="str">
        <f>MID(SUVAHAVUJ!AG109,10,1)</f>
        <v xml:space="preserve"> </v>
      </c>
      <c r="GO23" s="982"/>
      <c r="GP23" s="982"/>
      <c r="GQ23" s="982"/>
      <c r="GR23" s="982"/>
      <c r="GS23" s="978" t="str">
        <f>MID(SUVAHAVUJ!AG109,11,1)</f>
        <v>0</v>
      </c>
      <c r="GT23" s="978"/>
      <c r="GU23" s="978"/>
      <c r="GV23" s="978"/>
      <c r="GW23" s="978"/>
    </row>
    <row r="24" spans="1:205" ht="24" customHeight="1" x14ac:dyDescent="0.25">
      <c r="A24" s="675"/>
      <c r="B24" s="985" t="s">
        <v>2167</v>
      </c>
      <c r="C24" s="985"/>
      <c r="D24" s="985"/>
      <c r="E24" s="985"/>
      <c r="F24" s="985"/>
      <c r="G24" s="985"/>
      <c r="H24" s="985"/>
      <c r="I24" s="985"/>
      <c r="J24" s="985"/>
      <c r="K24" s="985"/>
      <c r="L24" s="1005" t="str">
        <f>SUVAHAVUJ!$D$110</f>
        <v>Ostatné záväzky voči prepojeným účtovným jednotkám (471A, 47XA)</v>
      </c>
      <c r="M24" s="1005"/>
      <c r="N24" s="1005"/>
      <c r="O24" s="1005"/>
      <c r="P24" s="1005"/>
      <c r="Q24" s="1005"/>
      <c r="R24" s="1005"/>
      <c r="S24" s="1005"/>
      <c r="T24" s="1005"/>
      <c r="U24" s="1005"/>
      <c r="V24" s="1005"/>
      <c r="W24" s="1005"/>
      <c r="X24" s="1005"/>
      <c r="Y24" s="1005"/>
      <c r="Z24" s="1005"/>
      <c r="AA24" s="1005"/>
      <c r="AB24" s="1005"/>
      <c r="AC24" s="1005"/>
      <c r="AD24" s="1005"/>
      <c r="AE24" s="1005"/>
      <c r="AF24" s="1005"/>
      <c r="AG24" s="1005"/>
      <c r="AH24" s="1005"/>
      <c r="AI24" s="1005"/>
      <c r="AJ24" s="1005"/>
      <c r="AK24" s="1005"/>
      <c r="AL24" s="1005"/>
      <c r="AM24" s="1005"/>
      <c r="AN24" s="1005"/>
      <c r="AO24" s="1005"/>
      <c r="AP24" s="1005"/>
      <c r="AQ24" s="1005"/>
      <c r="AR24" s="1005"/>
      <c r="AS24" s="1005"/>
      <c r="AT24" s="1005"/>
      <c r="AU24" s="1005"/>
      <c r="AV24" s="1005"/>
      <c r="AW24" s="1005"/>
      <c r="AX24" s="1005"/>
      <c r="AY24" s="1005"/>
      <c r="AZ24" s="1005"/>
      <c r="BA24" s="1005"/>
      <c r="BB24" s="1005"/>
      <c r="BC24" s="1005"/>
      <c r="BD24" s="1005"/>
      <c r="BE24" s="1005"/>
      <c r="BF24" s="1005"/>
      <c r="BG24" s="1005"/>
      <c r="BH24" s="1005"/>
      <c r="BI24" s="1005"/>
      <c r="BJ24" s="1005"/>
      <c r="BK24" s="1005"/>
      <c r="BL24" s="1005"/>
      <c r="BM24" s="1005"/>
      <c r="BN24" s="1005"/>
      <c r="BO24" s="1005"/>
      <c r="BP24" s="1005"/>
      <c r="BQ24" s="1005"/>
      <c r="BR24" s="1005"/>
      <c r="BS24" s="1005"/>
      <c r="BT24" s="1005"/>
      <c r="BU24" s="1005"/>
      <c r="BV24" s="1005"/>
      <c r="BW24" s="975" t="s">
        <v>2262</v>
      </c>
      <c r="BX24" s="975"/>
      <c r="BY24" s="975"/>
      <c r="BZ24" s="975"/>
      <c r="CA24" s="975"/>
      <c r="CB24" s="975"/>
      <c r="CC24" s="975"/>
      <c r="CD24" s="975"/>
      <c r="CE24" s="976" t="str">
        <f>MID(SUVAHAVUJ!AF110,1,1)</f>
        <v xml:space="preserve"> </v>
      </c>
      <c r="CF24" s="976"/>
      <c r="CG24" s="976"/>
      <c r="CH24" s="976"/>
      <c r="CI24" s="976"/>
      <c r="CJ24" s="976" t="str">
        <f>MID(SUVAHAVUJ!AF110,2,1)</f>
        <v xml:space="preserve"> </v>
      </c>
      <c r="CK24" s="976"/>
      <c r="CL24" s="976"/>
      <c r="CM24" s="976"/>
      <c r="CN24" s="976"/>
      <c r="CO24" s="976"/>
      <c r="CP24" s="976" t="str">
        <f>MID(SUVAHAVUJ!AF110,3,1)</f>
        <v xml:space="preserve"> </v>
      </c>
      <c r="CQ24" s="976"/>
      <c r="CR24" s="976"/>
      <c r="CS24" s="976"/>
      <c r="CT24" s="976"/>
      <c r="CU24" s="976" t="str">
        <f>MID(SUVAHAVUJ!AF110,4,1)</f>
        <v xml:space="preserve"> </v>
      </c>
      <c r="CV24" s="976"/>
      <c r="CW24" s="976"/>
      <c r="CX24" s="976"/>
      <c r="CY24" s="976"/>
      <c r="CZ24" s="976"/>
      <c r="DA24" s="976" t="str">
        <f>MID(SUVAHAVUJ!AF110,5,1)</f>
        <v xml:space="preserve"> </v>
      </c>
      <c r="DB24" s="976"/>
      <c r="DC24" s="976"/>
      <c r="DD24" s="976"/>
      <c r="DE24" s="976"/>
      <c r="DF24" s="976" t="str">
        <f>MID(SUVAHAVUJ!AF110,6,1)</f>
        <v xml:space="preserve"> </v>
      </c>
      <c r="DG24" s="976"/>
      <c r="DH24" s="976"/>
      <c r="DI24" s="976"/>
      <c r="DJ24" s="976"/>
      <c r="DK24" s="976"/>
      <c r="DL24" s="976" t="str">
        <f>MID(SUVAHAVUJ!AF110,7,1)</f>
        <v xml:space="preserve"> </v>
      </c>
      <c r="DM24" s="976"/>
      <c r="DN24" s="976"/>
      <c r="DO24" s="976"/>
      <c r="DP24" s="976"/>
      <c r="DQ24" s="976"/>
      <c r="DR24" s="976" t="str">
        <f>MID(SUVAHAVUJ!AF110,8,1)</f>
        <v xml:space="preserve"> </v>
      </c>
      <c r="DS24" s="976"/>
      <c r="DT24" s="976"/>
      <c r="DU24" s="976"/>
      <c r="DV24" s="976"/>
      <c r="DW24" s="982" t="str">
        <f>MID(SUVAHAVUJ!AF110,9,1)</f>
        <v xml:space="preserve"> </v>
      </c>
      <c r="DX24" s="982"/>
      <c r="DY24" s="982"/>
      <c r="DZ24" s="982"/>
      <c r="EA24" s="982"/>
      <c r="EB24" s="982"/>
      <c r="EC24" s="982" t="str">
        <f>MID(SUVAHAVUJ!AF110,10,1)</f>
        <v xml:space="preserve"> </v>
      </c>
      <c r="ED24" s="982"/>
      <c r="EE24" s="982"/>
      <c r="EF24" s="982"/>
      <c r="EG24" s="982"/>
      <c r="EH24" s="977" t="str">
        <f>MID(SUVAHAVUJ!AF110,11,1)</f>
        <v>0</v>
      </c>
      <c r="EI24" s="977"/>
      <c r="EJ24" s="977"/>
      <c r="EK24" s="977"/>
      <c r="EL24" s="977"/>
      <c r="EM24" s="977"/>
      <c r="EN24" s="665"/>
      <c r="EO24" s="666"/>
      <c r="EP24" s="976" t="str">
        <f>MID(SUVAHAVUJ!AG110,1,1)</f>
        <v xml:space="preserve"> </v>
      </c>
      <c r="EQ24" s="976"/>
      <c r="ER24" s="976"/>
      <c r="ES24" s="976"/>
      <c r="ET24" s="976"/>
      <c r="EU24" s="976"/>
      <c r="EV24" s="976" t="str">
        <f>MID(SUVAHAVUJ!AG110,2,1)</f>
        <v xml:space="preserve"> </v>
      </c>
      <c r="EW24" s="976"/>
      <c r="EX24" s="976"/>
      <c r="EY24" s="976"/>
      <c r="EZ24" s="976"/>
      <c r="FA24" s="976" t="str">
        <f>MID(SUVAHAVUJ!AG110,3,1)</f>
        <v xml:space="preserve"> </v>
      </c>
      <c r="FB24" s="976"/>
      <c r="FC24" s="976"/>
      <c r="FD24" s="976"/>
      <c r="FE24" s="976"/>
      <c r="FF24" s="976"/>
      <c r="FG24" s="976" t="str">
        <f>MID(SUVAHAVUJ!AG110,4,1)</f>
        <v xml:space="preserve"> </v>
      </c>
      <c r="FH24" s="976"/>
      <c r="FI24" s="976"/>
      <c r="FJ24" s="976"/>
      <c r="FK24" s="976"/>
      <c r="FL24" s="982" t="str">
        <f>MID(SUVAHAVUJ!AG110,5,1)</f>
        <v xml:space="preserve"> </v>
      </c>
      <c r="FM24" s="982"/>
      <c r="FN24" s="982"/>
      <c r="FO24" s="982"/>
      <c r="FP24" s="982"/>
      <c r="FQ24" s="982"/>
      <c r="FR24" s="982" t="str">
        <f>MID(SUVAHAVUJ!AG110,6,1)</f>
        <v xml:space="preserve"> </v>
      </c>
      <c r="FS24" s="982"/>
      <c r="FT24" s="982"/>
      <c r="FU24" s="982"/>
      <c r="FV24" s="982"/>
      <c r="FW24" s="982" t="str">
        <f>MID(SUVAHAVUJ!AG110,7,1)</f>
        <v xml:space="preserve"> </v>
      </c>
      <c r="FX24" s="982"/>
      <c r="FY24" s="982"/>
      <c r="FZ24" s="982"/>
      <c r="GA24" s="982"/>
      <c r="GB24" s="982"/>
      <c r="GC24" s="982" t="str">
        <f>MID(SUVAHAVUJ!AG110,8,1)</f>
        <v xml:space="preserve"> </v>
      </c>
      <c r="GD24" s="982"/>
      <c r="GE24" s="982"/>
      <c r="GF24" s="982"/>
      <c r="GG24" s="982"/>
      <c r="GH24" s="982" t="str">
        <f>MID(SUVAHAVUJ!AG110,9,1)</f>
        <v xml:space="preserve"> </v>
      </c>
      <c r="GI24" s="982"/>
      <c r="GJ24" s="982"/>
      <c r="GK24" s="982"/>
      <c r="GL24" s="982"/>
      <c r="GM24" s="982"/>
      <c r="GN24" s="982" t="str">
        <f>MID(SUVAHAVUJ!AG110,10,1)</f>
        <v xml:space="preserve"> </v>
      </c>
      <c r="GO24" s="982"/>
      <c r="GP24" s="982"/>
      <c r="GQ24" s="982"/>
      <c r="GR24" s="982"/>
      <c r="GS24" s="978" t="str">
        <f>MID(SUVAHAVUJ!AG110,11,1)</f>
        <v>0</v>
      </c>
      <c r="GT24" s="978"/>
      <c r="GU24" s="978"/>
      <c r="GV24" s="978"/>
      <c r="GW24" s="978"/>
    </row>
    <row r="25" spans="1:205" ht="24" customHeight="1" x14ac:dyDescent="0.25">
      <c r="A25" s="675"/>
      <c r="B25" s="985" t="s">
        <v>2168</v>
      </c>
      <c r="C25" s="985"/>
      <c r="D25" s="985"/>
      <c r="E25" s="985"/>
      <c r="F25" s="985"/>
      <c r="G25" s="985"/>
      <c r="H25" s="985"/>
      <c r="I25" s="985"/>
      <c r="J25" s="985"/>
      <c r="K25" s="985"/>
      <c r="L25" s="1005" t="str">
        <f>SUVAHAVUJ!$D$111</f>
        <v>Ostatné záväzky v rámci podielovej účasti okrem záväzkov voči prepojeným účtovným jednotkám (471A, 47XA)</v>
      </c>
      <c r="M25" s="1005"/>
      <c r="N25" s="1005"/>
      <c r="O25" s="1005"/>
      <c r="P25" s="1005"/>
      <c r="Q25" s="1005"/>
      <c r="R25" s="1005"/>
      <c r="S25" s="1005"/>
      <c r="T25" s="1005"/>
      <c r="U25" s="1005"/>
      <c r="V25" s="1005"/>
      <c r="W25" s="1005"/>
      <c r="X25" s="1005"/>
      <c r="Y25" s="1005"/>
      <c r="Z25" s="1005"/>
      <c r="AA25" s="1005"/>
      <c r="AB25" s="1005"/>
      <c r="AC25" s="1005"/>
      <c r="AD25" s="1005"/>
      <c r="AE25" s="1005"/>
      <c r="AF25" s="1005"/>
      <c r="AG25" s="1005"/>
      <c r="AH25" s="1005"/>
      <c r="AI25" s="1005"/>
      <c r="AJ25" s="1005"/>
      <c r="AK25" s="1005"/>
      <c r="AL25" s="1005"/>
      <c r="AM25" s="1005"/>
      <c r="AN25" s="1005"/>
      <c r="AO25" s="1005"/>
      <c r="AP25" s="1005"/>
      <c r="AQ25" s="1005"/>
      <c r="AR25" s="1005"/>
      <c r="AS25" s="1005"/>
      <c r="AT25" s="1005"/>
      <c r="AU25" s="1005"/>
      <c r="AV25" s="1005"/>
      <c r="AW25" s="1005"/>
      <c r="AX25" s="1005"/>
      <c r="AY25" s="1005"/>
      <c r="AZ25" s="1005"/>
      <c r="BA25" s="1005"/>
      <c r="BB25" s="1005"/>
      <c r="BC25" s="1005"/>
      <c r="BD25" s="1005"/>
      <c r="BE25" s="1005"/>
      <c r="BF25" s="1005"/>
      <c r="BG25" s="1005"/>
      <c r="BH25" s="1005"/>
      <c r="BI25" s="1005"/>
      <c r="BJ25" s="1005"/>
      <c r="BK25" s="1005"/>
      <c r="BL25" s="1005"/>
      <c r="BM25" s="1005"/>
      <c r="BN25" s="1005"/>
      <c r="BO25" s="1005"/>
      <c r="BP25" s="1005"/>
      <c r="BQ25" s="1005"/>
      <c r="BR25" s="1005"/>
      <c r="BS25" s="1005"/>
      <c r="BT25" s="1005"/>
      <c r="BU25" s="1005"/>
      <c r="BV25" s="1005"/>
      <c r="BW25" s="975" t="s">
        <v>2263</v>
      </c>
      <c r="BX25" s="975"/>
      <c r="BY25" s="975"/>
      <c r="BZ25" s="975"/>
      <c r="CA25" s="975"/>
      <c r="CB25" s="975"/>
      <c r="CC25" s="975"/>
      <c r="CD25" s="975"/>
      <c r="CE25" s="976" t="str">
        <f>MID(SUVAHAVUJ!AF111,1,1)</f>
        <v xml:space="preserve"> </v>
      </c>
      <c r="CF25" s="976"/>
      <c r="CG25" s="976"/>
      <c r="CH25" s="976"/>
      <c r="CI25" s="976"/>
      <c r="CJ25" s="976" t="str">
        <f>MID(SUVAHAVUJ!AF111,2,1)</f>
        <v xml:space="preserve"> </v>
      </c>
      <c r="CK25" s="976"/>
      <c r="CL25" s="976"/>
      <c r="CM25" s="976"/>
      <c r="CN25" s="976"/>
      <c r="CO25" s="976"/>
      <c r="CP25" s="976" t="str">
        <f>MID(SUVAHAVUJ!AF111,3,1)</f>
        <v xml:space="preserve"> </v>
      </c>
      <c r="CQ25" s="976"/>
      <c r="CR25" s="976"/>
      <c r="CS25" s="976"/>
      <c r="CT25" s="976"/>
      <c r="CU25" s="976" t="str">
        <f>MID(SUVAHAVUJ!AF111,4,1)</f>
        <v xml:space="preserve"> </v>
      </c>
      <c r="CV25" s="976"/>
      <c r="CW25" s="976"/>
      <c r="CX25" s="976"/>
      <c r="CY25" s="976"/>
      <c r="CZ25" s="976"/>
      <c r="DA25" s="976" t="str">
        <f>MID(SUVAHAVUJ!AF111,5,1)</f>
        <v xml:space="preserve"> </v>
      </c>
      <c r="DB25" s="976"/>
      <c r="DC25" s="976"/>
      <c r="DD25" s="976"/>
      <c r="DE25" s="976"/>
      <c r="DF25" s="976" t="str">
        <f>MID(SUVAHAVUJ!AF111,6,1)</f>
        <v xml:space="preserve"> </v>
      </c>
      <c r="DG25" s="976"/>
      <c r="DH25" s="976"/>
      <c r="DI25" s="976"/>
      <c r="DJ25" s="976"/>
      <c r="DK25" s="976"/>
      <c r="DL25" s="976" t="str">
        <f>MID(SUVAHAVUJ!AF111,7,1)</f>
        <v xml:space="preserve"> </v>
      </c>
      <c r="DM25" s="976"/>
      <c r="DN25" s="976"/>
      <c r="DO25" s="976"/>
      <c r="DP25" s="976"/>
      <c r="DQ25" s="976"/>
      <c r="DR25" s="976" t="str">
        <f>MID(SUVAHAVUJ!AF111,8,1)</f>
        <v xml:space="preserve"> </v>
      </c>
      <c r="DS25" s="976"/>
      <c r="DT25" s="976"/>
      <c r="DU25" s="976"/>
      <c r="DV25" s="976"/>
      <c r="DW25" s="982" t="str">
        <f>MID(SUVAHAVUJ!AF111,9,1)</f>
        <v xml:space="preserve"> </v>
      </c>
      <c r="DX25" s="982"/>
      <c r="DY25" s="982"/>
      <c r="DZ25" s="982"/>
      <c r="EA25" s="982"/>
      <c r="EB25" s="982"/>
      <c r="EC25" s="982" t="str">
        <f>MID(SUVAHAVUJ!AF111,10,1)</f>
        <v xml:space="preserve"> </v>
      </c>
      <c r="ED25" s="982"/>
      <c r="EE25" s="982"/>
      <c r="EF25" s="982"/>
      <c r="EG25" s="982"/>
      <c r="EH25" s="977" t="str">
        <f>MID(SUVAHAVUJ!AF111,11,1)</f>
        <v>0</v>
      </c>
      <c r="EI25" s="977"/>
      <c r="EJ25" s="977"/>
      <c r="EK25" s="977"/>
      <c r="EL25" s="977"/>
      <c r="EM25" s="977"/>
      <c r="EN25" s="665"/>
      <c r="EO25" s="666"/>
      <c r="EP25" s="976" t="str">
        <f>MID(SUVAHAVUJ!AG111,1,1)</f>
        <v xml:space="preserve"> </v>
      </c>
      <c r="EQ25" s="976"/>
      <c r="ER25" s="976"/>
      <c r="ES25" s="976"/>
      <c r="ET25" s="976"/>
      <c r="EU25" s="976"/>
      <c r="EV25" s="976" t="str">
        <f>MID(SUVAHAVUJ!AG111,2,1)</f>
        <v xml:space="preserve"> </v>
      </c>
      <c r="EW25" s="976"/>
      <c r="EX25" s="976"/>
      <c r="EY25" s="976"/>
      <c r="EZ25" s="976"/>
      <c r="FA25" s="976" t="str">
        <f>MID(SUVAHAVUJ!AG111,3,1)</f>
        <v xml:space="preserve"> </v>
      </c>
      <c r="FB25" s="976"/>
      <c r="FC25" s="976"/>
      <c r="FD25" s="976"/>
      <c r="FE25" s="976"/>
      <c r="FF25" s="976"/>
      <c r="FG25" s="976" t="str">
        <f>MID(SUVAHAVUJ!AG111,4,1)</f>
        <v xml:space="preserve"> </v>
      </c>
      <c r="FH25" s="976"/>
      <c r="FI25" s="976"/>
      <c r="FJ25" s="976"/>
      <c r="FK25" s="976"/>
      <c r="FL25" s="982" t="str">
        <f>MID(SUVAHAVUJ!AG111,5,1)</f>
        <v xml:space="preserve"> </v>
      </c>
      <c r="FM25" s="982"/>
      <c r="FN25" s="982"/>
      <c r="FO25" s="982"/>
      <c r="FP25" s="982"/>
      <c r="FQ25" s="982"/>
      <c r="FR25" s="982" t="str">
        <f>MID(SUVAHAVUJ!AG111,6,1)</f>
        <v xml:space="preserve"> </v>
      </c>
      <c r="FS25" s="982"/>
      <c r="FT25" s="982"/>
      <c r="FU25" s="982"/>
      <c r="FV25" s="982"/>
      <c r="FW25" s="982" t="str">
        <f>MID(SUVAHAVUJ!AG111,7,1)</f>
        <v xml:space="preserve"> </v>
      </c>
      <c r="FX25" s="982"/>
      <c r="FY25" s="982"/>
      <c r="FZ25" s="982"/>
      <c r="GA25" s="982"/>
      <c r="GB25" s="982"/>
      <c r="GC25" s="982" t="str">
        <f>MID(SUVAHAVUJ!AG111,8,1)</f>
        <v xml:space="preserve"> </v>
      </c>
      <c r="GD25" s="982"/>
      <c r="GE25" s="982"/>
      <c r="GF25" s="982"/>
      <c r="GG25" s="982"/>
      <c r="GH25" s="982" t="str">
        <f>MID(SUVAHAVUJ!AG111,9,1)</f>
        <v xml:space="preserve"> </v>
      </c>
      <c r="GI25" s="982"/>
      <c r="GJ25" s="982"/>
      <c r="GK25" s="982"/>
      <c r="GL25" s="982"/>
      <c r="GM25" s="982"/>
      <c r="GN25" s="982" t="str">
        <f>MID(SUVAHAVUJ!AG111,10,1)</f>
        <v xml:space="preserve"> </v>
      </c>
      <c r="GO25" s="982"/>
      <c r="GP25" s="982"/>
      <c r="GQ25" s="982"/>
      <c r="GR25" s="982"/>
      <c r="GS25" s="978" t="str">
        <f>MID(SUVAHAVUJ!AG111,11,1)</f>
        <v>0</v>
      </c>
      <c r="GT25" s="978"/>
      <c r="GU25" s="978"/>
      <c r="GV25" s="978"/>
      <c r="GW25" s="978"/>
    </row>
    <row r="26" spans="1:205" ht="24" customHeight="1" x14ac:dyDescent="0.25">
      <c r="A26" s="675"/>
      <c r="B26" s="985" t="s">
        <v>2169</v>
      </c>
      <c r="C26" s="985"/>
      <c r="D26" s="985"/>
      <c r="E26" s="985"/>
      <c r="F26" s="985"/>
      <c r="G26" s="985"/>
      <c r="H26" s="985"/>
      <c r="I26" s="985"/>
      <c r="J26" s="985"/>
      <c r="K26" s="985"/>
      <c r="L26" s="1005" t="str">
        <f>SUVAHAVUJ!$D$112</f>
        <v>Ostatné dlhodobé záväzky (479A, 47XA)</v>
      </c>
      <c r="M26" s="1005"/>
      <c r="N26" s="1005"/>
      <c r="O26" s="1005"/>
      <c r="P26" s="1005"/>
      <c r="Q26" s="1005"/>
      <c r="R26" s="1005"/>
      <c r="S26" s="1005"/>
      <c r="T26" s="1005"/>
      <c r="U26" s="1005"/>
      <c r="V26" s="1005"/>
      <c r="W26" s="1005"/>
      <c r="X26" s="1005"/>
      <c r="Y26" s="1005"/>
      <c r="Z26" s="1005"/>
      <c r="AA26" s="1005"/>
      <c r="AB26" s="1005"/>
      <c r="AC26" s="1005"/>
      <c r="AD26" s="1005"/>
      <c r="AE26" s="1005"/>
      <c r="AF26" s="1005"/>
      <c r="AG26" s="1005"/>
      <c r="AH26" s="1005"/>
      <c r="AI26" s="1005"/>
      <c r="AJ26" s="1005"/>
      <c r="AK26" s="1005"/>
      <c r="AL26" s="1005"/>
      <c r="AM26" s="1005"/>
      <c r="AN26" s="1005"/>
      <c r="AO26" s="1005"/>
      <c r="AP26" s="1005"/>
      <c r="AQ26" s="1005"/>
      <c r="AR26" s="1005"/>
      <c r="AS26" s="1005"/>
      <c r="AT26" s="1005"/>
      <c r="AU26" s="1005"/>
      <c r="AV26" s="1005"/>
      <c r="AW26" s="1005"/>
      <c r="AX26" s="1005"/>
      <c r="AY26" s="1005"/>
      <c r="AZ26" s="1005"/>
      <c r="BA26" s="1005"/>
      <c r="BB26" s="1005"/>
      <c r="BC26" s="1005"/>
      <c r="BD26" s="1005"/>
      <c r="BE26" s="1005"/>
      <c r="BF26" s="1005"/>
      <c r="BG26" s="1005"/>
      <c r="BH26" s="1005"/>
      <c r="BI26" s="1005"/>
      <c r="BJ26" s="1005"/>
      <c r="BK26" s="1005"/>
      <c r="BL26" s="1005"/>
      <c r="BM26" s="1005"/>
      <c r="BN26" s="1005"/>
      <c r="BO26" s="1005"/>
      <c r="BP26" s="1005"/>
      <c r="BQ26" s="1005"/>
      <c r="BR26" s="1005"/>
      <c r="BS26" s="1005"/>
      <c r="BT26" s="1005"/>
      <c r="BU26" s="1005"/>
      <c r="BV26" s="1005"/>
      <c r="BW26" s="975" t="s">
        <v>342</v>
      </c>
      <c r="BX26" s="975"/>
      <c r="BY26" s="975"/>
      <c r="BZ26" s="975"/>
      <c r="CA26" s="975"/>
      <c r="CB26" s="975"/>
      <c r="CC26" s="975"/>
      <c r="CD26" s="975"/>
      <c r="CE26" s="976" t="str">
        <f>MID(SUVAHAVUJ!AF112,1,1)</f>
        <v xml:space="preserve"> </v>
      </c>
      <c r="CF26" s="976"/>
      <c r="CG26" s="976"/>
      <c r="CH26" s="976"/>
      <c r="CI26" s="976"/>
      <c r="CJ26" s="976" t="str">
        <f>MID(SUVAHAVUJ!AF112,2,1)</f>
        <v xml:space="preserve"> </v>
      </c>
      <c r="CK26" s="976"/>
      <c r="CL26" s="976"/>
      <c r="CM26" s="976"/>
      <c r="CN26" s="976"/>
      <c r="CO26" s="976"/>
      <c r="CP26" s="976" t="str">
        <f>MID(SUVAHAVUJ!AF112,3,1)</f>
        <v xml:space="preserve"> </v>
      </c>
      <c r="CQ26" s="976"/>
      <c r="CR26" s="976"/>
      <c r="CS26" s="976"/>
      <c r="CT26" s="976"/>
      <c r="CU26" s="976" t="str">
        <f>MID(SUVAHAVUJ!AF112,4,1)</f>
        <v xml:space="preserve"> </v>
      </c>
      <c r="CV26" s="976"/>
      <c r="CW26" s="976"/>
      <c r="CX26" s="976"/>
      <c r="CY26" s="976"/>
      <c r="CZ26" s="976"/>
      <c r="DA26" s="976" t="str">
        <f>MID(SUVAHAVUJ!AF112,5,1)</f>
        <v xml:space="preserve"> </v>
      </c>
      <c r="DB26" s="976"/>
      <c r="DC26" s="976"/>
      <c r="DD26" s="976"/>
      <c r="DE26" s="976"/>
      <c r="DF26" s="976" t="str">
        <f>MID(SUVAHAVUJ!AF112,6,1)</f>
        <v xml:space="preserve"> </v>
      </c>
      <c r="DG26" s="976"/>
      <c r="DH26" s="976"/>
      <c r="DI26" s="976"/>
      <c r="DJ26" s="976"/>
      <c r="DK26" s="976"/>
      <c r="DL26" s="976" t="str">
        <f>MID(SUVAHAVUJ!AF112,7,1)</f>
        <v xml:space="preserve"> </v>
      </c>
      <c r="DM26" s="976"/>
      <c r="DN26" s="976"/>
      <c r="DO26" s="976"/>
      <c r="DP26" s="976"/>
      <c r="DQ26" s="976"/>
      <c r="DR26" s="976" t="str">
        <f>MID(SUVAHAVUJ!AF112,8,1)</f>
        <v xml:space="preserve"> </v>
      </c>
      <c r="DS26" s="976"/>
      <c r="DT26" s="976"/>
      <c r="DU26" s="976"/>
      <c r="DV26" s="976"/>
      <c r="DW26" s="982" t="str">
        <f>MID(SUVAHAVUJ!AF112,9,1)</f>
        <v xml:space="preserve"> </v>
      </c>
      <c r="DX26" s="982"/>
      <c r="DY26" s="982"/>
      <c r="DZ26" s="982"/>
      <c r="EA26" s="982"/>
      <c r="EB26" s="982"/>
      <c r="EC26" s="982" t="str">
        <f>MID(SUVAHAVUJ!AF112,10,1)</f>
        <v xml:space="preserve"> </v>
      </c>
      <c r="ED26" s="982"/>
      <c r="EE26" s="982"/>
      <c r="EF26" s="982"/>
      <c r="EG26" s="982"/>
      <c r="EH26" s="977" t="str">
        <f>MID(SUVAHAVUJ!AF112,11,1)</f>
        <v>0</v>
      </c>
      <c r="EI26" s="977"/>
      <c r="EJ26" s="977"/>
      <c r="EK26" s="977"/>
      <c r="EL26" s="977"/>
      <c r="EM26" s="977"/>
      <c r="EN26" s="665"/>
      <c r="EO26" s="666"/>
      <c r="EP26" s="976" t="str">
        <f>MID(SUVAHAVUJ!AG112,1,1)</f>
        <v xml:space="preserve"> </v>
      </c>
      <c r="EQ26" s="976"/>
      <c r="ER26" s="976"/>
      <c r="ES26" s="976"/>
      <c r="ET26" s="976"/>
      <c r="EU26" s="976"/>
      <c r="EV26" s="976" t="str">
        <f>MID(SUVAHAVUJ!AG112,2,1)</f>
        <v xml:space="preserve"> </v>
      </c>
      <c r="EW26" s="976"/>
      <c r="EX26" s="976"/>
      <c r="EY26" s="976"/>
      <c r="EZ26" s="976"/>
      <c r="FA26" s="976" t="str">
        <f>MID(SUVAHAVUJ!AG112,3,1)</f>
        <v xml:space="preserve"> </v>
      </c>
      <c r="FB26" s="976"/>
      <c r="FC26" s="976"/>
      <c r="FD26" s="976"/>
      <c r="FE26" s="976"/>
      <c r="FF26" s="976"/>
      <c r="FG26" s="976" t="str">
        <f>MID(SUVAHAVUJ!AG112,4,1)</f>
        <v xml:space="preserve"> </v>
      </c>
      <c r="FH26" s="976"/>
      <c r="FI26" s="976"/>
      <c r="FJ26" s="976"/>
      <c r="FK26" s="976"/>
      <c r="FL26" s="982" t="str">
        <f>MID(SUVAHAVUJ!AG112,5,1)</f>
        <v xml:space="preserve"> </v>
      </c>
      <c r="FM26" s="982"/>
      <c r="FN26" s="982"/>
      <c r="FO26" s="982"/>
      <c r="FP26" s="982"/>
      <c r="FQ26" s="982"/>
      <c r="FR26" s="982" t="str">
        <f>MID(SUVAHAVUJ!AG112,6,1)</f>
        <v xml:space="preserve"> </v>
      </c>
      <c r="FS26" s="982"/>
      <c r="FT26" s="982"/>
      <c r="FU26" s="982"/>
      <c r="FV26" s="982"/>
      <c r="FW26" s="982" t="str">
        <f>MID(SUVAHAVUJ!AG112,7,1)</f>
        <v xml:space="preserve"> </v>
      </c>
      <c r="FX26" s="982"/>
      <c r="FY26" s="982"/>
      <c r="FZ26" s="982"/>
      <c r="GA26" s="982"/>
      <c r="GB26" s="982"/>
      <c r="GC26" s="982" t="str">
        <f>MID(SUVAHAVUJ!AG112,8,1)</f>
        <v xml:space="preserve"> </v>
      </c>
      <c r="GD26" s="982"/>
      <c r="GE26" s="982"/>
      <c r="GF26" s="982"/>
      <c r="GG26" s="982"/>
      <c r="GH26" s="982" t="str">
        <f>MID(SUVAHAVUJ!AG112,9,1)</f>
        <v xml:space="preserve"> </v>
      </c>
      <c r="GI26" s="982"/>
      <c r="GJ26" s="982"/>
      <c r="GK26" s="982"/>
      <c r="GL26" s="982"/>
      <c r="GM26" s="982"/>
      <c r="GN26" s="982" t="str">
        <f>MID(SUVAHAVUJ!AG112,10,1)</f>
        <v xml:space="preserve"> </v>
      </c>
      <c r="GO26" s="982"/>
      <c r="GP26" s="982"/>
      <c r="GQ26" s="982"/>
      <c r="GR26" s="982"/>
      <c r="GS26" s="978" t="str">
        <f>MID(SUVAHAVUJ!AG112,11,1)</f>
        <v>0</v>
      </c>
      <c r="GT26" s="978"/>
      <c r="GU26" s="978"/>
      <c r="GV26" s="978"/>
      <c r="GW26" s="978"/>
    </row>
    <row r="27" spans="1:205" ht="24" customHeight="1" x14ac:dyDescent="0.25">
      <c r="A27" s="675"/>
      <c r="B27" s="985" t="s">
        <v>2171</v>
      </c>
      <c r="C27" s="985"/>
      <c r="D27" s="985"/>
      <c r="E27" s="985"/>
      <c r="F27" s="985"/>
      <c r="G27" s="985"/>
      <c r="H27" s="985"/>
      <c r="I27" s="985"/>
      <c r="J27" s="985"/>
      <c r="K27" s="985"/>
      <c r="L27" s="1005" t="str">
        <f>SUVAHAVUJ!$D$113</f>
        <v>Dlhodobé prijaté preddavky (475A)</v>
      </c>
      <c r="M27" s="1005"/>
      <c r="N27" s="1005"/>
      <c r="O27" s="1005"/>
      <c r="P27" s="1005"/>
      <c r="Q27" s="1005"/>
      <c r="R27" s="1005"/>
      <c r="S27" s="1005"/>
      <c r="T27" s="1005"/>
      <c r="U27" s="1005"/>
      <c r="V27" s="1005"/>
      <c r="W27" s="1005"/>
      <c r="X27" s="1005"/>
      <c r="Y27" s="1005"/>
      <c r="Z27" s="1005"/>
      <c r="AA27" s="1005"/>
      <c r="AB27" s="1005"/>
      <c r="AC27" s="1005"/>
      <c r="AD27" s="1005"/>
      <c r="AE27" s="1005"/>
      <c r="AF27" s="1005"/>
      <c r="AG27" s="1005"/>
      <c r="AH27" s="1005"/>
      <c r="AI27" s="1005"/>
      <c r="AJ27" s="1005"/>
      <c r="AK27" s="1005"/>
      <c r="AL27" s="1005"/>
      <c r="AM27" s="1005"/>
      <c r="AN27" s="1005"/>
      <c r="AO27" s="1005"/>
      <c r="AP27" s="1005"/>
      <c r="AQ27" s="1005"/>
      <c r="AR27" s="1005"/>
      <c r="AS27" s="1005"/>
      <c r="AT27" s="1005"/>
      <c r="AU27" s="1005"/>
      <c r="AV27" s="1005"/>
      <c r="AW27" s="1005"/>
      <c r="AX27" s="1005"/>
      <c r="AY27" s="1005"/>
      <c r="AZ27" s="1005"/>
      <c r="BA27" s="1005"/>
      <c r="BB27" s="1005"/>
      <c r="BC27" s="1005"/>
      <c r="BD27" s="1005"/>
      <c r="BE27" s="1005"/>
      <c r="BF27" s="1005"/>
      <c r="BG27" s="1005"/>
      <c r="BH27" s="1005"/>
      <c r="BI27" s="1005"/>
      <c r="BJ27" s="1005"/>
      <c r="BK27" s="1005"/>
      <c r="BL27" s="1005"/>
      <c r="BM27" s="1005"/>
      <c r="BN27" s="1005"/>
      <c r="BO27" s="1005"/>
      <c r="BP27" s="1005"/>
      <c r="BQ27" s="1005"/>
      <c r="BR27" s="1005"/>
      <c r="BS27" s="1005"/>
      <c r="BT27" s="1005"/>
      <c r="BU27" s="1005"/>
      <c r="BV27" s="1005"/>
      <c r="BW27" s="975" t="s">
        <v>72</v>
      </c>
      <c r="BX27" s="975"/>
      <c r="BY27" s="975"/>
      <c r="BZ27" s="975"/>
      <c r="CA27" s="975"/>
      <c r="CB27" s="975"/>
      <c r="CC27" s="975" t="e">
        <v>#NAME?</v>
      </c>
      <c r="CD27" s="975"/>
      <c r="CE27" s="976" t="str">
        <f>MID(SUVAHAVUJ!AF113,1,1)</f>
        <v xml:space="preserve"> </v>
      </c>
      <c r="CF27" s="976"/>
      <c r="CG27" s="976"/>
      <c r="CH27" s="976"/>
      <c r="CI27" s="976"/>
      <c r="CJ27" s="976" t="str">
        <f>MID(SUVAHAVUJ!AF113,2,1)</f>
        <v xml:space="preserve"> </v>
      </c>
      <c r="CK27" s="976"/>
      <c r="CL27" s="976"/>
      <c r="CM27" s="976"/>
      <c r="CN27" s="976"/>
      <c r="CO27" s="976"/>
      <c r="CP27" s="976" t="str">
        <f>MID(SUVAHAVUJ!AF113,3,1)</f>
        <v xml:space="preserve"> </v>
      </c>
      <c r="CQ27" s="976"/>
      <c r="CR27" s="976"/>
      <c r="CS27" s="976"/>
      <c r="CT27" s="976"/>
      <c r="CU27" s="976" t="str">
        <f>MID(SUVAHAVUJ!AF113,4,1)</f>
        <v xml:space="preserve"> </v>
      </c>
      <c r="CV27" s="976"/>
      <c r="CW27" s="976"/>
      <c r="CX27" s="976"/>
      <c r="CY27" s="976"/>
      <c r="CZ27" s="976"/>
      <c r="DA27" s="976" t="str">
        <f>MID(SUVAHAVUJ!AF113,5,1)</f>
        <v xml:space="preserve"> </v>
      </c>
      <c r="DB27" s="976"/>
      <c r="DC27" s="976"/>
      <c r="DD27" s="976"/>
      <c r="DE27" s="976"/>
      <c r="DF27" s="976" t="str">
        <f>MID(SUVAHAVUJ!AF113,6,1)</f>
        <v xml:space="preserve"> </v>
      </c>
      <c r="DG27" s="976"/>
      <c r="DH27" s="976"/>
      <c r="DI27" s="976"/>
      <c r="DJ27" s="976"/>
      <c r="DK27" s="976"/>
      <c r="DL27" s="976" t="str">
        <f>MID(SUVAHAVUJ!AF113,7,1)</f>
        <v xml:space="preserve"> </v>
      </c>
      <c r="DM27" s="976"/>
      <c r="DN27" s="976"/>
      <c r="DO27" s="976"/>
      <c r="DP27" s="976"/>
      <c r="DQ27" s="976"/>
      <c r="DR27" s="976" t="str">
        <f>MID(SUVAHAVUJ!AF113,8,1)</f>
        <v xml:space="preserve"> </v>
      </c>
      <c r="DS27" s="976"/>
      <c r="DT27" s="976"/>
      <c r="DU27" s="976"/>
      <c r="DV27" s="976"/>
      <c r="DW27" s="982" t="str">
        <f>MID(SUVAHAVUJ!AF113,9,1)</f>
        <v xml:space="preserve"> </v>
      </c>
      <c r="DX27" s="982"/>
      <c r="DY27" s="982"/>
      <c r="DZ27" s="982"/>
      <c r="EA27" s="982"/>
      <c r="EB27" s="982"/>
      <c r="EC27" s="982" t="str">
        <f>MID(SUVAHAVUJ!AF113,10,1)</f>
        <v xml:space="preserve"> </v>
      </c>
      <c r="ED27" s="982"/>
      <c r="EE27" s="982"/>
      <c r="EF27" s="982"/>
      <c r="EG27" s="982"/>
      <c r="EH27" s="977" t="str">
        <f>MID(SUVAHAVUJ!AF113,11,1)</f>
        <v>0</v>
      </c>
      <c r="EI27" s="977"/>
      <c r="EJ27" s="977"/>
      <c r="EK27" s="977"/>
      <c r="EL27" s="977"/>
      <c r="EM27" s="977"/>
      <c r="EN27" s="665"/>
      <c r="EO27" s="666"/>
      <c r="EP27" s="976" t="str">
        <f>MID(SUVAHAVUJ!AG113,1,1)</f>
        <v xml:space="preserve"> </v>
      </c>
      <c r="EQ27" s="976"/>
      <c r="ER27" s="976"/>
      <c r="ES27" s="976"/>
      <c r="ET27" s="976"/>
      <c r="EU27" s="976"/>
      <c r="EV27" s="976" t="str">
        <f>MID(SUVAHAVUJ!AG113,2,1)</f>
        <v xml:space="preserve"> </v>
      </c>
      <c r="EW27" s="976"/>
      <c r="EX27" s="976"/>
      <c r="EY27" s="976"/>
      <c r="EZ27" s="976"/>
      <c r="FA27" s="976" t="str">
        <f>MID(SUVAHAVUJ!AG113,3,1)</f>
        <v xml:space="preserve"> </v>
      </c>
      <c r="FB27" s="976"/>
      <c r="FC27" s="976"/>
      <c r="FD27" s="976"/>
      <c r="FE27" s="976"/>
      <c r="FF27" s="976"/>
      <c r="FG27" s="976" t="str">
        <f>MID(SUVAHAVUJ!AG113,4,1)</f>
        <v xml:space="preserve"> </v>
      </c>
      <c r="FH27" s="976"/>
      <c r="FI27" s="976"/>
      <c r="FJ27" s="976"/>
      <c r="FK27" s="976"/>
      <c r="FL27" s="982" t="str">
        <f>MID(SUVAHAVUJ!AG113,5,1)</f>
        <v xml:space="preserve"> </v>
      </c>
      <c r="FM27" s="982"/>
      <c r="FN27" s="982"/>
      <c r="FO27" s="982"/>
      <c r="FP27" s="982"/>
      <c r="FQ27" s="982"/>
      <c r="FR27" s="982" t="str">
        <f>MID(SUVAHAVUJ!AG113,6,1)</f>
        <v xml:space="preserve"> </v>
      </c>
      <c r="FS27" s="982"/>
      <c r="FT27" s="982"/>
      <c r="FU27" s="982"/>
      <c r="FV27" s="982"/>
      <c r="FW27" s="982" t="str">
        <f>MID(SUVAHAVUJ!AG113,7,1)</f>
        <v xml:space="preserve"> </v>
      </c>
      <c r="FX27" s="982"/>
      <c r="FY27" s="982"/>
      <c r="FZ27" s="982"/>
      <c r="GA27" s="982"/>
      <c r="GB27" s="982"/>
      <c r="GC27" s="982" t="str">
        <f>MID(SUVAHAVUJ!AG113,8,1)</f>
        <v xml:space="preserve"> </v>
      </c>
      <c r="GD27" s="982"/>
      <c r="GE27" s="982"/>
      <c r="GF27" s="982"/>
      <c r="GG27" s="982"/>
      <c r="GH27" s="982" t="str">
        <f>MID(SUVAHAVUJ!AG113,9,1)</f>
        <v xml:space="preserve"> </v>
      </c>
      <c r="GI27" s="982"/>
      <c r="GJ27" s="982"/>
      <c r="GK27" s="982"/>
      <c r="GL27" s="982"/>
      <c r="GM27" s="982"/>
      <c r="GN27" s="982" t="str">
        <f>MID(SUVAHAVUJ!AG113,10,1)</f>
        <v xml:space="preserve"> </v>
      </c>
      <c r="GO27" s="982"/>
      <c r="GP27" s="982"/>
      <c r="GQ27" s="982"/>
      <c r="GR27" s="982"/>
      <c r="GS27" s="978" t="str">
        <f>MID(SUVAHAVUJ!AG113,11,1)</f>
        <v>0</v>
      </c>
      <c r="GT27" s="978"/>
      <c r="GU27" s="978"/>
      <c r="GV27" s="978"/>
      <c r="GW27" s="978"/>
    </row>
    <row r="28" spans="1:205" s="650" customFormat="1" ht="24" customHeight="1" x14ac:dyDescent="0.2">
      <c r="A28" s="676"/>
      <c r="B28" s="985" t="s">
        <v>2172</v>
      </c>
      <c r="C28" s="985"/>
      <c r="D28" s="985"/>
      <c r="E28" s="985"/>
      <c r="F28" s="985"/>
      <c r="G28" s="985"/>
      <c r="H28" s="985"/>
      <c r="I28" s="985"/>
      <c r="J28" s="985"/>
      <c r="K28" s="985"/>
      <c r="L28" s="1005" t="str">
        <f>SUVAHAVUJ!$D$114</f>
        <v>Dlhodobé zmenky na úhradu (478A)</v>
      </c>
      <c r="M28" s="1005"/>
      <c r="N28" s="1005"/>
      <c r="O28" s="1005"/>
      <c r="P28" s="1005"/>
      <c r="Q28" s="1005"/>
      <c r="R28" s="1005"/>
      <c r="S28" s="1005"/>
      <c r="T28" s="1005"/>
      <c r="U28" s="1005"/>
      <c r="V28" s="1005"/>
      <c r="W28" s="1005"/>
      <c r="X28" s="1005"/>
      <c r="Y28" s="1005"/>
      <c r="Z28" s="1005"/>
      <c r="AA28" s="1005"/>
      <c r="AB28" s="1005"/>
      <c r="AC28" s="1005"/>
      <c r="AD28" s="1005"/>
      <c r="AE28" s="1005"/>
      <c r="AF28" s="1005"/>
      <c r="AG28" s="1005"/>
      <c r="AH28" s="1005"/>
      <c r="AI28" s="1005"/>
      <c r="AJ28" s="1005"/>
      <c r="AK28" s="1005"/>
      <c r="AL28" s="1005"/>
      <c r="AM28" s="1005"/>
      <c r="AN28" s="1005"/>
      <c r="AO28" s="1005"/>
      <c r="AP28" s="1005"/>
      <c r="AQ28" s="1005"/>
      <c r="AR28" s="1005"/>
      <c r="AS28" s="1005"/>
      <c r="AT28" s="1005"/>
      <c r="AU28" s="1005"/>
      <c r="AV28" s="1005"/>
      <c r="AW28" s="1005"/>
      <c r="AX28" s="1005"/>
      <c r="AY28" s="1005"/>
      <c r="AZ28" s="1005"/>
      <c r="BA28" s="1005"/>
      <c r="BB28" s="1005"/>
      <c r="BC28" s="1005"/>
      <c r="BD28" s="1005"/>
      <c r="BE28" s="1005"/>
      <c r="BF28" s="1005"/>
      <c r="BG28" s="1005"/>
      <c r="BH28" s="1005"/>
      <c r="BI28" s="1005"/>
      <c r="BJ28" s="1005"/>
      <c r="BK28" s="1005"/>
      <c r="BL28" s="1005"/>
      <c r="BM28" s="1005"/>
      <c r="BN28" s="1005"/>
      <c r="BO28" s="1005"/>
      <c r="BP28" s="1005"/>
      <c r="BQ28" s="1005"/>
      <c r="BR28" s="1005"/>
      <c r="BS28" s="1005"/>
      <c r="BT28" s="1005"/>
      <c r="BU28" s="1005"/>
      <c r="BV28" s="1005"/>
      <c r="BW28" s="975" t="s">
        <v>73</v>
      </c>
      <c r="BX28" s="975"/>
      <c r="BY28" s="975"/>
      <c r="BZ28" s="975"/>
      <c r="CA28" s="975"/>
      <c r="CB28" s="975"/>
      <c r="CC28" s="975" t="e">
        <v>#NAME?</v>
      </c>
      <c r="CD28" s="975"/>
      <c r="CE28" s="976" t="str">
        <f>MID(SUVAHAVUJ!AF114,1,1)</f>
        <v xml:space="preserve"> </v>
      </c>
      <c r="CF28" s="976"/>
      <c r="CG28" s="976"/>
      <c r="CH28" s="976"/>
      <c r="CI28" s="976"/>
      <c r="CJ28" s="976" t="str">
        <f>MID(SUVAHAVUJ!AF114,2,1)</f>
        <v xml:space="preserve"> </v>
      </c>
      <c r="CK28" s="976"/>
      <c r="CL28" s="976"/>
      <c r="CM28" s="976"/>
      <c r="CN28" s="976"/>
      <c r="CO28" s="976"/>
      <c r="CP28" s="976" t="str">
        <f>MID(SUVAHAVUJ!AF114,3,1)</f>
        <v xml:space="preserve"> </v>
      </c>
      <c r="CQ28" s="976"/>
      <c r="CR28" s="976"/>
      <c r="CS28" s="976"/>
      <c r="CT28" s="976"/>
      <c r="CU28" s="976" t="str">
        <f>MID(SUVAHAVUJ!AF114,4,1)</f>
        <v xml:space="preserve"> </v>
      </c>
      <c r="CV28" s="976"/>
      <c r="CW28" s="976"/>
      <c r="CX28" s="976"/>
      <c r="CY28" s="976"/>
      <c r="CZ28" s="976"/>
      <c r="DA28" s="976" t="str">
        <f>MID(SUVAHAVUJ!AF114,5,1)</f>
        <v xml:space="preserve"> </v>
      </c>
      <c r="DB28" s="976"/>
      <c r="DC28" s="976"/>
      <c r="DD28" s="976"/>
      <c r="DE28" s="976"/>
      <c r="DF28" s="976" t="str">
        <f>MID(SUVAHAVUJ!AF114,6,1)</f>
        <v xml:space="preserve"> </v>
      </c>
      <c r="DG28" s="976"/>
      <c r="DH28" s="976"/>
      <c r="DI28" s="976"/>
      <c r="DJ28" s="976"/>
      <c r="DK28" s="976"/>
      <c r="DL28" s="976" t="str">
        <f>MID(SUVAHAVUJ!AF114,7,1)</f>
        <v xml:space="preserve"> </v>
      </c>
      <c r="DM28" s="976"/>
      <c r="DN28" s="976"/>
      <c r="DO28" s="976"/>
      <c r="DP28" s="976"/>
      <c r="DQ28" s="976"/>
      <c r="DR28" s="976" t="str">
        <f>MID(SUVAHAVUJ!AF114,8,1)</f>
        <v xml:space="preserve"> </v>
      </c>
      <c r="DS28" s="976"/>
      <c r="DT28" s="976"/>
      <c r="DU28" s="976"/>
      <c r="DV28" s="976"/>
      <c r="DW28" s="982" t="str">
        <f>MID(SUVAHAVUJ!AF114,9,1)</f>
        <v xml:space="preserve"> </v>
      </c>
      <c r="DX28" s="982"/>
      <c r="DY28" s="982"/>
      <c r="DZ28" s="982"/>
      <c r="EA28" s="982"/>
      <c r="EB28" s="982"/>
      <c r="EC28" s="982" t="str">
        <f>MID(SUVAHAVUJ!AF114,10,1)</f>
        <v xml:space="preserve"> </v>
      </c>
      <c r="ED28" s="982"/>
      <c r="EE28" s="982"/>
      <c r="EF28" s="982"/>
      <c r="EG28" s="982"/>
      <c r="EH28" s="977" t="str">
        <f>MID(SUVAHAVUJ!AF114,11,1)</f>
        <v>0</v>
      </c>
      <c r="EI28" s="977"/>
      <c r="EJ28" s="977"/>
      <c r="EK28" s="977"/>
      <c r="EL28" s="977"/>
      <c r="EM28" s="977"/>
      <c r="EN28" s="665"/>
      <c r="EO28" s="666"/>
      <c r="EP28" s="976" t="str">
        <f>MID(SUVAHAVUJ!AG114,1,1)</f>
        <v xml:space="preserve"> </v>
      </c>
      <c r="EQ28" s="976"/>
      <c r="ER28" s="976"/>
      <c r="ES28" s="976"/>
      <c r="ET28" s="976"/>
      <c r="EU28" s="976"/>
      <c r="EV28" s="976" t="str">
        <f>MID(SUVAHAVUJ!AG114,2,1)</f>
        <v xml:space="preserve"> </v>
      </c>
      <c r="EW28" s="976"/>
      <c r="EX28" s="976"/>
      <c r="EY28" s="976"/>
      <c r="EZ28" s="976"/>
      <c r="FA28" s="976" t="str">
        <f>MID(SUVAHAVUJ!AG114,3,1)</f>
        <v xml:space="preserve"> </v>
      </c>
      <c r="FB28" s="976"/>
      <c r="FC28" s="976"/>
      <c r="FD28" s="976"/>
      <c r="FE28" s="976"/>
      <c r="FF28" s="976"/>
      <c r="FG28" s="976" t="str">
        <f>MID(SUVAHAVUJ!AG114,4,1)</f>
        <v xml:space="preserve"> </v>
      </c>
      <c r="FH28" s="976"/>
      <c r="FI28" s="976"/>
      <c r="FJ28" s="976"/>
      <c r="FK28" s="976"/>
      <c r="FL28" s="982" t="str">
        <f>MID(SUVAHAVUJ!AG114,5,1)</f>
        <v xml:space="preserve"> </v>
      </c>
      <c r="FM28" s="982"/>
      <c r="FN28" s="982"/>
      <c r="FO28" s="982"/>
      <c r="FP28" s="982"/>
      <c r="FQ28" s="982"/>
      <c r="FR28" s="982" t="str">
        <f>MID(SUVAHAVUJ!AG114,6,1)</f>
        <v xml:space="preserve"> </v>
      </c>
      <c r="FS28" s="982"/>
      <c r="FT28" s="982"/>
      <c r="FU28" s="982"/>
      <c r="FV28" s="982"/>
      <c r="FW28" s="982" t="str">
        <f>MID(SUVAHAVUJ!AG114,7,1)</f>
        <v xml:space="preserve"> </v>
      </c>
      <c r="FX28" s="982"/>
      <c r="FY28" s="982"/>
      <c r="FZ28" s="982"/>
      <c r="GA28" s="982"/>
      <c r="GB28" s="982"/>
      <c r="GC28" s="982" t="str">
        <f>MID(SUVAHAVUJ!AG114,8,1)</f>
        <v xml:space="preserve"> </v>
      </c>
      <c r="GD28" s="982"/>
      <c r="GE28" s="982"/>
      <c r="GF28" s="982"/>
      <c r="GG28" s="982"/>
      <c r="GH28" s="982" t="str">
        <f>MID(SUVAHAVUJ!AG114,9,1)</f>
        <v xml:space="preserve"> </v>
      </c>
      <c r="GI28" s="982"/>
      <c r="GJ28" s="982"/>
      <c r="GK28" s="982"/>
      <c r="GL28" s="982"/>
      <c r="GM28" s="982"/>
      <c r="GN28" s="982" t="str">
        <f>MID(SUVAHAVUJ!AG114,10,1)</f>
        <v xml:space="preserve"> </v>
      </c>
      <c r="GO28" s="982"/>
      <c r="GP28" s="982"/>
      <c r="GQ28" s="982"/>
      <c r="GR28" s="982"/>
      <c r="GS28" s="978" t="str">
        <f>MID(SUVAHAVUJ!AG114,11,1)</f>
        <v>0</v>
      </c>
      <c r="GT28" s="978"/>
      <c r="GU28" s="978"/>
      <c r="GV28" s="978"/>
      <c r="GW28" s="978"/>
    </row>
    <row r="29" spans="1:205" ht="24" customHeight="1" x14ac:dyDescent="0.25">
      <c r="A29" s="675"/>
      <c r="B29" s="985" t="s">
        <v>2177</v>
      </c>
      <c r="C29" s="985"/>
      <c r="D29" s="985"/>
      <c r="E29" s="985"/>
      <c r="F29" s="985"/>
      <c r="G29" s="985"/>
      <c r="H29" s="985"/>
      <c r="I29" s="985"/>
      <c r="J29" s="985"/>
      <c r="K29" s="985"/>
      <c r="L29" s="1005" t="str">
        <f>SUVAHAVUJ!$D$115</f>
        <v>Vydané dlhopisy (473A/-/255A)</v>
      </c>
      <c r="M29" s="1005"/>
      <c r="N29" s="1005"/>
      <c r="O29" s="1005"/>
      <c r="P29" s="1005"/>
      <c r="Q29" s="1005"/>
      <c r="R29" s="1005"/>
      <c r="S29" s="1005"/>
      <c r="T29" s="1005"/>
      <c r="U29" s="1005"/>
      <c r="V29" s="1005"/>
      <c r="W29" s="1005"/>
      <c r="X29" s="1005"/>
      <c r="Y29" s="1005"/>
      <c r="Z29" s="1005"/>
      <c r="AA29" s="1005"/>
      <c r="AB29" s="1005"/>
      <c r="AC29" s="1005"/>
      <c r="AD29" s="1005"/>
      <c r="AE29" s="1005"/>
      <c r="AF29" s="1005"/>
      <c r="AG29" s="1005"/>
      <c r="AH29" s="1005"/>
      <c r="AI29" s="1005"/>
      <c r="AJ29" s="1005"/>
      <c r="AK29" s="1005"/>
      <c r="AL29" s="1005"/>
      <c r="AM29" s="1005"/>
      <c r="AN29" s="1005"/>
      <c r="AO29" s="1005"/>
      <c r="AP29" s="1005"/>
      <c r="AQ29" s="1005"/>
      <c r="AR29" s="1005"/>
      <c r="AS29" s="1005"/>
      <c r="AT29" s="1005"/>
      <c r="AU29" s="1005"/>
      <c r="AV29" s="1005"/>
      <c r="AW29" s="1005"/>
      <c r="AX29" s="1005"/>
      <c r="AY29" s="1005"/>
      <c r="AZ29" s="1005"/>
      <c r="BA29" s="1005"/>
      <c r="BB29" s="1005"/>
      <c r="BC29" s="1005"/>
      <c r="BD29" s="1005"/>
      <c r="BE29" s="1005"/>
      <c r="BF29" s="1005"/>
      <c r="BG29" s="1005"/>
      <c r="BH29" s="1005"/>
      <c r="BI29" s="1005"/>
      <c r="BJ29" s="1005"/>
      <c r="BK29" s="1005"/>
      <c r="BL29" s="1005"/>
      <c r="BM29" s="1005"/>
      <c r="BN29" s="1005"/>
      <c r="BO29" s="1005"/>
      <c r="BP29" s="1005"/>
      <c r="BQ29" s="1005"/>
      <c r="BR29" s="1005"/>
      <c r="BS29" s="1005"/>
      <c r="BT29" s="1005"/>
      <c r="BU29" s="1005"/>
      <c r="BV29" s="1005"/>
      <c r="BW29" s="975" t="s">
        <v>2264</v>
      </c>
      <c r="BX29" s="975"/>
      <c r="BY29" s="975"/>
      <c r="BZ29" s="975"/>
      <c r="CA29" s="975"/>
      <c r="CB29" s="975"/>
      <c r="CC29" s="975" t="e">
        <v>#NAME?</v>
      </c>
      <c r="CD29" s="975"/>
      <c r="CE29" s="976" t="str">
        <f>MID(SUVAHAVUJ!AF115,1,1)</f>
        <v xml:space="preserve"> </v>
      </c>
      <c r="CF29" s="976"/>
      <c r="CG29" s="976"/>
      <c r="CH29" s="976"/>
      <c r="CI29" s="976"/>
      <c r="CJ29" s="976" t="str">
        <f>MID(SUVAHAVUJ!AF115,2,1)</f>
        <v xml:space="preserve"> </v>
      </c>
      <c r="CK29" s="976"/>
      <c r="CL29" s="976"/>
      <c r="CM29" s="976"/>
      <c r="CN29" s="976"/>
      <c r="CO29" s="976"/>
      <c r="CP29" s="976" t="str">
        <f>MID(SUVAHAVUJ!AF115,3,1)</f>
        <v xml:space="preserve"> </v>
      </c>
      <c r="CQ29" s="976"/>
      <c r="CR29" s="976"/>
      <c r="CS29" s="976"/>
      <c r="CT29" s="976"/>
      <c r="CU29" s="976" t="str">
        <f>MID(SUVAHAVUJ!AF115,4,1)</f>
        <v xml:space="preserve"> </v>
      </c>
      <c r="CV29" s="976"/>
      <c r="CW29" s="976"/>
      <c r="CX29" s="976"/>
      <c r="CY29" s="976"/>
      <c r="CZ29" s="976"/>
      <c r="DA29" s="976" t="str">
        <f>MID(SUVAHAVUJ!AF115,5,1)</f>
        <v xml:space="preserve"> </v>
      </c>
      <c r="DB29" s="976"/>
      <c r="DC29" s="976"/>
      <c r="DD29" s="976"/>
      <c r="DE29" s="976"/>
      <c r="DF29" s="976" t="str">
        <f>MID(SUVAHAVUJ!AF115,6,1)</f>
        <v xml:space="preserve"> </v>
      </c>
      <c r="DG29" s="976"/>
      <c r="DH29" s="976"/>
      <c r="DI29" s="976"/>
      <c r="DJ29" s="976"/>
      <c r="DK29" s="976"/>
      <c r="DL29" s="976" t="str">
        <f>MID(SUVAHAVUJ!AF115,7,1)</f>
        <v xml:space="preserve"> </v>
      </c>
      <c r="DM29" s="976"/>
      <c r="DN29" s="976"/>
      <c r="DO29" s="976"/>
      <c r="DP29" s="976"/>
      <c r="DQ29" s="976"/>
      <c r="DR29" s="976" t="str">
        <f>MID(SUVAHAVUJ!AF115,8,1)</f>
        <v xml:space="preserve"> </v>
      </c>
      <c r="DS29" s="976"/>
      <c r="DT29" s="976"/>
      <c r="DU29" s="976"/>
      <c r="DV29" s="976"/>
      <c r="DW29" s="982" t="str">
        <f>MID(SUVAHAVUJ!AF115,9,1)</f>
        <v xml:space="preserve"> </v>
      </c>
      <c r="DX29" s="982"/>
      <c r="DY29" s="982"/>
      <c r="DZ29" s="982"/>
      <c r="EA29" s="982"/>
      <c r="EB29" s="982"/>
      <c r="EC29" s="982" t="str">
        <f>MID(SUVAHAVUJ!AF115,10,1)</f>
        <v xml:space="preserve"> </v>
      </c>
      <c r="ED29" s="982"/>
      <c r="EE29" s="982"/>
      <c r="EF29" s="982"/>
      <c r="EG29" s="982"/>
      <c r="EH29" s="977" t="str">
        <f>MID(SUVAHAVUJ!AF115,11,1)</f>
        <v>0</v>
      </c>
      <c r="EI29" s="977"/>
      <c r="EJ29" s="977"/>
      <c r="EK29" s="977"/>
      <c r="EL29" s="977"/>
      <c r="EM29" s="977"/>
      <c r="EN29" s="665"/>
      <c r="EO29" s="666"/>
      <c r="EP29" s="976" t="str">
        <f>MID(SUVAHAVUJ!AG115,1,1)</f>
        <v xml:space="preserve"> </v>
      </c>
      <c r="EQ29" s="976"/>
      <c r="ER29" s="976"/>
      <c r="ES29" s="976"/>
      <c r="ET29" s="976"/>
      <c r="EU29" s="976"/>
      <c r="EV29" s="976" t="str">
        <f>MID(SUVAHAVUJ!AG115,2,1)</f>
        <v xml:space="preserve"> </v>
      </c>
      <c r="EW29" s="976"/>
      <c r="EX29" s="976"/>
      <c r="EY29" s="976"/>
      <c r="EZ29" s="976"/>
      <c r="FA29" s="976" t="str">
        <f>MID(SUVAHAVUJ!AG115,3,1)</f>
        <v xml:space="preserve"> </v>
      </c>
      <c r="FB29" s="976"/>
      <c r="FC29" s="976"/>
      <c r="FD29" s="976"/>
      <c r="FE29" s="976"/>
      <c r="FF29" s="976"/>
      <c r="FG29" s="976" t="str">
        <f>MID(SUVAHAVUJ!AG115,4,1)</f>
        <v xml:space="preserve"> </v>
      </c>
      <c r="FH29" s="976"/>
      <c r="FI29" s="976"/>
      <c r="FJ29" s="976"/>
      <c r="FK29" s="976"/>
      <c r="FL29" s="982" t="str">
        <f>MID(SUVAHAVUJ!AG115,5,1)</f>
        <v xml:space="preserve"> </v>
      </c>
      <c r="FM29" s="982"/>
      <c r="FN29" s="982"/>
      <c r="FO29" s="982"/>
      <c r="FP29" s="982"/>
      <c r="FQ29" s="982"/>
      <c r="FR29" s="982" t="str">
        <f>MID(SUVAHAVUJ!AG115,6,1)</f>
        <v xml:space="preserve"> </v>
      </c>
      <c r="FS29" s="982"/>
      <c r="FT29" s="982"/>
      <c r="FU29" s="982"/>
      <c r="FV29" s="982"/>
      <c r="FW29" s="982" t="str">
        <f>MID(SUVAHAVUJ!AG115,7,1)</f>
        <v xml:space="preserve"> </v>
      </c>
      <c r="FX29" s="982"/>
      <c r="FY29" s="982"/>
      <c r="FZ29" s="982"/>
      <c r="GA29" s="982"/>
      <c r="GB29" s="982"/>
      <c r="GC29" s="982" t="str">
        <f>MID(SUVAHAVUJ!AG115,8,1)</f>
        <v xml:space="preserve"> </v>
      </c>
      <c r="GD29" s="982"/>
      <c r="GE29" s="982"/>
      <c r="GF29" s="982"/>
      <c r="GG29" s="982"/>
      <c r="GH29" s="982" t="str">
        <f>MID(SUVAHAVUJ!AG115,9,1)</f>
        <v xml:space="preserve"> </v>
      </c>
      <c r="GI29" s="982"/>
      <c r="GJ29" s="982"/>
      <c r="GK29" s="982"/>
      <c r="GL29" s="982"/>
      <c r="GM29" s="982"/>
      <c r="GN29" s="982" t="str">
        <f>MID(SUVAHAVUJ!AG115,10,1)</f>
        <v xml:space="preserve"> </v>
      </c>
      <c r="GO29" s="982"/>
      <c r="GP29" s="982"/>
      <c r="GQ29" s="982"/>
      <c r="GR29" s="982"/>
      <c r="GS29" s="978" t="str">
        <f>MID(SUVAHAVUJ!AG115,11,1)</f>
        <v>0</v>
      </c>
      <c r="GT29" s="978"/>
      <c r="GU29" s="978"/>
      <c r="GV29" s="978"/>
      <c r="GW29" s="978"/>
    </row>
    <row r="30" spans="1:205" s="650" customFormat="1" ht="24" customHeight="1" x14ac:dyDescent="0.2">
      <c r="A30" s="676"/>
      <c r="B30" s="985" t="s">
        <v>2178</v>
      </c>
      <c r="C30" s="985"/>
      <c r="D30" s="985"/>
      <c r="E30" s="985"/>
      <c r="F30" s="985"/>
      <c r="G30" s="985"/>
      <c r="H30" s="985"/>
      <c r="I30" s="985"/>
      <c r="J30" s="985"/>
      <c r="K30" s="985"/>
      <c r="L30" s="1005" t="str">
        <f>SUVAHAVUJ!$D$116</f>
        <v>Záväzky zo sociálneho fondu (472)</v>
      </c>
      <c r="M30" s="1005"/>
      <c r="N30" s="1005"/>
      <c r="O30" s="1005"/>
      <c r="P30" s="1005"/>
      <c r="Q30" s="1005"/>
      <c r="R30" s="1005"/>
      <c r="S30" s="1005"/>
      <c r="T30" s="1005"/>
      <c r="U30" s="1005"/>
      <c r="V30" s="1005"/>
      <c r="W30" s="1005"/>
      <c r="X30" s="1005"/>
      <c r="Y30" s="1005"/>
      <c r="Z30" s="1005"/>
      <c r="AA30" s="1005"/>
      <c r="AB30" s="1005"/>
      <c r="AC30" s="1005"/>
      <c r="AD30" s="1005"/>
      <c r="AE30" s="1005"/>
      <c r="AF30" s="1005"/>
      <c r="AG30" s="1005"/>
      <c r="AH30" s="1005"/>
      <c r="AI30" s="1005"/>
      <c r="AJ30" s="1005"/>
      <c r="AK30" s="1005"/>
      <c r="AL30" s="1005"/>
      <c r="AM30" s="1005"/>
      <c r="AN30" s="1005"/>
      <c r="AO30" s="1005"/>
      <c r="AP30" s="1005"/>
      <c r="AQ30" s="1005"/>
      <c r="AR30" s="1005"/>
      <c r="AS30" s="1005"/>
      <c r="AT30" s="1005"/>
      <c r="AU30" s="1005"/>
      <c r="AV30" s="1005"/>
      <c r="AW30" s="1005"/>
      <c r="AX30" s="1005"/>
      <c r="AY30" s="1005"/>
      <c r="AZ30" s="1005"/>
      <c r="BA30" s="1005"/>
      <c r="BB30" s="1005"/>
      <c r="BC30" s="1005"/>
      <c r="BD30" s="1005"/>
      <c r="BE30" s="1005"/>
      <c r="BF30" s="1005"/>
      <c r="BG30" s="1005"/>
      <c r="BH30" s="1005"/>
      <c r="BI30" s="1005"/>
      <c r="BJ30" s="1005"/>
      <c r="BK30" s="1005"/>
      <c r="BL30" s="1005"/>
      <c r="BM30" s="1005"/>
      <c r="BN30" s="1005"/>
      <c r="BO30" s="1005"/>
      <c r="BP30" s="1005"/>
      <c r="BQ30" s="1005"/>
      <c r="BR30" s="1005"/>
      <c r="BS30" s="1005"/>
      <c r="BT30" s="1005"/>
      <c r="BU30" s="1005"/>
      <c r="BV30" s="1005"/>
      <c r="BW30" s="975" t="s">
        <v>2265</v>
      </c>
      <c r="BX30" s="975"/>
      <c r="BY30" s="975"/>
      <c r="BZ30" s="975"/>
      <c r="CA30" s="975"/>
      <c r="CB30" s="975"/>
      <c r="CC30" s="975" t="e">
        <v>#NAME?</v>
      </c>
      <c r="CD30" s="975"/>
      <c r="CE30" s="976" t="str">
        <f>MID(SUVAHAVUJ!AF116,1,1)</f>
        <v xml:space="preserve"> </v>
      </c>
      <c r="CF30" s="976"/>
      <c r="CG30" s="976"/>
      <c r="CH30" s="976"/>
      <c r="CI30" s="976"/>
      <c r="CJ30" s="976" t="str">
        <f>MID(SUVAHAVUJ!AF116,2,1)</f>
        <v xml:space="preserve"> </v>
      </c>
      <c r="CK30" s="976"/>
      <c r="CL30" s="976"/>
      <c r="CM30" s="976"/>
      <c r="CN30" s="976"/>
      <c r="CO30" s="976"/>
      <c r="CP30" s="976" t="str">
        <f>MID(SUVAHAVUJ!AF116,3,1)</f>
        <v xml:space="preserve"> </v>
      </c>
      <c r="CQ30" s="976"/>
      <c r="CR30" s="976"/>
      <c r="CS30" s="976"/>
      <c r="CT30" s="976"/>
      <c r="CU30" s="976" t="str">
        <f>MID(SUVAHAVUJ!AF116,4,1)</f>
        <v xml:space="preserve"> </v>
      </c>
      <c r="CV30" s="976"/>
      <c r="CW30" s="976"/>
      <c r="CX30" s="976"/>
      <c r="CY30" s="976"/>
      <c r="CZ30" s="976"/>
      <c r="DA30" s="976" t="str">
        <f>MID(SUVAHAVUJ!AF116,5,1)</f>
        <v xml:space="preserve"> </v>
      </c>
      <c r="DB30" s="976"/>
      <c r="DC30" s="976"/>
      <c r="DD30" s="976"/>
      <c r="DE30" s="976"/>
      <c r="DF30" s="976" t="str">
        <f>MID(SUVAHAVUJ!AF116,6,1)</f>
        <v xml:space="preserve"> </v>
      </c>
      <c r="DG30" s="976"/>
      <c r="DH30" s="976"/>
      <c r="DI30" s="976"/>
      <c r="DJ30" s="976"/>
      <c r="DK30" s="976"/>
      <c r="DL30" s="976" t="str">
        <f>MID(SUVAHAVUJ!AF116,7,1)</f>
        <v xml:space="preserve"> </v>
      </c>
      <c r="DM30" s="976"/>
      <c r="DN30" s="976"/>
      <c r="DO30" s="976"/>
      <c r="DP30" s="976"/>
      <c r="DQ30" s="976"/>
      <c r="DR30" s="976" t="str">
        <f>MID(SUVAHAVUJ!AF116,8,1)</f>
        <v>1</v>
      </c>
      <c r="DS30" s="976"/>
      <c r="DT30" s="976"/>
      <c r="DU30" s="976"/>
      <c r="DV30" s="976"/>
      <c r="DW30" s="982" t="str">
        <f>MID(SUVAHAVUJ!AF116,9,1)</f>
        <v>3</v>
      </c>
      <c r="DX30" s="982"/>
      <c r="DY30" s="982"/>
      <c r="DZ30" s="982"/>
      <c r="EA30" s="982"/>
      <c r="EB30" s="982"/>
      <c r="EC30" s="982" t="str">
        <f>MID(SUVAHAVUJ!AF116,10,1)</f>
        <v>2</v>
      </c>
      <c r="ED30" s="982"/>
      <c r="EE30" s="982"/>
      <c r="EF30" s="982"/>
      <c r="EG30" s="982"/>
      <c r="EH30" s="977" t="str">
        <f>MID(SUVAHAVUJ!AF116,11,1)</f>
        <v>3</v>
      </c>
      <c r="EI30" s="977"/>
      <c r="EJ30" s="977"/>
      <c r="EK30" s="977"/>
      <c r="EL30" s="977"/>
      <c r="EM30" s="977"/>
      <c r="EN30" s="665"/>
      <c r="EO30" s="666"/>
      <c r="EP30" s="976" t="str">
        <f>MID(SUVAHAVUJ!AG116,1,1)</f>
        <v xml:space="preserve"> </v>
      </c>
      <c r="EQ30" s="976"/>
      <c r="ER30" s="976"/>
      <c r="ES30" s="976"/>
      <c r="ET30" s="976"/>
      <c r="EU30" s="976"/>
      <c r="EV30" s="976" t="str">
        <f>MID(SUVAHAVUJ!AG116,2,1)</f>
        <v xml:space="preserve"> </v>
      </c>
      <c r="EW30" s="976"/>
      <c r="EX30" s="976"/>
      <c r="EY30" s="976"/>
      <c r="EZ30" s="976"/>
      <c r="FA30" s="976" t="str">
        <f>MID(SUVAHAVUJ!AG116,3,1)</f>
        <v xml:space="preserve"> </v>
      </c>
      <c r="FB30" s="976"/>
      <c r="FC30" s="976"/>
      <c r="FD30" s="976"/>
      <c r="FE30" s="976"/>
      <c r="FF30" s="976"/>
      <c r="FG30" s="976" t="str">
        <f>MID(SUVAHAVUJ!AG116,4,1)</f>
        <v xml:space="preserve"> </v>
      </c>
      <c r="FH30" s="976"/>
      <c r="FI30" s="976"/>
      <c r="FJ30" s="976"/>
      <c r="FK30" s="976"/>
      <c r="FL30" s="982" t="str">
        <f>MID(SUVAHAVUJ!AG116,5,1)</f>
        <v xml:space="preserve"> </v>
      </c>
      <c r="FM30" s="982"/>
      <c r="FN30" s="982"/>
      <c r="FO30" s="982"/>
      <c r="FP30" s="982"/>
      <c r="FQ30" s="982"/>
      <c r="FR30" s="982" t="str">
        <f>MID(SUVAHAVUJ!AG116,6,1)</f>
        <v xml:space="preserve"> </v>
      </c>
      <c r="FS30" s="982"/>
      <c r="FT30" s="982"/>
      <c r="FU30" s="982"/>
      <c r="FV30" s="982"/>
      <c r="FW30" s="982" t="str">
        <f>MID(SUVAHAVUJ!AG116,7,1)</f>
        <v xml:space="preserve"> </v>
      </c>
      <c r="FX30" s="982"/>
      <c r="FY30" s="982"/>
      <c r="FZ30" s="982"/>
      <c r="GA30" s="982"/>
      <c r="GB30" s="982"/>
      <c r="GC30" s="982" t="str">
        <f>MID(SUVAHAVUJ!AG116,8,1)</f>
        <v>1</v>
      </c>
      <c r="GD30" s="982"/>
      <c r="GE30" s="982"/>
      <c r="GF30" s="982"/>
      <c r="GG30" s="982"/>
      <c r="GH30" s="982" t="str">
        <f>MID(SUVAHAVUJ!AG116,9,1)</f>
        <v>2</v>
      </c>
      <c r="GI30" s="982"/>
      <c r="GJ30" s="982"/>
      <c r="GK30" s="982"/>
      <c r="GL30" s="982"/>
      <c r="GM30" s="982"/>
      <c r="GN30" s="982" t="str">
        <f>MID(SUVAHAVUJ!AG116,10,1)</f>
        <v>3</v>
      </c>
      <c r="GO30" s="982"/>
      <c r="GP30" s="982"/>
      <c r="GQ30" s="982"/>
      <c r="GR30" s="982"/>
      <c r="GS30" s="978" t="str">
        <f>MID(SUVAHAVUJ!AG116,11,1)</f>
        <v>8</v>
      </c>
      <c r="GT30" s="978"/>
      <c r="GU30" s="978"/>
      <c r="GV30" s="978"/>
      <c r="GW30" s="978"/>
    </row>
    <row r="31" spans="1:205" ht="24" customHeight="1" x14ac:dyDescent="0.25">
      <c r="A31" s="675"/>
      <c r="B31" s="985" t="s">
        <v>2183</v>
      </c>
      <c r="C31" s="985"/>
      <c r="D31" s="985"/>
      <c r="E31" s="985"/>
      <c r="F31" s="985"/>
      <c r="G31" s="985"/>
      <c r="H31" s="985"/>
      <c r="I31" s="985"/>
      <c r="J31" s="985"/>
      <c r="K31" s="985"/>
      <c r="L31" s="1005" t="str">
        <f>SUVAHAVUJ!$D$117</f>
        <v>Iné dlhodobé záväzky (336A, 372A, 474A, 47XA)</v>
      </c>
      <c r="M31" s="1005"/>
      <c r="N31" s="1005"/>
      <c r="O31" s="1005"/>
      <c r="P31" s="1005"/>
      <c r="Q31" s="1005"/>
      <c r="R31" s="1005"/>
      <c r="S31" s="1005"/>
      <c r="T31" s="1005"/>
      <c r="U31" s="1005"/>
      <c r="V31" s="1005"/>
      <c r="W31" s="1005"/>
      <c r="X31" s="1005"/>
      <c r="Y31" s="1005"/>
      <c r="Z31" s="1005"/>
      <c r="AA31" s="1005"/>
      <c r="AB31" s="1005"/>
      <c r="AC31" s="1005"/>
      <c r="AD31" s="1005"/>
      <c r="AE31" s="1005"/>
      <c r="AF31" s="1005"/>
      <c r="AG31" s="1005"/>
      <c r="AH31" s="1005"/>
      <c r="AI31" s="1005"/>
      <c r="AJ31" s="1005"/>
      <c r="AK31" s="1005"/>
      <c r="AL31" s="1005"/>
      <c r="AM31" s="1005"/>
      <c r="AN31" s="1005"/>
      <c r="AO31" s="1005"/>
      <c r="AP31" s="1005"/>
      <c r="AQ31" s="1005"/>
      <c r="AR31" s="1005"/>
      <c r="AS31" s="1005"/>
      <c r="AT31" s="1005"/>
      <c r="AU31" s="1005"/>
      <c r="AV31" s="1005"/>
      <c r="AW31" s="1005"/>
      <c r="AX31" s="1005"/>
      <c r="AY31" s="1005"/>
      <c r="AZ31" s="1005"/>
      <c r="BA31" s="1005"/>
      <c r="BB31" s="1005"/>
      <c r="BC31" s="1005"/>
      <c r="BD31" s="1005"/>
      <c r="BE31" s="1005"/>
      <c r="BF31" s="1005"/>
      <c r="BG31" s="1005"/>
      <c r="BH31" s="1005"/>
      <c r="BI31" s="1005"/>
      <c r="BJ31" s="1005"/>
      <c r="BK31" s="1005"/>
      <c r="BL31" s="1005"/>
      <c r="BM31" s="1005"/>
      <c r="BN31" s="1005"/>
      <c r="BO31" s="1005"/>
      <c r="BP31" s="1005"/>
      <c r="BQ31" s="1005"/>
      <c r="BR31" s="1005"/>
      <c r="BS31" s="1005"/>
      <c r="BT31" s="1005"/>
      <c r="BU31" s="1005"/>
      <c r="BV31" s="1005"/>
      <c r="BW31" s="975" t="s">
        <v>1264</v>
      </c>
      <c r="BX31" s="975"/>
      <c r="BY31" s="975"/>
      <c r="BZ31" s="975"/>
      <c r="CA31" s="975"/>
      <c r="CB31" s="975"/>
      <c r="CC31" s="975" t="e">
        <v>#NAME?</v>
      </c>
      <c r="CD31" s="975"/>
      <c r="CE31" s="976" t="str">
        <f>MID(SUVAHAVUJ!AF117,1,1)</f>
        <v xml:space="preserve"> </v>
      </c>
      <c r="CF31" s="976"/>
      <c r="CG31" s="976"/>
      <c r="CH31" s="976"/>
      <c r="CI31" s="976"/>
      <c r="CJ31" s="976" t="str">
        <f>MID(SUVAHAVUJ!AF117,2,1)</f>
        <v xml:space="preserve"> </v>
      </c>
      <c r="CK31" s="976"/>
      <c r="CL31" s="976"/>
      <c r="CM31" s="976"/>
      <c r="CN31" s="976"/>
      <c r="CO31" s="976"/>
      <c r="CP31" s="976" t="str">
        <f>MID(SUVAHAVUJ!AF117,3,1)</f>
        <v xml:space="preserve"> </v>
      </c>
      <c r="CQ31" s="976"/>
      <c r="CR31" s="976"/>
      <c r="CS31" s="976"/>
      <c r="CT31" s="976"/>
      <c r="CU31" s="976" t="str">
        <f>MID(SUVAHAVUJ!AF117,4,1)</f>
        <v xml:space="preserve"> </v>
      </c>
      <c r="CV31" s="976"/>
      <c r="CW31" s="976"/>
      <c r="CX31" s="976"/>
      <c r="CY31" s="976"/>
      <c r="CZ31" s="976"/>
      <c r="DA31" s="976" t="str">
        <f>MID(SUVAHAVUJ!AF117,5,1)</f>
        <v xml:space="preserve"> </v>
      </c>
      <c r="DB31" s="976"/>
      <c r="DC31" s="976"/>
      <c r="DD31" s="976"/>
      <c r="DE31" s="976"/>
      <c r="DF31" s="976" t="str">
        <f>MID(SUVAHAVUJ!AF117,6,1)</f>
        <v xml:space="preserve"> </v>
      </c>
      <c r="DG31" s="976"/>
      <c r="DH31" s="976"/>
      <c r="DI31" s="976"/>
      <c r="DJ31" s="976"/>
      <c r="DK31" s="976"/>
      <c r="DL31" s="976" t="str">
        <f>MID(SUVAHAVUJ!AF117,7,1)</f>
        <v xml:space="preserve"> </v>
      </c>
      <c r="DM31" s="976"/>
      <c r="DN31" s="976"/>
      <c r="DO31" s="976"/>
      <c r="DP31" s="976"/>
      <c r="DQ31" s="976"/>
      <c r="DR31" s="976" t="str">
        <f>MID(SUVAHAVUJ!AF117,8,1)</f>
        <v xml:space="preserve"> </v>
      </c>
      <c r="DS31" s="976"/>
      <c r="DT31" s="976"/>
      <c r="DU31" s="976"/>
      <c r="DV31" s="976"/>
      <c r="DW31" s="982" t="str">
        <f>MID(SUVAHAVUJ!AF117,9,1)</f>
        <v xml:space="preserve"> </v>
      </c>
      <c r="DX31" s="982"/>
      <c r="DY31" s="982"/>
      <c r="DZ31" s="982"/>
      <c r="EA31" s="982"/>
      <c r="EB31" s="982"/>
      <c r="EC31" s="982" t="str">
        <f>MID(SUVAHAVUJ!AF117,10,1)</f>
        <v xml:space="preserve"> </v>
      </c>
      <c r="ED31" s="982"/>
      <c r="EE31" s="982"/>
      <c r="EF31" s="982"/>
      <c r="EG31" s="982"/>
      <c r="EH31" s="977" t="str">
        <f>MID(SUVAHAVUJ!AF117,11,1)</f>
        <v>0</v>
      </c>
      <c r="EI31" s="977"/>
      <c r="EJ31" s="977"/>
      <c r="EK31" s="977"/>
      <c r="EL31" s="977"/>
      <c r="EM31" s="977"/>
      <c r="EN31" s="665"/>
      <c r="EO31" s="666"/>
      <c r="EP31" s="976" t="str">
        <f>MID(SUVAHAVUJ!AG117,1,1)</f>
        <v xml:space="preserve"> </v>
      </c>
      <c r="EQ31" s="976"/>
      <c r="ER31" s="976"/>
      <c r="ES31" s="976"/>
      <c r="ET31" s="976"/>
      <c r="EU31" s="976"/>
      <c r="EV31" s="976" t="str">
        <f>MID(SUVAHAVUJ!AG117,2,1)</f>
        <v xml:space="preserve"> </v>
      </c>
      <c r="EW31" s="976"/>
      <c r="EX31" s="976"/>
      <c r="EY31" s="976"/>
      <c r="EZ31" s="976"/>
      <c r="FA31" s="976" t="str">
        <f>MID(SUVAHAVUJ!AG117,3,1)</f>
        <v xml:space="preserve"> </v>
      </c>
      <c r="FB31" s="976"/>
      <c r="FC31" s="976"/>
      <c r="FD31" s="976"/>
      <c r="FE31" s="976"/>
      <c r="FF31" s="976"/>
      <c r="FG31" s="976" t="str">
        <f>MID(SUVAHAVUJ!AG117,4,1)</f>
        <v xml:space="preserve"> </v>
      </c>
      <c r="FH31" s="976"/>
      <c r="FI31" s="976"/>
      <c r="FJ31" s="976"/>
      <c r="FK31" s="976"/>
      <c r="FL31" s="982" t="str">
        <f>MID(SUVAHAVUJ!AG117,5,1)</f>
        <v xml:space="preserve"> </v>
      </c>
      <c r="FM31" s="982"/>
      <c r="FN31" s="982"/>
      <c r="FO31" s="982"/>
      <c r="FP31" s="982"/>
      <c r="FQ31" s="982"/>
      <c r="FR31" s="982" t="str">
        <f>MID(SUVAHAVUJ!AG117,6,1)</f>
        <v xml:space="preserve"> </v>
      </c>
      <c r="FS31" s="982"/>
      <c r="FT31" s="982"/>
      <c r="FU31" s="982"/>
      <c r="FV31" s="982"/>
      <c r="FW31" s="982" t="str">
        <f>MID(SUVAHAVUJ!AG117,7,1)</f>
        <v xml:space="preserve"> </v>
      </c>
      <c r="FX31" s="982"/>
      <c r="FY31" s="982"/>
      <c r="FZ31" s="982"/>
      <c r="GA31" s="982"/>
      <c r="GB31" s="982"/>
      <c r="GC31" s="982" t="str">
        <f>MID(SUVAHAVUJ!AG117,8,1)</f>
        <v xml:space="preserve"> </v>
      </c>
      <c r="GD31" s="982"/>
      <c r="GE31" s="982"/>
      <c r="GF31" s="982"/>
      <c r="GG31" s="982"/>
      <c r="GH31" s="982" t="str">
        <f>MID(SUVAHAVUJ!AG117,9,1)</f>
        <v xml:space="preserve"> </v>
      </c>
      <c r="GI31" s="982"/>
      <c r="GJ31" s="982"/>
      <c r="GK31" s="982"/>
      <c r="GL31" s="982"/>
      <c r="GM31" s="982"/>
      <c r="GN31" s="982" t="str">
        <f>MID(SUVAHAVUJ!AG117,10,1)</f>
        <v xml:space="preserve"> </v>
      </c>
      <c r="GO31" s="982"/>
      <c r="GP31" s="982"/>
      <c r="GQ31" s="982"/>
      <c r="GR31" s="982"/>
      <c r="GS31" s="978" t="str">
        <f>MID(SUVAHAVUJ!AG117,11,1)</f>
        <v>0</v>
      </c>
      <c r="GT31" s="978"/>
      <c r="GU31" s="978"/>
      <c r="GV31" s="978"/>
      <c r="GW31" s="978"/>
    </row>
    <row r="32" spans="1:205" s="650" customFormat="1" ht="24" customHeight="1" x14ac:dyDescent="0.2">
      <c r="A32" s="676"/>
      <c r="B32" s="985" t="s">
        <v>2184</v>
      </c>
      <c r="C32" s="985"/>
      <c r="D32" s="985"/>
      <c r="E32" s="985"/>
      <c r="F32" s="985"/>
      <c r="G32" s="985"/>
      <c r="H32" s="985"/>
      <c r="I32" s="985"/>
      <c r="J32" s="985"/>
      <c r="K32" s="985"/>
      <c r="L32" s="1005" t="str">
        <f>SUVAHAVUJ!$D$118</f>
        <v>Dlhodobé záväzky z derivátových operácií (373A, 377A)</v>
      </c>
      <c r="M32" s="1005"/>
      <c r="N32" s="1005"/>
      <c r="O32" s="1005"/>
      <c r="P32" s="1005"/>
      <c r="Q32" s="1005"/>
      <c r="R32" s="1005"/>
      <c r="S32" s="1005"/>
      <c r="T32" s="1005"/>
      <c r="U32" s="1005"/>
      <c r="V32" s="1005"/>
      <c r="W32" s="1005"/>
      <c r="X32" s="1005"/>
      <c r="Y32" s="1005"/>
      <c r="Z32" s="1005"/>
      <c r="AA32" s="1005"/>
      <c r="AB32" s="1005"/>
      <c r="AC32" s="1005"/>
      <c r="AD32" s="1005"/>
      <c r="AE32" s="1005"/>
      <c r="AF32" s="1005"/>
      <c r="AG32" s="1005"/>
      <c r="AH32" s="1005"/>
      <c r="AI32" s="1005"/>
      <c r="AJ32" s="1005"/>
      <c r="AK32" s="1005"/>
      <c r="AL32" s="1005"/>
      <c r="AM32" s="1005"/>
      <c r="AN32" s="1005"/>
      <c r="AO32" s="1005"/>
      <c r="AP32" s="1005"/>
      <c r="AQ32" s="1005"/>
      <c r="AR32" s="1005"/>
      <c r="AS32" s="1005"/>
      <c r="AT32" s="1005"/>
      <c r="AU32" s="1005"/>
      <c r="AV32" s="1005"/>
      <c r="AW32" s="1005"/>
      <c r="AX32" s="1005"/>
      <c r="AY32" s="1005"/>
      <c r="AZ32" s="1005"/>
      <c r="BA32" s="1005"/>
      <c r="BB32" s="1005"/>
      <c r="BC32" s="1005"/>
      <c r="BD32" s="1005"/>
      <c r="BE32" s="1005"/>
      <c r="BF32" s="1005"/>
      <c r="BG32" s="1005"/>
      <c r="BH32" s="1005"/>
      <c r="BI32" s="1005"/>
      <c r="BJ32" s="1005"/>
      <c r="BK32" s="1005"/>
      <c r="BL32" s="1005"/>
      <c r="BM32" s="1005"/>
      <c r="BN32" s="1005"/>
      <c r="BO32" s="1005"/>
      <c r="BP32" s="1005"/>
      <c r="BQ32" s="1005"/>
      <c r="BR32" s="1005"/>
      <c r="BS32" s="1005"/>
      <c r="BT32" s="1005"/>
      <c r="BU32" s="1005"/>
      <c r="BV32" s="1005"/>
      <c r="BW32" s="975" t="s">
        <v>1265</v>
      </c>
      <c r="BX32" s="975"/>
      <c r="BY32" s="975"/>
      <c r="BZ32" s="975"/>
      <c r="CA32" s="975"/>
      <c r="CB32" s="975"/>
      <c r="CC32" s="975" t="e">
        <v>#NAME?</v>
      </c>
      <c r="CD32" s="975"/>
      <c r="CE32" s="976" t="str">
        <f>MID(SUVAHAVUJ!AF118,1,1)</f>
        <v xml:space="preserve"> </v>
      </c>
      <c r="CF32" s="976"/>
      <c r="CG32" s="976"/>
      <c r="CH32" s="976"/>
      <c r="CI32" s="976"/>
      <c r="CJ32" s="976" t="str">
        <f>MID(SUVAHAVUJ!AF118,2,1)</f>
        <v xml:space="preserve"> </v>
      </c>
      <c r="CK32" s="976"/>
      <c r="CL32" s="976"/>
      <c r="CM32" s="976"/>
      <c r="CN32" s="976"/>
      <c r="CO32" s="976"/>
      <c r="CP32" s="976" t="str">
        <f>MID(SUVAHAVUJ!AF118,3,1)</f>
        <v xml:space="preserve"> </v>
      </c>
      <c r="CQ32" s="976"/>
      <c r="CR32" s="976"/>
      <c r="CS32" s="976"/>
      <c r="CT32" s="976"/>
      <c r="CU32" s="976" t="str">
        <f>MID(SUVAHAVUJ!AF118,4,1)</f>
        <v xml:space="preserve"> </v>
      </c>
      <c r="CV32" s="976"/>
      <c r="CW32" s="976"/>
      <c r="CX32" s="976"/>
      <c r="CY32" s="976"/>
      <c r="CZ32" s="976"/>
      <c r="DA32" s="976" t="str">
        <f>MID(SUVAHAVUJ!AF118,5,1)</f>
        <v xml:space="preserve"> </v>
      </c>
      <c r="DB32" s="976"/>
      <c r="DC32" s="976"/>
      <c r="DD32" s="976"/>
      <c r="DE32" s="976"/>
      <c r="DF32" s="976" t="str">
        <f>MID(SUVAHAVUJ!AF118,6,1)</f>
        <v xml:space="preserve"> </v>
      </c>
      <c r="DG32" s="976"/>
      <c r="DH32" s="976"/>
      <c r="DI32" s="976"/>
      <c r="DJ32" s="976"/>
      <c r="DK32" s="976"/>
      <c r="DL32" s="976" t="str">
        <f>MID(SUVAHAVUJ!AF118,7,1)</f>
        <v xml:space="preserve"> </v>
      </c>
      <c r="DM32" s="976"/>
      <c r="DN32" s="976"/>
      <c r="DO32" s="976"/>
      <c r="DP32" s="976"/>
      <c r="DQ32" s="976"/>
      <c r="DR32" s="976" t="str">
        <f>MID(SUVAHAVUJ!AF118,8,1)</f>
        <v xml:space="preserve"> </v>
      </c>
      <c r="DS32" s="976"/>
      <c r="DT32" s="976"/>
      <c r="DU32" s="976"/>
      <c r="DV32" s="976"/>
      <c r="DW32" s="982" t="str">
        <f>MID(SUVAHAVUJ!AF118,9,1)</f>
        <v xml:space="preserve"> </v>
      </c>
      <c r="DX32" s="982"/>
      <c r="DY32" s="982"/>
      <c r="DZ32" s="982"/>
      <c r="EA32" s="982"/>
      <c r="EB32" s="982"/>
      <c r="EC32" s="982" t="str">
        <f>MID(SUVAHAVUJ!AF118,10,1)</f>
        <v xml:space="preserve"> </v>
      </c>
      <c r="ED32" s="982"/>
      <c r="EE32" s="982"/>
      <c r="EF32" s="982"/>
      <c r="EG32" s="982"/>
      <c r="EH32" s="977" t="str">
        <f>MID(SUVAHAVUJ!AF118,11,1)</f>
        <v>0</v>
      </c>
      <c r="EI32" s="977"/>
      <c r="EJ32" s="977"/>
      <c r="EK32" s="977"/>
      <c r="EL32" s="977"/>
      <c r="EM32" s="977"/>
      <c r="EN32" s="665"/>
      <c r="EO32" s="666"/>
      <c r="EP32" s="976" t="str">
        <f>MID(SUVAHAVUJ!AG118,1,1)</f>
        <v xml:space="preserve"> </v>
      </c>
      <c r="EQ32" s="976"/>
      <c r="ER32" s="976"/>
      <c r="ES32" s="976"/>
      <c r="ET32" s="976"/>
      <c r="EU32" s="976"/>
      <c r="EV32" s="976" t="str">
        <f>MID(SUVAHAVUJ!AG118,2,1)</f>
        <v xml:space="preserve"> </v>
      </c>
      <c r="EW32" s="976"/>
      <c r="EX32" s="976"/>
      <c r="EY32" s="976"/>
      <c r="EZ32" s="976"/>
      <c r="FA32" s="976" t="str">
        <f>MID(SUVAHAVUJ!AG118,3,1)</f>
        <v xml:space="preserve"> </v>
      </c>
      <c r="FB32" s="976"/>
      <c r="FC32" s="976"/>
      <c r="FD32" s="976"/>
      <c r="FE32" s="976"/>
      <c r="FF32" s="976"/>
      <c r="FG32" s="976" t="str">
        <f>MID(SUVAHAVUJ!AG118,4,1)</f>
        <v xml:space="preserve"> </v>
      </c>
      <c r="FH32" s="976"/>
      <c r="FI32" s="976"/>
      <c r="FJ32" s="976"/>
      <c r="FK32" s="976"/>
      <c r="FL32" s="982" t="str">
        <f>MID(SUVAHAVUJ!AG118,5,1)</f>
        <v xml:space="preserve"> </v>
      </c>
      <c r="FM32" s="982"/>
      <c r="FN32" s="982"/>
      <c r="FO32" s="982"/>
      <c r="FP32" s="982"/>
      <c r="FQ32" s="982"/>
      <c r="FR32" s="982" t="str">
        <f>MID(SUVAHAVUJ!AG118,6,1)</f>
        <v xml:space="preserve"> </v>
      </c>
      <c r="FS32" s="982"/>
      <c r="FT32" s="982"/>
      <c r="FU32" s="982"/>
      <c r="FV32" s="982"/>
      <c r="FW32" s="982" t="str">
        <f>MID(SUVAHAVUJ!AG118,7,1)</f>
        <v xml:space="preserve"> </v>
      </c>
      <c r="FX32" s="982"/>
      <c r="FY32" s="982"/>
      <c r="FZ32" s="982"/>
      <c r="GA32" s="982"/>
      <c r="GB32" s="982"/>
      <c r="GC32" s="982" t="str">
        <f>MID(SUVAHAVUJ!AG118,8,1)</f>
        <v xml:space="preserve"> </v>
      </c>
      <c r="GD32" s="982"/>
      <c r="GE32" s="982"/>
      <c r="GF32" s="982"/>
      <c r="GG32" s="982"/>
      <c r="GH32" s="982" t="str">
        <f>MID(SUVAHAVUJ!AG118,9,1)</f>
        <v xml:space="preserve"> </v>
      </c>
      <c r="GI32" s="982"/>
      <c r="GJ32" s="982"/>
      <c r="GK32" s="982"/>
      <c r="GL32" s="982"/>
      <c r="GM32" s="982"/>
      <c r="GN32" s="982" t="str">
        <f>MID(SUVAHAVUJ!AG118,10,1)</f>
        <v xml:space="preserve"> </v>
      </c>
      <c r="GO32" s="982"/>
      <c r="GP32" s="982"/>
      <c r="GQ32" s="982"/>
      <c r="GR32" s="982"/>
      <c r="GS32" s="978" t="str">
        <f>MID(SUVAHAVUJ!AG118,11,1)</f>
        <v>0</v>
      </c>
      <c r="GT32" s="978"/>
      <c r="GU32" s="978"/>
      <c r="GV32" s="978"/>
      <c r="GW32" s="978"/>
    </row>
    <row r="33" spans="1:205" ht="24" customHeight="1" x14ac:dyDescent="0.25">
      <c r="A33" s="675"/>
      <c r="B33" s="985" t="s">
        <v>2266</v>
      </c>
      <c r="C33" s="985"/>
      <c r="D33" s="985"/>
      <c r="E33" s="985"/>
      <c r="F33" s="985"/>
      <c r="G33" s="985"/>
      <c r="H33" s="985"/>
      <c r="I33" s="985"/>
      <c r="J33" s="985"/>
      <c r="K33" s="985"/>
      <c r="L33" s="1005" t="str">
        <f>SUVAHAVUJ!$D$119</f>
        <v>Odložený daňový záväzok (481A)</v>
      </c>
      <c r="M33" s="1005"/>
      <c r="N33" s="1005"/>
      <c r="O33" s="1005"/>
      <c r="P33" s="1005"/>
      <c r="Q33" s="1005"/>
      <c r="R33" s="1005"/>
      <c r="S33" s="1005"/>
      <c r="T33" s="1005"/>
      <c r="U33" s="1005"/>
      <c r="V33" s="1005"/>
      <c r="W33" s="1005"/>
      <c r="X33" s="1005"/>
      <c r="Y33" s="1005"/>
      <c r="Z33" s="1005"/>
      <c r="AA33" s="1005"/>
      <c r="AB33" s="1005"/>
      <c r="AC33" s="1005"/>
      <c r="AD33" s="1005"/>
      <c r="AE33" s="1005"/>
      <c r="AF33" s="1005"/>
      <c r="AG33" s="1005"/>
      <c r="AH33" s="1005"/>
      <c r="AI33" s="1005"/>
      <c r="AJ33" s="1005"/>
      <c r="AK33" s="1005"/>
      <c r="AL33" s="1005"/>
      <c r="AM33" s="1005"/>
      <c r="AN33" s="1005"/>
      <c r="AO33" s="1005"/>
      <c r="AP33" s="1005"/>
      <c r="AQ33" s="1005"/>
      <c r="AR33" s="1005"/>
      <c r="AS33" s="1005"/>
      <c r="AT33" s="1005"/>
      <c r="AU33" s="1005"/>
      <c r="AV33" s="1005"/>
      <c r="AW33" s="1005"/>
      <c r="AX33" s="1005"/>
      <c r="AY33" s="1005"/>
      <c r="AZ33" s="1005"/>
      <c r="BA33" s="1005"/>
      <c r="BB33" s="1005"/>
      <c r="BC33" s="1005"/>
      <c r="BD33" s="1005"/>
      <c r="BE33" s="1005"/>
      <c r="BF33" s="1005"/>
      <c r="BG33" s="1005"/>
      <c r="BH33" s="1005"/>
      <c r="BI33" s="1005"/>
      <c r="BJ33" s="1005"/>
      <c r="BK33" s="1005"/>
      <c r="BL33" s="1005"/>
      <c r="BM33" s="1005"/>
      <c r="BN33" s="1005"/>
      <c r="BO33" s="1005"/>
      <c r="BP33" s="1005"/>
      <c r="BQ33" s="1005"/>
      <c r="BR33" s="1005"/>
      <c r="BS33" s="1005"/>
      <c r="BT33" s="1005"/>
      <c r="BU33" s="1005"/>
      <c r="BV33" s="1005"/>
      <c r="BW33" s="975" t="s">
        <v>1267</v>
      </c>
      <c r="BX33" s="975"/>
      <c r="BY33" s="975"/>
      <c r="BZ33" s="975"/>
      <c r="CA33" s="975"/>
      <c r="CB33" s="975"/>
      <c r="CC33" s="975" t="e">
        <v>#NAME?</v>
      </c>
      <c r="CD33" s="975"/>
      <c r="CE33" s="976" t="str">
        <f>MID(SUVAHAVUJ!AF119,1,1)</f>
        <v xml:space="preserve"> </v>
      </c>
      <c r="CF33" s="976"/>
      <c r="CG33" s="976"/>
      <c r="CH33" s="976"/>
      <c r="CI33" s="976"/>
      <c r="CJ33" s="976" t="str">
        <f>MID(SUVAHAVUJ!AF119,2,1)</f>
        <v xml:space="preserve"> </v>
      </c>
      <c r="CK33" s="976"/>
      <c r="CL33" s="976"/>
      <c r="CM33" s="976"/>
      <c r="CN33" s="976"/>
      <c r="CO33" s="976"/>
      <c r="CP33" s="976" t="str">
        <f>MID(SUVAHAVUJ!AF119,3,1)</f>
        <v xml:space="preserve"> </v>
      </c>
      <c r="CQ33" s="976"/>
      <c r="CR33" s="976"/>
      <c r="CS33" s="976"/>
      <c r="CT33" s="976"/>
      <c r="CU33" s="976" t="str">
        <f>MID(SUVAHAVUJ!AF119,4,1)</f>
        <v xml:space="preserve"> </v>
      </c>
      <c r="CV33" s="976"/>
      <c r="CW33" s="976"/>
      <c r="CX33" s="976"/>
      <c r="CY33" s="976"/>
      <c r="CZ33" s="976"/>
      <c r="DA33" s="976" t="str">
        <f>MID(SUVAHAVUJ!AF119,5,1)</f>
        <v xml:space="preserve"> </v>
      </c>
      <c r="DB33" s="976"/>
      <c r="DC33" s="976"/>
      <c r="DD33" s="976"/>
      <c r="DE33" s="976"/>
      <c r="DF33" s="976" t="str">
        <f>MID(SUVAHAVUJ!AF119,6,1)</f>
        <v xml:space="preserve"> </v>
      </c>
      <c r="DG33" s="976"/>
      <c r="DH33" s="976"/>
      <c r="DI33" s="976"/>
      <c r="DJ33" s="976"/>
      <c r="DK33" s="976"/>
      <c r="DL33" s="976" t="str">
        <f>MID(SUVAHAVUJ!AF119,7,1)</f>
        <v xml:space="preserve"> </v>
      </c>
      <c r="DM33" s="976"/>
      <c r="DN33" s="976"/>
      <c r="DO33" s="976"/>
      <c r="DP33" s="976"/>
      <c r="DQ33" s="976"/>
      <c r="DR33" s="976" t="str">
        <f>MID(SUVAHAVUJ!AF119,8,1)</f>
        <v xml:space="preserve"> </v>
      </c>
      <c r="DS33" s="976"/>
      <c r="DT33" s="976"/>
      <c r="DU33" s="976"/>
      <c r="DV33" s="976"/>
      <c r="DW33" s="982" t="str">
        <f>MID(SUVAHAVUJ!AF119,9,1)</f>
        <v xml:space="preserve"> </v>
      </c>
      <c r="DX33" s="982"/>
      <c r="DY33" s="982"/>
      <c r="DZ33" s="982"/>
      <c r="EA33" s="982"/>
      <c r="EB33" s="982"/>
      <c r="EC33" s="982" t="str">
        <f>MID(SUVAHAVUJ!AF119,10,1)</f>
        <v xml:space="preserve"> </v>
      </c>
      <c r="ED33" s="982"/>
      <c r="EE33" s="982"/>
      <c r="EF33" s="982"/>
      <c r="EG33" s="982"/>
      <c r="EH33" s="977" t="str">
        <f>MID(SUVAHAVUJ!AF119,11,1)</f>
        <v>0</v>
      </c>
      <c r="EI33" s="977"/>
      <c r="EJ33" s="977"/>
      <c r="EK33" s="977"/>
      <c r="EL33" s="977"/>
      <c r="EM33" s="977"/>
      <c r="EN33" s="665"/>
      <c r="EO33" s="666"/>
      <c r="EP33" s="976" t="str">
        <f>MID(SUVAHAVUJ!AG119,1,1)</f>
        <v xml:space="preserve"> </v>
      </c>
      <c r="EQ33" s="976"/>
      <c r="ER33" s="976"/>
      <c r="ES33" s="976"/>
      <c r="ET33" s="976"/>
      <c r="EU33" s="976"/>
      <c r="EV33" s="976" t="str">
        <f>MID(SUVAHAVUJ!AG119,2,1)</f>
        <v xml:space="preserve"> </v>
      </c>
      <c r="EW33" s="976"/>
      <c r="EX33" s="976"/>
      <c r="EY33" s="976"/>
      <c r="EZ33" s="976"/>
      <c r="FA33" s="976" t="str">
        <f>MID(SUVAHAVUJ!AG119,3,1)</f>
        <v xml:space="preserve"> </v>
      </c>
      <c r="FB33" s="976"/>
      <c r="FC33" s="976"/>
      <c r="FD33" s="976"/>
      <c r="FE33" s="976"/>
      <c r="FF33" s="976"/>
      <c r="FG33" s="976" t="str">
        <f>MID(SUVAHAVUJ!AG119,4,1)</f>
        <v xml:space="preserve"> </v>
      </c>
      <c r="FH33" s="976"/>
      <c r="FI33" s="976"/>
      <c r="FJ33" s="976"/>
      <c r="FK33" s="976"/>
      <c r="FL33" s="982" t="str">
        <f>MID(SUVAHAVUJ!AG119,5,1)</f>
        <v xml:space="preserve"> </v>
      </c>
      <c r="FM33" s="982"/>
      <c r="FN33" s="982"/>
      <c r="FO33" s="982"/>
      <c r="FP33" s="982"/>
      <c r="FQ33" s="982"/>
      <c r="FR33" s="982" t="str">
        <f>MID(SUVAHAVUJ!AG119,6,1)</f>
        <v xml:space="preserve"> </v>
      </c>
      <c r="FS33" s="982"/>
      <c r="FT33" s="982"/>
      <c r="FU33" s="982"/>
      <c r="FV33" s="982"/>
      <c r="FW33" s="982" t="str">
        <f>MID(SUVAHAVUJ!AG119,7,1)</f>
        <v xml:space="preserve"> </v>
      </c>
      <c r="FX33" s="982"/>
      <c r="FY33" s="982"/>
      <c r="FZ33" s="982"/>
      <c r="GA33" s="982"/>
      <c r="GB33" s="982"/>
      <c r="GC33" s="982" t="str">
        <f>MID(SUVAHAVUJ!AG119,8,1)</f>
        <v xml:space="preserve"> </v>
      </c>
      <c r="GD33" s="982"/>
      <c r="GE33" s="982"/>
      <c r="GF33" s="982"/>
      <c r="GG33" s="982"/>
      <c r="GH33" s="982" t="str">
        <f>MID(SUVAHAVUJ!AG119,9,1)</f>
        <v xml:space="preserve"> </v>
      </c>
      <c r="GI33" s="982"/>
      <c r="GJ33" s="982"/>
      <c r="GK33" s="982"/>
      <c r="GL33" s="982"/>
      <c r="GM33" s="982"/>
      <c r="GN33" s="982" t="str">
        <f>MID(SUVAHAVUJ!AG119,10,1)</f>
        <v xml:space="preserve"> </v>
      </c>
      <c r="GO33" s="982"/>
      <c r="GP33" s="982"/>
      <c r="GQ33" s="982"/>
      <c r="GR33" s="982"/>
      <c r="GS33" s="978" t="str">
        <f>MID(SUVAHAVUJ!AG119,11,1)</f>
        <v>0</v>
      </c>
      <c r="GT33" s="978"/>
      <c r="GU33" s="978"/>
      <c r="GV33" s="978"/>
      <c r="GW33" s="978"/>
    </row>
    <row r="34" spans="1:205" ht="12.75" customHeight="1" x14ac:dyDescent="0.25">
      <c r="A34" s="650"/>
      <c r="B34" s="667"/>
      <c r="C34" s="668"/>
      <c r="D34" s="668"/>
      <c r="E34" s="668"/>
      <c r="F34" s="668"/>
      <c r="G34" s="668"/>
      <c r="H34" s="668"/>
      <c r="I34" s="668"/>
      <c r="J34" s="668"/>
      <c r="K34" s="668"/>
      <c r="L34" s="650"/>
      <c r="M34" s="650"/>
      <c r="N34" s="650"/>
      <c r="O34" s="650"/>
      <c r="P34" s="650"/>
      <c r="Q34" s="650"/>
      <c r="R34" s="650"/>
      <c r="S34" s="650"/>
      <c r="T34" s="650"/>
      <c r="U34" s="650"/>
      <c r="V34" s="650"/>
      <c r="W34" s="650"/>
      <c r="X34" s="650"/>
      <c r="Y34" s="650"/>
      <c r="Z34" s="650"/>
      <c r="AA34" s="650"/>
      <c r="AB34" s="650"/>
      <c r="AC34" s="650"/>
      <c r="AD34" s="650"/>
      <c r="AE34" s="650"/>
      <c r="AF34" s="650"/>
      <c r="AG34" s="650"/>
      <c r="AH34" s="650"/>
      <c r="AI34" s="650"/>
      <c r="AJ34" s="650"/>
      <c r="AK34" s="650"/>
      <c r="AL34" s="650"/>
      <c r="AM34" s="650"/>
      <c r="AN34" s="650"/>
      <c r="AO34" s="650"/>
      <c r="AP34" s="650"/>
      <c r="AQ34" s="650"/>
      <c r="AR34" s="650"/>
      <c r="AS34" s="650"/>
      <c r="AT34" s="650"/>
      <c r="AU34" s="650"/>
      <c r="AV34" s="650"/>
      <c r="AW34" s="650"/>
      <c r="AX34" s="650"/>
      <c r="AY34" s="650"/>
      <c r="AZ34" s="650"/>
      <c r="BA34" s="650"/>
      <c r="BB34" s="650"/>
      <c r="BC34" s="650"/>
      <c r="BD34" s="650"/>
      <c r="BE34" s="650"/>
      <c r="BF34" s="650"/>
      <c r="BG34" s="650"/>
      <c r="BH34" s="650"/>
      <c r="BI34" s="650"/>
      <c r="BJ34" s="650"/>
      <c r="BK34" s="650"/>
      <c r="BL34" s="650"/>
      <c r="BM34" s="650"/>
      <c r="BN34" s="650"/>
      <c r="BO34" s="650"/>
      <c r="BP34" s="650"/>
      <c r="BQ34" s="650"/>
      <c r="BR34" s="650"/>
      <c r="BS34" s="650"/>
      <c r="BT34" s="650"/>
      <c r="BU34" s="650"/>
      <c r="BV34" s="650"/>
      <c r="BW34" s="650"/>
      <c r="BX34" s="650"/>
      <c r="BY34" s="650"/>
      <c r="BZ34" s="650"/>
      <c r="CA34" s="650"/>
      <c r="CB34" s="650"/>
      <c r="CC34" s="650"/>
      <c r="CD34" s="650"/>
      <c r="CE34" s="650"/>
      <c r="CF34" s="650"/>
      <c r="CG34" s="650"/>
      <c r="CH34" s="650"/>
      <c r="CI34" s="650"/>
      <c r="CJ34" s="650"/>
      <c r="CK34" s="650"/>
      <c r="CL34" s="650"/>
      <c r="CM34" s="650"/>
      <c r="CN34" s="650"/>
      <c r="CO34" s="650"/>
      <c r="CP34" s="650"/>
      <c r="CQ34" s="650"/>
      <c r="CR34" s="650"/>
      <c r="CS34" s="650"/>
      <c r="CT34" s="650"/>
      <c r="CU34" s="650"/>
      <c r="CV34" s="650"/>
      <c r="CW34" s="650"/>
      <c r="CX34" s="650"/>
      <c r="CY34" s="650"/>
      <c r="CZ34" s="650"/>
      <c r="DA34" s="650"/>
      <c r="DB34" s="650"/>
      <c r="DC34" s="650"/>
      <c r="DD34" s="650"/>
      <c r="DE34" s="650"/>
      <c r="DF34" s="650"/>
      <c r="DG34" s="650"/>
      <c r="DH34" s="650"/>
      <c r="DI34" s="650"/>
      <c r="DJ34" s="650"/>
      <c r="DK34" s="650"/>
      <c r="DL34" s="650"/>
      <c r="DM34" s="650"/>
      <c r="DN34" s="650"/>
      <c r="DO34" s="650"/>
      <c r="DP34" s="650"/>
      <c r="DQ34" s="650"/>
      <c r="DR34" s="650"/>
      <c r="DS34" s="650"/>
      <c r="DT34" s="650"/>
      <c r="DU34" s="650"/>
      <c r="DV34" s="650"/>
      <c r="DW34" s="650"/>
      <c r="DX34" s="650"/>
      <c r="DY34" s="650"/>
      <c r="DZ34" s="650"/>
      <c r="EA34" s="650"/>
      <c r="EB34" s="650"/>
      <c r="EC34" s="650"/>
      <c r="ED34" s="650"/>
      <c r="EE34" s="650"/>
      <c r="EF34" s="650"/>
      <c r="EG34" s="650"/>
      <c r="EH34" s="650"/>
      <c r="EI34" s="650"/>
      <c r="EJ34" s="650"/>
      <c r="EK34" s="650"/>
      <c r="EL34" s="650"/>
      <c r="EM34" s="650"/>
      <c r="EN34" s="650"/>
      <c r="EO34" s="650"/>
      <c r="EP34" s="650"/>
      <c r="EQ34" s="650"/>
      <c r="ER34" s="650"/>
      <c r="ES34" s="650"/>
      <c r="ET34" s="650"/>
      <c r="EU34" s="650"/>
      <c r="EV34" s="650"/>
      <c r="EW34" s="650"/>
      <c r="EX34" s="650"/>
      <c r="EY34" s="650"/>
      <c r="EZ34" s="650"/>
      <c r="FA34" s="650"/>
      <c r="FB34" s="650"/>
      <c r="FC34" s="650"/>
      <c r="FD34" s="650"/>
      <c r="FE34" s="650"/>
      <c r="FF34" s="650"/>
      <c r="FG34" s="650"/>
      <c r="FH34" s="650"/>
      <c r="FI34" s="650"/>
      <c r="FJ34" s="650"/>
      <c r="FK34" s="650"/>
      <c r="FL34" s="650"/>
      <c r="FM34" s="650"/>
      <c r="FN34" s="650"/>
      <c r="FO34" s="650"/>
      <c r="FP34" s="650"/>
      <c r="FQ34" s="650"/>
      <c r="FR34" s="650"/>
      <c r="FS34" s="650"/>
      <c r="FT34" s="650"/>
      <c r="FU34" s="650"/>
      <c r="FV34" s="650"/>
      <c r="FW34" s="650"/>
      <c r="FX34" s="650"/>
      <c r="FY34" s="650"/>
      <c r="FZ34" s="650"/>
      <c r="GA34" s="650"/>
      <c r="GB34" s="650"/>
      <c r="GC34" s="650"/>
      <c r="GD34" s="650"/>
      <c r="GE34" s="650"/>
      <c r="GF34" s="650"/>
      <c r="GG34" s="650"/>
      <c r="GH34" s="650"/>
      <c r="GI34" s="650"/>
      <c r="GJ34" s="650"/>
      <c r="GK34" s="650"/>
      <c r="GL34" s="650"/>
      <c r="GM34" s="650"/>
      <c r="GN34" s="650"/>
      <c r="GO34" s="650"/>
      <c r="GP34" s="650"/>
      <c r="GQ34" s="668"/>
      <c r="GR34" s="668"/>
      <c r="GS34" s="668"/>
      <c r="GT34" s="668"/>
      <c r="GU34" s="668"/>
      <c r="GV34" s="668"/>
      <c r="GW34" s="669"/>
    </row>
    <row r="35" spans="1:205" ht="9" customHeight="1" x14ac:dyDescent="0.25">
      <c r="B35" s="650"/>
      <c r="C35" s="650"/>
      <c r="D35" s="650"/>
      <c r="E35" s="650"/>
      <c r="F35" s="650"/>
      <c r="G35" s="650"/>
      <c r="H35" s="650"/>
      <c r="I35" s="650"/>
      <c r="J35" s="650"/>
      <c r="K35" s="650"/>
      <c r="L35" s="650"/>
      <c r="M35" s="650"/>
      <c r="N35" s="650"/>
      <c r="O35" s="650"/>
      <c r="P35" s="650"/>
      <c r="Q35" s="650"/>
      <c r="R35" s="650"/>
      <c r="S35" s="650"/>
      <c r="T35" s="650"/>
      <c r="U35" s="650"/>
      <c r="V35" s="650"/>
      <c r="W35" s="650"/>
      <c r="X35" s="650"/>
      <c r="Y35" s="650"/>
      <c r="Z35" s="650"/>
      <c r="AA35" s="650"/>
      <c r="AB35" s="650"/>
      <c r="AC35" s="650"/>
      <c r="AD35" s="650"/>
      <c r="AE35" s="650"/>
      <c r="AF35" s="650"/>
      <c r="AG35" s="650"/>
      <c r="AH35" s="650"/>
      <c r="AI35" s="650"/>
      <c r="AJ35" s="650"/>
      <c r="AK35" s="650"/>
      <c r="AL35" s="650"/>
      <c r="AM35" s="650"/>
      <c r="AN35" s="650"/>
      <c r="AO35" s="650"/>
      <c r="AP35" s="650"/>
      <c r="AQ35" s="650"/>
      <c r="AR35" s="650"/>
      <c r="AS35" s="650"/>
      <c r="AT35" s="650"/>
      <c r="AU35" s="650"/>
      <c r="AV35" s="650"/>
      <c r="AW35" s="650"/>
      <c r="AX35" s="650"/>
      <c r="AY35" s="650"/>
      <c r="AZ35" s="650"/>
      <c r="BA35" s="650"/>
      <c r="BB35" s="650"/>
      <c r="BC35" s="650"/>
      <c r="BD35" s="650"/>
      <c r="BE35" s="650"/>
      <c r="BF35" s="650"/>
      <c r="BG35" s="650"/>
      <c r="BH35" s="650"/>
      <c r="BI35" s="650"/>
      <c r="BJ35" s="650"/>
      <c r="BK35" s="650"/>
      <c r="BL35" s="650"/>
      <c r="BM35" s="650"/>
      <c r="BN35" s="650"/>
      <c r="BO35" s="650"/>
      <c r="BP35" s="650"/>
      <c r="BQ35" s="650"/>
      <c r="BR35" s="650"/>
      <c r="BS35" s="650"/>
      <c r="BT35" s="650"/>
      <c r="BU35" s="650"/>
      <c r="BV35" s="650"/>
      <c r="BW35" s="650"/>
      <c r="BX35" s="650"/>
      <c r="BY35" s="650"/>
      <c r="BZ35" s="650"/>
      <c r="CA35" s="650"/>
      <c r="CB35" s="650"/>
      <c r="CC35" s="650"/>
      <c r="CD35" s="650"/>
      <c r="CE35" s="650"/>
      <c r="CF35" s="650"/>
      <c r="CG35" s="650"/>
      <c r="CH35" s="650"/>
      <c r="CI35" s="650"/>
      <c r="CJ35" s="650"/>
      <c r="CK35" s="650"/>
      <c r="CL35" s="650"/>
      <c r="CM35" s="650"/>
      <c r="CN35" s="650"/>
      <c r="CO35" s="650"/>
      <c r="CP35" s="650"/>
      <c r="CQ35" s="650"/>
      <c r="CR35" s="650"/>
      <c r="CS35" s="650"/>
      <c r="CT35" s="650"/>
      <c r="CU35" s="650"/>
      <c r="CV35" s="650"/>
      <c r="CW35" s="650"/>
      <c r="CX35" s="650"/>
      <c r="CY35" s="650"/>
      <c r="CZ35" s="650"/>
      <c r="DA35" s="650"/>
      <c r="DB35" s="650"/>
      <c r="DC35" s="650"/>
      <c r="DD35" s="650"/>
      <c r="DE35" s="650"/>
      <c r="DF35" s="650"/>
      <c r="DG35" s="650"/>
      <c r="DH35" s="650"/>
      <c r="DI35" s="650"/>
      <c r="DJ35" s="650"/>
      <c r="DK35" s="650"/>
      <c r="DL35" s="650"/>
      <c r="DM35" s="650"/>
      <c r="DN35" s="650"/>
      <c r="DO35" s="650"/>
      <c r="DP35" s="650"/>
      <c r="DQ35" s="650"/>
      <c r="DR35" s="650"/>
      <c r="DS35" s="650"/>
      <c r="DT35" s="650"/>
      <c r="DU35" s="650"/>
      <c r="DV35" s="650"/>
      <c r="DW35" s="650"/>
      <c r="DX35" s="650"/>
      <c r="DY35" s="650"/>
      <c r="DZ35" s="650"/>
      <c r="EA35" s="650"/>
      <c r="EB35" s="650"/>
      <c r="EC35" s="650"/>
      <c r="ED35" s="650"/>
      <c r="EE35" s="650"/>
      <c r="EF35" s="650"/>
      <c r="EG35" s="650"/>
      <c r="EH35" s="650"/>
      <c r="EI35" s="650"/>
      <c r="EJ35" s="650"/>
      <c r="EK35" s="650"/>
      <c r="EL35" s="650"/>
      <c r="EM35" s="650"/>
      <c r="EN35" s="650"/>
      <c r="EO35" s="650"/>
      <c r="EP35" s="650"/>
      <c r="EQ35" s="650"/>
      <c r="ER35" s="650"/>
      <c r="ES35" s="650"/>
      <c r="ET35" s="650"/>
      <c r="EU35" s="650"/>
      <c r="EV35" s="650"/>
      <c r="EW35" s="650"/>
      <c r="EX35" s="650"/>
      <c r="EY35" s="650"/>
      <c r="EZ35" s="650"/>
      <c r="FA35" s="650"/>
      <c r="FB35" s="650"/>
      <c r="FC35" s="650"/>
      <c r="FD35" s="650"/>
      <c r="FE35" s="650"/>
      <c r="FF35" s="650"/>
      <c r="FG35" s="650"/>
      <c r="FH35" s="650"/>
      <c r="FI35" s="650"/>
      <c r="FJ35" s="650"/>
      <c r="FK35" s="650"/>
      <c r="FL35" s="650"/>
      <c r="FM35" s="650"/>
      <c r="FN35" s="650"/>
      <c r="FO35" s="650"/>
      <c r="FP35" s="650"/>
      <c r="FQ35" s="650"/>
      <c r="FR35" s="650"/>
      <c r="FS35" s="650"/>
      <c r="FT35" s="650"/>
      <c r="FU35" s="650"/>
      <c r="FV35" s="650"/>
      <c r="FW35" s="650"/>
      <c r="FX35" s="650"/>
      <c r="FY35" s="650"/>
      <c r="FZ35" s="650"/>
      <c r="GA35" s="650"/>
      <c r="GB35" s="650"/>
      <c r="GC35" s="650"/>
      <c r="GD35" s="650"/>
      <c r="GE35" s="650"/>
      <c r="GF35" s="650"/>
      <c r="GG35" s="650"/>
      <c r="GH35" s="650"/>
      <c r="GI35" s="650"/>
      <c r="GJ35" s="650"/>
      <c r="GK35" s="650"/>
      <c r="GL35" s="650"/>
      <c r="GM35" s="650"/>
      <c r="GN35" s="650"/>
      <c r="GO35" s="650"/>
      <c r="GP35" s="650"/>
      <c r="GQ35" s="650"/>
      <c r="GR35" s="650"/>
      <c r="GS35" s="650"/>
      <c r="GT35" s="650"/>
      <c r="GU35" s="650"/>
    </row>
    <row r="36" spans="1:205" ht="3.75" customHeight="1" x14ac:dyDescent="0.25">
      <c r="B36" s="650"/>
      <c r="C36" s="650"/>
      <c r="D36" s="650"/>
      <c r="E36" s="650"/>
      <c r="F36" s="650"/>
      <c r="G36" s="650"/>
      <c r="H36" s="650"/>
      <c r="I36" s="650"/>
      <c r="J36" s="650"/>
      <c r="K36" s="650"/>
      <c r="L36" s="650"/>
      <c r="M36" s="650"/>
      <c r="N36" s="650"/>
      <c r="O36" s="650"/>
      <c r="P36" s="650"/>
      <c r="Q36" s="650"/>
      <c r="R36" s="650"/>
      <c r="S36" s="650"/>
      <c r="T36" s="650"/>
      <c r="U36" s="650"/>
      <c r="V36" s="650"/>
      <c r="W36" s="650"/>
      <c r="X36" s="650"/>
      <c r="Y36" s="650"/>
      <c r="Z36" s="650"/>
      <c r="AA36" s="650"/>
      <c r="AB36" s="650"/>
      <c r="AC36" s="650"/>
      <c r="AD36" s="650"/>
      <c r="AE36" s="650"/>
      <c r="AF36" s="650"/>
      <c r="AG36" s="650"/>
      <c r="AH36" s="650"/>
      <c r="AI36" s="650"/>
      <c r="AJ36" s="650"/>
      <c r="AK36" s="650"/>
      <c r="AL36" s="650"/>
      <c r="AM36" s="650"/>
      <c r="AN36" s="650"/>
      <c r="AO36" s="650"/>
      <c r="AP36" s="650"/>
      <c r="AQ36" s="650"/>
      <c r="AR36" s="650"/>
      <c r="AS36" s="650"/>
      <c r="AT36" s="650"/>
      <c r="AU36" s="650"/>
      <c r="AV36" s="650"/>
      <c r="AW36" s="650"/>
      <c r="AX36" s="650"/>
      <c r="AY36" s="650"/>
      <c r="AZ36" s="650"/>
      <c r="BA36" s="650"/>
      <c r="BB36" s="650"/>
      <c r="BC36" s="650"/>
      <c r="BD36" s="650"/>
      <c r="BE36" s="650"/>
      <c r="BF36" s="650"/>
      <c r="BG36" s="650"/>
      <c r="BH36" s="650"/>
      <c r="BI36" s="650"/>
      <c r="BJ36" s="650"/>
      <c r="BK36" s="650"/>
      <c r="BL36" s="650"/>
      <c r="BM36" s="650"/>
      <c r="BN36" s="650"/>
      <c r="BO36" s="650"/>
      <c r="BP36" s="650"/>
      <c r="BQ36" s="650"/>
      <c r="BR36" s="650"/>
      <c r="BS36" s="650"/>
      <c r="BT36" s="650"/>
      <c r="BU36" s="650"/>
      <c r="BV36" s="650"/>
      <c r="BW36" s="650"/>
      <c r="BX36" s="650"/>
      <c r="BY36" s="650"/>
      <c r="BZ36" s="650"/>
      <c r="CA36" s="650"/>
      <c r="CB36" s="650"/>
      <c r="CC36" s="650"/>
      <c r="CD36" s="650"/>
      <c r="CE36" s="650"/>
      <c r="CF36" s="650"/>
      <c r="CG36" s="650"/>
      <c r="CH36" s="650"/>
      <c r="CI36" s="650"/>
      <c r="CJ36" s="650"/>
      <c r="CK36" s="650"/>
      <c r="CL36" s="650"/>
      <c r="CM36" s="650"/>
      <c r="CN36" s="650"/>
      <c r="CO36" s="650"/>
      <c r="CP36" s="650"/>
      <c r="CQ36" s="650"/>
      <c r="CR36" s="650"/>
      <c r="CS36" s="650"/>
      <c r="CT36" s="650"/>
      <c r="CU36" s="650"/>
      <c r="CV36" s="650"/>
      <c r="CW36" s="650"/>
      <c r="CX36" s="650"/>
      <c r="CY36" s="650"/>
      <c r="CZ36" s="650"/>
      <c r="DA36" s="650"/>
      <c r="DB36" s="650"/>
      <c r="DC36" s="650"/>
      <c r="DD36" s="650"/>
      <c r="DE36" s="650"/>
      <c r="DF36" s="650"/>
      <c r="DG36" s="650"/>
      <c r="DH36" s="650"/>
      <c r="DI36" s="650"/>
      <c r="DJ36" s="650"/>
      <c r="DK36" s="650"/>
      <c r="DL36" s="650"/>
      <c r="DM36" s="650"/>
      <c r="DN36" s="650"/>
      <c r="DO36" s="650"/>
      <c r="DP36" s="650"/>
      <c r="DQ36" s="650"/>
      <c r="DR36" s="650"/>
      <c r="DS36" s="650"/>
      <c r="DT36" s="650"/>
      <c r="DU36" s="650"/>
      <c r="DV36" s="650"/>
      <c r="DW36" s="650"/>
      <c r="DX36" s="650"/>
      <c r="DY36" s="650"/>
      <c r="DZ36" s="650"/>
      <c r="EA36" s="650"/>
      <c r="EB36" s="650"/>
      <c r="EC36" s="650"/>
      <c r="ED36" s="650"/>
      <c r="EE36" s="650"/>
      <c r="EF36" s="650"/>
      <c r="EG36" s="650"/>
      <c r="EH36" s="650"/>
      <c r="EI36" s="650"/>
      <c r="EJ36" s="650"/>
      <c r="EK36" s="650"/>
      <c r="EL36" s="650"/>
      <c r="EM36" s="650"/>
      <c r="EN36" s="650"/>
      <c r="EO36" s="650"/>
      <c r="EP36" s="650"/>
      <c r="EQ36" s="650"/>
      <c r="ER36" s="650"/>
      <c r="ES36" s="650"/>
      <c r="ET36" s="650"/>
      <c r="EU36" s="650"/>
      <c r="EV36" s="650"/>
      <c r="EW36" s="650"/>
      <c r="EX36" s="650"/>
      <c r="EY36" s="650"/>
      <c r="EZ36" s="650"/>
      <c r="FA36" s="650"/>
      <c r="FB36" s="650"/>
      <c r="FC36" s="650"/>
      <c r="FD36" s="650"/>
      <c r="FE36" s="650"/>
      <c r="FF36" s="650"/>
      <c r="FG36" s="650"/>
      <c r="FH36" s="650"/>
      <c r="FI36" s="650"/>
      <c r="FJ36" s="650"/>
      <c r="FK36" s="650"/>
      <c r="FL36" s="650"/>
      <c r="FM36" s="650"/>
      <c r="FN36" s="650"/>
      <c r="FO36" s="650"/>
      <c r="FP36" s="650"/>
      <c r="FQ36" s="650"/>
      <c r="FR36" s="650"/>
      <c r="FS36" s="650"/>
      <c r="FT36" s="650"/>
      <c r="FU36" s="650"/>
      <c r="FV36" s="650"/>
      <c r="FW36" s="650"/>
      <c r="FX36" s="650"/>
      <c r="FY36" s="650"/>
      <c r="FZ36" s="650"/>
      <c r="GA36" s="650"/>
      <c r="GB36" s="650"/>
      <c r="GC36" s="650"/>
      <c r="GD36" s="650"/>
      <c r="GE36" s="650"/>
      <c r="GF36" s="650"/>
      <c r="GG36" s="650"/>
      <c r="GH36" s="650"/>
      <c r="GI36" s="650"/>
      <c r="GJ36" s="650"/>
      <c r="GK36" s="650"/>
      <c r="GL36" s="650"/>
      <c r="GM36" s="650"/>
      <c r="GN36" s="650"/>
      <c r="GO36" s="650"/>
      <c r="GP36" s="650"/>
      <c r="GQ36" s="650"/>
      <c r="GR36" s="650"/>
      <c r="GS36" s="650"/>
      <c r="GT36" s="650"/>
      <c r="GU36" s="650"/>
    </row>
    <row r="37" spans="1:205" ht="3.75" customHeight="1" x14ac:dyDescent="0.25"/>
    <row r="38" spans="1:205" ht="3.75" customHeight="1" x14ac:dyDescent="0.25"/>
    <row r="39" spans="1:205" ht="3.75" customHeight="1" x14ac:dyDescent="0.25"/>
    <row r="40" spans="1:205" ht="3.75" customHeight="1" x14ac:dyDescent="0.25"/>
    <row r="41" spans="1:205" ht="3.75" customHeight="1" x14ac:dyDescent="0.25"/>
    <row r="42" spans="1:205" ht="3.75" customHeight="1" x14ac:dyDescent="0.25"/>
    <row r="43" spans="1:205" ht="3.75" customHeight="1" x14ac:dyDescent="0.25"/>
    <row r="44" spans="1:205" ht="3.75" customHeight="1" x14ac:dyDescent="0.25"/>
    <row r="45" spans="1:205" ht="3.75" customHeight="1" x14ac:dyDescent="0.25"/>
    <row r="46" spans="1:205" ht="3.75" customHeight="1" x14ac:dyDescent="0.25"/>
    <row r="47" spans="1:205" ht="3.75" customHeight="1" x14ac:dyDescent="0.25"/>
    <row r="48" spans="1:205" ht="3.75" customHeight="1" x14ac:dyDescent="0.25"/>
    <row r="49" spans="43:43" ht="3.75" customHeight="1" x14ac:dyDescent="0.25"/>
    <row r="50" spans="43:43" ht="3.75" customHeight="1" x14ac:dyDescent="0.25"/>
    <row r="51" spans="43:43" ht="3.75" customHeight="1" x14ac:dyDescent="0.25"/>
    <row r="52" spans="43:43" ht="3.75" customHeight="1" x14ac:dyDescent="0.25">
      <c r="AQ52" s="659">
        <v>57</v>
      </c>
    </row>
    <row r="53" spans="43:43" ht="3.75" customHeight="1" x14ac:dyDescent="0.25"/>
    <row r="54" spans="43:43" ht="3.75" customHeight="1" x14ac:dyDescent="0.25"/>
    <row r="55" spans="43:43" ht="3.75" customHeight="1" x14ac:dyDescent="0.25"/>
    <row r="56" spans="43:43" ht="3.75" customHeight="1" x14ac:dyDescent="0.25"/>
    <row r="57" spans="43:43" ht="3.75" customHeight="1" x14ac:dyDescent="0.25"/>
    <row r="58" spans="43:43" ht="3.75" customHeight="1" x14ac:dyDescent="0.25"/>
    <row r="59" spans="43:43" ht="3.75" customHeight="1" x14ac:dyDescent="0.25"/>
    <row r="60" spans="43:43" ht="3.75" customHeight="1" x14ac:dyDescent="0.25"/>
    <row r="61" spans="43:43" ht="3.75" customHeight="1" x14ac:dyDescent="0.25"/>
    <row r="62" spans="43:43" ht="3.75" customHeight="1" x14ac:dyDescent="0.25"/>
    <row r="63" spans="43:43" ht="3.75" customHeight="1" x14ac:dyDescent="0.25"/>
    <row r="64" spans="43:43" ht="3.75" customHeight="1" x14ac:dyDescent="0.25"/>
    <row r="65" ht="3.75" customHeight="1" x14ac:dyDescent="0.25"/>
    <row r="66" ht="3.75" customHeight="1" x14ac:dyDescent="0.25"/>
    <row r="67" ht="3.75" customHeight="1" x14ac:dyDescent="0.25"/>
    <row r="68" ht="3.75" customHeight="1" x14ac:dyDescent="0.25"/>
    <row r="69" ht="3.75" customHeight="1" x14ac:dyDescent="0.25"/>
    <row r="70" ht="3.75" customHeight="1" x14ac:dyDescent="0.25"/>
    <row r="71" ht="3.75" customHeight="1" x14ac:dyDescent="0.25"/>
    <row r="72" ht="3.75" customHeight="1" x14ac:dyDescent="0.25"/>
    <row r="73" ht="3.75" customHeight="1" x14ac:dyDescent="0.25"/>
    <row r="74" ht="3.75" customHeight="1" x14ac:dyDescent="0.25"/>
    <row r="75" ht="3.75" customHeight="1" x14ac:dyDescent="0.25"/>
    <row r="76" ht="3.75" customHeight="1" x14ac:dyDescent="0.25"/>
    <row r="77" ht="3.75" customHeight="1" x14ac:dyDescent="0.25"/>
    <row r="78" ht="3.75" customHeight="1" x14ac:dyDescent="0.25"/>
    <row r="79" ht="3.75" customHeight="1" x14ac:dyDescent="0.25"/>
    <row r="80" ht="3.75" customHeight="1" x14ac:dyDescent="0.25"/>
    <row r="81" ht="3.75" customHeight="1" x14ac:dyDescent="0.25"/>
    <row r="82" ht="3.75" customHeight="1" x14ac:dyDescent="0.25"/>
    <row r="83" ht="3.75" customHeight="1" x14ac:dyDescent="0.25"/>
    <row r="84" ht="3.75" customHeight="1" x14ac:dyDescent="0.25"/>
    <row r="85" ht="3.75" customHeight="1" x14ac:dyDescent="0.25"/>
    <row r="86" ht="3.75" customHeight="1" x14ac:dyDescent="0.25"/>
    <row r="87" ht="3.75" customHeight="1" x14ac:dyDescent="0.25"/>
    <row r="88" ht="3.75" customHeight="1" x14ac:dyDescent="0.25"/>
    <row r="89" ht="3.75" customHeight="1" x14ac:dyDescent="0.25"/>
    <row r="90" ht="3.75" customHeight="1" x14ac:dyDescent="0.25"/>
    <row r="91" ht="3.75" customHeight="1" x14ac:dyDescent="0.25"/>
    <row r="92" ht="3.75" customHeight="1" x14ac:dyDescent="0.25"/>
    <row r="93" ht="3.75" customHeight="1" x14ac:dyDescent="0.25"/>
    <row r="94" ht="3.75" customHeight="1" x14ac:dyDescent="0.25"/>
    <row r="95" ht="3.75" customHeight="1" x14ac:dyDescent="0.25"/>
    <row r="96" ht="3.75" customHeight="1" x14ac:dyDescent="0.25"/>
    <row r="97" ht="3.75" customHeight="1" x14ac:dyDescent="0.25"/>
    <row r="98" ht="3.75" customHeight="1" x14ac:dyDescent="0.25"/>
    <row r="99" ht="3.75" customHeight="1" x14ac:dyDescent="0.25"/>
    <row r="100" ht="3.75" customHeight="1" x14ac:dyDescent="0.25"/>
    <row r="101" ht="3.75" customHeight="1" x14ac:dyDescent="0.25"/>
    <row r="102" ht="3.75" customHeight="1" x14ac:dyDescent="0.25"/>
    <row r="103" ht="3.75" customHeight="1" x14ac:dyDescent="0.25"/>
    <row r="104" ht="3.75" customHeight="1" x14ac:dyDescent="0.25"/>
    <row r="105" ht="3.75" customHeight="1" x14ac:dyDescent="0.25"/>
    <row r="106" ht="3.75" customHeight="1" x14ac:dyDescent="0.25"/>
    <row r="107" ht="3.75" customHeight="1" x14ac:dyDescent="0.25"/>
    <row r="108" ht="3.75" customHeight="1" x14ac:dyDescent="0.25"/>
    <row r="109" ht="3.75" customHeight="1" x14ac:dyDescent="0.25"/>
    <row r="110" ht="3.75" customHeight="1" x14ac:dyDescent="0.25"/>
    <row r="111" ht="3.75" customHeight="1" x14ac:dyDescent="0.25"/>
    <row r="112" ht="3.75" customHeight="1" x14ac:dyDescent="0.25"/>
    <row r="113" ht="3.75" customHeight="1" x14ac:dyDescent="0.25"/>
    <row r="114" ht="3.75" customHeight="1" x14ac:dyDescent="0.25"/>
    <row r="115" ht="3.75" customHeight="1" x14ac:dyDescent="0.25"/>
    <row r="116" ht="3.75" customHeight="1" x14ac:dyDescent="0.25"/>
    <row r="117" ht="3.75" customHeight="1" x14ac:dyDescent="0.25"/>
    <row r="118" ht="3.75" customHeight="1" x14ac:dyDescent="0.25"/>
    <row r="119" ht="3.75" customHeight="1" x14ac:dyDescent="0.25"/>
    <row r="120" ht="3.75" customHeight="1" x14ac:dyDescent="0.25"/>
    <row r="121" ht="3.75" customHeight="1" x14ac:dyDescent="0.25"/>
    <row r="122" ht="3.75" customHeight="1" x14ac:dyDescent="0.25"/>
    <row r="123" ht="3.75" customHeight="1" x14ac:dyDescent="0.25"/>
    <row r="124" ht="3.75" customHeight="1" x14ac:dyDescent="0.25"/>
    <row r="125" ht="3.75" customHeight="1" x14ac:dyDescent="0.25"/>
    <row r="126" ht="3.75" customHeight="1" x14ac:dyDescent="0.25"/>
    <row r="127" ht="3.75" customHeight="1" x14ac:dyDescent="0.25"/>
    <row r="128" ht="3.75" customHeight="1" x14ac:dyDescent="0.25"/>
    <row r="129" ht="3.75" customHeight="1" x14ac:dyDescent="0.25"/>
    <row r="130" ht="3.75" customHeight="1" x14ac:dyDescent="0.25"/>
    <row r="131" ht="3.75" customHeight="1" x14ac:dyDescent="0.25"/>
    <row r="132" ht="3.75" customHeight="1" x14ac:dyDescent="0.25"/>
    <row r="133" ht="3.75" customHeight="1" x14ac:dyDescent="0.25"/>
    <row r="134" ht="3.75" customHeight="1" x14ac:dyDescent="0.25"/>
    <row r="135" ht="3.75" customHeight="1" x14ac:dyDescent="0.25"/>
    <row r="136" ht="3.75" customHeight="1" x14ac:dyDescent="0.25"/>
    <row r="137" ht="3.75" customHeight="1" x14ac:dyDescent="0.25"/>
    <row r="138" ht="3.75" customHeight="1" x14ac:dyDescent="0.25"/>
    <row r="139" ht="3.75" customHeight="1" x14ac:dyDescent="0.25"/>
    <row r="140" ht="3.75" customHeight="1" x14ac:dyDescent="0.25"/>
    <row r="141" ht="3.75" customHeight="1" x14ac:dyDescent="0.25"/>
    <row r="142" ht="3.75" customHeight="1" x14ac:dyDescent="0.25"/>
    <row r="143" ht="3.75" customHeight="1" x14ac:dyDescent="0.25"/>
    <row r="144" ht="3.75" customHeight="1" x14ac:dyDescent="0.25"/>
    <row r="145" spans="10:10" ht="3.75" customHeight="1" x14ac:dyDescent="0.25"/>
    <row r="146" spans="10:10" ht="3.75" customHeight="1" x14ac:dyDescent="0.25"/>
    <row r="147" spans="10:10" ht="3.75" customHeight="1" x14ac:dyDescent="0.25">
      <c r="J147" s="659">
        <v>33</v>
      </c>
    </row>
  </sheetData>
  <mergeCells count="733">
    <mergeCell ref="FL33:FQ33"/>
    <mergeCell ref="FR33:FV33"/>
    <mergeCell ref="FW33:GB33"/>
    <mergeCell ref="GC33:GG33"/>
    <mergeCell ref="GH33:GM33"/>
    <mergeCell ref="GN33:GR33"/>
    <mergeCell ref="GS33:GW33"/>
    <mergeCell ref="DL33:DQ33"/>
    <mergeCell ref="DR33:DV33"/>
    <mergeCell ref="DW33:EB33"/>
    <mergeCell ref="EC33:EG33"/>
    <mergeCell ref="EH33:EM33"/>
    <mergeCell ref="EP33:EU33"/>
    <mergeCell ref="EV33:EZ33"/>
    <mergeCell ref="FA33:FF33"/>
    <mergeCell ref="FG33:FK33"/>
    <mergeCell ref="B33:K33"/>
    <mergeCell ref="L33:BV33"/>
    <mergeCell ref="BW33:CD33"/>
    <mergeCell ref="CE33:CI33"/>
    <mergeCell ref="CJ33:CO33"/>
    <mergeCell ref="CP33:CT33"/>
    <mergeCell ref="CU33:CZ33"/>
    <mergeCell ref="DA33:DE33"/>
    <mergeCell ref="DF33:DK33"/>
    <mergeCell ref="FA32:FF32"/>
    <mergeCell ref="FG32:FK32"/>
    <mergeCell ref="FL32:FQ32"/>
    <mergeCell ref="FR32:FV32"/>
    <mergeCell ref="FW32:GB32"/>
    <mergeCell ref="GC32:GG32"/>
    <mergeCell ref="GH32:GM32"/>
    <mergeCell ref="GN32:GR32"/>
    <mergeCell ref="GS32:GW32"/>
    <mergeCell ref="FG31:FK31"/>
    <mergeCell ref="FL31:FQ31"/>
    <mergeCell ref="FR31:FV31"/>
    <mergeCell ref="FW31:GB31"/>
    <mergeCell ref="GC31:GG31"/>
    <mergeCell ref="GH31:GM31"/>
    <mergeCell ref="GN31:GR31"/>
    <mergeCell ref="GS31:GW31"/>
    <mergeCell ref="B32:K32"/>
    <mergeCell ref="L32:BV32"/>
    <mergeCell ref="BW32:CD32"/>
    <mergeCell ref="CE32:CI32"/>
    <mergeCell ref="CJ32:CO32"/>
    <mergeCell ref="CP32:CT32"/>
    <mergeCell ref="CU32:CZ32"/>
    <mergeCell ref="DA32:DE32"/>
    <mergeCell ref="DF32:DK32"/>
    <mergeCell ref="DL32:DQ32"/>
    <mergeCell ref="DR32:DV32"/>
    <mergeCell ref="DW32:EB32"/>
    <mergeCell ref="EC32:EG32"/>
    <mergeCell ref="EH32:EM32"/>
    <mergeCell ref="EP32:EU32"/>
    <mergeCell ref="EV32:EZ32"/>
    <mergeCell ref="FL30:FQ30"/>
    <mergeCell ref="FR30:FV30"/>
    <mergeCell ref="FW30:GB30"/>
    <mergeCell ref="GC30:GG30"/>
    <mergeCell ref="GH30:GM30"/>
    <mergeCell ref="GN30:GR30"/>
    <mergeCell ref="GS30:GW30"/>
    <mergeCell ref="B31:K31"/>
    <mergeCell ref="L31:BV31"/>
    <mergeCell ref="BW31:CD31"/>
    <mergeCell ref="CE31:CI31"/>
    <mergeCell ref="CJ31:CO31"/>
    <mergeCell ref="CP31:CT31"/>
    <mergeCell ref="CU31:CZ31"/>
    <mergeCell ref="DA31:DE31"/>
    <mergeCell ref="DF31:DK31"/>
    <mergeCell ref="DL31:DQ31"/>
    <mergeCell ref="DR31:DV31"/>
    <mergeCell ref="DW31:EB31"/>
    <mergeCell ref="EC31:EG31"/>
    <mergeCell ref="EH31:EM31"/>
    <mergeCell ref="EP31:EU31"/>
    <mergeCell ref="EV31:EZ31"/>
    <mergeCell ref="FA31:FF31"/>
    <mergeCell ref="DL30:DQ30"/>
    <mergeCell ref="DR30:DV30"/>
    <mergeCell ref="DW30:EB30"/>
    <mergeCell ref="EC30:EG30"/>
    <mergeCell ref="EH30:EM30"/>
    <mergeCell ref="EP30:EU30"/>
    <mergeCell ref="EV30:EZ30"/>
    <mergeCell ref="FA30:FF30"/>
    <mergeCell ref="FG30:FK30"/>
    <mergeCell ref="B30:K30"/>
    <mergeCell ref="L30:BV30"/>
    <mergeCell ref="BW30:CD30"/>
    <mergeCell ref="CE30:CI30"/>
    <mergeCell ref="CJ30:CO30"/>
    <mergeCell ref="CP30:CT30"/>
    <mergeCell ref="CU30:CZ30"/>
    <mergeCell ref="DA30:DE30"/>
    <mergeCell ref="DF30:DK30"/>
    <mergeCell ref="FA29:FF29"/>
    <mergeCell ref="FG29:FK29"/>
    <mergeCell ref="FL29:FQ29"/>
    <mergeCell ref="FR29:FV29"/>
    <mergeCell ref="FW29:GB29"/>
    <mergeCell ref="GC29:GG29"/>
    <mergeCell ref="GH29:GM29"/>
    <mergeCell ref="GN29:GR29"/>
    <mergeCell ref="GS29:GW29"/>
    <mergeCell ref="FG28:FK28"/>
    <mergeCell ref="FL28:FQ28"/>
    <mergeCell ref="FR28:FV28"/>
    <mergeCell ref="FW28:GB28"/>
    <mergeCell ref="GC28:GG28"/>
    <mergeCell ref="GH28:GM28"/>
    <mergeCell ref="GN28:GR28"/>
    <mergeCell ref="GS28:GW28"/>
    <mergeCell ref="B29:K29"/>
    <mergeCell ref="L29:BV29"/>
    <mergeCell ref="BW29:CD29"/>
    <mergeCell ref="CE29:CI29"/>
    <mergeCell ref="CJ29:CO29"/>
    <mergeCell ref="CP29:CT29"/>
    <mergeCell ref="CU29:CZ29"/>
    <mergeCell ref="DA29:DE29"/>
    <mergeCell ref="DF29:DK29"/>
    <mergeCell ref="DL29:DQ29"/>
    <mergeCell ref="DR29:DV29"/>
    <mergeCell ref="DW29:EB29"/>
    <mergeCell ref="EC29:EG29"/>
    <mergeCell ref="EH29:EM29"/>
    <mergeCell ref="EP29:EU29"/>
    <mergeCell ref="EV29:EZ29"/>
    <mergeCell ref="FL27:FQ27"/>
    <mergeCell ref="FR27:FV27"/>
    <mergeCell ref="FW27:GB27"/>
    <mergeCell ref="GC27:GG27"/>
    <mergeCell ref="GH27:GM27"/>
    <mergeCell ref="GN27:GR27"/>
    <mergeCell ref="GS27:GW27"/>
    <mergeCell ref="B28:K28"/>
    <mergeCell ref="L28:BV28"/>
    <mergeCell ref="BW28:CD28"/>
    <mergeCell ref="CE28:CI28"/>
    <mergeCell ref="CJ28:CO28"/>
    <mergeCell ref="CP28:CT28"/>
    <mergeCell ref="CU28:CZ28"/>
    <mergeCell ref="DA28:DE28"/>
    <mergeCell ref="DF28:DK28"/>
    <mergeCell ref="DL28:DQ28"/>
    <mergeCell ref="DR28:DV28"/>
    <mergeCell ref="DW28:EB28"/>
    <mergeCell ref="EC28:EG28"/>
    <mergeCell ref="EH28:EM28"/>
    <mergeCell ref="EP28:EU28"/>
    <mergeCell ref="EV28:EZ28"/>
    <mergeCell ref="FA28:FF28"/>
    <mergeCell ref="DL27:DQ27"/>
    <mergeCell ref="DR27:DV27"/>
    <mergeCell ref="DW27:EB27"/>
    <mergeCell ref="EC27:EG27"/>
    <mergeCell ref="EH27:EM27"/>
    <mergeCell ref="EP27:EU27"/>
    <mergeCell ref="EV27:EZ27"/>
    <mergeCell ref="FA27:FF27"/>
    <mergeCell ref="FG27:FK27"/>
    <mergeCell ref="B27:K27"/>
    <mergeCell ref="L27:BV27"/>
    <mergeCell ref="BW27:CD27"/>
    <mergeCell ref="CE27:CI27"/>
    <mergeCell ref="CJ27:CO27"/>
    <mergeCell ref="CP27:CT27"/>
    <mergeCell ref="CU27:CZ27"/>
    <mergeCell ref="DA27:DE27"/>
    <mergeCell ref="DF27:DK27"/>
    <mergeCell ref="FA26:FF26"/>
    <mergeCell ref="FG26:FK26"/>
    <mergeCell ref="FL26:FQ26"/>
    <mergeCell ref="FR26:FV26"/>
    <mergeCell ref="FW26:GB26"/>
    <mergeCell ref="GC26:GG26"/>
    <mergeCell ref="GH26:GM26"/>
    <mergeCell ref="GN26:GR26"/>
    <mergeCell ref="GS26:GW26"/>
    <mergeCell ref="FG25:FK25"/>
    <mergeCell ref="FL25:FQ25"/>
    <mergeCell ref="FR25:FV25"/>
    <mergeCell ref="FW25:GB25"/>
    <mergeCell ref="GC25:GG25"/>
    <mergeCell ref="GH25:GM25"/>
    <mergeCell ref="GN25:GR25"/>
    <mergeCell ref="GS25:GW25"/>
    <mergeCell ref="B26:K26"/>
    <mergeCell ref="L26:BV26"/>
    <mergeCell ref="BW26:CD26"/>
    <mergeCell ref="CE26:CI26"/>
    <mergeCell ref="CJ26:CO26"/>
    <mergeCell ref="CP26:CT26"/>
    <mergeCell ref="CU26:CZ26"/>
    <mergeCell ref="DA26:DE26"/>
    <mergeCell ref="DF26:DK26"/>
    <mergeCell ref="DL26:DQ26"/>
    <mergeCell ref="DR26:DV26"/>
    <mergeCell ref="DW26:EB26"/>
    <mergeCell ref="EC26:EG26"/>
    <mergeCell ref="EH26:EM26"/>
    <mergeCell ref="EP26:EU26"/>
    <mergeCell ref="EV26:EZ26"/>
    <mergeCell ref="FL24:FQ24"/>
    <mergeCell ref="FR24:FV24"/>
    <mergeCell ref="FW24:GB24"/>
    <mergeCell ref="GC24:GG24"/>
    <mergeCell ref="GH24:GM24"/>
    <mergeCell ref="GN24:GR24"/>
    <mergeCell ref="GS24:GW24"/>
    <mergeCell ref="B25:K25"/>
    <mergeCell ref="L25:BV25"/>
    <mergeCell ref="BW25:CD25"/>
    <mergeCell ref="CE25:CI25"/>
    <mergeCell ref="CJ25:CO25"/>
    <mergeCell ref="CP25:CT25"/>
    <mergeCell ref="CU25:CZ25"/>
    <mergeCell ref="DA25:DE25"/>
    <mergeCell ref="DF25:DK25"/>
    <mergeCell ref="DL25:DQ25"/>
    <mergeCell ref="DR25:DV25"/>
    <mergeCell ref="DW25:EB25"/>
    <mergeCell ref="EC25:EG25"/>
    <mergeCell ref="EH25:EM25"/>
    <mergeCell ref="EP25:EU25"/>
    <mergeCell ref="EV25:EZ25"/>
    <mergeCell ref="FA25:FF25"/>
    <mergeCell ref="DL24:DQ24"/>
    <mergeCell ref="DR24:DV24"/>
    <mergeCell ref="DW24:EB24"/>
    <mergeCell ref="EC24:EG24"/>
    <mergeCell ref="EH24:EM24"/>
    <mergeCell ref="EP24:EU24"/>
    <mergeCell ref="EV24:EZ24"/>
    <mergeCell ref="FA24:FF24"/>
    <mergeCell ref="FG24:FK24"/>
    <mergeCell ref="B24:K24"/>
    <mergeCell ref="L24:BV24"/>
    <mergeCell ref="BW24:CD24"/>
    <mergeCell ref="CE24:CI24"/>
    <mergeCell ref="CJ24:CO24"/>
    <mergeCell ref="CP24:CT24"/>
    <mergeCell ref="CU24:CZ24"/>
    <mergeCell ref="DA24:DE24"/>
    <mergeCell ref="DF24:DK24"/>
    <mergeCell ref="FA23:FF23"/>
    <mergeCell ref="FG23:FK23"/>
    <mergeCell ref="FL23:FQ23"/>
    <mergeCell ref="FR23:FV23"/>
    <mergeCell ref="FW23:GB23"/>
    <mergeCell ref="GC23:GG23"/>
    <mergeCell ref="GH23:GM23"/>
    <mergeCell ref="GN23:GR23"/>
    <mergeCell ref="GS23:GW23"/>
    <mergeCell ref="FG22:FK22"/>
    <mergeCell ref="FL22:FQ22"/>
    <mergeCell ref="FR22:FV22"/>
    <mergeCell ref="FW22:GB22"/>
    <mergeCell ref="GC22:GG22"/>
    <mergeCell ref="GH22:GM22"/>
    <mergeCell ref="GN22:GR22"/>
    <mergeCell ref="GS22:GW22"/>
    <mergeCell ref="B23:K23"/>
    <mergeCell ref="L23:BV23"/>
    <mergeCell ref="BW23:CD23"/>
    <mergeCell ref="CE23:CI23"/>
    <mergeCell ref="CJ23:CO23"/>
    <mergeCell ref="CP23:CT23"/>
    <mergeCell ref="CU23:CZ23"/>
    <mergeCell ref="DA23:DE23"/>
    <mergeCell ref="DF23:DK23"/>
    <mergeCell ref="DL23:DQ23"/>
    <mergeCell ref="DR23:DV23"/>
    <mergeCell ref="DW23:EB23"/>
    <mergeCell ref="EC23:EG23"/>
    <mergeCell ref="EH23:EM23"/>
    <mergeCell ref="EP23:EU23"/>
    <mergeCell ref="EV23:EZ23"/>
    <mergeCell ref="FL21:FQ21"/>
    <mergeCell ref="FR21:FV21"/>
    <mergeCell ref="FW21:GB21"/>
    <mergeCell ref="GC21:GG21"/>
    <mergeCell ref="GH21:GM21"/>
    <mergeCell ref="GN21:GR21"/>
    <mergeCell ref="GS21:GW21"/>
    <mergeCell ref="B22:K22"/>
    <mergeCell ref="L22:BV22"/>
    <mergeCell ref="BW22:CD22"/>
    <mergeCell ref="CE22:CI22"/>
    <mergeCell ref="CJ22:CO22"/>
    <mergeCell ref="CP22:CT22"/>
    <mergeCell ref="CU22:CZ22"/>
    <mergeCell ref="DA22:DE22"/>
    <mergeCell ref="DF22:DK22"/>
    <mergeCell ref="DL22:DQ22"/>
    <mergeCell ref="DR22:DV22"/>
    <mergeCell ref="DW22:EB22"/>
    <mergeCell ref="EC22:EG22"/>
    <mergeCell ref="EH22:EM22"/>
    <mergeCell ref="EP22:EU22"/>
    <mergeCell ref="EV22:EZ22"/>
    <mergeCell ref="FA22:FF22"/>
    <mergeCell ref="DL21:DQ21"/>
    <mergeCell ref="DR21:DV21"/>
    <mergeCell ref="DW21:EB21"/>
    <mergeCell ref="EC21:EG21"/>
    <mergeCell ref="EH21:EM21"/>
    <mergeCell ref="EP21:EU21"/>
    <mergeCell ref="EV21:EZ21"/>
    <mergeCell ref="FA21:FF21"/>
    <mergeCell ref="FG21:FK21"/>
    <mergeCell ref="B21:K21"/>
    <mergeCell ref="L21:BV21"/>
    <mergeCell ref="BW21:CD21"/>
    <mergeCell ref="CE21:CI21"/>
    <mergeCell ref="CJ21:CO21"/>
    <mergeCell ref="CP21:CT21"/>
    <mergeCell ref="CU21:CZ21"/>
    <mergeCell ref="DA21:DE21"/>
    <mergeCell ref="DF21:DK21"/>
    <mergeCell ref="FA20:FF20"/>
    <mergeCell ref="FG20:FK20"/>
    <mergeCell ref="FL20:FQ20"/>
    <mergeCell ref="FR20:FV20"/>
    <mergeCell ref="FW20:GB20"/>
    <mergeCell ref="GC20:GG20"/>
    <mergeCell ref="GH20:GM20"/>
    <mergeCell ref="GN20:GR20"/>
    <mergeCell ref="GS20:GW20"/>
    <mergeCell ref="FG19:FK19"/>
    <mergeCell ref="FL19:FQ19"/>
    <mergeCell ref="FR19:FV19"/>
    <mergeCell ref="FW19:GB19"/>
    <mergeCell ref="GC19:GG19"/>
    <mergeCell ref="GH19:GM19"/>
    <mergeCell ref="GN19:GR19"/>
    <mergeCell ref="GS19:GW19"/>
    <mergeCell ref="B20:K20"/>
    <mergeCell ref="L20:BV20"/>
    <mergeCell ref="BW20:CD20"/>
    <mergeCell ref="CE20:CI20"/>
    <mergeCell ref="CJ20:CO20"/>
    <mergeCell ref="CP20:CT20"/>
    <mergeCell ref="CU20:CZ20"/>
    <mergeCell ref="DA20:DE20"/>
    <mergeCell ref="DF20:DK20"/>
    <mergeCell ref="DL20:DQ20"/>
    <mergeCell ref="DR20:DV20"/>
    <mergeCell ref="DW20:EB20"/>
    <mergeCell ref="EC20:EG20"/>
    <mergeCell ref="EH20:EM20"/>
    <mergeCell ref="EP20:EU20"/>
    <mergeCell ref="EV20:EZ20"/>
    <mergeCell ref="FL18:FQ18"/>
    <mergeCell ref="FR18:FV18"/>
    <mergeCell ref="FW18:GB18"/>
    <mergeCell ref="GC18:GG18"/>
    <mergeCell ref="GH18:GM18"/>
    <mergeCell ref="GN18:GR18"/>
    <mergeCell ref="GS18:GW18"/>
    <mergeCell ref="B19:K19"/>
    <mergeCell ref="L19:BV19"/>
    <mergeCell ref="BW19:CD19"/>
    <mergeCell ref="CE19:CI19"/>
    <mergeCell ref="CJ19:CO19"/>
    <mergeCell ref="CP19:CT19"/>
    <mergeCell ref="CU19:CZ19"/>
    <mergeCell ref="DA19:DE19"/>
    <mergeCell ref="DF19:DK19"/>
    <mergeCell ref="DL19:DQ19"/>
    <mergeCell ref="DR19:DV19"/>
    <mergeCell ref="DW19:EB19"/>
    <mergeCell ref="EC19:EG19"/>
    <mergeCell ref="EH19:EM19"/>
    <mergeCell ref="EP19:EU19"/>
    <mergeCell ref="EV19:EZ19"/>
    <mergeCell ref="FA19:FF19"/>
    <mergeCell ref="DL18:DQ18"/>
    <mergeCell ref="DR18:DV18"/>
    <mergeCell ref="DW18:EB18"/>
    <mergeCell ref="EC18:EG18"/>
    <mergeCell ref="EH18:EM18"/>
    <mergeCell ref="EP18:EU18"/>
    <mergeCell ref="EV18:EZ18"/>
    <mergeCell ref="FA18:FF18"/>
    <mergeCell ref="FG18:FK18"/>
    <mergeCell ref="B18:K18"/>
    <mergeCell ref="L18:BV18"/>
    <mergeCell ref="BW18:CD18"/>
    <mergeCell ref="CE18:CI18"/>
    <mergeCell ref="CJ18:CO18"/>
    <mergeCell ref="CP18:CT18"/>
    <mergeCell ref="CU18:CZ18"/>
    <mergeCell ref="DA18:DE18"/>
    <mergeCell ref="DF18:DK18"/>
    <mergeCell ref="FA17:FF17"/>
    <mergeCell ref="FG17:FK17"/>
    <mergeCell ref="FL17:FQ17"/>
    <mergeCell ref="FR17:FV17"/>
    <mergeCell ref="FW17:GB17"/>
    <mergeCell ref="GC17:GG17"/>
    <mergeCell ref="GH17:GM17"/>
    <mergeCell ref="GN17:GR17"/>
    <mergeCell ref="GS17:GW17"/>
    <mergeCell ref="FG16:FK16"/>
    <mergeCell ref="FL16:FQ16"/>
    <mergeCell ref="FR16:FV16"/>
    <mergeCell ref="FW16:GB16"/>
    <mergeCell ref="GC16:GG16"/>
    <mergeCell ref="GH16:GM16"/>
    <mergeCell ref="GN16:GR16"/>
    <mergeCell ref="GS16:GW16"/>
    <mergeCell ref="B17:K17"/>
    <mergeCell ref="L17:BV17"/>
    <mergeCell ref="BW17:CD17"/>
    <mergeCell ref="CE17:CI17"/>
    <mergeCell ref="CJ17:CO17"/>
    <mergeCell ref="CP17:CT17"/>
    <mergeCell ref="CU17:CZ17"/>
    <mergeCell ref="DA17:DE17"/>
    <mergeCell ref="DF17:DK17"/>
    <mergeCell ref="DL17:DQ17"/>
    <mergeCell ref="DR17:DV17"/>
    <mergeCell ref="DW17:EB17"/>
    <mergeCell ref="EC17:EG17"/>
    <mergeCell ref="EH17:EM17"/>
    <mergeCell ref="EP17:EU17"/>
    <mergeCell ref="EV17:EZ17"/>
    <mergeCell ref="FL15:FQ15"/>
    <mergeCell ref="FR15:FV15"/>
    <mergeCell ref="FW15:GB15"/>
    <mergeCell ref="GC15:GG15"/>
    <mergeCell ref="GH15:GM15"/>
    <mergeCell ref="GN15:GR15"/>
    <mergeCell ref="GS15:GW15"/>
    <mergeCell ref="B16:K16"/>
    <mergeCell ref="L16:BV16"/>
    <mergeCell ref="BW16:CD16"/>
    <mergeCell ref="CE16:CI16"/>
    <mergeCell ref="CJ16:CO16"/>
    <mergeCell ref="CP16:CT16"/>
    <mergeCell ref="CU16:CZ16"/>
    <mergeCell ref="DA16:DE16"/>
    <mergeCell ref="DF16:DK16"/>
    <mergeCell ref="DL16:DQ16"/>
    <mergeCell ref="DR16:DV16"/>
    <mergeCell ref="DW16:EB16"/>
    <mergeCell ref="EC16:EG16"/>
    <mergeCell ref="EH16:EM16"/>
    <mergeCell ref="EP16:EU16"/>
    <mergeCell ref="EV16:EZ16"/>
    <mergeCell ref="FA16:FF16"/>
    <mergeCell ref="DL15:DQ15"/>
    <mergeCell ref="DR15:DV15"/>
    <mergeCell ref="DW15:EB15"/>
    <mergeCell ref="EC15:EG15"/>
    <mergeCell ref="EH15:EM15"/>
    <mergeCell ref="EP15:EU15"/>
    <mergeCell ref="EV15:EZ15"/>
    <mergeCell ref="FA15:FF15"/>
    <mergeCell ref="FG15:FK15"/>
    <mergeCell ref="B15:K15"/>
    <mergeCell ref="L15:BV15"/>
    <mergeCell ref="BW15:CD15"/>
    <mergeCell ref="CE15:CI15"/>
    <mergeCell ref="CJ15:CO15"/>
    <mergeCell ref="CP15:CT15"/>
    <mergeCell ref="CU15:CZ15"/>
    <mergeCell ref="DA15:DE15"/>
    <mergeCell ref="DF15:DK15"/>
    <mergeCell ref="FA14:FF14"/>
    <mergeCell ref="FG14:FK14"/>
    <mergeCell ref="FL14:FQ14"/>
    <mergeCell ref="FR14:FV14"/>
    <mergeCell ref="FW14:GB14"/>
    <mergeCell ref="GC14:GG14"/>
    <mergeCell ref="GH14:GM14"/>
    <mergeCell ref="GN14:GR14"/>
    <mergeCell ref="GS14:GW14"/>
    <mergeCell ref="FG13:FK13"/>
    <mergeCell ref="FL13:FQ13"/>
    <mergeCell ref="FR13:FV13"/>
    <mergeCell ref="FW13:GB13"/>
    <mergeCell ref="GC13:GG13"/>
    <mergeCell ref="GH13:GM13"/>
    <mergeCell ref="GN13:GR13"/>
    <mergeCell ref="GS13:GW13"/>
    <mergeCell ref="B14:K14"/>
    <mergeCell ref="L14:BV14"/>
    <mergeCell ref="BW14:CD14"/>
    <mergeCell ref="CE14:CI14"/>
    <mergeCell ref="CJ14:CO14"/>
    <mergeCell ref="CP14:CT14"/>
    <mergeCell ref="CU14:CZ14"/>
    <mergeCell ref="DA14:DE14"/>
    <mergeCell ref="DF14:DK14"/>
    <mergeCell ref="DL14:DQ14"/>
    <mergeCell ref="DR14:DV14"/>
    <mergeCell ref="DW14:EB14"/>
    <mergeCell ref="EC14:EG14"/>
    <mergeCell ref="EH14:EM14"/>
    <mergeCell ref="EP14:EU14"/>
    <mergeCell ref="EV14:EZ14"/>
    <mergeCell ref="FL12:FQ12"/>
    <mergeCell ref="FR12:FV12"/>
    <mergeCell ref="FW12:GB12"/>
    <mergeCell ref="GC12:GG12"/>
    <mergeCell ref="GH12:GM12"/>
    <mergeCell ref="GN12:GR12"/>
    <mergeCell ref="GS12:GW12"/>
    <mergeCell ref="B13:K13"/>
    <mergeCell ref="L13:BV13"/>
    <mergeCell ref="BW13:CD13"/>
    <mergeCell ref="CE13:CI13"/>
    <mergeCell ref="CJ13:CO13"/>
    <mergeCell ref="CP13:CT13"/>
    <mergeCell ref="CU13:CZ13"/>
    <mergeCell ref="DA13:DE13"/>
    <mergeCell ref="DF13:DK13"/>
    <mergeCell ref="DL13:DQ13"/>
    <mergeCell ref="DR13:DV13"/>
    <mergeCell ref="DW13:EB13"/>
    <mergeCell ref="EC13:EG13"/>
    <mergeCell ref="EH13:EM13"/>
    <mergeCell ref="EP13:EU13"/>
    <mergeCell ref="EV13:EZ13"/>
    <mergeCell ref="FA13:FF13"/>
    <mergeCell ref="DL12:DQ12"/>
    <mergeCell ref="DR12:DV12"/>
    <mergeCell ref="DW12:EB12"/>
    <mergeCell ref="EC12:EG12"/>
    <mergeCell ref="EH12:EM12"/>
    <mergeCell ref="EP12:EU12"/>
    <mergeCell ref="EV12:EZ12"/>
    <mergeCell ref="FA12:FF12"/>
    <mergeCell ref="FG12:FK12"/>
    <mergeCell ref="B12:K12"/>
    <mergeCell ref="L12:BV12"/>
    <mergeCell ref="BW12:CD12"/>
    <mergeCell ref="CE12:CI12"/>
    <mergeCell ref="CJ12:CO12"/>
    <mergeCell ref="CP12:CT12"/>
    <mergeCell ref="CU12:CZ12"/>
    <mergeCell ref="DA12:DE12"/>
    <mergeCell ref="DF12:DK12"/>
    <mergeCell ref="FA11:FF11"/>
    <mergeCell ref="FG11:FK11"/>
    <mergeCell ref="FL11:FQ11"/>
    <mergeCell ref="FR11:FV11"/>
    <mergeCell ref="FW11:GB11"/>
    <mergeCell ref="GC11:GG11"/>
    <mergeCell ref="GH11:GM11"/>
    <mergeCell ref="GN11:GR11"/>
    <mergeCell ref="GS11:GW11"/>
    <mergeCell ref="FG10:FK10"/>
    <mergeCell ref="FL10:FQ10"/>
    <mergeCell ref="FR10:FV10"/>
    <mergeCell ref="FW10:GB10"/>
    <mergeCell ref="GC10:GG10"/>
    <mergeCell ref="GH10:GM10"/>
    <mergeCell ref="GN10:GR10"/>
    <mergeCell ref="GS10:GW10"/>
    <mergeCell ref="B11:K11"/>
    <mergeCell ref="L11:BV11"/>
    <mergeCell ref="BW11:CD11"/>
    <mergeCell ref="CE11:CI11"/>
    <mergeCell ref="CJ11:CO11"/>
    <mergeCell ref="CP11:CT11"/>
    <mergeCell ref="CU11:CZ11"/>
    <mergeCell ref="DA11:DE11"/>
    <mergeCell ref="DF11:DK11"/>
    <mergeCell ref="DL11:DQ11"/>
    <mergeCell ref="DR11:DV11"/>
    <mergeCell ref="DW11:EB11"/>
    <mergeCell ref="EC11:EG11"/>
    <mergeCell ref="EH11:EM11"/>
    <mergeCell ref="EP11:EU11"/>
    <mergeCell ref="EV11:EZ11"/>
    <mergeCell ref="FL9:FQ9"/>
    <mergeCell ref="FR9:FV9"/>
    <mergeCell ref="FW9:GB9"/>
    <mergeCell ref="GC9:GG9"/>
    <mergeCell ref="GH9:GM9"/>
    <mergeCell ref="GN9:GR9"/>
    <mergeCell ref="GS9:GW9"/>
    <mergeCell ref="B10:K10"/>
    <mergeCell ref="L10:BV10"/>
    <mergeCell ref="BW10:CD10"/>
    <mergeCell ref="CE10:CI10"/>
    <mergeCell ref="CJ10:CO10"/>
    <mergeCell ref="CP10:CT10"/>
    <mergeCell ref="CU10:CZ10"/>
    <mergeCell ref="DA10:DE10"/>
    <mergeCell ref="DF10:DK10"/>
    <mergeCell ref="DL10:DQ10"/>
    <mergeCell ref="DR10:DV10"/>
    <mergeCell ref="DW10:EB10"/>
    <mergeCell ref="EC10:EG10"/>
    <mergeCell ref="EH10:EM10"/>
    <mergeCell ref="EP10:EU10"/>
    <mergeCell ref="EV10:EZ10"/>
    <mergeCell ref="FA10:FF10"/>
    <mergeCell ref="DL9:DQ9"/>
    <mergeCell ref="DR9:DV9"/>
    <mergeCell ref="DW9:EB9"/>
    <mergeCell ref="EC9:EG9"/>
    <mergeCell ref="EH9:EM9"/>
    <mergeCell ref="EP9:EU9"/>
    <mergeCell ref="EV9:EZ9"/>
    <mergeCell ref="FA9:FF9"/>
    <mergeCell ref="FG9:FK9"/>
    <mergeCell ref="B9:K9"/>
    <mergeCell ref="L9:BV9"/>
    <mergeCell ref="BW9:CD9"/>
    <mergeCell ref="CE9:CI9"/>
    <mergeCell ref="CJ9:CO9"/>
    <mergeCell ref="CP9:CT9"/>
    <mergeCell ref="CU9:CZ9"/>
    <mergeCell ref="DA9:DE9"/>
    <mergeCell ref="DF9:DK9"/>
    <mergeCell ref="FA8:FF8"/>
    <mergeCell ref="FG8:FK8"/>
    <mergeCell ref="FL8:FQ8"/>
    <mergeCell ref="FR8:FV8"/>
    <mergeCell ref="FW8:GB8"/>
    <mergeCell ref="GC8:GG8"/>
    <mergeCell ref="GH8:GM8"/>
    <mergeCell ref="GN8:GR8"/>
    <mergeCell ref="GS8:GW8"/>
    <mergeCell ref="FG7:FK7"/>
    <mergeCell ref="FL7:FQ7"/>
    <mergeCell ref="FR7:FV7"/>
    <mergeCell ref="FW7:GB7"/>
    <mergeCell ref="GC7:GG7"/>
    <mergeCell ref="GH7:GM7"/>
    <mergeCell ref="GN7:GR7"/>
    <mergeCell ref="GS7:GW7"/>
    <mergeCell ref="B8:K8"/>
    <mergeCell ref="L8:BV8"/>
    <mergeCell ref="BW8:CD8"/>
    <mergeCell ref="CE8:CI8"/>
    <mergeCell ref="CJ8:CO8"/>
    <mergeCell ref="CP8:CT8"/>
    <mergeCell ref="CU8:CZ8"/>
    <mergeCell ref="DA8:DE8"/>
    <mergeCell ref="DF8:DK8"/>
    <mergeCell ref="DL8:DQ8"/>
    <mergeCell ref="DR8:DV8"/>
    <mergeCell ref="DW8:EB8"/>
    <mergeCell ref="EC8:EG8"/>
    <mergeCell ref="EH8:EM8"/>
    <mergeCell ref="EP8:EU8"/>
    <mergeCell ref="EV8:EZ8"/>
    <mergeCell ref="FL6:FQ6"/>
    <mergeCell ref="FR6:FV6"/>
    <mergeCell ref="FW6:GB6"/>
    <mergeCell ref="GC6:GG6"/>
    <mergeCell ref="GH6:GM6"/>
    <mergeCell ref="GN6:GR6"/>
    <mergeCell ref="GS6:GW6"/>
    <mergeCell ref="B7:K7"/>
    <mergeCell ref="L7:BV7"/>
    <mergeCell ref="BW7:CD7"/>
    <mergeCell ref="CE7:CI7"/>
    <mergeCell ref="CJ7:CO7"/>
    <mergeCell ref="CP7:CT7"/>
    <mergeCell ref="CU7:CZ7"/>
    <mergeCell ref="DA7:DE7"/>
    <mergeCell ref="DF7:DK7"/>
    <mergeCell ref="DL7:DQ7"/>
    <mergeCell ref="DR7:DV7"/>
    <mergeCell ref="DW7:EB7"/>
    <mergeCell ref="EC7:EG7"/>
    <mergeCell ref="EH7:EM7"/>
    <mergeCell ref="EP7:EU7"/>
    <mergeCell ref="EV7:EZ7"/>
    <mergeCell ref="FA7:FF7"/>
    <mergeCell ref="DL6:DQ6"/>
    <mergeCell ref="DR6:DV6"/>
    <mergeCell ref="DW6:EB6"/>
    <mergeCell ref="EC6:EG6"/>
    <mergeCell ref="EH6:EM6"/>
    <mergeCell ref="EP6:EU6"/>
    <mergeCell ref="EV6:EZ6"/>
    <mergeCell ref="FA6:FF6"/>
    <mergeCell ref="FG6:FK6"/>
    <mergeCell ref="B6:K6"/>
    <mergeCell ref="L6:BV6"/>
    <mergeCell ref="BW6:CD6"/>
    <mergeCell ref="CE6:CI6"/>
    <mergeCell ref="CJ6:CO6"/>
    <mergeCell ref="CP6:CT6"/>
    <mergeCell ref="CU6:CZ6"/>
    <mergeCell ref="DA6:DE6"/>
    <mergeCell ref="DF6:DK6"/>
    <mergeCell ref="EY4:FC4"/>
    <mergeCell ref="FD4:FI4"/>
    <mergeCell ref="FJ4:FN4"/>
    <mergeCell ref="FO4:FS4"/>
    <mergeCell ref="FT4:GW4"/>
    <mergeCell ref="B5:K5"/>
    <mergeCell ref="L5:BV5"/>
    <mergeCell ref="BW5:CD5"/>
    <mergeCell ref="CE5:EM5"/>
    <mergeCell ref="EN5:GW5"/>
    <mergeCell ref="J2:AJ2"/>
    <mergeCell ref="AK2:AR2"/>
    <mergeCell ref="AT2:CS2"/>
    <mergeCell ref="CW2:DC2"/>
    <mergeCell ref="DE2:EU2"/>
    <mergeCell ref="BA4:BF4"/>
    <mergeCell ref="BG4:BK4"/>
    <mergeCell ref="BL4:BQ4"/>
    <mergeCell ref="BR4:BV4"/>
    <mergeCell ref="BW4:CB4"/>
    <mergeCell ref="CC4:CG4"/>
    <mergeCell ref="CH4:CM4"/>
    <mergeCell ref="CN4:CR4"/>
    <mergeCell ref="CS4:CX4"/>
    <mergeCell ref="CY4:DC4"/>
    <mergeCell ref="DD4:DI4"/>
    <mergeCell ref="DL4:DQ4"/>
    <mergeCell ref="DR4:DV4"/>
    <mergeCell ref="DW4:EB4"/>
    <mergeCell ref="EC4:EG4"/>
    <mergeCell ref="EH4:EM4"/>
    <mergeCell ref="EN4:ER4"/>
    <mergeCell ref="ES4:EX4"/>
  </mergeCells>
  <pageMargins left="0.70833333333333304" right="0.70833333333333304" top="0.78749999999999998" bottom="0.78749999999999998" header="0.51180555555555496" footer="0.51180555555555496"/>
  <pageSetup paperSize="9" firstPageNumber="0" orientation="portrait" horizontalDpi="300" verticalDpi="300"/>
  <rowBreaks count="1" manualBreakCount="1">
    <brk id="34" max="16383" man="1"/>
  </rowBreaks>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Normal="100" workbookViewId="0"/>
  </sheetViews>
  <sheetFormatPr defaultRowHeight="15" x14ac:dyDescent="0.25"/>
  <cols>
    <col min="1" max="1025" width="0.42578125" customWidth="1"/>
  </cols>
  <sheetData>
    <row r="1" spans="1:205" ht="3.75" customHeight="1" x14ac:dyDescent="0.25">
      <c r="A1" s="642"/>
    </row>
    <row r="2" spans="1:205" ht="25.5" customHeight="1" x14ac:dyDescent="0.25">
      <c r="B2" s="643"/>
      <c r="C2" s="644"/>
      <c r="D2" s="644"/>
      <c r="E2" s="644"/>
      <c r="F2" s="644"/>
      <c r="G2" s="644"/>
      <c r="H2" s="644"/>
      <c r="J2" s="957" t="s">
        <v>5352</v>
      </c>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J2" s="957"/>
      <c r="AK2" s="958" t="s">
        <v>2327</v>
      </c>
      <c r="AL2" s="958"/>
      <c r="AM2" s="958"/>
      <c r="AN2" s="958"/>
      <c r="AO2" s="958"/>
      <c r="AP2" s="958"/>
      <c r="AQ2" s="958"/>
      <c r="AR2" s="958"/>
      <c r="AS2" s="645"/>
      <c r="AT2" s="986" t="str">
        <f>'S 002'!$AT$2</f>
        <v>2020473411</v>
      </c>
      <c r="AU2" s="986"/>
      <c r="AV2" s="986"/>
      <c r="AW2" s="986"/>
      <c r="AX2" s="986"/>
      <c r="AY2" s="986"/>
      <c r="AZ2" s="986"/>
      <c r="BA2" s="986"/>
      <c r="BB2" s="986"/>
      <c r="BC2" s="986"/>
      <c r="BD2" s="986"/>
      <c r="BE2" s="986"/>
      <c r="BF2" s="986"/>
      <c r="BG2" s="986"/>
      <c r="BH2" s="986"/>
      <c r="BI2" s="986"/>
      <c r="BJ2" s="986"/>
      <c r="BK2" s="986"/>
      <c r="BL2" s="986"/>
      <c r="BM2" s="986"/>
      <c r="BN2" s="986"/>
      <c r="BO2" s="986"/>
      <c r="BP2" s="986"/>
      <c r="BQ2" s="986"/>
      <c r="BR2" s="986"/>
      <c r="BS2" s="986"/>
      <c r="BT2" s="986"/>
      <c r="BU2" s="986"/>
      <c r="BV2" s="986"/>
      <c r="BW2" s="986"/>
      <c r="BX2" s="986"/>
      <c r="BY2" s="986"/>
      <c r="BZ2" s="986"/>
      <c r="CA2" s="986"/>
      <c r="CB2" s="986"/>
      <c r="CC2" s="986"/>
      <c r="CD2" s="986"/>
      <c r="CE2" s="986"/>
      <c r="CF2" s="986"/>
      <c r="CG2" s="986"/>
      <c r="CH2" s="986"/>
      <c r="CI2" s="986"/>
      <c r="CJ2" s="986"/>
      <c r="CK2" s="986"/>
      <c r="CL2" s="986"/>
      <c r="CM2" s="986"/>
      <c r="CN2" s="986"/>
      <c r="CO2" s="986"/>
      <c r="CP2" s="986"/>
      <c r="CQ2" s="986"/>
      <c r="CR2" s="986"/>
      <c r="CS2" s="986"/>
      <c r="CT2" s="645"/>
      <c r="CU2" s="646"/>
      <c r="CW2" s="958" t="s">
        <v>5</v>
      </c>
      <c r="CX2" s="958"/>
      <c r="CY2" s="958"/>
      <c r="CZ2" s="958"/>
      <c r="DA2" s="958"/>
      <c r="DB2" s="958"/>
      <c r="DC2" s="958"/>
      <c r="DD2" s="645"/>
      <c r="DE2" s="986" t="str">
        <f>'S 002'!$DE$2</f>
        <v>00651052</v>
      </c>
      <c r="DF2" s="986"/>
      <c r="DG2" s="986"/>
      <c r="DH2" s="986"/>
      <c r="DI2" s="986"/>
      <c r="DJ2" s="986"/>
      <c r="DK2" s="986"/>
      <c r="DL2" s="986"/>
      <c r="DM2" s="986"/>
      <c r="DN2" s="986"/>
      <c r="DO2" s="986"/>
      <c r="DP2" s="986"/>
      <c r="DQ2" s="986"/>
      <c r="DR2" s="986"/>
      <c r="DS2" s="986"/>
      <c r="DT2" s="986"/>
      <c r="DU2" s="986"/>
      <c r="DV2" s="986"/>
      <c r="DW2" s="986"/>
      <c r="DX2" s="986"/>
      <c r="DY2" s="986"/>
      <c r="DZ2" s="986"/>
      <c r="EA2" s="986"/>
      <c r="EB2" s="986"/>
      <c r="EC2" s="986"/>
      <c r="ED2" s="986"/>
      <c r="EE2" s="986"/>
      <c r="EF2" s="986"/>
      <c r="EG2" s="986"/>
      <c r="EH2" s="986"/>
      <c r="EI2" s="986"/>
      <c r="EJ2" s="986"/>
      <c r="EK2" s="986"/>
      <c r="EL2" s="986"/>
      <c r="EM2" s="986"/>
      <c r="EN2" s="986"/>
      <c r="EO2" s="986"/>
      <c r="EP2" s="986"/>
      <c r="EQ2" s="986"/>
      <c r="ER2" s="986"/>
      <c r="ES2" s="986"/>
      <c r="ET2" s="986"/>
      <c r="EU2" s="986"/>
      <c r="EV2" s="645"/>
      <c r="EW2" s="646"/>
      <c r="GQ2" s="644"/>
      <c r="GR2" s="644"/>
      <c r="GS2" s="644"/>
      <c r="GT2" s="644"/>
      <c r="GU2" s="644"/>
      <c r="GV2" s="644"/>
      <c r="GW2" s="647"/>
    </row>
    <row r="3" spans="1:205" ht="3" customHeight="1" x14ac:dyDescent="0.25"/>
    <row r="4" spans="1:205" s="650" customFormat="1" ht="2.25" customHeight="1" x14ac:dyDescent="0.3">
      <c r="B4" s="670"/>
      <c r="C4" s="670"/>
      <c r="D4" s="670"/>
      <c r="E4" s="670"/>
      <c r="F4" s="670"/>
      <c r="G4" s="670"/>
      <c r="H4" s="670"/>
      <c r="I4" s="670"/>
      <c r="J4" s="670"/>
      <c r="K4" s="670"/>
      <c r="L4" s="671"/>
      <c r="M4" s="672"/>
      <c r="N4" s="672"/>
      <c r="O4" s="672"/>
      <c r="P4" s="672"/>
      <c r="Q4" s="672"/>
      <c r="R4" s="672"/>
      <c r="S4" s="672"/>
      <c r="T4" s="672"/>
      <c r="U4" s="672"/>
      <c r="V4" s="672"/>
      <c r="W4" s="672"/>
      <c r="X4" s="672"/>
      <c r="Y4" s="672"/>
      <c r="Z4" s="672"/>
      <c r="AA4" s="672"/>
      <c r="AB4" s="672"/>
      <c r="AC4" s="672"/>
      <c r="AD4" s="672"/>
      <c r="AE4" s="672"/>
      <c r="AF4" s="672"/>
      <c r="AG4" s="672"/>
      <c r="AH4" s="672"/>
      <c r="AI4" s="672"/>
      <c r="AJ4" s="672"/>
      <c r="AK4" s="672"/>
      <c r="AL4" s="672"/>
      <c r="AM4" s="672"/>
      <c r="AN4" s="672"/>
      <c r="AO4" s="672"/>
      <c r="AP4" s="672"/>
      <c r="AQ4" s="673"/>
      <c r="AR4" s="673"/>
      <c r="AS4" s="673"/>
      <c r="AT4" s="673"/>
      <c r="AU4" s="673"/>
      <c r="AV4" s="673"/>
      <c r="AW4" s="673"/>
      <c r="AX4" s="673"/>
      <c r="AY4" s="674"/>
      <c r="AZ4" s="664"/>
      <c r="BA4" s="995"/>
      <c r="BB4" s="995"/>
      <c r="BC4" s="995"/>
      <c r="BD4" s="995"/>
      <c r="BE4" s="995"/>
      <c r="BF4" s="995"/>
      <c r="BG4" s="995"/>
      <c r="BH4" s="995"/>
      <c r="BI4" s="995"/>
      <c r="BJ4" s="995"/>
      <c r="BK4" s="995"/>
      <c r="BL4" s="995"/>
      <c r="BM4" s="995"/>
      <c r="BN4" s="995"/>
      <c r="BO4" s="995"/>
      <c r="BP4" s="995"/>
      <c r="BQ4" s="995"/>
      <c r="BR4" s="995"/>
      <c r="BS4" s="995"/>
      <c r="BT4" s="995"/>
      <c r="BU4" s="995"/>
      <c r="BV4" s="995"/>
      <c r="BW4" s="995"/>
      <c r="BX4" s="995"/>
      <c r="BY4" s="995"/>
      <c r="BZ4" s="995"/>
      <c r="CA4" s="995"/>
      <c r="CB4" s="995"/>
      <c r="CC4" s="995"/>
      <c r="CD4" s="995"/>
      <c r="CE4" s="995"/>
      <c r="CF4" s="995"/>
      <c r="CG4" s="995"/>
      <c r="CH4" s="995"/>
      <c r="CI4" s="995"/>
      <c r="CJ4" s="995"/>
      <c r="CK4" s="995"/>
      <c r="CL4" s="995"/>
      <c r="CM4" s="995"/>
      <c r="CN4" s="995"/>
      <c r="CO4" s="995"/>
      <c r="CP4" s="995"/>
      <c r="CQ4" s="995"/>
      <c r="CR4" s="995"/>
      <c r="CS4" s="995"/>
      <c r="CT4" s="995"/>
      <c r="CU4" s="995"/>
      <c r="CV4" s="995"/>
      <c r="CW4" s="995"/>
      <c r="CX4" s="995"/>
      <c r="CY4" s="995"/>
      <c r="CZ4" s="995"/>
      <c r="DA4" s="995"/>
      <c r="DB4" s="995"/>
      <c r="DC4" s="995"/>
      <c r="DD4" s="1006"/>
      <c r="DE4" s="1006"/>
      <c r="DF4" s="1006"/>
      <c r="DG4" s="1006"/>
      <c r="DH4" s="1006"/>
      <c r="DI4" s="1006"/>
      <c r="DJ4" s="674"/>
      <c r="DK4" s="664"/>
      <c r="DL4" s="995"/>
      <c r="DM4" s="995"/>
      <c r="DN4" s="995"/>
      <c r="DO4" s="995"/>
      <c r="DP4" s="995"/>
      <c r="DQ4" s="995"/>
      <c r="DR4" s="995"/>
      <c r="DS4" s="995"/>
      <c r="DT4" s="995"/>
      <c r="DU4" s="995"/>
      <c r="DV4" s="995"/>
      <c r="DW4" s="995"/>
      <c r="DX4" s="995"/>
      <c r="DY4" s="995"/>
      <c r="DZ4" s="995"/>
      <c r="EA4" s="995"/>
      <c r="EB4" s="995"/>
      <c r="EC4" s="995"/>
      <c r="ED4" s="995"/>
      <c r="EE4" s="995"/>
      <c r="EF4" s="995"/>
      <c r="EG4" s="995"/>
      <c r="EH4" s="995"/>
      <c r="EI4" s="995"/>
      <c r="EJ4" s="995"/>
      <c r="EK4" s="995"/>
      <c r="EL4" s="995"/>
      <c r="EM4" s="995"/>
      <c r="EN4" s="995"/>
      <c r="EO4" s="995"/>
      <c r="EP4" s="995"/>
      <c r="EQ4" s="995"/>
      <c r="ER4" s="995"/>
      <c r="ES4" s="995"/>
      <c r="ET4" s="995"/>
      <c r="EU4" s="995"/>
      <c r="EV4" s="995"/>
      <c r="EW4" s="995"/>
      <c r="EX4" s="995"/>
      <c r="EY4" s="995"/>
      <c r="EZ4" s="995"/>
      <c r="FA4" s="995"/>
      <c r="FB4" s="995"/>
      <c r="FC4" s="995"/>
      <c r="FD4" s="995"/>
      <c r="FE4" s="995"/>
      <c r="FF4" s="995"/>
      <c r="FG4" s="995"/>
      <c r="FH4" s="995"/>
      <c r="FI4" s="995"/>
      <c r="FJ4" s="995"/>
      <c r="FK4" s="995"/>
      <c r="FL4" s="995"/>
      <c r="FM4" s="995"/>
      <c r="FN4" s="995"/>
      <c r="FO4" s="1007"/>
      <c r="FP4" s="1007"/>
      <c r="FQ4" s="1007"/>
      <c r="FR4" s="1007"/>
      <c r="FS4" s="1007"/>
      <c r="FT4" s="1008"/>
      <c r="FU4" s="1008"/>
      <c r="FV4" s="1008"/>
      <c r="FW4" s="1008"/>
      <c r="FX4" s="1008"/>
      <c r="FY4" s="1008"/>
      <c r="FZ4" s="1008"/>
      <c r="GA4" s="1008"/>
      <c r="GB4" s="1008"/>
      <c r="GC4" s="1008"/>
      <c r="GD4" s="1008"/>
      <c r="GE4" s="1008"/>
      <c r="GF4" s="1008"/>
      <c r="GG4" s="1008"/>
      <c r="GH4" s="1008"/>
      <c r="GI4" s="1008"/>
      <c r="GJ4" s="1008"/>
      <c r="GK4" s="1008"/>
      <c r="GL4" s="1008"/>
      <c r="GM4" s="1008"/>
      <c r="GN4" s="1008"/>
      <c r="GO4" s="1008"/>
      <c r="GP4" s="1008"/>
      <c r="GQ4" s="1008"/>
      <c r="GR4" s="1008"/>
      <c r="GS4" s="1008"/>
      <c r="GT4" s="1008"/>
      <c r="GU4" s="1008"/>
      <c r="GV4" s="1008"/>
      <c r="GW4" s="1008"/>
    </row>
    <row r="5" spans="1:205" ht="25.5" customHeight="1" x14ac:dyDescent="0.25">
      <c r="B5" s="998" t="s">
        <v>5349</v>
      </c>
      <c r="C5" s="998"/>
      <c r="D5" s="998"/>
      <c r="E5" s="998"/>
      <c r="F5" s="998"/>
      <c r="G5" s="998"/>
      <c r="H5" s="998"/>
      <c r="I5" s="998"/>
      <c r="J5" s="998"/>
      <c r="K5" s="998"/>
      <c r="L5" s="999" t="s">
        <v>5350</v>
      </c>
      <c r="M5" s="999"/>
      <c r="N5" s="999"/>
      <c r="O5" s="999"/>
      <c r="P5" s="999"/>
      <c r="Q5" s="999"/>
      <c r="R5" s="999"/>
      <c r="S5" s="999"/>
      <c r="T5" s="999"/>
      <c r="U5" s="999"/>
      <c r="V5" s="999"/>
      <c r="W5" s="999"/>
      <c r="X5" s="999"/>
      <c r="Y5" s="999"/>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999"/>
      <c r="BI5" s="999"/>
      <c r="BJ5" s="999"/>
      <c r="BK5" s="999"/>
      <c r="BL5" s="999"/>
      <c r="BM5" s="999"/>
      <c r="BN5" s="999"/>
      <c r="BO5" s="999"/>
      <c r="BP5" s="999"/>
      <c r="BQ5" s="999"/>
      <c r="BR5" s="999"/>
      <c r="BS5" s="999"/>
      <c r="BT5" s="999"/>
      <c r="BU5" s="999"/>
      <c r="BV5" s="999"/>
      <c r="BW5" s="1000" t="str">
        <f>'S 008'!$BW$5</f>
        <v>Číslo riadku</v>
      </c>
      <c r="BX5" s="1000"/>
      <c r="BY5" s="1000"/>
      <c r="BZ5" s="1000"/>
      <c r="CA5" s="1000"/>
      <c r="CB5" s="1000"/>
      <c r="CC5" s="1000"/>
      <c r="CD5" s="1000"/>
      <c r="CE5" s="1009" t="str">
        <f>'S 008'!CE5</f>
        <v>Bežné účtovné obdobie</v>
      </c>
      <c r="CF5" s="1009"/>
      <c r="CG5" s="1009"/>
      <c r="CH5" s="1009"/>
      <c r="CI5" s="1009"/>
      <c r="CJ5" s="1009"/>
      <c r="CK5" s="1009"/>
      <c r="CL5" s="1009"/>
      <c r="CM5" s="1009"/>
      <c r="CN5" s="1009"/>
      <c r="CO5" s="1009"/>
      <c r="CP5" s="1009"/>
      <c r="CQ5" s="1009"/>
      <c r="CR5" s="1009"/>
      <c r="CS5" s="1009"/>
      <c r="CT5" s="1009"/>
      <c r="CU5" s="1009"/>
      <c r="CV5" s="1009"/>
      <c r="CW5" s="1009"/>
      <c r="CX5" s="1009"/>
      <c r="CY5" s="1009"/>
      <c r="CZ5" s="1009"/>
      <c r="DA5" s="1009"/>
      <c r="DB5" s="1009"/>
      <c r="DC5" s="1009"/>
      <c r="DD5" s="1009"/>
      <c r="DE5" s="1009"/>
      <c r="DF5" s="1009"/>
      <c r="DG5" s="1009"/>
      <c r="DH5" s="1009"/>
      <c r="DI5" s="1009"/>
      <c r="DJ5" s="1009"/>
      <c r="DK5" s="1009"/>
      <c r="DL5" s="1009"/>
      <c r="DM5" s="1009"/>
      <c r="DN5" s="1009"/>
      <c r="DO5" s="1009"/>
      <c r="DP5" s="1009"/>
      <c r="DQ5" s="1009"/>
      <c r="DR5" s="1009"/>
      <c r="DS5" s="1009"/>
      <c r="DT5" s="1009"/>
      <c r="DU5" s="1009"/>
      <c r="DV5" s="1009"/>
      <c r="DW5" s="1009"/>
      <c r="DX5" s="1009"/>
      <c r="DY5" s="1009"/>
      <c r="DZ5" s="1009"/>
      <c r="EA5" s="1009"/>
      <c r="EB5" s="1009"/>
      <c r="EC5" s="1009"/>
      <c r="ED5" s="1009"/>
      <c r="EE5" s="1009"/>
      <c r="EF5" s="1009"/>
      <c r="EG5" s="1009"/>
      <c r="EH5" s="1009"/>
      <c r="EI5" s="1009"/>
      <c r="EJ5" s="1009"/>
      <c r="EK5" s="1009"/>
      <c r="EL5" s="1009"/>
      <c r="EM5" s="1009"/>
      <c r="EN5" s="1010">
        <f>'S 008'!EN5</f>
        <v>0</v>
      </c>
      <c r="EO5" s="1010"/>
      <c r="EP5" s="1010"/>
      <c r="EQ5" s="1010"/>
      <c r="ER5" s="1010"/>
      <c r="ES5" s="1010"/>
      <c r="ET5" s="1010"/>
      <c r="EU5" s="1010"/>
      <c r="EV5" s="1010"/>
      <c r="EW5" s="1010"/>
      <c r="EX5" s="1010"/>
      <c r="EY5" s="1010"/>
      <c r="EZ5" s="1010"/>
      <c r="FA5" s="1010"/>
      <c r="FB5" s="1010"/>
      <c r="FC5" s="1010"/>
      <c r="FD5" s="1010"/>
      <c r="FE5" s="1010"/>
      <c r="FF5" s="1010"/>
      <c r="FG5" s="1010"/>
      <c r="FH5" s="1010"/>
      <c r="FI5" s="1010"/>
      <c r="FJ5" s="1010"/>
      <c r="FK5" s="1010"/>
      <c r="FL5" s="1010"/>
      <c r="FM5" s="1010"/>
      <c r="FN5" s="1010"/>
      <c r="FO5" s="1010"/>
      <c r="FP5" s="1010"/>
      <c r="FQ5" s="1010"/>
      <c r="FR5" s="1010"/>
      <c r="FS5" s="1010"/>
      <c r="FT5" s="1010"/>
      <c r="FU5" s="1010"/>
      <c r="FV5" s="1010"/>
      <c r="FW5" s="1010"/>
      <c r="FX5" s="1010"/>
      <c r="FY5" s="1010"/>
      <c r="FZ5" s="1010"/>
      <c r="GA5" s="1010"/>
      <c r="GB5" s="1010"/>
      <c r="GC5" s="1010"/>
      <c r="GD5" s="1010"/>
      <c r="GE5" s="1010"/>
      <c r="GF5" s="1010"/>
      <c r="GG5" s="1010"/>
      <c r="GH5" s="1010"/>
      <c r="GI5" s="1010"/>
      <c r="GJ5" s="1010"/>
      <c r="GK5" s="1010"/>
      <c r="GL5" s="1010"/>
      <c r="GM5" s="1010"/>
      <c r="GN5" s="1010"/>
      <c r="GO5" s="1010"/>
      <c r="GP5" s="1010"/>
      <c r="GQ5" s="1010"/>
      <c r="GR5" s="1010"/>
      <c r="GS5" s="1010"/>
      <c r="GT5" s="1010"/>
      <c r="GU5" s="1010"/>
      <c r="GV5" s="1010"/>
      <c r="GW5" s="1010"/>
    </row>
    <row r="6" spans="1:205" s="650" customFormat="1" ht="24" customHeight="1" x14ac:dyDescent="0.2">
      <c r="B6" s="1003" t="s">
        <v>2196</v>
      </c>
      <c r="C6" s="1003"/>
      <c r="D6" s="1003"/>
      <c r="E6" s="1003"/>
      <c r="F6" s="1003"/>
      <c r="G6" s="1003"/>
      <c r="H6" s="1003"/>
      <c r="I6" s="1003"/>
      <c r="J6" s="1003"/>
      <c r="K6" s="1003"/>
      <c r="L6" s="1004" t="str">
        <f>SUVAHAVUJ!$D$120</f>
        <v>Dlhodobé rezervy r. 119 + r. 120</v>
      </c>
      <c r="M6" s="1004"/>
      <c r="N6" s="1004"/>
      <c r="O6" s="1004"/>
      <c r="P6" s="1004"/>
      <c r="Q6" s="1004"/>
      <c r="R6" s="1004"/>
      <c r="S6" s="1004"/>
      <c r="T6" s="1004"/>
      <c r="U6" s="1004"/>
      <c r="V6" s="1004"/>
      <c r="W6" s="1004"/>
      <c r="X6" s="1004"/>
      <c r="Y6" s="1004"/>
      <c r="Z6" s="1004"/>
      <c r="AA6" s="1004"/>
      <c r="AB6" s="1004"/>
      <c r="AC6" s="1004"/>
      <c r="AD6" s="1004"/>
      <c r="AE6" s="1004"/>
      <c r="AF6" s="1004"/>
      <c r="AG6" s="1004"/>
      <c r="AH6" s="1004"/>
      <c r="AI6" s="1004"/>
      <c r="AJ6" s="1004"/>
      <c r="AK6" s="1004"/>
      <c r="AL6" s="1004"/>
      <c r="AM6" s="1004"/>
      <c r="AN6" s="1004"/>
      <c r="AO6" s="1004"/>
      <c r="AP6" s="1004"/>
      <c r="AQ6" s="1004"/>
      <c r="AR6" s="1004"/>
      <c r="AS6" s="1004"/>
      <c r="AT6" s="1004"/>
      <c r="AU6" s="1004"/>
      <c r="AV6" s="1004"/>
      <c r="AW6" s="1004"/>
      <c r="AX6" s="1004"/>
      <c r="AY6" s="1004"/>
      <c r="AZ6" s="1004"/>
      <c r="BA6" s="1004"/>
      <c r="BB6" s="1004"/>
      <c r="BC6" s="1004"/>
      <c r="BD6" s="1004"/>
      <c r="BE6" s="1004"/>
      <c r="BF6" s="1004"/>
      <c r="BG6" s="1004"/>
      <c r="BH6" s="1004"/>
      <c r="BI6" s="1004"/>
      <c r="BJ6" s="1004"/>
      <c r="BK6" s="1004"/>
      <c r="BL6" s="1004"/>
      <c r="BM6" s="1004"/>
      <c r="BN6" s="1004"/>
      <c r="BO6" s="1004"/>
      <c r="BP6" s="1004"/>
      <c r="BQ6" s="1004"/>
      <c r="BR6" s="1004"/>
      <c r="BS6" s="1004"/>
      <c r="BT6" s="1004"/>
      <c r="BU6" s="1004"/>
      <c r="BV6" s="1004"/>
      <c r="BW6" s="1013" t="s">
        <v>2267</v>
      </c>
      <c r="BX6" s="1013"/>
      <c r="BY6" s="1013"/>
      <c r="BZ6" s="1013"/>
      <c r="CA6" s="1013"/>
      <c r="CB6" s="1013"/>
      <c r="CC6" s="1013"/>
      <c r="CD6" s="1013"/>
      <c r="CE6" s="976" t="str">
        <f>MID(SUVAHAVUJ!AF120,1,1)</f>
        <v xml:space="preserve"> </v>
      </c>
      <c r="CF6" s="976"/>
      <c r="CG6" s="976"/>
      <c r="CH6" s="976"/>
      <c r="CI6" s="976"/>
      <c r="CJ6" s="976" t="str">
        <f>MID(SUVAHAVUJ!AF120,2,1)</f>
        <v xml:space="preserve"> </v>
      </c>
      <c r="CK6" s="976"/>
      <c r="CL6" s="976"/>
      <c r="CM6" s="976"/>
      <c r="CN6" s="976"/>
      <c r="CO6" s="976"/>
      <c r="CP6" s="976" t="str">
        <f>MID(SUVAHAVUJ!AF120,3,1)</f>
        <v xml:space="preserve"> </v>
      </c>
      <c r="CQ6" s="976"/>
      <c r="CR6" s="976"/>
      <c r="CS6" s="976"/>
      <c r="CT6" s="976"/>
      <c r="CU6" s="976" t="str">
        <f>MID(SUVAHAVUJ!AF120,4,1)</f>
        <v xml:space="preserve"> </v>
      </c>
      <c r="CV6" s="976"/>
      <c r="CW6" s="976"/>
      <c r="CX6" s="976"/>
      <c r="CY6" s="976"/>
      <c r="CZ6" s="976"/>
      <c r="DA6" s="976" t="str">
        <f>MID(SUVAHAVUJ!AF120,5,1)</f>
        <v xml:space="preserve"> </v>
      </c>
      <c r="DB6" s="976"/>
      <c r="DC6" s="976"/>
      <c r="DD6" s="976"/>
      <c r="DE6" s="976"/>
      <c r="DF6" s="976" t="str">
        <f>MID(SUVAHAVUJ!AF120,6,1)</f>
        <v xml:space="preserve"> </v>
      </c>
      <c r="DG6" s="976"/>
      <c r="DH6" s="976"/>
      <c r="DI6" s="976"/>
      <c r="DJ6" s="976"/>
      <c r="DK6" s="976"/>
      <c r="DL6" s="976" t="str">
        <f>MID(SUVAHAVUJ!AF120,7,1)</f>
        <v xml:space="preserve"> </v>
      </c>
      <c r="DM6" s="976"/>
      <c r="DN6" s="976"/>
      <c r="DO6" s="976"/>
      <c r="DP6" s="976"/>
      <c r="DQ6" s="976"/>
      <c r="DR6" s="976" t="str">
        <f>MID(SUVAHAVUJ!AF120,8,1)</f>
        <v xml:space="preserve"> </v>
      </c>
      <c r="DS6" s="976"/>
      <c r="DT6" s="976"/>
      <c r="DU6" s="976"/>
      <c r="DV6" s="976"/>
      <c r="DW6" s="982" t="str">
        <f>MID(SUVAHAVUJ!AF120,9,1)</f>
        <v xml:space="preserve"> </v>
      </c>
      <c r="DX6" s="982"/>
      <c r="DY6" s="982"/>
      <c r="DZ6" s="982"/>
      <c r="EA6" s="982"/>
      <c r="EB6" s="982"/>
      <c r="EC6" s="982" t="str">
        <f>MID(SUVAHAVUJ!AF120,10,1)</f>
        <v xml:space="preserve"> </v>
      </c>
      <c r="ED6" s="982"/>
      <c r="EE6" s="982"/>
      <c r="EF6" s="982"/>
      <c r="EG6" s="982"/>
      <c r="EH6" s="977" t="str">
        <f>MID(SUVAHAVUJ!AF120,11,1)</f>
        <v>0</v>
      </c>
      <c r="EI6" s="977"/>
      <c r="EJ6" s="977"/>
      <c r="EK6" s="977"/>
      <c r="EL6" s="977"/>
      <c r="EM6" s="977"/>
      <c r="EN6" s="665"/>
      <c r="EO6" s="666"/>
      <c r="EP6" s="976" t="str">
        <f>MID(SUVAHAVUJ!AG120,1,1)</f>
        <v xml:space="preserve"> </v>
      </c>
      <c r="EQ6" s="976"/>
      <c r="ER6" s="976"/>
      <c r="ES6" s="976"/>
      <c r="ET6" s="976"/>
      <c r="EU6" s="976"/>
      <c r="EV6" s="976" t="str">
        <f>MID(SUVAHAVUJ!AG120,2,1)</f>
        <v xml:space="preserve"> </v>
      </c>
      <c r="EW6" s="976"/>
      <c r="EX6" s="976"/>
      <c r="EY6" s="976"/>
      <c r="EZ6" s="976"/>
      <c r="FA6" s="976" t="str">
        <f>MID(SUVAHAVUJ!AG120,3,1)</f>
        <v xml:space="preserve"> </v>
      </c>
      <c r="FB6" s="976"/>
      <c r="FC6" s="976"/>
      <c r="FD6" s="976"/>
      <c r="FE6" s="976"/>
      <c r="FF6" s="976"/>
      <c r="FG6" s="976" t="str">
        <f>MID(SUVAHAVUJ!AG120,4,1)</f>
        <v xml:space="preserve"> </v>
      </c>
      <c r="FH6" s="976"/>
      <c r="FI6" s="976"/>
      <c r="FJ6" s="976"/>
      <c r="FK6" s="976"/>
      <c r="FL6" s="982" t="str">
        <f>MID(SUVAHAVUJ!AG120,5,1)</f>
        <v xml:space="preserve"> </v>
      </c>
      <c r="FM6" s="982"/>
      <c r="FN6" s="982"/>
      <c r="FO6" s="982"/>
      <c r="FP6" s="982"/>
      <c r="FQ6" s="982"/>
      <c r="FR6" s="982" t="str">
        <f>MID(SUVAHAVUJ!AG120,6,1)</f>
        <v xml:space="preserve"> </v>
      </c>
      <c r="FS6" s="982"/>
      <c r="FT6" s="982"/>
      <c r="FU6" s="982"/>
      <c r="FV6" s="982"/>
      <c r="FW6" s="982" t="str">
        <f>MID(SUVAHAVUJ!AG120,7,1)</f>
        <v xml:space="preserve"> </v>
      </c>
      <c r="FX6" s="982"/>
      <c r="FY6" s="982"/>
      <c r="FZ6" s="982"/>
      <c r="GA6" s="982"/>
      <c r="GB6" s="982"/>
      <c r="GC6" s="982" t="str">
        <f>MID(SUVAHAVUJ!AG120,8,1)</f>
        <v xml:space="preserve"> </v>
      </c>
      <c r="GD6" s="982"/>
      <c r="GE6" s="982"/>
      <c r="GF6" s="982"/>
      <c r="GG6" s="982"/>
      <c r="GH6" s="982" t="str">
        <f>MID(SUVAHAVUJ!AG120,9,1)</f>
        <v xml:space="preserve"> </v>
      </c>
      <c r="GI6" s="982"/>
      <c r="GJ6" s="982"/>
      <c r="GK6" s="982"/>
      <c r="GL6" s="982"/>
      <c r="GM6" s="982"/>
      <c r="GN6" s="982" t="str">
        <f>MID(SUVAHAVUJ!AG120,10,1)</f>
        <v xml:space="preserve"> </v>
      </c>
      <c r="GO6" s="982"/>
      <c r="GP6" s="982"/>
      <c r="GQ6" s="982"/>
      <c r="GR6" s="982"/>
      <c r="GS6" s="978" t="str">
        <f>MID(SUVAHAVUJ!AG120,11,1)</f>
        <v>0</v>
      </c>
      <c r="GT6" s="978"/>
      <c r="GU6" s="978"/>
      <c r="GV6" s="978"/>
      <c r="GW6" s="978"/>
    </row>
    <row r="7" spans="1:205" ht="24" customHeight="1" x14ac:dyDescent="0.25">
      <c r="B7" s="989" t="s">
        <v>2198</v>
      </c>
      <c r="C7" s="989"/>
      <c r="D7" s="989"/>
      <c r="E7" s="989"/>
      <c r="F7" s="989"/>
      <c r="G7" s="989"/>
      <c r="H7" s="989"/>
      <c r="I7" s="989"/>
      <c r="J7" s="989"/>
      <c r="K7" s="989"/>
      <c r="L7" s="1005" t="str">
        <f>SUVAHAVUJ!$D$121</f>
        <v>Zákonné rezervy  (451A)</v>
      </c>
      <c r="M7" s="1005"/>
      <c r="N7" s="1005"/>
      <c r="O7" s="1005"/>
      <c r="P7" s="1005"/>
      <c r="Q7" s="1005"/>
      <c r="R7" s="1005"/>
      <c r="S7" s="1005"/>
      <c r="T7" s="1005"/>
      <c r="U7" s="1005"/>
      <c r="V7" s="1005"/>
      <c r="W7" s="1005"/>
      <c r="X7" s="1005"/>
      <c r="Y7" s="1005"/>
      <c r="Z7" s="1005"/>
      <c r="AA7" s="1005"/>
      <c r="AB7" s="1005"/>
      <c r="AC7" s="1005"/>
      <c r="AD7" s="1005"/>
      <c r="AE7" s="1005"/>
      <c r="AF7" s="1005"/>
      <c r="AG7" s="1005"/>
      <c r="AH7" s="1005"/>
      <c r="AI7" s="1005"/>
      <c r="AJ7" s="1005"/>
      <c r="AK7" s="1005"/>
      <c r="AL7" s="1005"/>
      <c r="AM7" s="1005"/>
      <c r="AN7" s="1005"/>
      <c r="AO7" s="1005"/>
      <c r="AP7" s="1005"/>
      <c r="AQ7" s="1005"/>
      <c r="AR7" s="1005"/>
      <c r="AS7" s="1005"/>
      <c r="AT7" s="1005"/>
      <c r="AU7" s="1005"/>
      <c r="AV7" s="1005"/>
      <c r="AW7" s="1005"/>
      <c r="AX7" s="1005"/>
      <c r="AY7" s="1005"/>
      <c r="AZ7" s="1005"/>
      <c r="BA7" s="1005"/>
      <c r="BB7" s="1005"/>
      <c r="BC7" s="1005"/>
      <c r="BD7" s="1005"/>
      <c r="BE7" s="1005"/>
      <c r="BF7" s="1005"/>
      <c r="BG7" s="1005"/>
      <c r="BH7" s="1005"/>
      <c r="BI7" s="1005"/>
      <c r="BJ7" s="1005"/>
      <c r="BK7" s="1005"/>
      <c r="BL7" s="1005"/>
      <c r="BM7" s="1005"/>
      <c r="BN7" s="1005"/>
      <c r="BO7" s="1005"/>
      <c r="BP7" s="1005"/>
      <c r="BQ7" s="1005"/>
      <c r="BR7" s="1005"/>
      <c r="BS7" s="1005"/>
      <c r="BT7" s="1005"/>
      <c r="BU7" s="1005"/>
      <c r="BV7" s="1005"/>
      <c r="BW7" s="975" t="s">
        <v>350</v>
      </c>
      <c r="BX7" s="975"/>
      <c r="BY7" s="975"/>
      <c r="BZ7" s="975"/>
      <c r="CA7" s="975"/>
      <c r="CB7" s="975"/>
      <c r="CC7" s="975"/>
      <c r="CD7" s="975"/>
      <c r="CE7" s="976" t="str">
        <f>MID(SUVAHAVUJ!AF121,1,1)</f>
        <v xml:space="preserve"> </v>
      </c>
      <c r="CF7" s="976"/>
      <c r="CG7" s="976"/>
      <c r="CH7" s="976"/>
      <c r="CI7" s="976"/>
      <c r="CJ7" s="976" t="str">
        <f>MID(SUVAHAVUJ!AF121,2,1)</f>
        <v xml:space="preserve"> </v>
      </c>
      <c r="CK7" s="976"/>
      <c r="CL7" s="976"/>
      <c r="CM7" s="976"/>
      <c r="CN7" s="976"/>
      <c r="CO7" s="976"/>
      <c r="CP7" s="976" t="str">
        <f>MID(SUVAHAVUJ!AF121,3,1)</f>
        <v xml:space="preserve"> </v>
      </c>
      <c r="CQ7" s="976"/>
      <c r="CR7" s="976"/>
      <c r="CS7" s="976"/>
      <c r="CT7" s="976"/>
      <c r="CU7" s="976" t="str">
        <f>MID(SUVAHAVUJ!AF121,4,1)</f>
        <v xml:space="preserve"> </v>
      </c>
      <c r="CV7" s="976"/>
      <c r="CW7" s="976"/>
      <c r="CX7" s="976"/>
      <c r="CY7" s="976"/>
      <c r="CZ7" s="976"/>
      <c r="DA7" s="976" t="str">
        <f>MID(SUVAHAVUJ!AF121,5,1)</f>
        <v xml:space="preserve"> </v>
      </c>
      <c r="DB7" s="976"/>
      <c r="DC7" s="976"/>
      <c r="DD7" s="976"/>
      <c r="DE7" s="976"/>
      <c r="DF7" s="976" t="str">
        <f>MID(SUVAHAVUJ!AF121,6,1)</f>
        <v xml:space="preserve"> </v>
      </c>
      <c r="DG7" s="976"/>
      <c r="DH7" s="976"/>
      <c r="DI7" s="976"/>
      <c r="DJ7" s="976"/>
      <c r="DK7" s="976"/>
      <c r="DL7" s="976" t="str">
        <f>MID(SUVAHAVUJ!AF121,7,1)</f>
        <v xml:space="preserve"> </v>
      </c>
      <c r="DM7" s="976"/>
      <c r="DN7" s="976"/>
      <c r="DO7" s="976"/>
      <c r="DP7" s="976"/>
      <c r="DQ7" s="976"/>
      <c r="DR7" s="976" t="str">
        <f>MID(SUVAHAVUJ!AF121,8,1)</f>
        <v xml:space="preserve"> </v>
      </c>
      <c r="DS7" s="976"/>
      <c r="DT7" s="976"/>
      <c r="DU7" s="976"/>
      <c r="DV7" s="976"/>
      <c r="DW7" s="982" t="str">
        <f>MID(SUVAHAVUJ!AF121,9,1)</f>
        <v xml:space="preserve"> </v>
      </c>
      <c r="DX7" s="982"/>
      <c r="DY7" s="982"/>
      <c r="DZ7" s="982"/>
      <c r="EA7" s="982"/>
      <c r="EB7" s="982"/>
      <c r="EC7" s="982" t="str">
        <f>MID(SUVAHAVUJ!AF121,10,1)</f>
        <v xml:space="preserve"> </v>
      </c>
      <c r="ED7" s="982"/>
      <c r="EE7" s="982"/>
      <c r="EF7" s="982"/>
      <c r="EG7" s="982"/>
      <c r="EH7" s="977" t="str">
        <f>MID(SUVAHAVUJ!AF121,11,1)</f>
        <v>0</v>
      </c>
      <c r="EI7" s="977"/>
      <c r="EJ7" s="977"/>
      <c r="EK7" s="977"/>
      <c r="EL7" s="977"/>
      <c r="EM7" s="977"/>
      <c r="EN7" s="665"/>
      <c r="EO7" s="666"/>
      <c r="EP7" s="976" t="str">
        <f>MID(SUVAHAVUJ!AG121,1,1)</f>
        <v xml:space="preserve"> </v>
      </c>
      <c r="EQ7" s="976"/>
      <c r="ER7" s="976"/>
      <c r="ES7" s="976"/>
      <c r="ET7" s="976"/>
      <c r="EU7" s="976"/>
      <c r="EV7" s="976" t="str">
        <f>MID(SUVAHAVUJ!AG121,2,1)</f>
        <v xml:space="preserve"> </v>
      </c>
      <c r="EW7" s="976"/>
      <c r="EX7" s="976"/>
      <c r="EY7" s="976"/>
      <c r="EZ7" s="976"/>
      <c r="FA7" s="976" t="str">
        <f>MID(SUVAHAVUJ!AG121,3,1)</f>
        <v xml:space="preserve"> </v>
      </c>
      <c r="FB7" s="976"/>
      <c r="FC7" s="976"/>
      <c r="FD7" s="976"/>
      <c r="FE7" s="976"/>
      <c r="FF7" s="976"/>
      <c r="FG7" s="976" t="str">
        <f>MID(SUVAHAVUJ!AG121,4,1)</f>
        <v xml:space="preserve"> </v>
      </c>
      <c r="FH7" s="976"/>
      <c r="FI7" s="976"/>
      <c r="FJ7" s="976"/>
      <c r="FK7" s="976"/>
      <c r="FL7" s="982" t="str">
        <f>MID(SUVAHAVUJ!AG121,5,1)</f>
        <v xml:space="preserve"> </v>
      </c>
      <c r="FM7" s="982"/>
      <c r="FN7" s="982"/>
      <c r="FO7" s="982"/>
      <c r="FP7" s="982"/>
      <c r="FQ7" s="982"/>
      <c r="FR7" s="982" t="str">
        <f>MID(SUVAHAVUJ!AG121,6,1)</f>
        <v xml:space="preserve"> </v>
      </c>
      <c r="FS7" s="982"/>
      <c r="FT7" s="982"/>
      <c r="FU7" s="982"/>
      <c r="FV7" s="982"/>
      <c r="FW7" s="982" t="str">
        <f>MID(SUVAHAVUJ!AG121,7,1)</f>
        <v xml:space="preserve"> </v>
      </c>
      <c r="FX7" s="982"/>
      <c r="FY7" s="982"/>
      <c r="FZ7" s="982"/>
      <c r="GA7" s="982"/>
      <c r="GB7" s="982"/>
      <c r="GC7" s="982" t="str">
        <f>MID(SUVAHAVUJ!AG121,8,1)</f>
        <v xml:space="preserve"> </v>
      </c>
      <c r="GD7" s="982"/>
      <c r="GE7" s="982"/>
      <c r="GF7" s="982"/>
      <c r="GG7" s="982"/>
      <c r="GH7" s="982" t="str">
        <f>MID(SUVAHAVUJ!AG121,9,1)</f>
        <v xml:space="preserve"> </v>
      </c>
      <c r="GI7" s="982"/>
      <c r="GJ7" s="982"/>
      <c r="GK7" s="982"/>
      <c r="GL7" s="982"/>
      <c r="GM7" s="982"/>
      <c r="GN7" s="982" t="str">
        <f>MID(SUVAHAVUJ!AG121,10,1)</f>
        <v xml:space="preserve"> </v>
      </c>
      <c r="GO7" s="982"/>
      <c r="GP7" s="982"/>
      <c r="GQ7" s="982"/>
      <c r="GR7" s="982"/>
      <c r="GS7" s="978" t="str">
        <f>MID(SUVAHAVUJ!AG121,11,1)</f>
        <v>0</v>
      </c>
      <c r="GT7" s="978"/>
      <c r="GU7" s="978"/>
      <c r="GV7" s="978"/>
      <c r="GW7" s="978"/>
    </row>
    <row r="8" spans="1:205" ht="24" customHeight="1" x14ac:dyDescent="0.25">
      <c r="B8" s="985" t="s">
        <v>2166</v>
      </c>
      <c r="C8" s="985"/>
      <c r="D8" s="985"/>
      <c r="E8" s="985"/>
      <c r="F8" s="985"/>
      <c r="G8" s="985"/>
      <c r="H8" s="985"/>
      <c r="I8" s="985"/>
      <c r="J8" s="985"/>
      <c r="K8" s="985"/>
      <c r="L8" s="1005" t="str">
        <f>SUVAHAVUJ!$D$122</f>
        <v>Ostatné rezervy (459A, 45XA)</v>
      </c>
      <c r="M8" s="1005"/>
      <c r="N8" s="1005"/>
      <c r="O8" s="1005"/>
      <c r="P8" s="1005"/>
      <c r="Q8" s="1005"/>
      <c r="R8" s="1005"/>
      <c r="S8" s="1005"/>
      <c r="T8" s="1005"/>
      <c r="U8" s="1005"/>
      <c r="V8" s="1005"/>
      <c r="W8" s="1005"/>
      <c r="X8" s="1005"/>
      <c r="Y8" s="1005"/>
      <c r="Z8" s="1005"/>
      <c r="AA8" s="1005"/>
      <c r="AB8" s="1005"/>
      <c r="AC8" s="1005"/>
      <c r="AD8" s="1005"/>
      <c r="AE8" s="1005"/>
      <c r="AF8" s="1005"/>
      <c r="AG8" s="1005"/>
      <c r="AH8" s="1005"/>
      <c r="AI8" s="1005"/>
      <c r="AJ8" s="1005"/>
      <c r="AK8" s="1005"/>
      <c r="AL8" s="1005"/>
      <c r="AM8" s="1005"/>
      <c r="AN8" s="1005"/>
      <c r="AO8" s="1005"/>
      <c r="AP8" s="1005"/>
      <c r="AQ8" s="1005"/>
      <c r="AR8" s="1005"/>
      <c r="AS8" s="1005"/>
      <c r="AT8" s="1005"/>
      <c r="AU8" s="1005"/>
      <c r="AV8" s="1005"/>
      <c r="AW8" s="1005"/>
      <c r="AX8" s="1005"/>
      <c r="AY8" s="1005"/>
      <c r="AZ8" s="1005"/>
      <c r="BA8" s="1005"/>
      <c r="BB8" s="1005"/>
      <c r="BC8" s="1005"/>
      <c r="BD8" s="1005"/>
      <c r="BE8" s="1005"/>
      <c r="BF8" s="1005"/>
      <c r="BG8" s="1005"/>
      <c r="BH8" s="1005"/>
      <c r="BI8" s="1005"/>
      <c r="BJ8" s="1005"/>
      <c r="BK8" s="1005"/>
      <c r="BL8" s="1005"/>
      <c r="BM8" s="1005"/>
      <c r="BN8" s="1005"/>
      <c r="BO8" s="1005"/>
      <c r="BP8" s="1005"/>
      <c r="BQ8" s="1005"/>
      <c r="BR8" s="1005"/>
      <c r="BS8" s="1005"/>
      <c r="BT8" s="1005"/>
      <c r="BU8" s="1005"/>
      <c r="BV8" s="1005"/>
      <c r="BW8" s="975" t="s">
        <v>354</v>
      </c>
      <c r="BX8" s="975"/>
      <c r="BY8" s="975"/>
      <c r="BZ8" s="975"/>
      <c r="CA8" s="975"/>
      <c r="CB8" s="975"/>
      <c r="CC8" s="975"/>
      <c r="CD8" s="975"/>
      <c r="CE8" s="976" t="str">
        <f>MID(SUVAHAVUJ!AF122,1,1)</f>
        <v xml:space="preserve"> </v>
      </c>
      <c r="CF8" s="976"/>
      <c r="CG8" s="976"/>
      <c r="CH8" s="976"/>
      <c r="CI8" s="976"/>
      <c r="CJ8" s="976" t="str">
        <f>MID(SUVAHAVUJ!AF122,2,1)</f>
        <v xml:space="preserve"> </v>
      </c>
      <c r="CK8" s="976"/>
      <c r="CL8" s="976"/>
      <c r="CM8" s="976"/>
      <c r="CN8" s="976"/>
      <c r="CO8" s="976"/>
      <c r="CP8" s="976" t="str">
        <f>MID(SUVAHAVUJ!AF122,3,1)</f>
        <v xml:space="preserve"> </v>
      </c>
      <c r="CQ8" s="976"/>
      <c r="CR8" s="976"/>
      <c r="CS8" s="976"/>
      <c r="CT8" s="976"/>
      <c r="CU8" s="976" t="str">
        <f>MID(SUVAHAVUJ!AF122,4,1)</f>
        <v xml:space="preserve"> </v>
      </c>
      <c r="CV8" s="976"/>
      <c r="CW8" s="976"/>
      <c r="CX8" s="976"/>
      <c r="CY8" s="976"/>
      <c r="CZ8" s="976"/>
      <c r="DA8" s="976" t="str">
        <f>MID(SUVAHAVUJ!AF122,5,1)</f>
        <v xml:space="preserve"> </v>
      </c>
      <c r="DB8" s="976"/>
      <c r="DC8" s="976"/>
      <c r="DD8" s="976"/>
      <c r="DE8" s="976"/>
      <c r="DF8" s="976" t="str">
        <f>MID(SUVAHAVUJ!AF122,6,1)</f>
        <v xml:space="preserve"> </v>
      </c>
      <c r="DG8" s="976"/>
      <c r="DH8" s="976"/>
      <c r="DI8" s="976"/>
      <c r="DJ8" s="976"/>
      <c r="DK8" s="976"/>
      <c r="DL8" s="976" t="str">
        <f>MID(SUVAHAVUJ!AF122,7,1)</f>
        <v xml:space="preserve"> </v>
      </c>
      <c r="DM8" s="976"/>
      <c r="DN8" s="976"/>
      <c r="DO8" s="976"/>
      <c r="DP8" s="976"/>
      <c r="DQ8" s="976"/>
      <c r="DR8" s="976" t="str">
        <f>MID(SUVAHAVUJ!AF122,8,1)</f>
        <v xml:space="preserve"> </v>
      </c>
      <c r="DS8" s="976"/>
      <c r="DT8" s="976"/>
      <c r="DU8" s="976"/>
      <c r="DV8" s="976"/>
      <c r="DW8" s="982" t="str">
        <f>MID(SUVAHAVUJ!AF122,9,1)</f>
        <v xml:space="preserve"> </v>
      </c>
      <c r="DX8" s="982"/>
      <c r="DY8" s="982"/>
      <c r="DZ8" s="982"/>
      <c r="EA8" s="982"/>
      <c r="EB8" s="982"/>
      <c r="EC8" s="982" t="str">
        <f>MID(SUVAHAVUJ!AF122,10,1)</f>
        <v xml:space="preserve"> </v>
      </c>
      <c r="ED8" s="982"/>
      <c r="EE8" s="982"/>
      <c r="EF8" s="982"/>
      <c r="EG8" s="982"/>
      <c r="EH8" s="977" t="str">
        <f>MID(SUVAHAVUJ!AF122,11,1)</f>
        <v>0</v>
      </c>
      <c r="EI8" s="977"/>
      <c r="EJ8" s="977"/>
      <c r="EK8" s="977"/>
      <c r="EL8" s="977"/>
      <c r="EM8" s="977"/>
      <c r="EN8" s="665"/>
      <c r="EO8" s="666"/>
      <c r="EP8" s="976" t="str">
        <f>MID(SUVAHAVUJ!AG122,1,1)</f>
        <v xml:space="preserve"> </v>
      </c>
      <c r="EQ8" s="976"/>
      <c r="ER8" s="976"/>
      <c r="ES8" s="976"/>
      <c r="ET8" s="976"/>
      <c r="EU8" s="976"/>
      <c r="EV8" s="976" t="str">
        <f>MID(SUVAHAVUJ!AG122,2,1)</f>
        <v xml:space="preserve"> </v>
      </c>
      <c r="EW8" s="976"/>
      <c r="EX8" s="976"/>
      <c r="EY8" s="976"/>
      <c r="EZ8" s="976"/>
      <c r="FA8" s="976" t="str">
        <f>MID(SUVAHAVUJ!AG122,3,1)</f>
        <v xml:space="preserve"> </v>
      </c>
      <c r="FB8" s="976"/>
      <c r="FC8" s="976"/>
      <c r="FD8" s="976"/>
      <c r="FE8" s="976"/>
      <c r="FF8" s="976"/>
      <c r="FG8" s="976" t="str">
        <f>MID(SUVAHAVUJ!AG122,4,1)</f>
        <v xml:space="preserve"> </v>
      </c>
      <c r="FH8" s="976"/>
      <c r="FI8" s="976"/>
      <c r="FJ8" s="976"/>
      <c r="FK8" s="976"/>
      <c r="FL8" s="982" t="str">
        <f>MID(SUVAHAVUJ!AG122,5,1)</f>
        <v xml:space="preserve"> </v>
      </c>
      <c r="FM8" s="982"/>
      <c r="FN8" s="982"/>
      <c r="FO8" s="982"/>
      <c r="FP8" s="982"/>
      <c r="FQ8" s="982"/>
      <c r="FR8" s="982" t="str">
        <f>MID(SUVAHAVUJ!AG122,6,1)</f>
        <v xml:space="preserve"> </v>
      </c>
      <c r="FS8" s="982"/>
      <c r="FT8" s="982"/>
      <c r="FU8" s="982"/>
      <c r="FV8" s="982"/>
      <c r="FW8" s="982" t="str">
        <f>MID(SUVAHAVUJ!AG122,7,1)</f>
        <v xml:space="preserve"> </v>
      </c>
      <c r="FX8" s="982"/>
      <c r="FY8" s="982"/>
      <c r="FZ8" s="982"/>
      <c r="GA8" s="982"/>
      <c r="GB8" s="982"/>
      <c r="GC8" s="982" t="str">
        <f>MID(SUVAHAVUJ!AG122,8,1)</f>
        <v xml:space="preserve"> </v>
      </c>
      <c r="GD8" s="982"/>
      <c r="GE8" s="982"/>
      <c r="GF8" s="982"/>
      <c r="GG8" s="982"/>
      <c r="GH8" s="982" t="str">
        <f>MID(SUVAHAVUJ!AG122,9,1)</f>
        <v xml:space="preserve"> </v>
      </c>
      <c r="GI8" s="982"/>
      <c r="GJ8" s="982"/>
      <c r="GK8" s="982"/>
      <c r="GL8" s="982"/>
      <c r="GM8" s="982"/>
      <c r="GN8" s="982" t="str">
        <f>MID(SUVAHAVUJ!AG122,10,1)</f>
        <v xml:space="preserve"> </v>
      </c>
      <c r="GO8" s="982"/>
      <c r="GP8" s="982"/>
      <c r="GQ8" s="982"/>
      <c r="GR8" s="982"/>
      <c r="GS8" s="978" t="str">
        <f>MID(SUVAHAVUJ!AG122,11,1)</f>
        <v>0</v>
      </c>
      <c r="GT8" s="978"/>
      <c r="GU8" s="978"/>
      <c r="GV8" s="978"/>
      <c r="GW8" s="978"/>
    </row>
    <row r="9" spans="1:205" ht="24" customHeight="1" x14ac:dyDescent="0.25">
      <c r="B9" s="981" t="s">
        <v>2243</v>
      </c>
      <c r="C9" s="981"/>
      <c r="D9" s="981"/>
      <c r="E9" s="981"/>
      <c r="F9" s="981"/>
      <c r="G9" s="981"/>
      <c r="H9" s="981"/>
      <c r="I9" s="981"/>
      <c r="J9" s="981"/>
      <c r="K9" s="981"/>
      <c r="L9" s="1004" t="str">
        <f>SUVAHAVUJ!$D$123</f>
        <v>Dlhodobé bankové úvery (461A, 46XA)</v>
      </c>
      <c r="M9" s="1004"/>
      <c r="N9" s="1004"/>
      <c r="O9" s="1004"/>
      <c r="P9" s="1004"/>
      <c r="Q9" s="1004"/>
      <c r="R9" s="1004"/>
      <c r="S9" s="1004"/>
      <c r="T9" s="1004"/>
      <c r="U9" s="1004"/>
      <c r="V9" s="1004"/>
      <c r="W9" s="1004"/>
      <c r="X9" s="1004"/>
      <c r="Y9" s="1004"/>
      <c r="Z9" s="1004"/>
      <c r="AA9" s="1004"/>
      <c r="AB9" s="1004"/>
      <c r="AC9" s="1004"/>
      <c r="AD9" s="1004"/>
      <c r="AE9" s="1004"/>
      <c r="AF9" s="1004"/>
      <c r="AG9" s="1004"/>
      <c r="AH9" s="1004"/>
      <c r="AI9" s="1004"/>
      <c r="AJ9" s="1004"/>
      <c r="AK9" s="1004"/>
      <c r="AL9" s="1004"/>
      <c r="AM9" s="1004"/>
      <c r="AN9" s="1004"/>
      <c r="AO9" s="1004"/>
      <c r="AP9" s="1004"/>
      <c r="AQ9" s="1004"/>
      <c r="AR9" s="1004"/>
      <c r="AS9" s="1004"/>
      <c r="AT9" s="1004"/>
      <c r="AU9" s="1004"/>
      <c r="AV9" s="1004"/>
      <c r="AW9" s="1004"/>
      <c r="AX9" s="1004"/>
      <c r="AY9" s="1004"/>
      <c r="AZ9" s="1004"/>
      <c r="BA9" s="1004"/>
      <c r="BB9" s="1004"/>
      <c r="BC9" s="1004"/>
      <c r="BD9" s="1004"/>
      <c r="BE9" s="1004"/>
      <c r="BF9" s="1004"/>
      <c r="BG9" s="1004"/>
      <c r="BH9" s="1004"/>
      <c r="BI9" s="1004"/>
      <c r="BJ9" s="1004"/>
      <c r="BK9" s="1004"/>
      <c r="BL9" s="1004"/>
      <c r="BM9" s="1004"/>
      <c r="BN9" s="1004"/>
      <c r="BO9" s="1004"/>
      <c r="BP9" s="1004"/>
      <c r="BQ9" s="1004"/>
      <c r="BR9" s="1004"/>
      <c r="BS9" s="1004"/>
      <c r="BT9" s="1004"/>
      <c r="BU9" s="1004"/>
      <c r="BV9" s="1004"/>
      <c r="BW9" s="1013" t="s">
        <v>74</v>
      </c>
      <c r="BX9" s="1013"/>
      <c r="BY9" s="1013"/>
      <c r="BZ9" s="1013"/>
      <c r="CA9" s="1013"/>
      <c r="CB9" s="1013"/>
      <c r="CC9" s="1013"/>
      <c r="CD9" s="1013"/>
      <c r="CE9" s="976" t="str">
        <f>MID(SUVAHAVUJ!AF123,1,1)</f>
        <v xml:space="preserve"> </v>
      </c>
      <c r="CF9" s="976"/>
      <c r="CG9" s="976"/>
      <c r="CH9" s="976"/>
      <c r="CI9" s="976"/>
      <c r="CJ9" s="976" t="str">
        <f>MID(SUVAHAVUJ!AF123,2,1)</f>
        <v xml:space="preserve"> </v>
      </c>
      <c r="CK9" s="976"/>
      <c r="CL9" s="976"/>
      <c r="CM9" s="976"/>
      <c r="CN9" s="976"/>
      <c r="CO9" s="976"/>
      <c r="CP9" s="976" t="str">
        <f>MID(SUVAHAVUJ!AF123,3,1)</f>
        <v xml:space="preserve"> </v>
      </c>
      <c r="CQ9" s="976"/>
      <c r="CR9" s="976"/>
      <c r="CS9" s="976"/>
      <c r="CT9" s="976"/>
      <c r="CU9" s="976" t="str">
        <f>MID(SUVAHAVUJ!AF123,4,1)</f>
        <v xml:space="preserve"> </v>
      </c>
      <c r="CV9" s="976"/>
      <c r="CW9" s="976"/>
      <c r="CX9" s="976"/>
      <c r="CY9" s="976"/>
      <c r="CZ9" s="976"/>
      <c r="DA9" s="976" t="str">
        <f>MID(SUVAHAVUJ!AF123,5,1)</f>
        <v xml:space="preserve"> </v>
      </c>
      <c r="DB9" s="976"/>
      <c r="DC9" s="976"/>
      <c r="DD9" s="976"/>
      <c r="DE9" s="976"/>
      <c r="DF9" s="976" t="str">
        <f>MID(SUVAHAVUJ!AF123,6,1)</f>
        <v xml:space="preserve"> </v>
      </c>
      <c r="DG9" s="976"/>
      <c r="DH9" s="976"/>
      <c r="DI9" s="976"/>
      <c r="DJ9" s="976"/>
      <c r="DK9" s="976"/>
      <c r="DL9" s="976" t="str">
        <f>MID(SUVAHAVUJ!AF123,7,1)</f>
        <v xml:space="preserve"> </v>
      </c>
      <c r="DM9" s="976"/>
      <c r="DN9" s="976"/>
      <c r="DO9" s="976"/>
      <c r="DP9" s="976"/>
      <c r="DQ9" s="976"/>
      <c r="DR9" s="976" t="str">
        <f>MID(SUVAHAVUJ!AF123,8,1)</f>
        <v xml:space="preserve"> </v>
      </c>
      <c r="DS9" s="976"/>
      <c r="DT9" s="976"/>
      <c r="DU9" s="976"/>
      <c r="DV9" s="976"/>
      <c r="DW9" s="982" t="str">
        <f>MID(SUVAHAVUJ!AF123,9,1)</f>
        <v xml:space="preserve"> </v>
      </c>
      <c r="DX9" s="982"/>
      <c r="DY9" s="982"/>
      <c r="DZ9" s="982"/>
      <c r="EA9" s="982"/>
      <c r="EB9" s="982"/>
      <c r="EC9" s="982" t="str">
        <f>MID(SUVAHAVUJ!AF123,10,1)</f>
        <v xml:space="preserve"> </v>
      </c>
      <c r="ED9" s="982"/>
      <c r="EE9" s="982"/>
      <c r="EF9" s="982"/>
      <c r="EG9" s="982"/>
      <c r="EH9" s="977" t="str">
        <f>MID(SUVAHAVUJ!AF123,11,1)</f>
        <v>0</v>
      </c>
      <c r="EI9" s="977"/>
      <c r="EJ9" s="977"/>
      <c r="EK9" s="977"/>
      <c r="EL9" s="977"/>
      <c r="EM9" s="977"/>
      <c r="EN9" s="665"/>
      <c r="EO9" s="666"/>
      <c r="EP9" s="976" t="str">
        <f>MID(SUVAHAVUJ!AG123,1,1)</f>
        <v xml:space="preserve"> </v>
      </c>
      <c r="EQ9" s="976"/>
      <c r="ER9" s="976"/>
      <c r="ES9" s="976"/>
      <c r="ET9" s="976"/>
      <c r="EU9" s="976"/>
      <c r="EV9" s="976" t="str">
        <f>MID(SUVAHAVUJ!AG123,2,1)</f>
        <v xml:space="preserve"> </v>
      </c>
      <c r="EW9" s="976"/>
      <c r="EX9" s="976"/>
      <c r="EY9" s="976"/>
      <c r="EZ9" s="976"/>
      <c r="FA9" s="976" t="str">
        <f>MID(SUVAHAVUJ!AG123,3,1)</f>
        <v xml:space="preserve"> </v>
      </c>
      <c r="FB9" s="976"/>
      <c r="FC9" s="976"/>
      <c r="FD9" s="976"/>
      <c r="FE9" s="976"/>
      <c r="FF9" s="976"/>
      <c r="FG9" s="976" t="str">
        <f>MID(SUVAHAVUJ!AG123,4,1)</f>
        <v xml:space="preserve"> </v>
      </c>
      <c r="FH9" s="976"/>
      <c r="FI9" s="976"/>
      <c r="FJ9" s="976"/>
      <c r="FK9" s="976"/>
      <c r="FL9" s="982" t="str">
        <f>MID(SUVAHAVUJ!AG123,5,1)</f>
        <v xml:space="preserve"> </v>
      </c>
      <c r="FM9" s="982"/>
      <c r="FN9" s="982"/>
      <c r="FO9" s="982"/>
      <c r="FP9" s="982"/>
      <c r="FQ9" s="982"/>
      <c r="FR9" s="982" t="str">
        <f>MID(SUVAHAVUJ!AG123,6,1)</f>
        <v xml:space="preserve"> </v>
      </c>
      <c r="FS9" s="982"/>
      <c r="FT9" s="982"/>
      <c r="FU9" s="982"/>
      <c r="FV9" s="982"/>
      <c r="FW9" s="982" t="str">
        <f>MID(SUVAHAVUJ!AG123,7,1)</f>
        <v xml:space="preserve"> </v>
      </c>
      <c r="FX9" s="982"/>
      <c r="FY9" s="982"/>
      <c r="FZ9" s="982"/>
      <c r="GA9" s="982"/>
      <c r="GB9" s="982"/>
      <c r="GC9" s="982" t="str">
        <f>MID(SUVAHAVUJ!AG123,8,1)</f>
        <v xml:space="preserve"> </v>
      </c>
      <c r="GD9" s="982"/>
      <c r="GE9" s="982"/>
      <c r="GF9" s="982"/>
      <c r="GG9" s="982"/>
      <c r="GH9" s="982" t="str">
        <f>MID(SUVAHAVUJ!AG123,9,1)</f>
        <v xml:space="preserve"> </v>
      </c>
      <c r="GI9" s="982"/>
      <c r="GJ9" s="982"/>
      <c r="GK9" s="982"/>
      <c r="GL9" s="982"/>
      <c r="GM9" s="982"/>
      <c r="GN9" s="982" t="str">
        <f>MID(SUVAHAVUJ!AG123,10,1)</f>
        <v xml:space="preserve"> </v>
      </c>
      <c r="GO9" s="982"/>
      <c r="GP9" s="982"/>
      <c r="GQ9" s="982"/>
      <c r="GR9" s="982"/>
      <c r="GS9" s="978" t="str">
        <f>MID(SUVAHAVUJ!AG123,11,1)</f>
        <v>0</v>
      </c>
      <c r="GT9" s="978"/>
      <c r="GU9" s="978"/>
      <c r="GV9" s="978"/>
      <c r="GW9" s="978"/>
    </row>
    <row r="10" spans="1:205" ht="24" customHeight="1" x14ac:dyDescent="0.25">
      <c r="B10" s="1014" t="s">
        <v>2245</v>
      </c>
      <c r="C10" s="1014"/>
      <c r="D10" s="1014"/>
      <c r="E10" s="1014"/>
      <c r="F10" s="1014"/>
      <c r="G10" s="1014"/>
      <c r="H10" s="1014"/>
      <c r="I10" s="1014"/>
      <c r="J10" s="1014"/>
      <c r="K10" s="1014"/>
      <c r="L10" s="1004" t="str">
        <f>SUVAHAVUJ!$D$124</f>
        <v>Krátkodobé záväzky súčet (r. 123 + r. 127 až r. 135)</v>
      </c>
      <c r="M10" s="1004"/>
      <c r="N10" s="1004"/>
      <c r="O10" s="1004"/>
      <c r="P10" s="1004"/>
      <c r="Q10" s="1004"/>
      <c r="R10" s="1004"/>
      <c r="S10" s="1004"/>
      <c r="T10" s="1004"/>
      <c r="U10" s="1004"/>
      <c r="V10" s="1004"/>
      <c r="W10" s="1004"/>
      <c r="X10" s="1004"/>
      <c r="Y10" s="1004"/>
      <c r="Z10" s="1004"/>
      <c r="AA10" s="1004"/>
      <c r="AB10" s="1004"/>
      <c r="AC10" s="1004"/>
      <c r="AD10" s="1004"/>
      <c r="AE10" s="1004"/>
      <c r="AF10" s="1004"/>
      <c r="AG10" s="1004"/>
      <c r="AH10" s="1004"/>
      <c r="AI10" s="1004"/>
      <c r="AJ10" s="1004"/>
      <c r="AK10" s="1004"/>
      <c r="AL10" s="1004"/>
      <c r="AM10" s="1004"/>
      <c r="AN10" s="1004"/>
      <c r="AO10" s="1004"/>
      <c r="AP10" s="1004"/>
      <c r="AQ10" s="1004"/>
      <c r="AR10" s="1004"/>
      <c r="AS10" s="1004"/>
      <c r="AT10" s="1004"/>
      <c r="AU10" s="1004"/>
      <c r="AV10" s="1004"/>
      <c r="AW10" s="1004"/>
      <c r="AX10" s="1004"/>
      <c r="AY10" s="1004"/>
      <c r="AZ10" s="1004"/>
      <c r="BA10" s="1004"/>
      <c r="BB10" s="1004"/>
      <c r="BC10" s="1004"/>
      <c r="BD10" s="1004"/>
      <c r="BE10" s="1004"/>
      <c r="BF10" s="1004"/>
      <c r="BG10" s="1004"/>
      <c r="BH10" s="1004"/>
      <c r="BI10" s="1004"/>
      <c r="BJ10" s="1004"/>
      <c r="BK10" s="1004"/>
      <c r="BL10" s="1004"/>
      <c r="BM10" s="1004"/>
      <c r="BN10" s="1004"/>
      <c r="BO10" s="1004"/>
      <c r="BP10" s="1004"/>
      <c r="BQ10" s="1004"/>
      <c r="BR10" s="1004"/>
      <c r="BS10" s="1004"/>
      <c r="BT10" s="1004"/>
      <c r="BU10" s="1004"/>
      <c r="BV10" s="1004"/>
      <c r="BW10" s="1013" t="s">
        <v>359</v>
      </c>
      <c r="BX10" s="1013"/>
      <c r="BY10" s="1013"/>
      <c r="BZ10" s="1013"/>
      <c r="CA10" s="1013"/>
      <c r="CB10" s="1013"/>
      <c r="CC10" s="1013"/>
      <c r="CD10" s="1013"/>
      <c r="CE10" s="976" t="str">
        <f>MID(SUVAHAVUJ!AF124,1,1)</f>
        <v xml:space="preserve"> </v>
      </c>
      <c r="CF10" s="976"/>
      <c r="CG10" s="976"/>
      <c r="CH10" s="976"/>
      <c r="CI10" s="976"/>
      <c r="CJ10" s="976" t="str">
        <f>MID(SUVAHAVUJ!AF124,2,1)</f>
        <v xml:space="preserve"> </v>
      </c>
      <c r="CK10" s="976"/>
      <c r="CL10" s="976"/>
      <c r="CM10" s="976"/>
      <c r="CN10" s="976"/>
      <c r="CO10" s="976"/>
      <c r="CP10" s="976" t="str">
        <f>MID(SUVAHAVUJ!AF124,3,1)</f>
        <v xml:space="preserve"> </v>
      </c>
      <c r="CQ10" s="976"/>
      <c r="CR10" s="976"/>
      <c r="CS10" s="976"/>
      <c r="CT10" s="976"/>
      <c r="CU10" s="976" t="str">
        <f>MID(SUVAHAVUJ!AF124,4,1)</f>
        <v xml:space="preserve"> </v>
      </c>
      <c r="CV10" s="976"/>
      <c r="CW10" s="976"/>
      <c r="CX10" s="976"/>
      <c r="CY10" s="976"/>
      <c r="CZ10" s="976"/>
      <c r="DA10" s="976" t="str">
        <f>MID(SUVAHAVUJ!AF124,5,1)</f>
        <v xml:space="preserve"> </v>
      </c>
      <c r="DB10" s="976"/>
      <c r="DC10" s="976"/>
      <c r="DD10" s="976"/>
      <c r="DE10" s="976"/>
      <c r="DF10" s="976" t="str">
        <f>MID(SUVAHAVUJ!AF124,6,1)</f>
        <v>1</v>
      </c>
      <c r="DG10" s="976"/>
      <c r="DH10" s="976"/>
      <c r="DI10" s="976"/>
      <c r="DJ10" s="976"/>
      <c r="DK10" s="976"/>
      <c r="DL10" s="976" t="str">
        <f>MID(SUVAHAVUJ!AF124,7,1)</f>
        <v>1</v>
      </c>
      <c r="DM10" s="976"/>
      <c r="DN10" s="976"/>
      <c r="DO10" s="976"/>
      <c r="DP10" s="976"/>
      <c r="DQ10" s="976"/>
      <c r="DR10" s="976" t="str">
        <f>MID(SUVAHAVUJ!AF124,8,1)</f>
        <v>3</v>
      </c>
      <c r="DS10" s="976"/>
      <c r="DT10" s="976"/>
      <c r="DU10" s="976"/>
      <c r="DV10" s="976"/>
      <c r="DW10" s="982" t="str">
        <f>MID(SUVAHAVUJ!AF124,9,1)</f>
        <v>3</v>
      </c>
      <c r="DX10" s="982"/>
      <c r="DY10" s="982"/>
      <c r="DZ10" s="982"/>
      <c r="EA10" s="982"/>
      <c r="EB10" s="982"/>
      <c r="EC10" s="982" t="str">
        <f>MID(SUVAHAVUJ!AF124,10,1)</f>
        <v>6</v>
      </c>
      <c r="ED10" s="982"/>
      <c r="EE10" s="982"/>
      <c r="EF10" s="982"/>
      <c r="EG10" s="982"/>
      <c r="EH10" s="977" t="str">
        <f>MID(SUVAHAVUJ!AF124,11,1)</f>
        <v>0</v>
      </c>
      <c r="EI10" s="977"/>
      <c r="EJ10" s="977"/>
      <c r="EK10" s="977"/>
      <c r="EL10" s="977"/>
      <c r="EM10" s="977"/>
      <c r="EN10" s="665"/>
      <c r="EO10" s="666"/>
      <c r="EP10" s="976" t="str">
        <f>MID(SUVAHAVUJ!AG124,1,1)</f>
        <v xml:space="preserve"> </v>
      </c>
      <c r="EQ10" s="976"/>
      <c r="ER10" s="976"/>
      <c r="ES10" s="976"/>
      <c r="ET10" s="976"/>
      <c r="EU10" s="976"/>
      <c r="EV10" s="976" t="str">
        <f>MID(SUVAHAVUJ!AG124,2,1)</f>
        <v xml:space="preserve"> </v>
      </c>
      <c r="EW10" s="976"/>
      <c r="EX10" s="976"/>
      <c r="EY10" s="976"/>
      <c r="EZ10" s="976"/>
      <c r="FA10" s="976" t="str">
        <f>MID(SUVAHAVUJ!AG124,3,1)</f>
        <v xml:space="preserve"> </v>
      </c>
      <c r="FB10" s="976"/>
      <c r="FC10" s="976"/>
      <c r="FD10" s="976"/>
      <c r="FE10" s="976"/>
      <c r="FF10" s="976"/>
      <c r="FG10" s="976" t="str">
        <f>MID(SUVAHAVUJ!AG124,4,1)</f>
        <v xml:space="preserve"> </v>
      </c>
      <c r="FH10" s="976"/>
      <c r="FI10" s="976"/>
      <c r="FJ10" s="976"/>
      <c r="FK10" s="976"/>
      <c r="FL10" s="982" t="str">
        <f>MID(SUVAHAVUJ!AG124,5,1)</f>
        <v xml:space="preserve"> </v>
      </c>
      <c r="FM10" s="982"/>
      <c r="FN10" s="982"/>
      <c r="FO10" s="982"/>
      <c r="FP10" s="982"/>
      <c r="FQ10" s="982"/>
      <c r="FR10" s="982" t="str">
        <f>MID(SUVAHAVUJ!AG124,6,1)</f>
        <v>1</v>
      </c>
      <c r="FS10" s="982"/>
      <c r="FT10" s="982"/>
      <c r="FU10" s="982"/>
      <c r="FV10" s="982"/>
      <c r="FW10" s="982" t="str">
        <f>MID(SUVAHAVUJ!AG124,7,1)</f>
        <v>3</v>
      </c>
      <c r="FX10" s="982"/>
      <c r="FY10" s="982"/>
      <c r="FZ10" s="982"/>
      <c r="GA10" s="982"/>
      <c r="GB10" s="982"/>
      <c r="GC10" s="982" t="str">
        <f>MID(SUVAHAVUJ!AG124,8,1)</f>
        <v>4</v>
      </c>
      <c r="GD10" s="982"/>
      <c r="GE10" s="982"/>
      <c r="GF10" s="982"/>
      <c r="GG10" s="982"/>
      <c r="GH10" s="982" t="str">
        <f>MID(SUVAHAVUJ!AG124,9,1)</f>
        <v>9</v>
      </c>
      <c r="GI10" s="982"/>
      <c r="GJ10" s="982"/>
      <c r="GK10" s="982"/>
      <c r="GL10" s="982"/>
      <c r="GM10" s="982"/>
      <c r="GN10" s="982" t="str">
        <f>MID(SUVAHAVUJ!AG124,10,1)</f>
        <v>3</v>
      </c>
      <c r="GO10" s="982"/>
      <c r="GP10" s="982"/>
      <c r="GQ10" s="982"/>
      <c r="GR10" s="982"/>
      <c r="GS10" s="978" t="str">
        <f>MID(SUVAHAVUJ!AG124,11,1)</f>
        <v>5</v>
      </c>
      <c r="GT10" s="978"/>
      <c r="GU10" s="978"/>
      <c r="GV10" s="978"/>
      <c r="GW10" s="978"/>
    </row>
    <row r="11" spans="1:205" ht="24" customHeight="1" x14ac:dyDescent="0.25">
      <c r="B11" s="1014" t="s">
        <v>2209</v>
      </c>
      <c r="C11" s="1014"/>
      <c r="D11" s="1014"/>
      <c r="E11" s="1014"/>
      <c r="F11" s="1014"/>
      <c r="G11" s="1014"/>
      <c r="H11" s="1014"/>
      <c r="I11" s="1014"/>
      <c r="J11" s="1014"/>
      <c r="K11" s="1014"/>
      <c r="L11" s="1004" t="str">
        <f>SUVAHAVUJ!$D$125</f>
        <v>Záväzky z obchodného styku súčet (r.124 až r. 126)</v>
      </c>
      <c r="M11" s="1004"/>
      <c r="N11" s="1004"/>
      <c r="O11" s="1004"/>
      <c r="P11" s="1004"/>
      <c r="Q11" s="1004"/>
      <c r="R11" s="1004"/>
      <c r="S11" s="1004"/>
      <c r="T11" s="1004"/>
      <c r="U11" s="1004"/>
      <c r="V11" s="1004"/>
      <c r="W11" s="1004"/>
      <c r="X11" s="1004"/>
      <c r="Y11" s="1004"/>
      <c r="Z11" s="1004"/>
      <c r="AA11" s="1004"/>
      <c r="AB11" s="1004"/>
      <c r="AC11" s="1004"/>
      <c r="AD11" s="1004"/>
      <c r="AE11" s="1004"/>
      <c r="AF11" s="1004"/>
      <c r="AG11" s="1004"/>
      <c r="AH11" s="1004"/>
      <c r="AI11" s="1004"/>
      <c r="AJ11" s="1004"/>
      <c r="AK11" s="1004"/>
      <c r="AL11" s="1004"/>
      <c r="AM11" s="1004"/>
      <c r="AN11" s="1004"/>
      <c r="AO11" s="1004"/>
      <c r="AP11" s="1004"/>
      <c r="AQ11" s="1004"/>
      <c r="AR11" s="1004"/>
      <c r="AS11" s="1004"/>
      <c r="AT11" s="1004"/>
      <c r="AU11" s="1004"/>
      <c r="AV11" s="1004"/>
      <c r="AW11" s="1004"/>
      <c r="AX11" s="1004"/>
      <c r="AY11" s="1004"/>
      <c r="AZ11" s="1004"/>
      <c r="BA11" s="1004"/>
      <c r="BB11" s="1004"/>
      <c r="BC11" s="1004"/>
      <c r="BD11" s="1004"/>
      <c r="BE11" s="1004"/>
      <c r="BF11" s="1004"/>
      <c r="BG11" s="1004"/>
      <c r="BH11" s="1004"/>
      <c r="BI11" s="1004"/>
      <c r="BJ11" s="1004"/>
      <c r="BK11" s="1004"/>
      <c r="BL11" s="1004"/>
      <c r="BM11" s="1004"/>
      <c r="BN11" s="1004"/>
      <c r="BO11" s="1004"/>
      <c r="BP11" s="1004"/>
      <c r="BQ11" s="1004"/>
      <c r="BR11" s="1004"/>
      <c r="BS11" s="1004"/>
      <c r="BT11" s="1004"/>
      <c r="BU11" s="1004"/>
      <c r="BV11" s="1004"/>
      <c r="BW11" s="1013" t="s">
        <v>75</v>
      </c>
      <c r="BX11" s="1013"/>
      <c r="BY11" s="1013"/>
      <c r="BZ11" s="1013"/>
      <c r="CA11" s="1013"/>
      <c r="CB11" s="1013"/>
      <c r="CC11" s="1013"/>
      <c r="CD11" s="1013"/>
      <c r="CE11" s="976" t="str">
        <f>MID(SUVAHAVUJ!AF125,1,1)</f>
        <v xml:space="preserve"> </v>
      </c>
      <c r="CF11" s="976"/>
      <c r="CG11" s="976"/>
      <c r="CH11" s="976"/>
      <c r="CI11" s="976"/>
      <c r="CJ11" s="976" t="str">
        <f>MID(SUVAHAVUJ!AF125,2,1)</f>
        <v xml:space="preserve"> </v>
      </c>
      <c r="CK11" s="976"/>
      <c r="CL11" s="976"/>
      <c r="CM11" s="976"/>
      <c r="CN11" s="976"/>
      <c r="CO11" s="976"/>
      <c r="CP11" s="976" t="str">
        <f>MID(SUVAHAVUJ!AF125,3,1)</f>
        <v xml:space="preserve"> </v>
      </c>
      <c r="CQ11" s="976"/>
      <c r="CR11" s="976"/>
      <c r="CS11" s="976"/>
      <c r="CT11" s="976"/>
      <c r="CU11" s="976" t="str">
        <f>MID(SUVAHAVUJ!AF125,4,1)</f>
        <v xml:space="preserve"> </v>
      </c>
      <c r="CV11" s="976"/>
      <c r="CW11" s="976"/>
      <c r="CX11" s="976"/>
      <c r="CY11" s="976"/>
      <c r="CZ11" s="976"/>
      <c r="DA11" s="976" t="str">
        <f>MID(SUVAHAVUJ!AF125,5,1)</f>
        <v xml:space="preserve"> </v>
      </c>
      <c r="DB11" s="976"/>
      <c r="DC11" s="976"/>
      <c r="DD11" s="976"/>
      <c r="DE11" s="976"/>
      <c r="DF11" s="976" t="str">
        <f>MID(SUVAHAVUJ!AF125,6,1)</f>
        <v xml:space="preserve"> </v>
      </c>
      <c r="DG11" s="976"/>
      <c r="DH11" s="976"/>
      <c r="DI11" s="976"/>
      <c r="DJ11" s="976"/>
      <c r="DK11" s="976"/>
      <c r="DL11" s="976" t="str">
        <f>MID(SUVAHAVUJ!AF125,7,1)</f>
        <v>4</v>
      </c>
      <c r="DM11" s="976"/>
      <c r="DN11" s="976"/>
      <c r="DO11" s="976"/>
      <c r="DP11" s="976"/>
      <c r="DQ11" s="976"/>
      <c r="DR11" s="976" t="str">
        <f>MID(SUVAHAVUJ!AF125,8,1)</f>
        <v>2</v>
      </c>
      <c r="DS11" s="976"/>
      <c r="DT11" s="976"/>
      <c r="DU11" s="976"/>
      <c r="DV11" s="976"/>
      <c r="DW11" s="982" t="str">
        <f>MID(SUVAHAVUJ!AF125,9,1)</f>
        <v>8</v>
      </c>
      <c r="DX11" s="982"/>
      <c r="DY11" s="982"/>
      <c r="DZ11" s="982"/>
      <c r="EA11" s="982"/>
      <c r="EB11" s="982"/>
      <c r="EC11" s="982" t="str">
        <f>MID(SUVAHAVUJ!AF125,10,1)</f>
        <v>4</v>
      </c>
      <c r="ED11" s="982"/>
      <c r="EE11" s="982"/>
      <c r="EF11" s="982"/>
      <c r="EG11" s="982"/>
      <c r="EH11" s="977" t="str">
        <f>MID(SUVAHAVUJ!AF125,11,1)</f>
        <v>8</v>
      </c>
      <c r="EI11" s="977"/>
      <c r="EJ11" s="977"/>
      <c r="EK11" s="977"/>
      <c r="EL11" s="977"/>
      <c r="EM11" s="977"/>
      <c r="EN11" s="665"/>
      <c r="EO11" s="666"/>
      <c r="EP11" s="976" t="str">
        <f>MID(SUVAHAVUJ!AG125,1,1)</f>
        <v xml:space="preserve"> </v>
      </c>
      <c r="EQ11" s="976"/>
      <c r="ER11" s="976"/>
      <c r="ES11" s="976"/>
      <c r="ET11" s="976"/>
      <c r="EU11" s="976"/>
      <c r="EV11" s="976" t="str">
        <f>MID(SUVAHAVUJ!AG125,2,1)</f>
        <v xml:space="preserve"> </v>
      </c>
      <c r="EW11" s="976"/>
      <c r="EX11" s="976"/>
      <c r="EY11" s="976"/>
      <c r="EZ11" s="976"/>
      <c r="FA11" s="976" t="str">
        <f>MID(SUVAHAVUJ!AG125,3,1)</f>
        <v xml:space="preserve"> </v>
      </c>
      <c r="FB11" s="976"/>
      <c r="FC11" s="976"/>
      <c r="FD11" s="976"/>
      <c r="FE11" s="976"/>
      <c r="FF11" s="976"/>
      <c r="FG11" s="976" t="str">
        <f>MID(SUVAHAVUJ!AG125,4,1)</f>
        <v xml:space="preserve"> </v>
      </c>
      <c r="FH11" s="976"/>
      <c r="FI11" s="976"/>
      <c r="FJ11" s="976"/>
      <c r="FK11" s="976"/>
      <c r="FL11" s="982" t="str">
        <f>MID(SUVAHAVUJ!AG125,5,1)</f>
        <v xml:space="preserve"> </v>
      </c>
      <c r="FM11" s="982"/>
      <c r="FN11" s="982"/>
      <c r="FO11" s="982"/>
      <c r="FP11" s="982"/>
      <c r="FQ11" s="982"/>
      <c r="FR11" s="982" t="str">
        <f>MID(SUVAHAVUJ!AG125,6,1)</f>
        <v xml:space="preserve"> </v>
      </c>
      <c r="FS11" s="982"/>
      <c r="FT11" s="982"/>
      <c r="FU11" s="982"/>
      <c r="FV11" s="982"/>
      <c r="FW11" s="982" t="str">
        <f>MID(SUVAHAVUJ!AG125,7,1)</f>
        <v>3</v>
      </c>
      <c r="FX11" s="982"/>
      <c r="FY11" s="982"/>
      <c r="FZ11" s="982"/>
      <c r="GA11" s="982"/>
      <c r="GB11" s="982"/>
      <c r="GC11" s="982" t="str">
        <f>MID(SUVAHAVUJ!AG125,8,1)</f>
        <v>5</v>
      </c>
      <c r="GD11" s="982"/>
      <c r="GE11" s="982"/>
      <c r="GF11" s="982"/>
      <c r="GG11" s="982"/>
      <c r="GH11" s="982" t="str">
        <f>MID(SUVAHAVUJ!AG125,9,1)</f>
        <v>0</v>
      </c>
      <c r="GI11" s="982"/>
      <c r="GJ11" s="982"/>
      <c r="GK11" s="982"/>
      <c r="GL11" s="982"/>
      <c r="GM11" s="982"/>
      <c r="GN11" s="982" t="str">
        <f>MID(SUVAHAVUJ!AG125,10,1)</f>
        <v>4</v>
      </c>
      <c r="GO11" s="982"/>
      <c r="GP11" s="982"/>
      <c r="GQ11" s="982"/>
      <c r="GR11" s="982"/>
      <c r="GS11" s="978" t="str">
        <f>MID(SUVAHAVUJ!AG125,11,1)</f>
        <v>4</v>
      </c>
      <c r="GT11" s="978"/>
      <c r="GU11" s="978"/>
      <c r="GV11" s="978"/>
      <c r="GW11" s="978"/>
    </row>
    <row r="12" spans="1:205" ht="24" customHeight="1" x14ac:dyDescent="0.25">
      <c r="B12" s="985" t="s">
        <v>2199</v>
      </c>
      <c r="C12" s="985"/>
      <c r="D12" s="985"/>
      <c r="E12" s="985"/>
      <c r="F12" s="985"/>
      <c r="G12" s="985"/>
      <c r="H12" s="985"/>
      <c r="I12" s="985"/>
      <c r="J12" s="985"/>
      <c r="K12" s="985"/>
      <c r="L12" s="1005" t="str">
        <f>SUVAHAVUJ!$D$126</f>
        <v>Záväzky z obchodného styku voči prepojeným účtovným jednotkám (321A, 322A, 324A, 325A, 326A, 32XA, 475A, 476A, 478A, 47XA)</v>
      </c>
      <c r="M12" s="1005"/>
      <c r="N12" s="1005"/>
      <c r="O12" s="1005"/>
      <c r="P12" s="1005"/>
      <c r="Q12" s="1005"/>
      <c r="R12" s="1005"/>
      <c r="S12" s="1005"/>
      <c r="T12" s="1005"/>
      <c r="U12" s="1005"/>
      <c r="V12" s="1005"/>
      <c r="W12" s="1005"/>
      <c r="X12" s="1005"/>
      <c r="Y12" s="1005"/>
      <c r="Z12" s="1005"/>
      <c r="AA12" s="1005"/>
      <c r="AB12" s="1005"/>
      <c r="AC12" s="1005"/>
      <c r="AD12" s="1005"/>
      <c r="AE12" s="1005"/>
      <c r="AF12" s="1005"/>
      <c r="AG12" s="1005"/>
      <c r="AH12" s="1005"/>
      <c r="AI12" s="1005"/>
      <c r="AJ12" s="1005"/>
      <c r="AK12" s="1005"/>
      <c r="AL12" s="1005"/>
      <c r="AM12" s="1005"/>
      <c r="AN12" s="1005"/>
      <c r="AO12" s="1005"/>
      <c r="AP12" s="1005"/>
      <c r="AQ12" s="1005"/>
      <c r="AR12" s="1005"/>
      <c r="AS12" s="1005"/>
      <c r="AT12" s="1005"/>
      <c r="AU12" s="1005"/>
      <c r="AV12" s="1005"/>
      <c r="AW12" s="1005"/>
      <c r="AX12" s="1005"/>
      <c r="AY12" s="1005"/>
      <c r="AZ12" s="1005"/>
      <c r="BA12" s="1005"/>
      <c r="BB12" s="1005"/>
      <c r="BC12" s="1005"/>
      <c r="BD12" s="1005"/>
      <c r="BE12" s="1005"/>
      <c r="BF12" s="1005"/>
      <c r="BG12" s="1005"/>
      <c r="BH12" s="1005"/>
      <c r="BI12" s="1005"/>
      <c r="BJ12" s="1005"/>
      <c r="BK12" s="1005"/>
      <c r="BL12" s="1005"/>
      <c r="BM12" s="1005"/>
      <c r="BN12" s="1005"/>
      <c r="BO12" s="1005"/>
      <c r="BP12" s="1005"/>
      <c r="BQ12" s="1005"/>
      <c r="BR12" s="1005"/>
      <c r="BS12" s="1005"/>
      <c r="BT12" s="1005"/>
      <c r="BU12" s="1005"/>
      <c r="BV12" s="1005"/>
      <c r="BW12" s="975" t="s">
        <v>76</v>
      </c>
      <c r="BX12" s="975"/>
      <c r="BY12" s="975"/>
      <c r="BZ12" s="975"/>
      <c r="CA12" s="975"/>
      <c r="CB12" s="975"/>
      <c r="CC12" s="975"/>
      <c r="CD12" s="975"/>
      <c r="CE12" s="976" t="str">
        <f>MID(SUVAHAVUJ!AF126,1,1)</f>
        <v xml:space="preserve"> </v>
      </c>
      <c r="CF12" s="976"/>
      <c r="CG12" s="976"/>
      <c r="CH12" s="976"/>
      <c r="CI12" s="976"/>
      <c r="CJ12" s="976" t="str">
        <f>MID(SUVAHAVUJ!AF126,2,1)</f>
        <v xml:space="preserve"> </v>
      </c>
      <c r="CK12" s="976"/>
      <c r="CL12" s="976"/>
      <c r="CM12" s="976"/>
      <c r="CN12" s="976"/>
      <c r="CO12" s="976"/>
      <c r="CP12" s="976" t="str">
        <f>MID(SUVAHAVUJ!AF126,3,1)</f>
        <v xml:space="preserve"> </v>
      </c>
      <c r="CQ12" s="976"/>
      <c r="CR12" s="976"/>
      <c r="CS12" s="976"/>
      <c r="CT12" s="976"/>
      <c r="CU12" s="976" t="str">
        <f>MID(SUVAHAVUJ!AF126,4,1)</f>
        <v xml:space="preserve"> </v>
      </c>
      <c r="CV12" s="976"/>
      <c r="CW12" s="976"/>
      <c r="CX12" s="976"/>
      <c r="CY12" s="976"/>
      <c r="CZ12" s="976"/>
      <c r="DA12" s="976" t="str">
        <f>MID(SUVAHAVUJ!AF126,5,1)</f>
        <v xml:space="preserve"> </v>
      </c>
      <c r="DB12" s="976"/>
      <c r="DC12" s="976"/>
      <c r="DD12" s="976"/>
      <c r="DE12" s="976"/>
      <c r="DF12" s="976" t="str">
        <f>MID(SUVAHAVUJ!AF126,6,1)</f>
        <v xml:space="preserve"> </v>
      </c>
      <c r="DG12" s="976"/>
      <c r="DH12" s="976"/>
      <c r="DI12" s="976"/>
      <c r="DJ12" s="976"/>
      <c r="DK12" s="976"/>
      <c r="DL12" s="976" t="str">
        <f>MID(SUVAHAVUJ!AF126,7,1)</f>
        <v>4</v>
      </c>
      <c r="DM12" s="976"/>
      <c r="DN12" s="976"/>
      <c r="DO12" s="976"/>
      <c r="DP12" s="976"/>
      <c r="DQ12" s="976"/>
      <c r="DR12" s="976" t="str">
        <f>MID(SUVAHAVUJ!AF126,8,1)</f>
        <v>2</v>
      </c>
      <c r="DS12" s="976"/>
      <c r="DT12" s="976"/>
      <c r="DU12" s="976"/>
      <c r="DV12" s="976"/>
      <c r="DW12" s="982" t="str">
        <f>MID(SUVAHAVUJ!AF126,9,1)</f>
        <v>8</v>
      </c>
      <c r="DX12" s="982"/>
      <c r="DY12" s="982"/>
      <c r="DZ12" s="982"/>
      <c r="EA12" s="982"/>
      <c r="EB12" s="982"/>
      <c r="EC12" s="982" t="str">
        <f>MID(SUVAHAVUJ!AF126,10,1)</f>
        <v>4</v>
      </c>
      <c r="ED12" s="982"/>
      <c r="EE12" s="982"/>
      <c r="EF12" s="982"/>
      <c r="EG12" s="982"/>
      <c r="EH12" s="977" t="str">
        <f>MID(SUVAHAVUJ!AF126,11,1)</f>
        <v>8</v>
      </c>
      <c r="EI12" s="977"/>
      <c r="EJ12" s="977"/>
      <c r="EK12" s="977"/>
      <c r="EL12" s="977"/>
      <c r="EM12" s="977"/>
      <c r="EN12" s="665"/>
      <c r="EO12" s="666"/>
      <c r="EP12" s="976" t="str">
        <f>MID(SUVAHAVUJ!AG126,1,1)</f>
        <v xml:space="preserve"> </v>
      </c>
      <c r="EQ12" s="976"/>
      <c r="ER12" s="976"/>
      <c r="ES12" s="976"/>
      <c r="ET12" s="976"/>
      <c r="EU12" s="976"/>
      <c r="EV12" s="976" t="str">
        <f>MID(SUVAHAVUJ!AG126,2,1)</f>
        <v xml:space="preserve"> </v>
      </c>
      <c r="EW12" s="976"/>
      <c r="EX12" s="976"/>
      <c r="EY12" s="976"/>
      <c r="EZ12" s="976"/>
      <c r="FA12" s="976" t="str">
        <f>MID(SUVAHAVUJ!AG126,3,1)</f>
        <v xml:space="preserve"> </v>
      </c>
      <c r="FB12" s="976"/>
      <c r="FC12" s="976"/>
      <c r="FD12" s="976"/>
      <c r="FE12" s="976"/>
      <c r="FF12" s="976"/>
      <c r="FG12" s="976" t="str">
        <f>MID(SUVAHAVUJ!AG126,4,1)</f>
        <v xml:space="preserve"> </v>
      </c>
      <c r="FH12" s="976"/>
      <c r="FI12" s="976"/>
      <c r="FJ12" s="976"/>
      <c r="FK12" s="976"/>
      <c r="FL12" s="982" t="str">
        <f>MID(SUVAHAVUJ!AG126,5,1)</f>
        <v xml:space="preserve"> </v>
      </c>
      <c r="FM12" s="982"/>
      <c r="FN12" s="982"/>
      <c r="FO12" s="982"/>
      <c r="FP12" s="982"/>
      <c r="FQ12" s="982"/>
      <c r="FR12" s="982" t="str">
        <f>MID(SUVAHAVUJ!AG126,6,1)</f>
        <v xml:space="preserve"> </v>
      </c>
      <c r="FS12" s="982"/>
      <c r="FT12" s="982"/>
      <c r="FU12" s="982"/>
      <c r="FV12" s="982"/>
      <c r="FW12" s="982" t="str">
        <f>MID(SUVAHAVUJ!AG126,7,1)</f>
        <v>3</v>
      </c>
      <c r="FX12" s="982"/>
      <c r="FY12" s="982"/>
      <c r="FZ12" s="982"/>
      <c r="GA12" s="982"/>
      <c r="GB12" s="982"/>
      <c r="GC12" s="982" t="str">
        <f>MID(SUVAHAVUJ!AG126,8,1)</f>
        <v>5</v>
      </c>
      <c r="GD12" s="982"/>
      <c r="GE12" s="982"/>
      <c r="GF12" s="982"/>
      <c r="GG12" s="982"/>
      <c r="GH12" s="982" t="str">
        <f>MID(SUVAHAVUJ!AG126,9,1)</f>
        <v>0</v>
      </c>
      <c r="GI12" s="982"/>
      <c r="GJ12" s="982"/>
      <c r="GK12" s="982"/>
      <c r="GL12" s="982"/>
      <c r="GM12" s="982"/>
      <c r="GN12" s="982" t="str">
        <f>MID(SUVAHAVUJ!AG126,10,1)</f>
        <v>4</v>
      </c>
      <c r="GO12" s="982"/>
      <c r="GP12" s="982"/>
      <c r="GQ12" s="982"/>
      <c r="GR12" s="982"/>
      <c r="GS12" s="978" t="str">
        <f>MID(SUVAHAVUJ!AG126,11,1)</f>
        <v>4</v>
      </c>
      <c r="GT12" s="978"/>
      <c r="GU12" s="978"/>
      <c r="GV12" s="978"/>
      <c r="GW12" s="978"/>
    </row>
    <row r="13" spans="1:205" ht="24" customHeight="1" x14ac:dyDescent="0.25">
      <c r="B13" s="985" t="s">
        <v>2200</v>
      </c>
      <c r="C13" s="985"/>
      <c r="D13" s="985"/>
      <c r="E13" s="985"/>
      <c r="F13" s="985"/>
      <c r="G13" s="985"/>
      <c r="H13" s="985"/>
      <c r="I13" s="985"/>
      <c r="J13" s="985"/>
      <c r="K13" s="985"/>
      <c r="L13" s="1005" t="str">
        <f>SUVAHAVUJ!$D$127</f>
        <v>Záväzky z obchodného styku v rámci podielovej účasti okrem záväzkov voči prepojeným účtovným jednotkám (321A, 322A, 324A, 325A, 326A, 32XA, 475A, 476A, 478A, 47XA)</v>
      </c>
      <c r="M13" s="1005"/>
      <c r="N13" s="1005"/>
      <c r="O13" s="1005"/>
      <c r="P13" s="1005"/>
      <c r="Q13" s="1005"/>
      <c r="R13" s="1005"/>
      <c r="S13" s="1005"/>
      <c r="T13" s="1005"/>
      <c r="U13" s="1005"/>
      <c r="V13" s="1005"/>
      <c r="W13" s="1005"/>
      <c r="X13" s="1005"/>
      <c r="Y13" s="1005"/>
      <c r="Z13" s="1005"/>
      <c r="AA13" s="1005"/>
      <c r="AB13" s="1005"/>
      <c r="AC13" s="1005"/>
      <c r="AD13" s="1005"/>
      <c r="AE13" s="1005"/>
      <c r="AF13" s="1005"/>
      <c r="AG13" s="1005"/>
      <c r="AH13" s="1005"/>
      <c r="AI13" s="1005"/>
      <c r="AJ13" s="1005"/>
      <c r="AK13" s="1005"/>
      <c r="AL13" s="1005"/>
      <c r="AM13" s="1005"/>
      <c r="AN13" s="1005"/>
      <c r="AO13" s="1005"/>
      <c r="AP13" s="1005"/>
      <c r="AQ13" s="1005"/>
      <c r="AR13" s="1005"/>
      <c r="AS13" s="1005"/>
      <c r="AT13" s="1005"/>
      <c r="AU13" s="1005"/>
      <c r="AV13" s="1005"/>
      <c r="AW13" s="1005"/>
      <c r="AX13" s="1005"/>
      <c r="AY13" s="1005"/>
      <c r="AZ13" s="1005"/>
      <c r="BA13" s="1005"/>
      <c r="BB13" s="1005"/>
      <c r="BC13" s="1005"/>
      <c r="BD13" s="1005"/>
      <c r="BE13" s="1005"/>
      <c r="BF13" s="1005"/>
      <c r="BG13" s="1005"/>
      <c r="BH13" s="1005"/>
      <c r="BI13" s="1005"/>
      <c r="BJ13" s="1005"/>
      <c r="BK13" s="1005"/>
      <c r="BL13" s="1005"/>
      <c r="BM13" s="1005"/>
      <c r="BN13" s="1005"/>
      <c r="BO13" s="1005"/>
      <c r="BP13" s="1005"/>
      <c r="BQ13" s="1005"/>
      <c r="BR13" s="1005"/>
      <c r="BS13" s="1005"/>
      <c r="BT13" s="1005"/>
      <c r="BU13" s="1005"/>
      <c r="BV13" s="1005"/>
      <c r="BW13" s="975" t="s">
        <v>2268</v>
      </c>
      <c r="BX13" s="975"/>
      <c r="BY13" s="975"/>
      <c r="BZ13" s="975"/>
      <c r="CA13" s="975"/>
      <c r="CB13" s="975"/>
      <c r="CC13" s="975"/>
      <c r="CD13" s="975"/>
      <c r="CE13" s="976" t="str">
        <f>MID(SUVAHAVUJ!AF127,1,1)</f>
        <v xml:space="preserve"> </v>
      </c>
      <c r="CF13" s="976"/>
      <c r="CG13" s="976"/>
      <c r="CH13" s="976"/>
      <c r="CI13" s="976"/>
      <c r="CJ13" s="976" t="str">
        <f>MID(SUVAHAVUJ!AF127,2,1)</f>
        <v xml:space="preserve"> </v>
      </c>
      <c r="CK13" s="976"/>
      <c r="CL13" s="976"/>
      <c r="CM13" s="976"/>
      <c r="CN13" s="976"/>
      <c r="CO13" s="976"/>
      <c r="CP13" s="976" t="str">
        <f>MID(SUVAHAVUJ!AF127,3,1)</f>
        <v xml:space="preserve"> </v>
      </c>
      <c r="CQ13" s="976"/>
      <c r="CR13" s="976"/>
      <c r="CS13" s="976"/>
      <c r="CT13" s="976"/>
      <c r="CU13" s="976" t="str">
        <f>MID(SUVAHAVUJ!AF127,4,1)</f>
        <v xml:space="preserve"> </v>
      </c>
      <c r="CV13" s="976"/>
      <c r="CW13" s="976"/>
      <c r="CX13" s="976"/>
      <c r="CY13" s="976"/>
      <c r="CZ13" s="976"/>
      <c r="DA13" s="976" t="str">
        <f>MID(SUVAHAVUJ!AF127,5,1)</f>
        <v xml:space="preserve"> </v>
      </c>
      <c r="DB13" s="976"/>
      <c r="DC13" s="976"/>
      <c r="DD13" s="976"/>
      <c r="DE13" s="976"/>
      <c r="DF13" s="976" t="str">
        <f>MID(SUVAHAVUJ!AF127,6,1)</f>
        <v xml:space="preserve"> </v>
      </c>
      <c r="DG13" s="976"/>
      <c r="DH13" s="976"/>
      <c r="DI13" s="976"/>
      <c r="DJ13" s="976"/>
      <c r="DK13" s="976"/>
      <c r="DL13" s="976" t="str">
        <f>MID(SUVAHAVUJ!AF127,7,1)</f>
        <v xml:space="preserve"> </v>
      </c>
      <c r="DM13" s="976"/>
      <c r="DN13" s="976"/>
      <c r="DO13" s="976"/>
      <c r="DP13" s="976"/>
      <c r="DQ13" s="976"/>
      <c r="DR13" s="976" t="str">
        <f>MID(SUVAHAVUJ!AF127,8,1)</f>
        <v xml:space="preserve"> </v>
      </c>
      <c r="DS13" s="976"/>
      <c r="DT13" s="976"/>
      <c r="DU13" s="976"/>
      <c r="DV13" s="976"/>
      <c r="DW13" s="982" t="str">
        <f>MID(SUVAHAVUJ!AF127,9,1)</f>
        <v xml:space="preserve"> </v>
      </c>
      <c r="DX13" s="982"/>
      <c r="DY13" s="982"/>
      <c r="DZ13" s="982"/>
      <c r="EA13" s="982"/>
      <c r="EB13" s="982"/>
      <c r="EC13" s="982" t="str">
        <f>MID(SUVAHAVUJ!AF127,10,1)</f>
        <v xml:space="preserve"> </v>
      </c>
      <c r="ED13" s="982"/>
      <c r="EE13" s="982"/>
      <c r="EF13" s="982"/>
      <c r="EG13" s="982"/>
      <c r="EH13" s="977" t="str">
        <f>MID(SUVAHAVUJ!AF127,11,1)</f>
        <v>0</v>
      </c>
      <c r="EI13" s="977"/>
      <c r="EJ13" s="977"/>
      <c r="EK13" s="977"/>
      <c r="EL13" s="977"/>
      <c r="EM13" s="977"/>
      <c r="EN13" s="665"/>
      <c r="EO13" s="666"/>
      <c r="EP13" s="976" t="str">
        <f>MID(SUVAHAVUJ!AG127,1,1)</f>
        <v xml:space="preserve"> </v>
      </c>
      <c r="EQ13" s="976"/>
      <c r="ER13" s="976"/>
      <c r="ES13" s="976"/>
      <c r="ET13" s="976"/>
      <c r="EU13" s="976"/>
      <c r="EV13" s="976" t="str">
        <f>MID(SUVAHAVUJ!AG127,2,1)</f>
        <v xml:space="preserve"> </v>
      </c>
      <c r="EW13" s="976"/>
      <c r="EX13" s="976"/>
      <c r="EY13" s="976"/>
      <c r="EZ13" s="976"/>
      <c r="FA13" s="976" t="str">
        <f>MID(SUVAHAVUJ!AG127,3,1)</f>
        <v xml:space="preserve"> </v>
      </c>
      <c r="FB13" s="976"/>
      <c r="FC13" s="976"/>
      <c r="FD13" s="976"/>
      <c r="FE13" s="976"/>
      <c r="FF13" s="976"/>
      <c r="FG13" s="976" t="str">
        <f>MID(SUVAHAVUJ!AG127,4,1)</f>
        <v xml:space="preserve"> </v>
      </c>
      <c r="FH13" s="976"/>
      <c r="FI13" s="976"/>
      <c r="FJ13" s="976"/>
      <c r="FK13" s="976"/>
      <c r="FL13" s="982" t="str">
        <f>MID(SUVAHAVUJ!AG127,5,1)</f>
        <v xml:space="preserve"> </v>
      </c>
      <c r="FM13" s="982"/>
      <c r="FN13" s="982"/>
      <c r="FO13" s="982"/>
      <c r="FP13" s="982"/>
      <c r="FQ13" s="982"/>
      <c r="FR13" s="982" t="str">
        <f>MID(SUVAHAVUJ!AG127,6,1)</f>
        <v xml:space="preserve"> </v>
      </c>
      <c r="FS13" s="982"/>
      <c r="FT13" s="982"/>
      <c r="FU13" s="982"/>
      <c r="FV13" s="982"/>
      <c r="FW13" s="982" t="str">
        <f>MID(SUVAHAVUJ!AG127,7,1)</f>
        <v xml:space="preserve"> </v>
      </c>
      <c r="FX13" s="982"/>
      <c r="FY13" s="982"/>
      <c r="FZ13" s="982"/>
      <c r="GA13" s="982"/>
      <c r="GB13" s="982"/>
      <c r="GC13" s="982" t="str">
        <f>MID(SUVAHAVUJ!AG127,8,1)</f>
        <v xml:space="preserve"> </v>
      </c>
      <c r="GD13" s="982"/>
      <c r="GE13" s="982"/>
      <c r="GF13" s="982"/>
      <c r="GG13" s="982"/>
      <c r="GH13" s="982" t="str">
        <f>MID(SUVAHAVUJ!AG127,9,1)</f>
        <v xml:space="preserve"> </v>
      </c>
      <c r="GI13" s="982"/>
      <c r="GJ13" s="982"/>
      <c r="GK13" s="982"/>
      <c r="GL13" s="982"/>
      <c r="GM13" s="982"/>
      <c r="GN13" s="982" t="str">
        <f>MID(SUVAHAVUJ!AG127,10,1)</f>
        <v xml:space="preserve"> </v>
      </c>
      <c r="GO13" s="982"/>
      <c r="GP13" s="982"/>
      <c r="GQ13" s="982"/>
      <c r="GR13" s="982"/>
      <c r="GS13" s="978" t="str">
        <f>MID(SUVAHAVUJ!AG127,11,1)</f>
        <v>0</v>
      </c>
      <c r="GT13" s="978"/>
      <c r="GU13" s="978"/>
      <c r="GV13" s="978"/>
      <c r="GW13" s="978"/>
    </row>
    <row r="14" spans="1:205" ht="24" customHeight="1" x14ac:dyDescent="0.25">
      <c r="B14" s="985" t="s">
        <v>2201</v>
      </c>
      <c r="C14" s="985"/>
      <c r="D14" s="985"/>
      <c r="E14" s="985"/>
      <c r="F14" s="985"/>
      <c r="G14" s="985"/>
      <c r="H14" s="985"/>
      <c r="I14" s="985"/>
      <c r="J14" s="985"/>
      <c r="K14" s="985"/>
      <c r="L14" s="1005" t="str">
        <f>SUVAHAVUJ!$D$128</f>
        <v>Ostatné záväzky z obchodného styku (321A, 322A, 324A, 325A, 326A, 32XA, 475A, 476A, 478A, 47XA)</v>
      </c>
      <c r="M14" s="1005"/>
      <c r="N14" s="1005"/>
      <c r="O14" s="1005"/>
      <c r="P14" s="1005"/>
      <c r="Q14" s="1005"/>
      <c r="R14" s="1005"/>
      <c r="S14" s="1005"/>
      <c r="T14" s="1005"/>
      <c r="U14" s="1005"/>
      <c r="V14" s="1005"/>
      <c r="W14" s="1005"/>
      <c r="X14" s="1005"/>
      <c r="Y14" s="1005"/>
      <c r="Z14" s="1005"/>
      <c r="AA14" s="1005"/>
      <c r="AB14" s="1005"/>
      <c r="AC14" s="1005"/>
      <c r="AD14" s="1005"/>
      <c r="AE14" s="1005"/>
      <c r="AF14" s="1005"/>
      <c r="AG14" s="1005"/>
      <c r="AH14" s="1005"/>
      <c r="AI14" s="1005"/>
      <c r="AJ14" s="1005"/>
      <c r="AK14" s="1005"/>
      <c r="AL14" s="1005"/>
      <c r="AM14" s="1005"/>
      <c r="AN14" s="1005"/>
      <c r="AO14" s="1005"/>
      <c r="AP14" s="1005"/>
      <c r="AQ14" s="1005"/>
      <c r="AR14" s="1005"/>
      <c r="AS14" s="1005"/>
      <c r="AT14" s="1005"/>
      <c r="AU14" s="1005"/>
      <c r="AV14" s="1005"/>
      <c r="AW14" s="1005"/>
      <c r="AX14" s="1005"/>
      <c r="AY14" s="1005"/>
      <c r="AZ14" s="1005"/>
      <c r="BA14" s="1005"/>
      <c r="BB14" s="1005"/>
      <c r="BC14" s="1005"/>
      <c r="BD14" s="1005"/>
      <c r="BE14" s="1005"/>
      <c r="BF14" s="1005"/>
      <c r="BG14" s="1005"/>
      <c r="BH14" s="1005"/>
      <c r="BI14" s="1005"/>
      <c r="BJ14" s="1005"/>
      <c r="BK14" s="1005"/>
      <c r="BL14" s="1005"/>
      <c r="BM14" s="1005"/>
      <c r="BN14" s="1005"/>
      <c r="BO14" s="1005"/>
      <c r="BP14" s="1005"/>
      <c r="BQ14" s="1005"/>
      <c r="BR14" s="1005"/>
      <c r="BS14" s="1005"/>
      <c r="BT14" s="1005"/>
      <c r="BU14" s="1005"/>
      <c r="BV14" s="1005"/>
      <c r="BW14" s="975" t="s">
        <v>2269</v>
      </c>
      <c r="BX14" s="975"/>
      <c r="BY14" s="975"/>
      <c r="BZ14" s="975"/>
      <c r="CA14" s="975"/>
      <c r="CB14" s="975"/>
      <c r="CC14" s="975"/>
      <c r="CD14" s="975"/>
      <c r="CE14" s="976" t="str">
        <f>MID(SUVAHAVUJ!AF128,1,1)</f>
        <v xml:space="preserve"> </v>
      </c>
      <c r="CF14" s="976"/>
      <c r="CG14" s="976"/>
      <c r="CH14" s="976"/>
      <c r="CI14" s="976"/>
      <c r="CJ14" s="976" t="str">
        <f>MID(SUVAHAVUJ!AF128,2,1)</f>
        <v xml:space="preserve"> </v>
      </c>
      <c r="CK14" s="976"/>
      <c r="CL14" s="976"/>
      <c r="CM14" s="976"/>
      <c r="CN14" s="976"/>
      <c r="CO14" s="976"/>
      <c r="CP14" s="976" t="str">
        <f>MID(SUVAHAVUJ!AF128,3,1)</f>
        <v xml:space="preserve"> </v>
      </c>
      <c r="CQ14" s="976"/>
      <c r="CR14" s="976"/>
      <c r="CS14" s="976"/>
      <c r="CT14" s="976"/>
      <c r="CU14" s="976" t="str">
        <f>MID(SUVAHAVUJ!AF128,4,1)</f>
        <v xml:space="preserve"> </v>
      </c>
      <c r="CV14" s="976"/>
      <c r="CW14" s="976"/>
      <c r="CX14" s="976"/>
      <c r="CY14" s="976"/>
      <c r="CZ14" s="976"/>
      <c r="DA14" s="976" t="str">
        <f>MID(SUVAHAVUJ!AF128,5,1)</f>
        <v xml:space="preserve"> </v>
      </c>
      <c r="DB14" s="976"/>
      <c r="DC14" s="976"/>
      <c r="DD14" s="976"/>
      <c r="DE14" s="976"/>
      <c r="DF14" s="976" t="str">
        <f>MID(SUVAHAVUJ!AF128,6,1)</f>
        <v xml:space="preserve"> </v>
      </c>
      <c r="DG14" s="976"/>
      <c r="DH14" s="976"/>
      <c r="DI14" s="976"/>
      <c r="DJ14" s="976"/>
      <c r="DK14" s="976"/>
      <c r="DL14" s="976" t="str">
        <f>MID(SUVAHAVUJ!AF128,7,1)</f>
        <v xml:space="preserve"> </v>
      </c>
      <c r="DM14" s="976"/>
      <c r="DN14" s="976"/>
      <c r="DO14" s="976"/>
      <c r="DP14" s="976"/>
      <c r="DQ14" s="976"/>
      <c r="DR14" s="976" t="str">
        <f>MID(SUVAHAVUJ!AF128,8,1)</f>
        <v xml:space="preserve"> </v>
      </c>
      <c r="DS14" s="976"/>
      <c r="DT14" s="976"/>
      <c r="DU14" s="976"/>
      <c r="DV14" s="976"/>
      <c r="DW14" s="982" t="str">
        <f>MID(SUVAHAVUJ!AF128,9,1)</f>
        <v xml:space="preserve"> </v>
      </c>
      <c r="DX14" s="982"/>
      <c r="DY14" s="982"/>
      <c r="DZ14" s="982"/>
      <c r="EA14" s="982"/>
      <c r="EB14" s="982"/>
      <c r="EC14" s="982" t="str">
        <f>MID(SUVAHAVUJ!AF128,10,1)</f>
        <v xml:space="preserve"> </v>
      </c>
      <c r="ED14" s="982"/>
      <c r="EE14" s="982"/>
      <c r="EF14" s="982"/>
      <c r="EG14" s="982"/>
      <c r="EH14" s="977" t="str">
        <f>MID(SUVAHAVUJ!AF128,11,1)</f>
        <v>0</v>
      </c>
      <c r="EI14" s="977"/>
      <c r="EJ14" s="977"/>
      <c r="EK14" s="977"/>
      <c r="EL14" s="977"/>
      <c r="EM14" s="977"/>
      <c r="EN14" s="665"/>
      <c r="EO14" s="666"/>
      <c r="EP14" s="976" t="str">
        <f>MID(SUVAHAVUJ!AG128,1,1)</f>
        <v xml:space="preserve"> </v>
      </c>
      <c r="EQ14" s="976"/>
      <c r="ER14" s="976"/>
      <c r="ES14" s="976"/>
      <c r="ET14" s="976"/>
      <c r="EU14" s="976"/>
      <c r="EV14" s="976" t="str">
        <f>MID(SUVAHAVUJ!AG128,2,1)</f>
        <v xml:space="preserve"> </v>
      </c>
      <c r="EW14" s="976"/>
      <c r="EX14" s="976"/>
      <c r="EY14" s="976"/>
      <c r="EZ14" s="976"/>
      <c r="FA14" s="976" t="str">
        <f>MID(SUVAHAVUJ!AG128,3,1)</f>
        <v xml:space="preserve"> </v>
      </c>
      <c r="FB14" s="976"/>
      <c r="FC14" s="976"/>
      <c r="FD14" s="976"/>
      <c r="FE14" s="976"/>
      <c r="FF14" s="976"/>
      <c r="FG14" s="976" t="str">
        <f>MID(SUVAHAVUJ!AG128,4,1)</f>
        <v xml:space="preserve"> </v>
      </c>
      <c r="FH14" s="976"/>
      <c r="FI14" s="976"/>
      <c r="FJ14" s="976"/>
      <c r="FK14" s="976"/>
      <c r="FL14" s="982" t="str">
        <f>MID(SUVAHAVUJ!AG128,5,1)</f>
        <v xml:space="preserve"> </v>
      </c>
      <c r="FM14" s="982"/>
      <c r="FN14" s="982"/>
      <c r="FO14" s="982"/>
      <c r="FP14" s="982"/>
      <c r="FQ14" s="982"/>
      <c r="FR14" s="982" t="str">
        <f>MID(SUVAHAVUJ!AG128,6,1)</f>
        <v xml:space="preserve"> </v>
      </c>
      <c r="FS14" s="982"/>
      <c r="FT14" s="982"/>
      <c r="FU14" s="982"/>
      <c r="FV14" s="982"/>
      <c r="FW14" s="982" t="str">
        <f>MID(SUVAHAVUJ!AG128,7,1)</f>
        <v xml:space="preserve"> </v>
      </c>
      <c r="FX14" s="982"/>
      <c r="FY14" s="982"/>
      <c r="FZ14" s="982"/>
      <c r="GA14" s="982"/>
      <c r="GB14" s="982"/>
      <c r="GC14" s="982" t="str">
        <f>MID(SUVAHAVUJ!AG128,8,1)</f>
        <v xml:space="preserve"> </v>
      </c>
      <c r="GD14" s="982"/>
      <c r="GE14" s="982"/>
      <c r="GF14" s="982"/>
      <c r="GG14" s="982"/>
      <c r="GH14" s="982" t="str">
        <f>MID(SUVAHAVUJ!AG128,9,1)</f>
        <v xml:space="preserve"> </v>
      </c>
      <c r="GI14" s="982"/>
      <c r="GJ14" s="982"/>
      <c r="GK14" s="982"/>
      <c r="GL14" s="982"/>
      <c r="GM14" s="982"/>
      <c r="GN14" s="982" t="str">
        <f>MID(SUVAHAVUJ!AG128,10,1)</f>
        <v xml:space="preserve"> </v>
      </c>
      <c r="GO14" s="982"/>
      <c r="GP14" s="982"/>
      <c r="GQ14" s="982"/>
      <c r="GR14" s="982"/>
      <c r="GS14" s="978" t="str">
        <f>MID(SUVAHAVUJ!AG128,11,1)</f>
        <v>0</v>
      </c>
      <c r="GT14" s="978"/>
      <c r="GU14" s="978"/>
      <c r="GV14" s="978"/>
      <c r="GW14" s="978"/>
    </row>
    <row r="15" spans="1:205" ht="24" customHeight="1" x14ac:dyDescent="0.25">
      <c r="B15" s="985" t="s">
        <v>2166</v>
      </c>
      <c r="C15" s="985"/>
      <c r="D15" s="985"/>
      <c r="E15" s="985"/>
      <c r="F15" s="985"/>
      <c r="G15" s="985"/>
      <c r="H15" s="985"/>
      <c r="I15" s="985"/>
      <c r="J15" s="985"/>
      <c r="K15" s="985"/>
      <c r="L15" s="1005" t="str">
        <f>SUVAHAVUJ!$D$129</f>
        <v>Čistá hodnota zákazky (316A)</v>
      </c>
      <c r="M15" s="1005"/>
      <c r="N15" s="1005"/>
      <c r="O15" s="1005"/>
      <c r="P15" s="1005"/>
      <c r="Q15" s="1005"/>
      <c r="R15" s="1005"/>
      <c r="S15" s="1005"/>
      <c r="T15" s="1005"/>
      <c r="U15" s="1005"/>
      <c r="V15" s="1005"/>
      <c r="W15" s="1005"/>
      <c r="X15" s="1005"/>
      <c r="Y15" s="1005"/>
      <c r="Z15" s="1005"/>
      <c r="AA15" s="1005"/>
      <c r="AB15" s="1005"/>
      <c r="AC15" s="1005"/>
      <c r="AD15" s="1005"/>
      <c r="AE15" s="1005"/>
      <c r="AF15" s="1005"/>
      <c r="AG15" s="1005"/>
      <c r="AH15" s="1005"/>
      <c r="AI15" s="1005"/>
      <c r="AJ15" s="1005"/>
      <c r="AK15" s="1005"/>
      <c r="AL15" s="1005"/>
      <c r="AM15" s="1005"/>
      <c r="AN15" s="1005"/>
      <c r="AO15" s="1005"/>
      <c r="AP15" s="1005"/>
      <c r="AQ15" s="1005"/>
      <c r="AR15" s="1005"/>
      <c r="AS15" s="1005"/>
      <c r="AT15" s="1005"/>
      <c r="AU15" s="1005"/>
      <c r="AV15" s="1005"/>
      <c r="AW15" s="1005"/>
      <c r="AX15" s="1005"/>
      <c r="AY15" s="1005"/>
      <c r="AZ15" s="1005"/>
      <c r="BA15" s="1005"/>
      <c r="BB15" s="1005"/>
      <c r="BC15" s="1005"/>
      <c r="BD15" s="1005"/>
      <c r="BE15" s="1005"/>
      <c r="BF15" s="1005"/>
      <c r="BG15" s="1005"/>
      <c r="BH15" s="1005"/>
      <c r="BI15" s="1005"/>
      <c r="BJ15" s="1005"/>
      <c r="BK15" s="1005"/>
      <c r="BL15" s="1005"/>
      <c r="BM15" s="1005"/>
      <c r="BN15" s="1005"/>
      <c r="BO15" s="1005"/>
      <c r="BP15" s="1005"/>
      <c r="BQ15" s="1005"/>
      <c r="BR15" s="1005"/>
      <c r="BS15" s="1005"/>
      <c r="BT15" s="1005"/>
      <c r="BU15" s="1005"/>
      <c r="BV15" s="1005"/>
      <c r="BW15" s="975" t="s">
        <v>2270</v>
      </c>
      <c r="BX15" s="975"/>
      <c r="BY15" s="975"/>
      <c r="BZ15" s="975"/>
      <c r="CA15" s="975"/>
      <c r="CB15" s="975"/>
      <c r="CC15" s="975"/>
      <c r="CD15" s="975"/>
      <c r="CE15" s="976" t="str">
        <f>MID(SUVAHAVUJ!AF129,1,1)</f>
        <v xml:space="preserve"> </v>
      </c>
      <c r="CF15" s="976"/>
      <c r="CG15" s="976"/>
      <c r="CH15" s="976"/>
      <c r="CI15" s="976"/>
      <c r="CJ15" s="976" t="str">
        <f>MID(SUVAHAVUJ!AF129,2,1)</f>
        <v xml:space="preserve"> </v>
      </c>
      <c r="CK15" s="976"/>
      <c r="CL15" s="976"/>
      <c r="CM15" s="976"/>
      <c r="CN15" s="976"/>
      <c r="CO15" s="976"/>
      <c r="CP15" s="976" t="str">
        <f>MID(SUVAHAVUJ!AF129,3,1)</f>
        <v xml:space="preserve"> </v>
      </c>
      <c r="CQ15" s="976"/>
      <c r="CR15" s="976"/>
      <c r="CS15" s="976"/>
      <c r="CT15" s="976"/>
      <c r="CU15" s="976" t="str">
        <f>MID(SUVAHAVUJ!AF129,4,1)</f>
        <v xml:space="preserve"> </v>
      </c>
      <c r="CV15" s="976"/>
      <c r="CW15" s="976"/>
      <c r="CX15" s="976"/>
      <c r="CY15" s="976"/>
      <c r="CZ15" s="976"/>
      <c r="DA15" s="976" t="str">
        <f>MID(SUVAHAVUJ!AF129,5,1)</f>
        <v xml:space="preserve"> </v>
      </c>
      <c r="DB15" s="976"/>
      <c r="DC15" s="976"/>
      <c r="DD15" s="976"/>
      <c r="DE15" s="976"/>
      <c r="DF15" s="976" t="str">
        <f>MID(SUVAHAVUJ!AF129,6,1)</f>
        <v xml:space="preserve"> </v>
      </c>
      <c r="DG15" s="976"/>
      <c r="DH15" s="976"/>
      <c r="DI15" s="976"/>
      <c r="DJ15" s="976"/>
      <c r="DK15" s="976"/>
      <c r="DL15" s="976" t="str">
        <f>MID(SUVAHAVUJ!AF129,7,1)</f>
        <v xml:space="preserve"> </v>
      </c>
      <c r="DM15" s="976"/>
      <c r="DN15" s="976"/>
      <c r="DO15" s="976"/>
      <c r="DP15" s="976"/>
      <c r="DQ15" s="976"/>
      <c r="DR15" s="976" t="str">
        <f>MID(SUVAHAVUJ!AF129,8,1)</f>
        <v xml:space="preserve"> </v>
      </c>
      <c r="DS15" s="976"/>
      <c r="DT15" s="976"/>
      <c r="DU15" s="976"/>
      <c r="DV15" s="976"/>
      <c r="DW15" s="982" t="str">
        <f>MID(SUVAHAVUJ!AF129,9,1)</f>
        <v xml:space="preserve"> </v>
      </c>
      <c r="DX15" s="982"/>
      <c r="DY15" s="982"/>
      <c r="DZ15" s="982"/>
      <c r="EA15" s="982"/>
      <c r="EB15" s="982"/>
      <c r="EC15" s="982" t="str">
        <f>MID(SUVAHAVUJ!AF129,10,1)</f>
        <v xml:space="preserve"> </v>
      </c>
      <c r="ED15" s="982"/>
      <c r="EE15" s="982"/>
      <c r="EF15" s="982"/>
      <c r="EG15" s="982"/>
      <c r="EH15" s="977" t="str">
        <f>MID(SUVAHAVUJ!AF129,11,1)</f>
        <v>0</v>
      </c>
      <c r="EI15" s="977"/>
      <c r="EJ15" s="977"/>
      <c r="EK15" s="977"/>
      <c r="EL15" s="977"/>
      <c r="EM15" s="977"/>
      <c r="EN15" s="665"/>
      <c r="EO15" s="666"/>
      <c r="EP15" s="976" t="str">
        <f>MID(SUVAHAVUJ!AG129,1,1)</f>
        <v xml:space="preserve"> </v>
      </c>
      <c r="EQ15" s="976"/>
      <c r="ER15" s="976"/>
      <c r="ES15" s="976"/>
      <c r="ET15" s="976"/>
      <c r="EU15" s="976"/>
      <c r="EV15" s="976" t="str">
        <f>MID(SUVAHAVUJ!AG129,2,1)</f>
        <v xml:space="preserve"> </v>
      </c>
      <c r="EW15" s="976"/>
      <c r="EX15" s="976"/>
      <c r="EY15" s="976"/>
      <c r="EZ15" s="976"/>
      <c r="FA15" s="976" t="str">
        <f>MID(SUVAHAVUJ!AG129,3,1)</f>
        <v xml:space="preserve"> </v>
      </c>
      <c r="FB15" s="976"/>
      <c r="FC15" s="976"/>
      <c r="FD15" s="976"/>
      <c r="FE15" s="976"/>
      <c r="FF15" s="976"/>
      <c r="FG15" s="976" t="str">
        <f>MID(SUVAHAVUJ!AG129,4,1)</f>
        <v xml:space="preserve"> </v>
      </c>
      <c r="FH15" s="976"/>
      <c r="FI15" s="976"/>
      <c r="FJ15" s="976"/>
      <c r="FK15" s="976"/>
      <c r="FL15" s="982" t="str">
        <f>MID(SUVAHAVUJ!AG129,5,1)</f>
        <v xml:space="preserve"> </v>
      </c>
      <c r="FM15" s="982"/>
      <c r="FN15" s="982"/>
      <c r="FO15" s="982"/>
      <c r="FP15" s="982"/>
      <c r="FQ15" s="982"/>
      <c r="FR15" s="982" t="str">
        <f>MID(SUVAHAVUJ!AG129,6,1)</f>
        <v xml:space="preserve"> </v>
      </c>
      <c r="FS15" s="982"/>
      <c r="FT15" s="982"/>
      <c r="FU15" s="982"/>
      <c r="FV15" s="982"/>
      <c r="FW15" s="982" t="str">
        <f>MID(SUVAHAVUJ!AG129,7,1)</f>
        <v xml:space="preserve"> </v>
      </c>
      <c r="FX15" s="982"/>
      <c r="FY15" s="982"/>
      <c r="FZ15" s="982"/>
      <c r="GA15" s="982"/>
      <c r="GB15" s="982"/>
      <c r="GC15" s="982" t="str">
        <f>MID(SUVAHAVUJ!AG129,8,1)</f>
        <v xml:space="preserve"> </v>
      </c>
      <c r="GD15" s="982"/>
      <c r="GE15" s="982"/>
      <c r="GF15" s="982"/>
      <c r="GG15" s="982"/>
      <c r="GH15" s="982" t="str">
        <f>MID(SUVAHAVUJ!AG129,9,1)</f>
        <v xml:space="preserve"> </v>
      </c>
      <c r="GI15" s="982"/>
      <c r="GJ15" s="982"/>
      <c r="GK15" s="982"/>
      <c r="GL15" s="982"/>
      <c r="GM15" s="982"/>
      <c r="GN15" s="982" t="str">
        <f>MID(SUVAHAVUJ!AG129,10,1)</f>
        <v xml:space="preserve"> </v>
      </c>
      <c r="GO15" s="982"/>
      <c r="GP15" s="982"/>
      <c r="GQ15" s="982"/>
      <c r="GR15" s="982"/>
      <c r="GS15" s="978" t="str">
        <f>MID(SUVAHAVUJ!AG129,11,1)</f>
        <v>0</v>
      </c>
      <c r="GT15" s="978"/>
      <c r="GU15" s="978"/>
      <c r="GV15" s="978"/>
      <c r="GW15" s="978"/>
    </row>
    <row r="16" spans="1:205" ht="24" customHeight="1" x14ac:dyDescent="0.25">
      <c r="B16" s="985" t="s">
        <v>2167</v>
      </c>
      <c r="C16" s="985"/>
      <c r="D16" s="985"/>
      <c r="E16" s="985"/>
      <c r="F16" s="985"/>
      <c r="G16" s="985"/>
      <c r="H16" s="985"/>
      <c r="I16" s="985"/>
      <c r="J16" s="985"/>
      <c r="K16" s="985"/>
      <c r="L16" s="1005" t="str">
        <f>SUVAHAVUJ!$D$130</f>
        <v>Ostatné záväzky voči prepojeným účtovným jednotkám (361A, 36XA, 471A, 47XA)</v>
      </c>
      <c r="M16" s="1005"/>
      <c r="N16" s="1005"/>
      <c r="O16" s="1005"/>
      <c r="P16" s="1005"/>
      <c r="Q16" s="1005"/>
      <c r="R16" s="1005"/>
      <c r="S16" s="1005"/>
      <c r="T16" s="1005"/>
      <c r="U16" s="1005"/>
      <c r="V16" s="1005"/>
      <c r="W16" s="1005"/>
      <c r="X16" s="1005"/>
      <c r="Y16" s="1005"/>
      <c r="Z16" s="1005"/>
      <c r="AA16" s="1005"/>
      <c r="AB16" s="1005"/>
      <c r="AC16" s="1005"/>
      <c r="AD16" s="1005"/>
      <c r="AE16" s="1005"/>
      <c r="AF16" s="1005"/>
      <c r="AG16" s="1005"/>
      <c r="AH16" s="1005"/>
      <c r="AI16" s="1005"/>
      <c r="AJ16" s="1005"/>
      <c r="AK16" s="1005"/>
      <c r="AL16" s="1005"/>
      <c r="AM16" s="1005"/>
      <c r="AN16" s="1005"/>
      <c r="AO16" s="1005"/>
      <c r="AP16" s="1005"/>
      <c r="AQ16" s="1005"/>
      <c r="AR16" s="1005"/>
      <c r="AS16" s="1005"/>
      <c r="AT16" s="1005"/>
      <c r="AU16" s="1005"/>
      <c r="AV16" s="1005"/>
      <c r="AW16" s="1005"/>
      <c r="AX16" s="1005"/>
      <c r="AY16" s="1005"/>
      <c r="AZ16" s="1005"/>
      <c r="BA16" s="1005"/>
      <c r="BB16" s="1005"/>
      <c r="BC16" s="1005"/>
      <c r="BD16" s="1005"/>
      <c r="BE16" s="1005"/>
      <c r="BF16" s="1005"/>
      <c r="BG16" s="1005"/>
      <c r="BH16" s="1005"/>
      <c r="BI16" s="1005"/>
      <c r="BJ16" s="1005"/>
      <c r="BK16" s="1005"/>
      <c r="BL16" s="1005"/>
      <c r="BM16" s="1005"/>
      <c r="BN16" s="1005"/>
      <c r="BO16" s="1005"/>
      <c r="BP16" s="1005"/>
      <c r="BQ16" s="1005"/>
      <c r="BR16" s="1005"/>
      <c r="BS16" s="1005"/>
      <c r="BT16" s="1005"/>
      <c r="BU16" s="1005"/>
      <c r="BV16" s="1005"/>
      <c r="BW16" s="975" t="s">
        <v>2271</v>
      </c>
      <c r="BX16" s="975"/>
      <c r="BY16" s="975"/>
      <c r="BZ16" s="975"/>
      <c r="CA16" s="975"/>
      <c r="CB16" s="975"/>
      <c r="CC16" s="975"/>
      <c r="CD16" s="975"/>
      <c r="CE16" s="976" t="str">
        <f>MID(SUVAHAVUJ!AF130,1,1)</f>
        <v xml:space="preserve"> </v>
      </c>
      <c r="CF16" s="976"/>
      <c r="CG16" s="976"/>
      <c r="CH16" s="976"/>
      <c r="CI16" s="976"/>
      <c r="CJ16" s="976" t="str">
        <f>MID(SUVAHAVUJ!AF130,2,1)</f>
        <v xml:space="preserve"> </v>
      </c>
      <c r="CK16" s="976"/>
      <c r="CL16" s="976"/>
      <c r="CM16" s="976"/>
      <c r="CN16" s="976"/>
      <c r="CO16" s="976"/>
      <c r="CP16" s="976" t="str">
        <f>MID(SUVAHAVUJ!AF130,3,1)</f>
        <v xml:space="preserve"> </v>
      </c>
      <c r="CQ16" s="976"/>
      <c r="CR16" s="976"/>
      <c r="CS16" s="976"/>
      <c r="CT16" s="976"/>
      <c r="CU16" s="976" t="str">
        <f>MID(SUVAHAVUJ!AF130,4,1)</f>
        <v xml:space="preserve"> </v>
      </c>
      <c r="CV16" s="976"/>
      <c r="CW16" s="976"/>
      <c r="CX16" s="976"/>
      <c r="CY16" s="976"/>
      <c r="CZ16" s="976"/>
      <c r="DA16" s="976" t="str">
        <f>MID(SUVAHAVUJ!AF130,5,1)</f>
        <v xml:space="preserve"> </v>
      </c>
      <c r="DB16" s="976"/>
      <c r="DC16" s="976"/>
      <c r="DD16" s="976"/>
      <c r="DE16" s="976"/>
      <c r="DF16" s="976" t="str">
        <f>MID(SUVAHAVUJ!AF130,6,1)</f>
        <v xml:space="preserve"> </v>
      </c>
      <c r="DG16" s="976"/>
      <c r="DH16" s="976"/>
      <c r="DI16" s="976"/>
      <c r="DJ16" s="976"/>
      <c r="DK16" s="976"/>
      <c r="DL16" s="976" t="str">
        <f>MID(SUVAHAVUJ!AF130,7,1)</f>
        <v xml:space="preserve"> </v>
      </c>
      <c r="DM16" s="976"/>
      <c r="DN16" s="976"/>
      <c r="DO16" s="976"/>
      <c r="DP16" s="976"/>
      <c r="DQ16" s="976"/>
      <c r="DR16" s="976" t="str">
        <f>MID(SUVAHAVUJ!AF130,8,1)</f>
        <v xml:space="preserve"> </v>
      </c>
      <c r="DS16" s="976"/>
      <c r="DT16" s="976"/>
      <c r="DU16" s="976"/>
      <c r="DV16" s="976"/>
      <c r="DW16" s="982" t="str">
        <f>MID(SUVAHAVUJ!AF130,9,1)</f>
        <v xml:space="preserve"> </v>
      </c>
      <c r="DX16" s="982"/>
      <c r="DY16" s="982"/>
      <c r="DZ16" s="982"/>
      <c r="EA16" s="982"/>
      <c r="EB16" s="982"/>
      <c r="EC16" s="982" t="str">
        <f>MID(SUVAHAVUJ!AF130,10,1)</f>
        <v xml:space="preserve"> </v>
      </c>
      <c r="ED16" s="982"/>
      <c r="EE16" s="982"/>
      <c r="EF16" s="982"/>
      <c r="EG16" s="982"/>
      <c r="EH16" s="977" t="str">
        <f>MID(SUVAHAVUJ!AF130,11,1)</f>
        <v>0</v>
      </c>
      <c r="EI16" s="977"/>
      <c r="EJ16" s="977"/>
      <c r="EK16" s="977"/>
      <c r="EL16" s="977"/>
      <c r="EM16" s="977"/>
      <c r="EN16" s="665"/>
      <c r="EO16" s="666"/>
      <c r="EP16" s="976" t="str">
        <f>MID(SUVAHAVUJ!AG130,1,1)</f>
        <v xml:space="preserve"> </v>
      </c>
      <c r="EQ16" s="976"/>
      <c r="ER16" s="976"/>
      <c r="ES16" s="976"/>
      <c r="ET16" s="976"/>
      <c r="EU16" s="976"/>
      <c r="EV16" s="976" t="str">
        <f>MID(SUVAHAVUJ!AG130,2,1)</f>
        <v xml:space="preserve"> </v>
      </c>
      <c r="EW16" s="976"/>
      <c r="EX16" s="976"/>
      <c r="EY16" s="976"/>
      <c r="EZ16" s="976"/>
      <c r="FA16" s="976" t="str">
        <f>MID(SUVAHAVUJ!AG130,3,1)</f>
        <v xml:space="preserve"> </v>
      </c>
      <c r="FB16" s="976"/>
      <c r="FC16" s="976"/>
      <c r="FD16" s="976"/>
      <c r="FE16" s="976"/>
      <c r="FF16" s="976"/>
      <c r="FG16" s="976" t="str">
        <f>MID(SUVAHAVUJ!AG130,4,1)</f>
        <v xml:space="preserve"> </v>
      </c>
      <c r="FH16" s="976"/>
      <c r="FI16" s="976"/>
      <c r="FJ16" s="976"/>
      <c r="FK16" s="976"/>
      <c r="FL16" s="982" t="str">
        <f>MID(SUVAHAVUJ!AG130,5,1)</f>
        <v xml:space="preserve"> </v>
      </c>
      <c r="FM16" s="982"/>
      <c r="FN16" s="982"/>
      <c r="FO16" s="982"/>
      <c r="FP16" s="982"/>
      <c r="FQ16" s="982"/>
      <c r="FR16" s="982" t="str">
        <f>MID(SUVAHAVUJ!AG130,6,1)</f>
        <v xml:space="preserve"> </v>
      </c>
      <c r="FS16" s="982"/>
      <c r="FT16" s="982"/>
      <c r="FU16" s="982"/>
      <c r="FV16" s="982"/>
      <c r="FW16" s="982" t="str">
        <f>MID(SUVAHAVUJ!AG130,7,1)</f>
        <v xml:space="preserve"> </v>
      </c>
      <c r="FX16" s="982"/>
      <c r="FY16" s="982"/>
      <c r="FZ16" s="982"/>
      <c r="GA16" s="982"/>
      <c r="GB16" s="982"/>
      <c r="GC16" s="982" t="str">
        <f>MID(SUVAHAVUJ!AG130,8,1)</f>
        <v xml:space="preserve"> </v>
      </c>
      <c r="GD16" s="982"/>
      <c r="GE16" s="982"/>
      <c r="GF16" s="982"/>
      <c r="GG16" s="982"/>
      <c r="GH16" s="982" t="str">
        <f>MID(SUVAHAVUJ!AG130,9,1)</f>
        <v xml:space="preserve"> </v>
      </c>
      <c r="GI16" s="982"/>
      <c r="GJ16" s="982"/>
      <c r="GK16" s="982"/>
      <c r="GL16" s="982"/>
      <c r="GM16" s="982"/>
      <c r="GN16" s="982" t="str">
        <f>MID(SUVAHAVUJ!AG130,10,1)</f>
        <v xml:space="preserve"> </v>
      </c>
      <c r="GO16" s="982"/>
      <c r="GP16" s="982"/>
      <c r="GQ16" s="982"/>
      <c r="GR16" s="982"/>
      <c r="GS16" s="978" t="str">
        <f>MID(SUVAHAVUJ!AG130,11,1)</f>
        <v>0</v>
      </c>
      <c r="GT16" s="978"/>
      <c r="GU16" s="978"/>
      <c r="GV16" s="978"/>
      <c r="GW16" s="978"/>
    </row>
    <row r="17" spans="1:205" ht="24" customHeight="1" x14ac:dyDescent="0.25">
      <c r="B17" s="985" t="s">
        <v>2168</v>
      </c>
      <c r="C17" s="985"/>
      <c r="D17" s="985"/>
      <c r="E17" s="985"/>
      <c r="F17" s="985"/>
      <c r="G17" s="985"/>
      <c r="H17" s="985"/>
      <c r="I17" s="985"/>
      <c r="J17" s="985"/>
      <c r="K17" s="985"/>
      <c r="L17" s="1005" t="str">
        <f>SUVAHAVUJ!$D$131</f>
        <v>Ostatné záväzky v rámci podielovej účasti okrem záväzkov voči prepojeným účtovným jednotkám (361A, 36XA, 471A, 47XA)</v>
      </c>
      <c r="M17" s="1005"/>
      <c r="N17" s="1005"/>
      <c r="O17" s="1005"/>
      <c r="P17" s="1005"/>
      <c r="Q17" s="1005"/>
      <c r="R17" s="1005"/>
      <c r="S17" s="1005"/>
      <c r="T17" s="1005"/>
      <c r="U17" s="1005"/>
      <c r="V17" s="1005"/>
      <c r="W17" s="1005"/>
      <c r="X17" s="1005"/>
      <c r="Y17" s="1005"/>
      <c r="Z17" s="1005"/>
      <c r="AA17" s="1005"/>
      <c r="AB17" s="1005"/>
      <c r="AC17" s="1005"/>
      <c r="AD17" s="1005"/>
      <c r="AE17" s="1005"/>
      <c r="AF17" s="1005"/>
      <c r="AG17" s="1005"/>
      <c r="AH17" s="1005"/>
      <c r="AI17" s="1005"/>
      <c r="AJ17" s="1005"/>
      <c r="AK17" s="1005"/>
      <c r="AL17" s="1005"/>
      <c r="AM17" s="1005"/>
      <c r="AN17" s="1005"/>
      <c r="AO17" s="1005"/>
      <c r="AP17" s="1005"/>
      <c r="AQ17" s="1005"/>
      <c r="AR17" s="1005"/>
      <c r="AS17" s="1005"/>
      <c r="AT17" s="1005"/>
      <c r="AU17" s="1005"/>
      <c r="AV17" s="1005"/>
      <c r="AW17" s="1005"/>
      <c r="AX17" s="1005"/>
      <c r="AY17" s="1005"/>
      <c r="AZ17" s="1005"/>
      <c r="BA17" s="1005"/>
      <c r="BB17" s="1005"/>
      <c r="BC17" s="1005"/>
      <c r="BD17" s="1005"/>
      <c r="BE17" s="1005"/>
      <c r="BF17" s="1005"/>
      <c r="BG17" s="1005"/>
      <c r="BH17" s="1005"/>
      <c r="BI17" s="1005"/>
      <c r="BJ17" s="1005"/>
      <c r="BK17" s="1005"/>
      <c r="BL17" s="1005"/>
      <c r="BM17" s="1005"/>
      <c r="BN17" s="1005"/>
      <c r="BO17" s="1005"/>
      <c r="BP17" s="1005"/>
      <c r="BQ17" s="1005"/>
      <c r="BR17" s="1005"/>
      <c r="BS17" s="1005"/>
      <c r="BT17" s="1005"/>
      <c r="BU17" s="1005"/>
      <c r="BV17" s="1005"/>
      <c r="BW17" s="975" t="s">
        <v>2272</v>
      </c>
      <c r="BX17" s="975"/>
      <c r="BY17" s="975"/>
      <c r="BZ17" s="975"/>
      <c r="CA17" s="975"/>
      <c r="CB17" s="975"/>
      <c r="CC17" s="975"/>
      <c r="CD17" s="975"/>
      <c r="CE17" s="976" t="str">
        <f>MID(SUVAHAVUJ!AF131,1,1)</f>
        <v xml:space="preserve"> </v>
      </c>
      <c r="CF17" s="976"/>
      <c r="CG17" s="976"/>
      <c r="CH17" s="976"/>
      <c r="CI17" s="976"/>
      <c r="CJ17" s="976" t="str">
        <f>MID(SUVAHAVUJ!AF131,2,1)</f>
        <v xml:space="preserve"> </v>
      </c>
      <c r="CK17" s="976"/>
      <c r="CL17" s="976"/>
      <c r="CM17" s="976"/>
      <c r="CN17" s="976"/>
      <c r="CO17" s="976"/>
      <c r="CP17" s="976" t="str">
        <f>MID(SUVAHAVUJ!AF131,3,1)</f>
        <v xml:space="preserve"> </v>
      </c>
      <c r="CQ17" s="976"/>
      <c r="CR17" s="976"/>
      <c r="CS17" s="976"/>
      <c r="CT17" s="976"/>
      <c r="CU17" s="976" t="str">
        <f>MID(SUVAHAVUJ!AF131,4,1)</f>
        <v xml:space="preserve"> </v>
      </c>
      <c r="CV17" s="976"/>
      <c r="CW17" s="976"/>
      <c r="CX17" s="976"/>
      <c r="CY17" s="976"/>
      <c r="CZ17" s="976"/>
      <c r="DA17" s="976" t="str">
        <f>MID(SUVAHAVUJ!AF131,5,1)</f>
        <v xml:space="preserve"> </v>
      </c>
      <c r="DB17" s="976"/>
      <c r="DC17" s="976"/>
      <c r="DD17" s="976"/>
      <c r="DE17" s="976"/>
      <c r="DF17" s="976" t="str">
        <f>MID(SUVAHAVUJ!AF131,6,1)</f>
        <v xml:space="preserve"> </v>
      </c>
      <c r="DG17" s="976"/>
      <c r="DH17" s="976"/>
      <c r="DI17" s="976"/>
      <c r="DJ17" s="976"/>
      <c r="DK17" s="976"/>
      <c r="DL17" s="976" t="str">
        <f>MID(SUVAHAVUJ!AF131,7,1)</f>
        <v xml:space="preserve"> </v>
      </c>
      <c r="DM17" s="976"/>
      <c r="DN17" s="976"/>
      <c r="DO17" s="976"/>
      <c r="DP17" s="976"/>
      <c r="DQ17" s="976"/>
      <c r="DR17" s="976" t="str">
        <f>MID(SUVAHAVUJ!AF131,8,1)</f>
        <v xml:space="preserve"> </v>
      </c>
      <c r="DS17" s="976"/>
      <c r="DT17" s="976"/>
      <c r="DU17" s="976"/>
      <c r="DV17" s="976"/>
      <c r="DW17" s="982" t="str">
        <f>MID(SUVAHAVUJ!AF131,9,1)</f>
        <v xml:space="preserve"> </v>
      </c>
      <c r="DX17" s="982"/>
      <c r="DY17" s="982"/>
      <c r="DZ17" s="982"/>
      <c r="EA17" s="982"/>
      <c r="EB17" s="982"/>
      <c r="EC17" s="982" t="str">
        <f>MID(SUVAHAVUJ!AF131,10,1)</f>
        <v xml:space="preserve"> </v>
      </c>
      <c r="ED17" s="982"/>
      <c r="EE17" s="982"/>
      <c r="EF17" s="982"/>
      <c r="EG17" s="982"/>
      <c r="EH17" s="977" t="str">
        <f>MID(SUVAHAVUJ!AF131,11,1)</f>
        <v>0</v>
      </c>
      <c r="EI17" s="977"/>
      <c r="EJ17" s="977"/>
      <c r="EK17" s="977"/>
      <c r="EL17" s="977"/>
      <c r="EM17" s="977"/>
      <c r="EN17" s="665"/>
      <c r="EO17" s="666"/>
      <c r="EP17" s="976" t="str">
        <f>MID(SUVAHAVUJ!AG131,1,1)</f>
        <v xml:space="preserve"> </v>
      </c>
      <c r="EQ17" s="976"/>
      <c r="ER17" s="976"/>
      <c r="ES17" s="976"/>
      <c r="ET17" s="976"/>
      <c r="EU17" s="976"/>
      <c r="EV17" s="976" t="str">
        <f>MID(SUVAHAVUJ!AG131,2,1)</f>
        <v xml:space="preserve"> </v>
      </c>
      <c r="EW17" s="976"/>
      <c r="EX17" s="976"/>
      <c r="EY17" s="976"/>
      <c r="EZ17" s="976"/>
      <c r="FA17" s="976" t="str">
        <f>MID(SUVAHAVUJ!AG131,3,1)</f>
        <v xml:space="preserve"> </v>
      </c>
      <c r="FB17" s="976"/>
      <c r="FC17" s="976"/>
      <c r="FD17" s="976"/>
      <c r="FE17" s="976"/>
      <c r="FF17" s="976"/>
      <c r="FG17" s="976" t="str">
        <f>MID(SUVAHAVUJ!AG131,4,1)</f>
        <v xml:space="preserve"> </v>
      </c>
      <c r="FH17" s="976"/>
      <c r="FI17" s="976"/>
      <c r="FJ17" s="976"/>
      <c r="FK17" s="976"/>
      <c r="FL17" s="982" t="str">
        <f>MID(SUVAHAVUJ!AG131,5,1)</f>
        <v xml:space="preserve"> </v>
      </c>
      <c r="FM17" s="982"/>
      <c r="FN17" s="982"/>
      <c r="FO17" s="982"/>
      <c r="FP17" s="982"/>
      <c r="FQ17" s="982"/>
      <c r="FR17" s="982" t="str">
        <f>MID(SUVAHAVUJ!AG131,6,1)</f>
        <v xml:space="preserve"> </v>
      </c>
      <c r="FS17" s="982"/>
      <c r="FT17" s="982"/>
      <c r="FU17" s="982"/>
      <c r="FV17" s="982"/>
      <c r="FW17" s="982" t="str">
        <f>MID(SUVAHAVUJ!AG131,7,1)</f>
        <v xml:space="preserve"> </v>
      </c>
      <c r="FX17" s="982"/>
      <c r="FY17" s="982"/>
      <c r="FZ17" s="982"/>
      <c r="GA17" s="982"/>
      <c r="GB17" s="982"/>
      <c r="GC17" s="982" t="str">
        <f>MID(SUVAHAVUJ!AG131,8,1)</f>
        <v xml:space="preserve"> </v>
      </c>
      <c r="GD17" s="982"/>
      <c r="GE17" s="982"/>
      <c r="GF17" s="982"/>
      <c r="GG17" s="982"/>
      <c r="GH17" s="982" t="str">
        <f>MID(SUVAHAVUJ!AG131,9,1)</f>
        <v xml:space="preserve"> </v>
      </c>
      <c r="GI17" s="982"/>
      <c r="GJ17" s="982"/>
      <c r="GK17" s="982"/>
      <c r="GL17" s="982"/>
      <c r="GM17" s="982"/>
      <c r="GN17" s="982" t="str">
        <f>MID(SUVAHAVUJ!AG131,10,1)</f>
        <v xml:space="preserve"> </v>
      </c>
      <c r="GO17" s="982"/>
      <c r="GP17" s="982"/>
      <c r="GQ17" s="982"/>
      <c r="GR17" s="982"/>
      <c r="GS17" s="978" t="str">
        <f>MID(SUVAHAVUJ!AG131,11,1)</f>
        <v>0</v>
      </c>
      <c r="GT17" s="978"/>
      <c r="GU17" s="978"/>
      <c r="GV17" s="978"/>
      <c r="GW17" s="978"/>
    </row>
    <row r="18" spans="1:205" ht="24" customHeight="1" x14ac:dyDescent="0.25">
      <c r="B18" s="985" t="s">
        <v>2169</v>
      </c>
      <c r="C18" s="985"/>
      <c r="D18" s="985"/>
      <c r="E18" s="985"/>
      <c r="F18" s="985"/>
      <c r="G18" s="985"/>
      <c r="H18" s="985"/>
      <c r="I18" s="985"/>
      <c r="J18" s="985"/>
      <c r="K18" s="985"/>
      <c r="L18" s="1005" t="str">
        <f>SUVAHAVUJ!$D$132</f>
        <v>Záväzky voči spoločníkom a združeniu (364, 365, 366, 367, 368, 398A, 478A, 479A)</v>
      </c>
      <c r="M18" s="1005"/>
      <c r="N18" s="1005"/>
      <c r="O18" s="1005"/>
      <c r="P18" s="1005"/>
      <c r="Q18" s="1005"/>
      <c r="R18" s="1005"/>
      <c r="S18" s="1005"/>
      <c r="T18" s="1005"/>
      <c r="U18" s="1005"/>
      <c r="V18" s="1005"/>
      <c r="W18" s="1005"/>
      <c r="X18" s="1005"/>
      <c r="Y18" s="1005"/>
      <c r="Z18" s="1005"/>
      <c r="AA18" s="1005"/>
      <c r="AB18" s="1005"/>
      <c r="AC18" s="1005"/>
      <c r="AD18" s="1005"/>
      <c r="AE18" s="1005"/>
      <c r="AF18" s="1005"/>
      <c r="AG18" s="1005"/>
      <c r="AH18" s="1005"/>
      <c r="AI18" s="1005"/>
      <c r="AJ18" s="1005"/>
      <c r="AK18" s="1005"/>
      <c r="AL18" s="1005"/>
      <c r="AM18" s="1005"/>
      <c r="AN18" s="1005"/>
      <c r="AO18" s="1005"/>
      <c r="AP18" s="1005"/>
      <c r="AQ18" s="1005"/>
      <c r="AR18" s="1005"/>
      <c r="AS18" s="1005"/>
      <c r="AT18" s="1005"/>
      <c r="AU18" s="1005"/>
      <c r="AV18" s="1005"/>
      <c r="AW18" s="1005"/>
      <c r="AX18" s="1005"/>
      <c r="AY18" s="1005"/>
      <c r="AZ18" s="1005"/>
      <c r="BA18" s="1005"/>
      <c r="BB18" s="1005"/>
      <c r="BC18" s="1005"/>
      <c r="BD18" s="1005"/>
      <c r="BE18" s="1005"/>
      <c r="BF18" s="1005"/>
      <c r="BG18" s="1005"/>
      <c r="BH18" s="1005"/>
      <c r="BI18" s="1005"/>
      <c r="BJ18" s="1005"/>
      <c r="BK18" s="1005"/>
      <c r="BL18" s="1005"/>
      <c r="BM18" s="1005"/>
      <c r="BN18" s="1005"/>
      <c r="BO18" s="1005"/>
      <c r="BP18" s="1005"/>
      <c r="BQ18" s="1005"/>
      <c r="BR18" s="1005"/>
      <c r="BS18" s="1005"/>
      <c r="BT18" s="1005"/>
      <c r="BU18" s="1005"/>
      <c r="BV18" s="1005"/>
      <c r="BW18" s="975" t="s">
        <v>369</v>
      </c>
      <c r="BX18" s="975"/>
      <c r="BY18" s="975"/>
      <c r="BZ18" s="975"/>
      <c r="CA18" s="975"/>
      <c r="CB18" s="975"/>
      <c r="CC18" s="975"/>
      <c r="CD18" s="975"/>
      <c r="CE18" s="976" t="str">
        <f>MID(SUVAHAVUJ!AF132,1,1)</f>
        <v xml:space="preserve"> </v>
      </c>
      <c r="CF18" s="976"/>
      <c r="CG18" s="976"/>
      <c r="CH18" s="976"/>
      <c r="CI18" s="976"/>
      <c r="CJ18" s="976" t="str">
        <f>MID(SUVAHAVUJ!AF132,2,1)</f>
        <v xml:space="preserve"> </v>
      </c>
      <c r="CK18" s="976"/>
      <c r="CL18" s="976"/>
      <c r="CM18" s="976"/>
      <c r="CN18" s="976"/>
      <c r="CO18" s="976"/>
      <c r="CP18" s="976" t="str">
        <f>MID(SUVAHAVUJ!AF132,3,1)</f>
        <v xml:space="preserve"> </v>
      </c>
      <c r="CQ18" s="976"/>
      <c r="CR18" s="976"/>
      <c r="CS18" s="976"/>
      <c r="CT18" s="976"/>
      <c r="CU18" s="976" t="str">
        <f>MID(SUVAHAVUJ!AF132,4,1)</f>
        <v xml:space="preserve"> </v>
      </c>
      <c r="CV18" s="976"/>
      <c r="CW18" s="976"/>
      <c r="CX18" s="976"/>
      <c r="CY18" s="976"/>
      <c r="CZ18" s="976"/>
      <c r="DA18" s="976" t="str">
        <f>MID(SUVAHAVUJ!AF132,5,1)</f>
        <v xml:space="preserve"> </v>
      </c>
      <c r="DB18" s="976"/>
      <c r="DC18" s="976"/>
      <c r="DD18" s="976"/>
      <c r="DE18" s="976"/>
      <c r="DF18" s="976" t="str">
        <f>MID(SUVAHAVUJ!AF132,6,1)</f>
        <v xml:space="preserve"> </v>
      </c>
      <c r="DG18" s="976"/>
      <c r="DH18" s="976"/>
      <c r="DI18" s="976"/>
      <c r="DJ18" s="976"/>
      <c r="DK18" s="976"/>
      <c r="DL18" s="976" t="str">
        <f>MID(SUVAHAVUJ!AF132,7,1)</f>
        <v>1</v>
      </c>
      <c r="DM18" s="976"/>
      <c r="DN18" s="976"/>
      <c r="DO18" s="976"/>
      <c r="DP18" s="976"/>
      <c r="DQ18" s="976"/>
      <c r="DR18" s="976" t="str">
        <f>MID(SUVAHAVUJ!AF132,8,1)</f>
        <v>1</v>
      </c>
      <c r="DS18" s="976"/>
      <c r="DT18" s="976"/>
      <c r="DU18" s="976"/>
      <c r="DV18" s="976"/>
      <c r="DW18" s="982" t="str">
        <f>MID(SUVAHAVUJ!AF132,9,1)</f>
        <v>0</v>
      </c>
      <c r="DX18" s="982"/>
      <c r="DY18" s="982"/>
      <c r="DZ18" s="982"/>
      <c r="EA18" s="982"/>
      <c r="EB18" s="982"/>
      <c r="EC18" s="982" t="str">
        <f>MID(SUVAHAVUJ!AF132,10,1)</f>
        <v>0</v>
      </c>
      <c r="ED18" s="982"/>
      <c r="EE18" s="982"/>
      <c r="EF18" s="982"/>
      <c r="EG18" s="982"/>
      <c r="EH18" s="977" t="str">
        <f>MID(SUVAHAVUJ!AF132,11,1)</f>
        <v>0</v>
      </c>
      <c r="EI18" s="977"/>
      <c r="EJ18" s="977"/>
      <c r="EK18" s="977"/>
      <c r="EL18" s="977"/>
      <c r="EM18" s="977"/>
      <c r="EN18" s="665"/>
      <c r="EO18" s="666"/>
      <c r="EP18" s="976" t="str">
        <f>MID(SUVAHAVUJ!AG132,1,1)</f>
        <v xml:space="preserve"> </v>
      </c>
      <c r="EQ18" s="976"/>
      <c r="ER18" s="976"/>
      <c r="ES18" s="976"/>
      <c r="ET18" s="976"/>
      <c r="EU18" s="976"/>
      <c r="EV18" s="976" t="str">
        <f>MID(SUVAHAVUJ!AG132,2,1)</f>
        <v xml:space="preserve"> </v>
      </c>
      <c r="EW18" s="976"/>
      <c r="EX18" s="976"/>
      <c r="EY18" s="976"/>
      <c r="EZ18" s="976"/>
      <c r="FA18" s="976" t="str">
        <f>MID(SUVAHAVUJ!AG132,3,1)</f>
        <v xml:space="preserve"> </v>
      </c>
      <c r="FB18" s="976"/>
      <c r="FC18" s="976"/>
      <c r="FD18" s="976"/>
      <c r="FE18" s="976"/>
      <c r="FF18" s="976"/>
      <c r="FG18" s="976" t="str">
        <f>MID(SUVAHAVUJ!AG132,4,1)</f>
        <v xml:space="preserve"> </v>
      </c>
      <c r="FH18" s="976"/>
      <c r="FI18" s="976"/>
      <c r="FJ18" s="976"/>
      <c r="FK18" s="976"/>
      <c r="FL18" s="982" t="str">
        <f>MID(SUVAHAVUJ!AG132,5,1)</f>
        <v xml:space="preserve"> </v>
      </c>
      <c r="FM18" s="982"/>
      <c r="FN18" s="982"/>
      <c r="FO18" s="982"/>
      <c r="FP18" s="982"/>
      <c r="FQ18" s="982"/>
      <c r="FR18" s="982" t="str">
        <f>MID(SUVAHAVUJ!AG132,6,1)</f>
        <v xml:space="preserve"> </v>
      </c>
      <c r="FS18" s="982"/>
      <c r="FT18" s="982"/>
      <c r="FU18" s="982"/>
      <c r="FV18" s="982"/>
      <c r="FW18" s="982" t="str">
        <f>MID(SUVAHAVUJ!AG132,7,1)</f>
        <v>4</v>
      </c>
      <c r="FX18" s="982"/>
      <c r="FY18" s="982"/>
      <c r="FZ18" s="982"/>
      <c r="GA18" s="982"/>
      <c r="GB18" s="982"/>
      <c r="GC18" s="982" t="str">
        <f>MID(SUVAHAVUJ!AG132,8,1)</f>
        <v>0</v>
      </c>
      <c r="GD18" s="982"/>
      <c r="GE18" s="982"/>
      <c r="GF18" s="982"/>
      <c r="GG18" s="982"/>
      <c r="GH18" s="982" t="str">
        <f>MID(SUVAHAVUJ!AG132,9,1)</f>
        <v>4</v>
      </c>
      <c r="GI18" s="982"/>
      <c r="GJ18" s="982"/>
      <c r="GK18" s="982"/>
      <c r="GL18" s="982"/>
      <c r="GM18" s="982"/>
      <c r="GN18" s="982" t="str">
        <f>MID(SUVAHAVUJ!AG132,10,1)</f>
        <v>1</v>
      </c>
      <c r="GO18" s="982"/>
      <c r="GP18" s="982"/>
      <c r="GQ18" s="982"/>
      <c r="GR18" s="982"/>
      <c r="GS18" s="978" t="str">
        <f>MID(SUVAHAVUJ!AG132,11,1)</f>
        <v>8</v>
      </c>
      <c r="GT18" s="978"/>
      <c r="GU18" s="978"/>
      <c r="GV18" s="978"/>
      <c r="GW18" s="978"/>
    </row>
    <row r="19" spans="1:205" ht="24" customHeight="1" x14ac:dyDescent="0.25">
      <c r="B19" s="985" t="s">
        <v>2171</v>
      </c>
      <c r="C19" s="985"/>
      <c r="D19" s="985"/>
      <c r="E19" s="985"/>
      <c r="F19" s="985"/>
      <c r="G19" s="985"/>
      <c r="H19" s="985"/>
      <c r="I19" s="985"/>
      <c r="J19" s="985"/>
      <c r="K19" s="985"/>
      <c r="L19" s="1005" t="str">
        <f>SUVAHAVUJ!$D$133</f>
        <v>Záväzky voči zamestnancom (331, 333, 33X, 479A)</v>
      </c>
      <c r="M19" s="1005"/>
      <c r="N19" s="1005"/>
      <c r="O19" s="1005"/>
      <c r="P19" s="1005"/>
      <c r="Q19" s="1005"/>
      <c r="R19" s="1005"/>
      <c r="S19" s="1005"/>
      <c r="T19" s="1005"/>
      <c r="U19" s="1005"/>
      <c r="V19" s="1005"/>
      <c r="W19" s="1005"/>
      <c r="X19" s="1005"/>
      <c r="Y19" s="1005"/>
      <c r="Z19" s="1005"/>
      <c r="AA19" s="1005"/>
      <c r="AB19" s="1005"/>
      <c r="AC19" s="1005"/>
      <c r="AD19" s="1005"/>
      <c r="AE19" s="1005"/>
      <c r="AF19" s="1005"/>
      <c r="AG19" s="1005"/>
      <c r="AH19" s="1005"/>
      <c r="AI19" s="1005"/>
      <c r="AJ19" s="1005"/>
      <c r="AK19" s="1005"/>
      <c r="AL19" s="1005"/>
      <c r="AM19" s="1005"/>
      <c r="AN19" s="1005"/>
      <c r="AO19" s="1005"/>
      <c r="AP19" s="1005"/>
      <c r="AQ19" s="1005"/>
      <c r="AR19" s="1005"/>
      <c r="AS19" s="1005"/>
      <c r="AT19" s="1005"/>
      <c r="AU19" s="1005"/>
      <c r="AV19" s="1005"/>
      <c r="AW19" s="1005"/>
      <c r="AX19" s="1005"/>
      <c r="AY19" s="1005"/>
      <c r="AZ19" s="1005"/>
      <c r="BA19" s="1005"/>
      <c r="BB19" s="1005"/>
      <c r="BC19" s="1005"/>
      <c r="BD19" s="1005"/>
      <c r="BE19" s="1005"/>
      <c r="BF19" s="1005"/>
      <c r="BG19" s="1005"/>
      <c r="BH19" s="1005"/>
      <c r="BI19" s="1005"/>
      <c r="BJ19" s="1005"/>
      <c r="BK19" s="1005"/>
      <c r="BL19" s="1005"/>
      <c r="BM19" s="1005"/>
      <c r="BN19" s="1005"/>
      <c r="BO19" s="1005"/>
      <c r="BP19" s="1005"/>
      <c r="BQ19" s="1005"/>
      <c r="BR19" s="1005"/>
      <c r="BS19" s="1005"/>
      <c r="BT19" s="1005"/>
      <c r="BU19" s="1005"/>
      <c r="BV19" s="1005"/>
      <c r="BW19" s="975" t="s">
        <v>371</v>
      </c>
      <c r="BX19" s="975"/>
      <c r="BY19" s="975"/>
      <c r="BZ19" s="975"/>
      <c r="CA19" s="975"/>
      <c r="CB19" s="975"/>
      <c r="CC19" s="975"/>
      <c r="CD19" s="975"/>
      <c r="CE19" s="976" t="str">
        <f>MID(SUVAHAVUJ!AF133,1,1)</f>
        <v xml:space="preserve"> </v>
      </c>
      <c r="CF19" s="976"/>
      <c r="CG19" s="976"/>
      <c r="CH19" s="976"/>
      <c r="CI19" s="976"/>
      <c r="CJ19" s="976" t="str">
        <f>MID(SUVAHAVUJ!AF133,2,1)</f>
        <v xml:space="preserve"> </v>
      </c>
      <c r="CK19" s="976"/>
      <c r="CL19" s="976"/>
      <c r="CM19" s="976"/>
      <c r="CN19" s="976"/>
      <c r="CO19" s="976"/>
      <c r="CP19" s="976" t="str">
        <f>MID(SUVAHAVUJ!AF133,3,1)</f>
        <v xml:space="preserve"> </v>
      </c>
      <c r="CQ19" s="976"/>
      <c r="CR19" s="976"/>
      <c r="CS19" s="976"/>
      <c r="CT19" s="976"/>
      <c r="CU19" s="976" t="str">
        <f>MID(SUVAHAVUJ!AF133,4,1)</f>
        <v xml:space="preserve"> </v>
      </c>
      <c r="CV19" s="976"/>
      <c r="CW19" s="976"/>
      <c r="CX19" s="976"/>
      <c r="CY19" s="976"/>
      <c r="CZ19" s="976"/>
      <c r="DA19" s="976" t="str">
        <f>MID(SUVAHAVUJ!AF133,5,1)</f>
        <v xml:space="preserve"> </v>
      </c>
      <c r="DB19" s="976"/>
      <c r="DC19" s="976"/>
      <c r="DD19" s="976"/>
      <c r="DE19" s="976"/>
      <c r="DF19" s="976" t="str">
        <f>MID(SUVAHAVUJ!AF133,6,1)</f>
        <v xml:space="preserve"> </v>
      </c>
      <c r="DG19" s="976"/>
      <c r="DH19" s="976"/>
      <c r="DI19" s="976"/>
      <c r="DJ19" s="976"/>
      <c r="DK19" s="976"/>
      <c r="DL19" s="976" t="str">
        <f>MID(SUVAHAVUJ!AF133,7,1)</f>
        <v>1</v>
      </c>
      <c r="DM19" s="976"/>
      <c r="DN19" s="976"/>
      <c r="DO19" s="976"/>
      <c r="DP19" s="976"/>
      <c r="DQ19" s="976"/>
      <c r="DR19" s="976" t="str">
        <f>MID(SUVAHAVUJ!AF133,8,1)</f>
        <v>3</v>
      </c>
      <c r="DS19" s="976"/>
      <c r="DT19" s="976"/>
      <c r="DU19" s="976"/>
      <c r="DV19" s="976"/>
      <c r="DW19" s="982" t="str">
        <f>MID(SUVAHAVUJ!AF133,9,1)</f>
        <v>7</v>
      </c>
      <c r="DX19" s="982"/>
      <c r="DY19" s="982"/>
      <c r="DZ19" s="982"/>
      <c r="EA19" s="982"/>
      <c r="EB19" s="982"/>
      <c r="EC19" s="982" t="str">
        <f>MID(SUVAHAVUJ!AF133,10,1)</f>
        <v>5</v>
      </c>
      <c r="ED19" s="982"/>
      <c r="EE19" s="982"/>
      <c r="EF19" s="982"/>
      <c r="EG19" s="982"/>
      <c r="EH19" s="977" t="str">
        <f>MID(SUVAHAVUJ!AF133,11,1)</f>
        <v>3</v>
      </c>
      <c r="EI19" s="977"/>
      <c r="EJ19" s="977"/>
      <c r="EK19" s="977"/>
      <c r="EL19" s="977"/>
      <c r="EM19" s="977"/>
      <c r="EN19" s="665"/>
      <c r="EO19" s="666"/>
      <c r="EP19" s="976" t="str">
        <f>MID(SUVAHAVUJ!AG133,1,1)</f>
        <v xml:space="preserve"> </v>
      </c>
      <c r="EQ19" s="976"/>
      <c r="ER19" s="976"/>
      <c r="ES19" s="976"/>
      <c r="ET19" s="976"/>
      <c r="EU19" s="976"/>
      <c r="EV19" s="976" t="str">
        <f>MID(SUVAHAVUJ!AG133,2,1)</f>
        <v xml:space="preserve"> </v>
      </c>
      <c r="EW19" s="976"/>
      <c r="EX19" s="976"/>
      <c r="EY19" s="976"/>
      <c r="EZ19" s="976"/>
      <c r="FA19" s="976" t="str">
        <f>MID(SUVAHAVUJ!AG133,3,1)</f>
        <v xml:space="preserve"> </v>
      </c>
      <c r="FB19" s="976"/>
      <c r="FC19" s="976"/>
      <c r="FD19" s="976"/>
      <c r="FE19" s="976"/>
      <c r="FF19" s="976"/>
      <c r="FG19" s="976" t="str">
        <f>MID(SUVAHAVUJ!AG133,4,1)</f>
        <v xml:space="preserve"> </v>
      </c>
      <c r="FH19" s="976"/>
      <c r="FI19" s="976"/>
      <c r="FJ19" s="976"/>
      <c r="FK19" s="976"/>
      <c r="FL19" s="982" t="str">
        <f>MID(SUVAHAVUJ!AG133,5,1)</f>
        <v xml:space="preserve"> </v>
      </c>
      <c r="FM19" s="982"/>
      <c r="FN19" s="982"/>
      <c r="FO19" s="982"/>
      <c r="FP19" s="982"/>
      <c r="FQ19" s="982"/>
      <c r="FR19" s="982" t="str">
        <f>MID(SUVAHAVUJ!AG133,6,1)</f>
        <v xml:space="preserve"> </v>
      </c>
      <c r="FS19" s="982"/>
      <c r="FT19" s="982"/>
      <c r="FU19" s="982"/>
      <c r="FV19" s="982"/>
      <c r="FW19" s="982" t="str">
        <f>MID(SUVAHAVUJ!AG133,7,1)</f>
        <v>1</v>
      </c>
      <c r="FX19" s="982"/>
      <c r="FY19" s="982"/>
      <c r="FZ19" s="982"/>
      <c r="GA19" s="982"/>
      <c r="GB19" s="982"/>
      <c r="GC19" s="982" t="str">
        <f>MID(SUVAHAVUJ!AG133,8,1)</f>
        <v>4</v>
      </c>
      <c r="GD19" s="982"/>
      <c r="GE19" s="982"/>
      <c r="GF19" s="982"/>
      <c r="GG19" s="982"/>
      <c r="GH19" s="982" t="str">
        <f>MID(SUVAHAVUJ!AG133,9,1)</f>
        <v>4</v>
      </c>
      <c r="GI19" s="982"/>
      <c r="GJ19" s="982"/>
      <c r="GK19" s="982"/>
      <c r="GL19" s="982"/>
      <c r="GM19" s="982"/>
      <c r="GN19" s="982" t="str">
        <f>MID(SUVAHAVUJ!AG133,10,1)</f>
        <v>2</v>
      </c>
      <c r="GO19" s="982"/>
      <c r="GP19" s="982"/>
      <c r="GQ19" s="982"/>
      <c r="GR19" s="982"/>
      <c r="GS19" s="978" t="str">
        <f>MID(SUVAHAVUJ!AG133,11,1)</f>
        <v>6</v>
      </c>
      <c r="GT19" s="978"/>
      <c r="GU19" s="978"/>
      <c r="GV19" s="978"/>
      <c r="GW19" s="978"/>
    </row>
    <row r="20" spans="1:205" ht="24" customHeight="1" x14ac:dyDescent="0.25">
      <c r="B20" s="985" t="s">
        <v>2172</v>
      </c>
      <c r="C20" s="985"/>
      <c r="D20" s="985"/>
      <c r="E20" s="985"/>
      <c r="F20" s="985"/>
      <c r="G20" s="985"/>
      <c r="H20" s="985"/>
      <c r="I20" s="985"/>
      <c r="J20" s="985"/>
      <c r="K20" s="985"/>
      <c r="L20" s="1005" t="str">
        <f>SUVAHAVUJ!$D$134</f>
        <v>Záväzky zo sociálneho poistenia (336A)</v>
      </c>
      <c r="M20" s="1005"/>
      <c r="N20" s="1005"/>
      <c r="O20" s="1005"/>
      <c r="P20" s="1005"/>
      <c r="Q20" s="1005"/>
      <c r="R20" s="1005"/>
      <c r="S20" s="1005"/>
      <c r="T20" s="1005"/>
      <c r="U20" s="1005"/>
      <c r="V20" s="1005"/>
      <c r="W20" s="1005"/>
      <c r="X20" s="1005"/>
      <c r="Y20" s="1005"/>
      <c r="Z20" s="1005"/>
      <c r="AA20" s="1005"/>
      <c r="AB20" s="1005"/>
      <c r="AC20" s="1005"/>
      <c r="AD20" s="1005"/>
      <c r="AE20" s="1005"/>
      <c r="AF20" s="1005"/>
      <c r="AG20" s="1005"/>
      <c r="AH20" s="1005"/>
      <c r="AI20" s="1005"/>
      <c r="AJ20" s="1005"/>
      <c r="AK20" s="1005"/>
      <c r="AL20" s="1005"/>
      <c r="AM20" s="1005"/>
      <c r="AN20" s="1005"/>
      <c r="AO20" s="1005"/>
      <c r="AP20" s="1005"/>
      <c r="AQ20" s="1005"/>
      <c r="AR20" s="1005"/>
      <c r="AS20" s="1005"/>
      <c r="AT20" s="1005"/>
      <c r="AU20" s="1005"/>
      <c r="AV20" s="1005"/>
      <c r="AW20" s="1005"/>
      <c r="AX20" s="1005"/>
      <c r="AY20" s="1005"/>
      <c r="AZ20" s="1005"/>
      <c r="BA20" s="1005"/>
      <c r="BB20" s="1005"/>
      <c r="BC20" s="1005"/>
      <c r="BD20" s="1005"/>
      <c r="BE20" s="1005"/>
      <c r="BF20" s="1005"/>
      <c r="BG20" s="1005"/>
      <c r="BH20" s="1005"/>
      <c r="BI20" s="1005"/>
      <c r="BJ20" s="1005"/>
      <c r="BK20" s="1005"/>
      <c r="BL20" s="1005"/>
      <c r="BM20" s="1005"/>
      <c r="BN20" s="1005"/>
      <c r="BO20" s="1005"/>
      <c r="BP20" s="1005"/>
      <c r="BQ20" s="1005"/>
      <c r="BR20" s="1005"/>
      <c r="BS20" s="1005"/>
      <c r="BT20" s="1005"/>
      <c r="BU20" s="1005"/>
      <c r="BV20" s="1005"/>
      <c r="BW20" s="975" t="s">
        <v>375</v>
      </c>
      <c r="BX20" s="975"/>
      <c r="BY20" s="975"/>
      <c r="BZ20" s="975"/>
      <c r="CA20" s="975"/>
      <c r="CB20" s="975"/>
      <c r="CC20" s="975"/>
      <c r="CD20" s="975"/>
      <c r="CE20" s="976" t="str">
        <f>MID(SUVAHAVUJ!AF134,1,1)</f>
        <v xml:space="preserve"> </v>
      </c>
      <c r="CF20" s="976"/>
      <c r="CG20" s="976"/>
      <c r="CH20" s="976"/>
      <c r="CI20" s="976"/>
      <c r="CJ20" s="976" t="str">
        <f>MID(SUVAHAVUJ!AF134,2,1)</f>
        <v xml:space="preserve"> </v>
      </c>
      <c r="CK20" s="976"/>
      <c r="CL20" s="976"/>
      <c r="CM20" s="976"/>
      <c r="CN20" s="976"/>
      <c r="CO20" s="976"/>
      <c r="CP20" s="976" t="str">
        <f>MID(SUVAHAVUJ!AF134,3,1)</f>
        <v xml:space="preserve"> </v>
      </c>
      <c r="CQ20" s="976"/>
      <c r="CR20" s="976"/>
      <c r="CS20" s="976"/>
      <c r="CT20" s="976"/>
      <c r="CU20" s="976" t="str">
        <f>MID(SUVAHAVUJ!AF134,4,1)</f>
        <v xml:space="preserve"> </v>
      </c>
      <c r="CV20" s="976"/>
      <c r="CW20" s="976"/>
      <c r="CX20" s="976"/>
      <c r="CY20" s="976"/>
      <c r="CZ20" s="976"/>
      <c r="DA20" s="976" t="str">
        <f>MID(SUVAHAVUJ!AF134,5,1)</f>
        <v xml:space="preserve"> </v>
      </c>
      <c r="DB20" s="976"/>
      <c r="DC20" s="976"/>
      <c r="DD20" s="976"/>
      <c r="DE20" s="976"/>
      <c r="DF20" s="976" t="str">
        <f>MID(SUVAHAVUJ!AF134,6,1)</f>
        <v xml:space="preserve"> </v>
      </c>
      <c r="DG20" s="976"/>
      <c r="DH20" s="976"/>
      <c r="DI20" s="976"/>
      <c r="DJ20" s="976"/>
      <c r="DK20" s="976"/>
      <c r="DL20" s="976" t="str">
        <f>MID(SUVAHAVUJ!AF134,7,1)</f>
        <v>1</v>
      </c>
      <c r="DM20" s="976"/>
      <c r="DN20" s="976"/>
      <c r="DO20" s="976"/>
      <c r="DP20" s="976"/>
      <c r="DQ20" s="976"/>
      <c r="DR20" s="976" t="str">
        <f>MID(SUVAHAVUJ!AF134,8,1)</f>
        <v>0</v>
      </c>
      <c r="DS20" s="976"/>
      <c r="DT20" s="976"/>
      <c r="DU20" s="976"/>
      <c r="DV20" s="976"/>
      <c r="DW20" s="982" t="str">
        <f>MID(SUVAHAVUJ!AF134,9,1)</f>
        <v>6</v>
      </c>
      <c r="DX20" s="982"/>
      <c r="DY20" s="982"/>
      <c r="DZ20" s="982"/>
      <c r="EA20" s="982"/>
      <c r="EB20" s="982"/>
      <c r="EC20" s="982" t="str">
        <f>MID(SUVAHAVUJ!AF134,10,1)</f>
        <v>1</v>
      </c>
      <c r="ED20" s="982"/>
      <c r="EE20" s="982"/>
      <c r="EF20" s="982"/>
      <c r="EG20" s="982"/>
      <c r="EH20" s="977" t="str">
        <f>MID(SUVAHAVUJ!AF134,11,1)</f>
        <v>3</v>
      </c>
      <c r="EI20" s="977"/>
      <c r="EJ20" s="977"/>
      <c r="EK20" s="977"/>
      <c r="EL20" s="977"/>
      <c r="EM20" s="977"/>
      <c r="EN20" s="665"/>
      <c r="EO20" s="666"/>
      <c r="EP20" s="976" t="str">
        <f>MID(SUVAHAVUJ!AG134,1,1)</f>
        <v xml:space="preserve"> </v>
      </c>
      <c r="EQ20" s="976"/>
      <c r="ER20" s="976"/>
      <c r="ES20" s="976"/>
      <c r="ET20" s="976"/>
      <c r="EU20" s="976"/>
      <c r="EV20" s="976" t="str">
        <f>MID(SUVAHAVUJ!AG134,2,1)</f>
        <v xml:space="preserve"> </v>
      </c>
      <c r="EW20" s="976"/>
      <c r="EX20" s="976"/>
      <c r="EY20" s="976"/>
      <c r="EZ20" s="976"/>
      <c r="FA20" s="976" t="str">
        <f>MID(SUVAHAVUJ!AG134,3,1)</f>
        <v xml:space="preserve"> </v>
      </c>
      <c r="FB20" s="976"/>
      <c r="FC20" s="976"/>
      <c r="FD20" s="976"/>
      <c r="FE20" s="976"/>
      <c r="FF20" s="976"/>
      <c r="FG20" s="976" t="str">
        <f>MID(SUVAHAVUJ!AG134,4,1)</f>
        <v xml:space="preserve"> </v>
      </c>
      <c r="FH20" s="976"/>
      <c r="FI20" s="976"/>
      <c r="FJ20" s="976"/>
      <c r="FK20" s="976"/>
      <c r="FL20" s="982" t="str">
        <f>MID(SUVAHAVUJ!AG134,5,1)</f>
        <v xml:space="preserve"> </v>
      </c>
      <c r="FM20" s="982"/>
      <c r="FN20" s="982"/>
      <c r="FO20" s="982"/>
      <c r="FP20" s="982"/>
      <c r="FQ20" s="982"/>
      <c r="FR20" s="982" t="str">
        <f>MID(SUVAHAVUJ!AG134,6,1)</f>
        <v xml:space="preserve"> </v>
      </c>
      <c r="FS20" s="982"/>
      <c r="FT20" s="982"/>
      <c r="FU20" s="982"/>
      <c r="FV20" s="982"/>
      <c r="FW20" s="982" t="str">
        <f>MID(SUVAHAVUJ!AG134,7,1)</f>
        <v xml:space="preserve"> </v>
      </c>
      <c r="FX20" s="982"/>
      <c r="FY20" s="982"/>
      <c r="FZ20" s="982"/>
      <c r="GA20" s="982"/>
      <c r="GB20" s="982"/>
      <c r="GC20" s="982" t="str">
        <f>MID(SUVAHAVUJ!AG134,8,1)</f>
        <v>9</v>
      </c>
      <c r="GD20" s="982"/>
      <c r="GE20" s="982"/>
      <c r="GF20" s="982"/>
      <c r="GG20" s="982"/>
      <c r="GH20" s="982" t="str">
        <f>MID(SUVAHAVUJ!AG134,9,1)</f>
        <v>5</v>
      </c>
      <c r="GI20" s="982"/>
      <c r="GJ20" s="982"/>
      <c r="GK20" s="982"/>
      <c r="GL20" s="982"/>
      <c r="GM20" s="982"/>
      <c r="GN20" s="982" t="str">
        <f>MID(SUVAHAVUJ!AG134,10,1)</f>
        <v>4</v>
      </c>
      <c r="GO20" s="982"/>
      <c r="GP20" s="982"/>
      <c r="GQ20" s="982"/>
      <c r="GR20" s="982"/>
      <c r="GS20" s="978" t="str">
        <f>MID(SUVAHAVUJ!AG134,11,1)</f>
        <v>4</v>
      </c>
      <c r="GT20" s="978"/>
      <c r="GU20" s="978"/>
      <c r="GV20" s="978"/>
      <c r="GW20" s="978"/>
    </row>
    <row r="21" spans="1:205" ht="24" customHeight="1" x14ac:dyDescent="0.25">
      <c r="B21" s="985" t="s">
        <v>2177</v>
      </c>
      <c r="C21" s="985"/>
      <c r="D21" s="985"/>
      <c r="E21" s="985"/>
      <c r="F21" s="985"/>
      <c r="G21" s="985"/>
      <c r="H21" s="985"/>
      <c r="I21" s="985"/>
      <c r="J21" s="985"/>
      <c r="K21" s="985"/>
      <c r="L21" s="1005" t="str">
        <f>SUVAHAVUJ!$D$135</f>
        <v>Daňové záväzky a dotácie (341, 342, 343, 345, 346, 347, 34X)</v>
      </c>
      <c r="M21" s="1005"/>
      <c r="N21" s="1005"/>
      <c r="O21" s="1005"/>
      <c r="P21" s="1005"/>
      <c r="Q21" s="1005"/>
      <c r="R21" s="1005"/>
      <c r="S21" s="1005"/>
      <c r="T21" s="1005"/>
      <c r="U21" s="1005"/>
      <c r="V21" s="1005"/>
      <c r="W21" s="1005"/>
      <c r="X21" s="1005"/>
      <c r="Y21" s="1005"/>
      <c r="Z21" s="1005"/>
      <c r="AA21" s="1005"/>
      <c r="AB21" s="1005"/>
      <c r="AC21" s="1005"/>
      <c r="AD21" s="1005"/>
      <c r="AE21" s="1005"/>
      <c r="AF21" s="1005"/>
      <c r="AG21" s="1005"/>
      <c r="AH21" s="1005"/>
      <c r="AI21" s="1005"/>
      <c r="AJ21" s="1005"/>
      <c r="AK21" s="1005"/>
      <c r="AL21" s="1005"/>
      <c r="AM21" s="1005"/>
      <c r="AN21" s="1005"/>
      <c r="AO21" s="1005"/>
      <c r="AP21" s="1005"/>
      <c r="AQ21" s="1005"/>
      <c r="AR21" s="1005"/>
      <c r="AS21" s="1005"/>
      <c r="AT21" s="1005"/>
      <c r="AU21" s="1005"/>
      <c r="AV21" s="1005"/>
      <c r="AW21" s="1005"/>
      <c r="AX21" s="1005"/>
      <c r="AY21" s="1005"/>
      <c r="AZ21" s="1005"/>
      <c r="BA21" s="1005"/>
      <c r="BB21" s="1005"/>
      <c r="BC21" s="1005"/>
      <c r="BD21" s="1005"/>
      <c r="BE21" s="1005"/>
      <c r="BF21" s="1005"/>
      <c r="BG21" s="1005"/>
      <c r="BH21" s="1005"/>
      <c r="BI21" s="1005"/>
      <c r="BJ21" s="1005"/>
      <c r="BK21" s="1005"/>
      <c r="BL21" s="1005"/>
      <c r="BM21" s="1005"/>
      <c r="BN21" s="1005"/>
      <c r="BO21" s="1005"/>
      <c r="BP21" s="1005"/>
      <c r="BQ21" s="1005"/>
      <c r="BR21" s="1005"/>
      <c r="BS21" s="1005"/>
      <c r="BT21" s="1005"/>
      <c r="BU21" s="1005"/>
      <c r="BV21" s="1005"/>
      <c r="BW21" s="975" t="s">
        <v>379</v>
      </c>
      <c r="BX21" s="975"/>
      <c r="BY21" s="975"/>
      <c r="BZ21" s="975"/>
      <c r="CA21" s="975"/>
      <c r="CB21" s="975"/>
      <c r="CC21" s="975"/>
      <c r="CD21" s="975"/>
      <c r="CE21" s="976" t="str">
        <f>MID(SUVAHAVUJ!AF135,1,1)</f>
        <v xml:space="preserve"> </v>
      </c>
      <c r="CF21" s="976"/>
      <c r="CG21" s="976"/>
      <c r="CH21" s="976"/>
      <c r="CI21" s="976"/>
      <c r="CJ21" s="976" t="str">
        <f>MID(SUVAHAVUJ!AF135,2,1)</f>
        <v xml:space="preserve"> </v>
      </c>
      <c r="CK21" s="976"/>
      <c r="CL21" s="976"/>
      <c r="CM21" s="976"/>
      <c r="CN21" s="976"/>
      <c r="CO21" s="976"/>
      <c r="CP21" s="976" t="str">
        <f>MID(SUVAHAVUJ!AF135,3,1)</f>
        <v xml:space="preserve"> </v>
      </c>
      <c r="CQ21" s="976"/>
      <c r="CR21" s="976"/>
      <c r="CS21" s="976"/>
      <c r="CT21" s="976"/>
      <c r="CU21" s="976" t="str">
        <f>MID(SUVAHAVUJ!AF135,4,1)</f>
        <v xml:space="preserve"> </v>
      </c>
      <c r="CV21" s="976"/>
      <c r="CW21" s="976"/>
      <c r="CX21" s="976"/>
      <c r="CY21" s="976"/>
      <c r="CZ21" s="976"/>
      <c r="DA21" s="976" t="str">
        <f>MID(SUVAHAVUJ!AF135,5,1)</f>
        <v xml:space="preserve"> </v>
      </c>
      <c r="DB21" s="976"/>
      <c r="DC21" s="976"/>
      <c r="DD21" s="976"/>
      <c r="DE21" s="976"/>
      <c r="DF21" s="976" t="str">
        <f>MID(SUVAHAVUJ!AF135,6,1)</f>
        <v xml:space="preserve"> </v>
      </c>
      <c r="DG21" s="976"/>
      <c r="DH21" s="976"/>
      <c r="DI21" s="976"/>
      <c r="DJ21" s="976"/>
      <c r="DK21" s="976"/>
      <c r="DL21" s="976" t="str">
        <f>MID(SUVAHAVUJ!AF135,7,1)</f>
        <v>2</v>
      </c>
      <c r="DM21" s="976"/>
      <c r="DN21" s="976"/>
      <c r="DO21" s="976"/>
      <c r="DP21" s="976"/>
      <c r="DQ21" s="976"/>
      <c r="DR21" s="976" t="str">
        <f>MID(SUVAHAVUJ!AF135,8,1)</f>
        <v>1</v>
      </c>
      <c r="DS21" s="976"/>
      <c r="DT21" s="976"/>
      <c r="DU21" s="976"/>
      <c r="DV21" s="976"/>
      <c r="DW21" s="982" t="str">
        <f>MID(SUVAHAVUJ!AF135,9,1)</f>
        <v>6</v>
      </c>
      <c r="DX21" s="982"/>
      <c r="DY21" s="982"/>
      <c r="DZ21" s="982"/>
      <c r="EA21" s="982"/>
      <c r="EB21" s="982"/>
      <c r="EC21" s="982" t="str">
        <f>MID(SUVAHAVUJ!AF135,10,1)</f>
        <v>4</v>
      </c>
      <c r="ED21" s="982"/>
      <c r="EE21" s="982"/>
      <c r="EF21" s="982"/>
      <c r="EG21" s="982"/>
      <c r="EH21" s="977" t="str">
        <f>MID(SUVAHAVUJ!AF135,11,1)</f>
        <v>9</v>
      </c>
      <c r="EI21" s="977"/>
      <c r="EJ21" s="977"/>
      <c r="EK21" s="977"/>
      <c r="EL21" s="977"/>
      <c r="EM21" s="977"/>
      <c r="EN21" s="665"/>
      <c r="EO21" s="666"/>
      <c r="EP21" s="976" t="str">
        <f>MID(SUVAHAVUJ!AG135,1,1)</f>
        <v xml:space="preserve"> </v>
      </c>
      <c r="EQ21" s="976"/>
      <c r="ER21" s="976"/>
      <c r="ES21" s="976"/>
      <c r="ET21" s="976"/>
      <c r="EU21" s="976"/>
      <c r="EV21" s="976" t="str">
        <f>MID(SUVAHAVUJ!AG135,2,1)</f>
        <v xml:space="preserve"> </v>
      </c>
      <c r="EW21" s="976"/>
      <c r="EX21" s="976"/>
      <c r="EY21" s="976"/>
      <c r="EZ21" s="976"/>
      <c r="FA21" s="976" t="str">
        <f>MID(SUVAHAVUJ!AG135,3,1)</f>
        <v xml:space="preserve"> </v>
      </c>
      <c r="FB21" s="976"/>
      <c r="FC21" s="976"/>
      <c r="FD21" s="976"/>
      <c r="FE21" s="976"/>
      <c r="FF21" s="976"/>
      <c r="FG21" s="976" t="str">
        <f>MID(SUVAHAVUJ!AG135,4,1)</f>
        <v xml:space="preserve"> </v>
      </c>
      <c r="FH21" s="976"/>
      <c r="FI21" s="976"/>
      <c r="FJ21" s="976"/>
      <c r="FK21" s="976"/>
      <c r="FL21" s="982" t="str">
        <f>MID(SUVAHAVUJ!AG135,5,1)</f>
        <v xml:space="preserve"> </v>
      </c>
      <c r="FM21" s="982"/>
      <c r="FN21" s="982"/>
      <c r="FO21" s="982"/>
      <c r="FP21" s="982"/>
      <c r="FQ21" s="982"/>
      <c r="FR21" s="982" t="str">
        <f>MID(SUVAHAVUJ!AG135,6,1)</f>
        <v xml:space="preserve"> </v>
      </c>
      <c r="FS21" s="982"/>
      <c r="FT21" s="982"/>
      <c r="FU21" s="982"/>
      <c r="FV21" s="982"/>
      <c r="FW21" s="982" t="str">
        <f>MID(SUVAHAVUJ!AG135,7,1)</f>
        <v>1</v>
      </c>
      <c r="FX21" s="982"/>
      <c r="FY21" s="982"/>
      <c r="FZ21" s="982"/>
      <c r="GA21" s="982"/>
      <c r="GB21" s="982"/>
      <c r="GC21" s="982" t="str">
        <f>MID(SUVAHAVUJ!AG135,8,1)</f>
        <v>9</v>
      </c>
      <c r="GD21" s="982"/>
      <c r="GE21" s="982"/>
      <c r="GF21" s="982"/>
      <c r="GG21" s="982"/>
      <c r="GH21" s="982" t="str">
        <f>MID(SUVAHAVUJ!AG135,9,1)</f>
        <v>8</v>
      </c>
      <c r="GI21" s="982"/>
      <c r="GJ21" s="982"/>
      <c r="GK21" s="982"/>
      <c r="GL21" s="982"/>
      <c r="GM21" s="982"/>
      <c r="GN21" s="982" t="str">
        <f>MID(SUVAHAVUJ!AG135,10,1)</f>
        <v>9</v>
      </c>
      <c r="GO21" s="982"/>
      <c r="GP21" s="982"/>
      <c r="GQ21" s="982"/>
      <c r="GR21" s="982"/>
      <c r="GS21" s="978" t="str">
        <f>MID(SUVAHAVUJ!AG135,11,1)</f>
        <v>3</v>
      </c>
      <c r="GT21" s="978"/>
      <c r="GU21" s="978"/>
      <c r="GV21" s="978"/>
      <c r="GW21" s="978"/>
    </row>
    <row r="22" spans="1:205" ht="24" customHeight="1" x14ac:dyDescent="0.25">
      <c r="B22" s="985" t="s">
        <v>2178</v>
      </c>
      <c r="C22" s="985"/>
      <c r="D22" s="985"/>
      <c r="E22" s="985"/>
      <c r="F22" s="985"/>
      <c r="G22" s="985"/>
      <c r="H22" s="985"/>
      <c r="I22" s="985"/>
      <c r="J22" s="985"/>
      <c r="K22" s="985"/>
      <c r="L22" s="1005" t="str">
        <f>SUVAHAVUJ!$D$136</f>
        <v>Záväzky z derivátových operácií (373A, 377A)</v>
      </c>
      <c r="M22" s="1005"/>
      <c r="N22" s="1005"/>
      <c r="O22" s="1005"/>
      <c r="P22" s="1005"/>
      <c r="Q22" s="1005"/>
      <c r="R22" s="1005"/>
      <c r="S22" s="1005"/>
      <c r="T22" s="1005"/>
      <c r="U22" s="1005"/>
      <c r="V22" s="1005"/>
      <c r="W22" s="1005"/>
      <c r="X22" s="1005"/>
      <c r="Y22" s="1005"/>
      <c r="Z22" s="1005"/>
      <c r="AA22" s="1005"/>
      <c r="AB22" s="1005"/>
      <c r="AC22" s="1005"/>
      <c r="AD22" s="1005"/>
      <c r="AE22" s="1005"/>
      <c r="AF22" s="1005"/>
      <c r="AG22" s="1005"/>
      <c r="AH22" s="1005"/>
      <c r="AI22" s="1005"/>
      <c r="AJ22" s="1005"/>
      <c r="AK22" s="1005"/>
      <c r="AL22" s="1005"/>
      <c r="AM22" s="1005"/>
      <c r="AN22" s="1005"/>
      <c r="AO22" s="1005"/>
      <c r="AP22" s="1005"/>
      <c r="AQ22" s="1005"/>
      <c r="AR22" s="1005"/>
      <c r="AS22" s="1005"/>
      <c r="AT22" s="1005"/>
      <c r="AU22" s="1005"/>
      <c r="AV22" s="1005"/>
      <c r="AW22" s="1005"/>
      <c r="AX22" s="1005"/>
      <c r="AY22" s="1005"/>
      <c r="AZ22" s="1005"/>
      <c r="BA22" s="1005"/>
      <c r="BB22" s="1005"/>
      <c r="BC22" s="1005"/>
      <c r="BD22" s="1005"/>
      <c r="BE22" s="1005"/>
      <c r="BF22" s="1005"/>
      <c r="BG22" s="1005"/>
      <c r="BH22" s="1005"/>
      <c r="BI22" s="1005"/>
      <c r="BJ22" s="1005"/>
      <c r="BK22" s="1005"/>
      <c r="BL22" s="1005"/>
      <c r="BM22" s="1005"/>
      <c r="BN22" s="1005"/>
      <c r="BO22" s="1005"/>
      <c r="BP22" s="1005"/>
      <c r="BQ22" s="1005"/>
      <c r="BR22" s="1005"/>
      <c r="BS22" s="1005"/>
      <c r="BT22" s="1005"/>
      <c r="BU22" s="1005"/>
      <c r="BV22" s="1005"/>
      <c r="BW22" s="975" t="s">
        <v>2273</v>
      </c>
      <c r="BX22" s="975"/>
      <c r="BY22" s="975"/>
      <c r="BZ22" s="975"/>
      <c r="CA22" s="975"/>
      <c r="CB22" s="975"/>
      <c r="CC22" s="975"/>
      <c r="CD22" s="975"/>
      <c r="CE22" s="976" t="str">
        <f>MID(SUVAHAVUJ!AF136,1,1)</f>
        <v xml:space="preserve"> </v>
      </c>
      <c r="CF22" s="976"/>
      <c r="CG22" s="976"/>
      <c r="CH22" s="976"/>
      <c r="CI22" s="976"/>
      <c r="CJ22" s="976" t="str">
        <f>MID(SUVAHAVUJ!AF136,2,1)</f>
        <v xml:space="preserve"> </v>
      </c>
      <c r="CK22" s="976"/>
      <c r="CL22" s="976"/>
      <c r="CM22" s="976"/>
      <c r="CN22" s="976"/>
      <c r="CO22" s="976"/>
      <c r="CP22" s="976" t="str">
        <f>MID(SUVAHAVUJ!AF136,3,1)</f>
        <v xml:space="preserve"> </v>
      </c>
      <c r="CQ22" s="976"/>
      <c r="CR22" s="976"/>
      <c r="CS22" s="976"/>
      <c r="CT22" s="976"/>
      <c r="CU22" s="976" t="str">
        <f>MID(SUVAHAVUJ!AF136,4,1)</f>
        <v xml:space="preserve"> </v>
      </c>
      <c r="CV22" s="976"/>
      <c r="CW22" s="976"/>
      <c r="CX22" s="976"/>
      <c r="CY22" s="976"/>
      <c r="CZ22" s="976"/>
      <c r="DA22" s="976" t="str">
        <f>MID(SUVAHAVUJ!AF136,5,1)</f>
        <v xml:space="preserve"> </v>
      </c>
      <c r="DB22" s="976"/>
      <c r="DC22" s="976"/>
      <c r="DD22" s="976"/>
      <c r="DE22" s="976"/>
      <c r="DF22" s="976" t="str">
        <f>MID(SUVAHAVUJ!AF136,6,1)</f>
        <v xml:space="preserve"> </v>
      </c>
      <c r="DG22" s="976"/>
      <c r="DH22" s="976"/>
      <c r="DI22" s="976"/>
      <c r="DJ22" s="976"/>
      <c r="DK22" s="976"/>
      <c r="DL22" s="976" t="str">
        <f>MID(SUVAHAVUJ!AF136,7,1)</f>
        <v xml:space="preserve"> </v>
      </c>
      <c r="DM22" s="976"/>
      <c r="DN22" s="976"/>
      <c r="DO22" s="976"/>
      <c r="DP22" s="976"/>
      <c r="DQ22" s="976"/>
      <c r="DR22" s="976" t="str">
        <f>MID(SUVAHAVUJ!AF136,8,1)</f>
        <v xml:space="preserve"> </v>
      </c>
      <c r="DS22" s="976"/>
      <c r="DT22" s="976"/>
      <c r="DU22" s="976"/>
      <c r="DV22" s="976"/>
      <c r="DW22" s="982" t="str">
        <f>MID(SUVAHAVUJ!AF136,9,1)</f>
        <v xml:space="preserve"> </v>
      </c>
      <c r="DX22" s="982"/>
      <c r="DY22" s="982"/>
      <c r="DZ22" s="982"/>
      <c r="EA22" s="982"/>
      <c r="EB22" s="982"/>
      <c r="EC22" s="982" t="str">
        <f>MID(SUVAHAVUJ!AF136,10,1)</f>
        <v xml:space="preserve"> </v>
      </c>
      <c r="ED22" s="982"/>
      <c r="EE22" s="982"/>
      <c r="EF22" s="982"/>
      <c r="EG22" s="982"/>
      <c r="EH22" s="977" t="str">
        <f>MID(SUVAHAVUJ!AF136,11,1)</f>
        <v>0</v>
      </c>
      <c r="EI22" s="977"/>
      <c r="EJ22" s="977"/>
      <c r="EK22" s="977"/>
      <c r="EL22" s="977"/>
      <c r="EM22" s="977"/>
      <c r="EN22" s="665"/>
      <c r="EO22" s="666"/>
      <c r="EP22" s="976" t="str">
        <f>MID(SUVAHAVUJ!AG136,1,1)</f>
        <v xml:space="preserve"> </v>
      </c>
      <c r="EQ22" s="976"/>
      <c r="ER22" s="976"/>
      <c r="ES22" s="976"/>
      <c r="ET22" s="976"/>
      <c r="EU22" s="976"/>
      <c r="EV22" s="976" t="str">
        <f>MID(SUVAHAVUJ!AG136,2,1)</f>
        <v xml:space="preserve"> </v>
      </c>
      <c r="EW22" s="976"/>
      <c r="EX22" s="976"/>
      <c r="EY22" s="976"/>
      <c r="EZ22" s="976"/>
      <c r="FA22" s="976" t="str">
        <f>MID(SUVAHAVUJ!AG136,3,1)</f>
        <v xml:space="preserve"> </v>
      </c>
      <c r="FB22" s="976"/>
      <c r="FC22" s="976"/>
      <c r="FD22" s="976"/>
      <c r="FE22" s="976"/>
      <c r="FF22" s="976"/>
      <c r="FG22" s="976" t="str">
        <f>MID(SUVAHAVUJ!AG136,4,1)</f>
        <v xml:space="preserve"> </v>
      </c>
      <c r="FH22" s="976"/>
      <c r="FI22" s="976"/>
      <c r="FJ22" s="976"/>
      <c r="FK22" s="976"/>
      <c r="FL22" s="982" t="str">
        <f>MID(SUVAHAVUJ!AG136,5,1)</f>
        <v xml:space="preserve"> </v>
      </c>
      <c r="FM22" s="982"/>
      <c r="FN22" s="982"/>
      <c r="FO22" s="982"/>
      <c r="FP22" s="982"/>
      <c r="FQ22" s="982"/>
      <c r="FR22" s="982" t="str">
        <f>MID(SUVAHAVUJ!AG136,6,1)</f>
        <v xml:space="preserve"> </v>
      </c>
      <c r="FS22" s="982"/>
      <c r="FT22" s="982"/>
      <c r="FU22" s="982"/>
      <c r="FV22" s="982"/>
      <c r="FW22" s="982" t="str">
        <f>MID(SUVAHAVUJ!AG136,7,1)</f>
        <v xml:space="preserve"> </v>
      </c>
      <c r="FX22" s="982"/>
      <c r="FY22" s="982"/>
      <c r="FZ22" s="982"/>
      <c r="GA22" s="982"/>
      <c r="GB22" s="982"/>
      <c r="GC22" s="982" t="str">
        <f>MID(SUVAHAVUJ!AG136,8,1)</f>
        <v xml:space="preserve"> </v>
      </c>
      <c r="GD22" s="982"/>
      <c r="GE22" s="982"/>
      <c r="GF22" s="982"/>
      <c r="GG22" s="982"/>
      <c r="GH22" s="982" t="str">
        <f>MID(SUVAHAVUJ!AG136,9,1)</f>
        <v xml:space="preserve"> </v>
      </c>
      <c r="GI22" s="982"/>
      <c r="GJ22" s="982"/>
      <c r="GK22" s="982"/>
      <c r="GL22" s="982"/>
      <c r="GM22" s="982"/>
      <c r="GN22" s="982" t="str">
        <f>MID(SUVAHAVUJ!AG136,10,1)</f>
        <v xml:space="preserve"> </v>
      </c>
      <c r="GO22" s="982"/>
      <c r="GP22" s="982"/>
      <c r="GQ22" s="982"/>
      <c r="GR22" s="982"/>
      <c r="GS22" s="978" t="str">
        <f>MID(SUVAHAVUJ!AG136,11,1)</f>
        <v>0</v>
      </c>
      <c r="GT22" s="978"/>
      <c r="GU22" s="978"/>
      <c r="GV22" s="978"/>
      <c r="GW22" s="978"/>
    </row>
    <row r="23" spans="1:205" ht="24" customHeight="1" x14ac:dyDescent="0.25">
      <c r="A23" s="675"/>
      <c r="B23" s="985" t="s">
        <v>2183</v>
      </c>
      <c r="C23" s="985"/>
      <c r="D23" s="985"/>
      <c r="E23" s="985"/>
      <c r="F23" s="985"/>
      <c r="G23" s="985"/>
      <c r="H23" s="985"/>
      <c r="I23" s="985"/>
      <c r="J23" s="985"/>
      <c r="K23" s="985"/>
      <c r="L23" s="1005" t="str">
        <f>SUVAHAVUJ!$D$137</f>
        <v>Iné záväzky (372A, 379A, 474A, 475A, 479A, 47XA)</v>
      </c>
      <c r="M23" s="1005"/>
      <c r="N23" s="1005"/>
      <c r="O23" s="1005"/>
      <c r="P23" s="1005"/>
      <c r="Q23" s="1005"/>
      <c r="R23" s="1005"/>
      <c r="S23" s="1005"/>
      <c r="T23" s="1005"/>
      <c r="U23" s="1005"/>
      <c r="V23" s="1005"/>
      <c r="W23" s="1005"/>
      <c r="X23" s="1005"/>
      <c r="Y23" s="1005"/>
      <c r="Z23" s="1005"/>
      <c r="AA23" s="1005"/>
      <c r="AB23" s="1005"/>
      <c r="AC23" s="1005"/>
      <c r="AD23" s="1005"/>
      <c r="AE23" s="1005"/>
      <c r="AF23" s="1005"/>
      <c r="AG23" s="1005"/>
      <c r="AH23" s="1005"/>
      <c r="AI23" s="1005"/>
      <c r="AJ23" s="1005"/>
      <c r="AK23" s="1005"/>
      <c r="AL23" s="1005"/>
      <c r="AM23" s="1005"/>
      <c r="AN23" s="1005"/>
      <c r="AO23" s="1005"/>
      <c r="AP23" s="1005"/>
      <c r="AQ23" s="1005"/>
      <c r="AR23" s="1005"/>
      <c r="AS23" s="1005"/>
      <c r="AT23" s="1005"/>
      <c r="AU23" s="1005"/>
      <c r="AV23" s="1005"/>
      <c r="AW23" s="1005"/>
      <c r="AX23" s="1005"/>
      <c r="AY23" s="1005"/>
      <c r="AZ23" s="1005"/>
      <c r="BA23" s="1005"/>
      <c r="BB23" s="1005"/>
      <c r="BC23" s="1005"/>
      <c r="BD23" s="1005"/>
      <c r="BE23" s="1005"/>
      <c r="BF23" s="1005"/>
      <c r="BG23" s="1005"/>
      <c r="BH23" s="1005"/>
      <c r="BI23" s="1005"/>
      <c r="BJ23" s="1005"/>
      <c r="BK23" s="1005"/>
      <c r="BL23" s="1005"/>
      <c r="BM23" s="1005"/>
      <c r="BN23" s="1005"/>
      <c r="BO23" s="1005"/>
      <c r="BP23" s="1005"/>
      <c r="BQ23" s="1005"/>
      <c r="BR23" s="1005"/>
      <c r="BS23" s="1005"/>
      <c r="BT23" s="1005"/>
      <c r="BU23" s="1005"/>
      <c r="BV23" s="1005"/>
      <c r="BW23" s="975" t="s">
        <v>2274</v>
      </c>
      <c r="BX23" s="975"/>
      <c r="BY23" s="975"/>
      <c r="BZ23" s="975"/>
      <c r="CA23" s="975"/>
      <c r="CB23" s="975"/>
      <c r="CC23" s="975"/>
      <c r="CD23" s="975"/>
      <c r="CE23" s="976" t="str">
        <f>MID(SUVAHAVUJ!AF137,1,1)</f>
        <v xml:space="preserve"> </v>
      </c>
      <c r="CF23" s="976"/>
      <c r="CG23" s="976"/>
      <c r="CH23" s="976"/>
      <c r="CI23" s="976"/>
      <c r="CJ23" s="976" t="str">
        <f>MID(SUVAHAVUJ!AF137,2,1)</f>
        <v xml:space="preserve"> </v>
      </c>
      <c r="CK23" s="976"/>
      <c r="CL23" s="976"/>
      <c r="CM23" s="976"/>
      <c r="CN23" s="976"/>
      <c r="CO23" s="976"/>
      <c r="CP23" s="976" t="str">
        <f>MID(SUVAHAVUJ!AF137,3,1)</f>
        <v xml:space="preserve"> </v>
      </c>
      <c r="CQ23" s="976"/>
      <c r="CR23" s="976"/>
      <c r="CS23" s="976"/>
      <c r="CT23" s="976"/>
      <c r="CU23" s="976" t="str">
        <f>MID(SUVAHAVUJ!AF137,4,1)</f>
        <v xml:space="preserve"> </v>
      </c>
      <c r="CV23" s="976"/>
      <c r="CW23" s="976"/>
      <c r="CX23" s="976"/>
      <c r="CY23" s="976"/>
      <c r="CZ23" s="976"/>
      <c r="DA23" s="976" t="str">
        <f>MID(SUVAHAVUJ!AF137,5,1)</f>
        <v xml:space="preserve"> </v>
      </c>
      <c r="DB23" s="976"/>
      <c r="DC23" s="976"/>
      <c r="DD23" s="976"/>
      <c r="DE23" s="976"/>
      <c r="DF23" s="976" t="str">
        <f>MID(SUVAHAVUJ!AF137,6,1)</f>
        <v xml:space="preserve"> </v>
      </c>
      <c r="DG23" s="976"/>
      <c r="DH23" s="976"/>
      <c r="DI23" s="976"/>
      <c r="DJ23" s="976"/>
      <c r="DK23" s="976"/>
      <c r="DL23" s="976" t="str">
        <f>MID(SUVAHAVUJ!AF137,7,1)</f>
        <v>1</v>
      </c>
      <c r="DM23" s="976"/>
      <c r="DN23" s="976"/>
      <c r="DO23" s="976"/>
      <c r="DP23" s="976"/>
      <c r="DQ23" s="976"/>
      <c r="DR23" s="976" t="str">
        <f>MID(SUVAHAVUJ!AF137,8,1)</f>
        <v>3</v>
      </c>
      <c r="DS23" s="976"/>
      <c r="DT23" s="976"/>
      <c r="DU23" s="976"/>
      <c r="DV23" s="976"/>
      <c r="DW23" s="982" t="str">
        <f>MID(SUVAHAVUJ!AF137,9,1)</f>
        <v>4</v>
      </c>
      <c r="DX23" s="982"/>
      <c r="DY23" s="982"/>
      <c r="DZ23" s="982"/>
      <c r="EA23" s="982"/>
      <c r="EB23" s="982"/>
      <c r="EC23" s="982" t="str">
        <f>MID(SUVAHAVUJ!AF137,10,1)</f>
        <v>9</v>
      </c>
      <c r="ED23" s="982"/>
      <c r="EE23" s="982"/>
      <c r="EF23" s="982"/>
      <c r="EG23" s="982"/>
      <c r="EH23" s="977" t="str">
        <f>MID(SUVAHAVUJ!AF137,11,1)</f>
        <v>7</v>
      </c>
      <c r="EI23" s="977"/>
      <c r="EJ23" s="977"/>
      <c r="EK23" s="977"/>
      <c r="EL23" s="977"/>
      <c r="EM23" s="977"/>
      <c r="EN23" s="665"/>
      <c r="EO23" s="666"/>
      <c r="EP23" s="976" t="str">
        <f>MID(SUVAHAVUJ!AG137,1,1)</f>
        <v xml:space="preserve"> </v>
      </c>
      <c r="EQ23" s="976"/>
      <c r="ER23" s="976"/>
      <c r="ES23" s="976"/>
      <c r="ET23" s="976"/>
      <c r="EU23" s="976"/>
      <c r="EV23" s="976" t="str">
        <f>MID(SUVAHAVUJ!AG137,2,1)</f>
        <v xml:space="preserve"> </v>
      </c>
      <c r="EW23" s="976"/>
      <c r="EX23" s="976"/>
      <c r="EY23" s="976"/>
      <c r="EZ23" s="976"/>
      <c r="FA23" s="976" t="str">
        <f>MID(SUVAHAVUJ!AG137,3,1)</f>
        <v xml:space="preserve"> </v>
      </c>
      <c r="FB23" s="976"/>
      <c r="FC23" s="976"/>
      <c r="FD23" s="976"/>
      <c r="FE23" s="976"/>
      <c r="FF23" s="976"/>
      <c r="FG23" s="976" t="str">
        <f>MID(SUVAHAVUJ!AG137,4,1)</f>
        <v xml:space="preserve"> </v>
      </c>
      <c r="FH23" s="976"/>
      <c r="FI23" s="976"/>
      <c r="FJ23" s="976"/>
      <c r="FK23" s="976"/>
      <c r="FL23" s="982" t="str">
        <f>MID(SUVAHAVUJ!AG137,5,1)</f>
        <v xml:space="preserve"> </v>
      </c>
      <c r="FM23" s="982"/>
      <c r="FN23" s="982"/>
      <c r="FO23" s="982"/>
      <c r="FP23" s="982"/>
      <c r="FQ23" s="982"/>
      <c r="FR23" s="982" t="str">
        <f>MID(SUVAHAVUJ!AG137,6,1)</f>
        <v xml:space="preserve"> </v>
      </c>
      <c r="FS23" s="982"/>
      <c r="FT23" s="982"/>
      <c r="FU23" s="982"/>
      <c r="FV23" s="982"/>
      <c r="FW23" s="982" t="str">
        <f>MID(SUVAHAVUJ!AG137,7,1)</f>
        <v>1</v>
      </c>
      <c r="FX23" s="982"/>
      <c r="FY23" s="982"/>
      <c r="FZ23" s="982"/>
      <c r="GA23" s="982"/>
      <c r="GB23" s="982"/>
      <c r="GC23" s="982" t="str">
        <f>MID(SUVAHAVUJ!AG137,8,1)</f>
        <v>5</v>
      </c>
      <c r="GD23" s="982"/>
      <c r="GE23" s="982"/>
      <c r="GF23" s="982"/>
      <c r="GG23" s="982"/>
      <c r="GH23" s="982" t="str">
        <f>MID(SUVAHAVUJ!AG137,9,1)</f>
        <v>6</v>
      </c>
      <c r="GI23" s="982"/>
      <c r="GJ23" s="982"/>
      <c r="GK23" s="982"/>
      <c r="GL23" s="982"/>
      <c r="GM23" s="982"/>
      <c r="GN23" s="982" t="str">
        <f>MID(SUVAHAVUJ!AG137,10,1)</f>
        <v>1</v>
      </c>
      <c r="GO23" s="982"/>
      <c r="GP23" s="982"/>
      <c r="GQ23" s="982"/>
      <c r="GR23" s="982"/>
      <c r="GS23" s="978" t="str">
        <f>MID(SUVAHAVUJ!AG137,11,1)</f>
        <v>0</v>
      </c>
      <c r="GT23" s="978"/>
      <c r="GU23" s="978"/>
      <c r="GV23" s="978"/>
      <c r="GW23" s="978"/>
    </row>
    <row r="24" spans="1:205" ht="24" customHeight="1" x14ac:dyDescent="0.25">
      <c r="A24" s="675"/>
      <c r="B24" s="981" t="s">
        <v>2213</v>
      </c>
      <c r="C24" s="981"/>
      <c r="D24" s="981"/>
      <c r="E24" s="981"/>
      <c r="F24" s="981"/>
      <c r="G24" s="981"/>
      <c r="H24" s="981"/>
      <c r="I24" s="981"/>
      <c r="J24" s="981"/>
      <c r="K24" s="981"/>
      <c r="L24" s="1004" t="str">
        <f>SUVAHAVUJ!$D$138</f>
        <v>Krátkodobé rezervy r. 137 + r. 138</v>
      </c>
      <c r="M24" s="1004"/>
      <c r="N24" s="1004"/>
      <c r="O24" s="1004"/>
      <c r="P24" s="1004"/>
      <c r="Q24" s="1004"/>
      <c r="R24" s="1004"/>
      <c r="S24" s="1004"/>
      <c r="T24" s="1004"/>
      <c r="U24" s="1004"/>
      <c r="V24" s="1004"/>
      <c r="W24" s="1004"/>
      <c r="X24" s="1004"/>
      <c r="Y24" s="1004"/>
      <c r="Z24" s="1004"/>
      <c r="AA24" s="1004"/>
      <c r="AB24" s="1004"/>
      <c r="AC24" s="1004"/>
      <c r="AD24" s="1004"/>
      <c r="AE24" s="1004"/>
      <c r="AF24" s="1004"/>
      <c r="AG24" s="1004"/>
      <c r="AH24" s="1004"/>
      <c r="AI24" s="1004"/>
      <c r="AJ24" s="1004"/>
      <c r="AK24" s="1004"/>
      <c r="AL24" s="1004"/>
      <c r="AM24" s="1004"/>
      <c r="AN24" s="1004"/>
      <c r="AO24" s="1004"/>
      <c r="AP24" s="1004"/>
      <c r="AQ24" s="1004"/>
      <c r="AR24" s="1004"/>
      <c r="AS24" s="1004"/>
      <c r="AT24" s="1004"/>
      <c r="AU24" s="1004"/>
      <c r="AV24" s="1004"/>
      <c r="AW24" s="1004"/>
      <c r="AX24" s="1004"/>
      <c r="AY24" s="1004"/>
      <c r="AZ24" s="1004"/>
      <c r="BA24" s="1004"/>
      <c r="BB24" s="1004"/>
      <c r="BC24" s="1004"/>
      <c r="BD24" s="1004"/>
      <c r="BE24" s="1004"/>
      <c r="BF24" s="1004"/>
      <c r="BG24" s="1004"/>
      <c r="BH24" s="1004"/>
      <c r="BI24" s="1004"/>
      <c r="BJ24" s="1004"/>
      <c r="BK24" s="1004"/>
      <c r="BL24" s="1004"/>
      <c r="BM24" s="1004"/>
      <c r="BN24" s="1004"/>
      <c r="BO24" s="1004"/>
      <c r="BP24" s="1004"/>
      <c r="BQ24" s="1004"/>
      <c r="BR24" s="1004"/>
      <c r="BS24" s="1004"/>
      <c r="BT24" s="1004"/>
      <c r="BU24" s="1004"/>
      <c r="BV24" s="1004"/>
      <c r="BW24" s="1013" t="s">
        <v>2275</v>
      </c>
      <c r="BX24" s="1013"/>
      <c r="BY24" s="1013"/>
      <c r="BZ24" s="1013"/>
      <c r="CA24" s="1013"/>
      <c r="CB24" s="1013"/>
      <c r="CC24" s="1013"/>
      <c r="CD24" s="1013"/>
      <c r="CE24" s="976" t="str">
        <f>MID(SUVAHAVUJ!AF138,1,1)</f>
        <v xml:space="preserve"> </v>
      </c>
      <c r="CF24" s="976"/>
      <c r="CG24" s="976"/>
      <c r="CH24" s="976"/>
      <c r="CI24" s="976"/>
      <c r="CJ24" s="976" t="str">
        <f>MID(SUVAHAVUJ!AF138,2,1)</f>
        <v xml:space="preserve"> </v>
      </c>
      <c r="CK24" s="976"/>
      <c r="CL24" s="976"/>
      <c r="CM24" s="976"/>
      <c r="CN24" s="976"/>
      <c r="CO24" s="976"/>
      <c r="CP24" s="976" t="str">
        <f>MID(SUVAHAVUJ!AF138,3,1)</f>
        <v xml:space="preserve"> </v>
      </c>
      <c r="CQ24" s="976"/>
      <c r="CR24" s="976"/>
      <c r="CS24" s="976"/>
      <c r="CT24" s="976"/>
      <c r="CU24" s="976" t="str">
        <f>MID(SUVAHAVUJ!AF138,4,1)</f>
        <v xml:space="preserve"> </v>
      </c>
      <c r="CV24" s="976"/>
      <c r="CW24" s="976"/>
      <c r="CX24" s="976"/>
      <c r="CY24" s="976"/>
      <c r="CZ24" s="976"/>
      <c r="DA24" s="976" t="str">
        <f>MID(SUVAHAVUJ!AF138,5,1)</f>
        <v xml:space="preserve"> </v>
      </c>
      <c r="DB24" s="976"/>
      <c r="DC24" s="976"/>
      <c r="DD24" s="976"/>
      <c r="DE24" s="976"/>
      <c r="DF24" s="976" t="str">
        <f>MID(SUVAHAVUJ!AF138,6,1)</f>
        <v xml:space="preserve"> </v>
      </c>
      <c r="DG24" s="976"/>
      <c r="DH24" s="976"/>
      <c r="DI24" s="976"/>
      <c r="DJ24" s="976"/>
      <c r="DK24" s="976"/>
      <c r="DL24" s="976" t="str">
        <f>MID(SUVAHAVUJ!AF138,7,1)</f>
        <v>1</v>
      </c>
      <c r="DM24" s="976"/>
      <c r="DN24" s="976"/>
      <c r="DO24" s="976"/>
      <c r="DP24" s="976"/>
      <c r="DQ24" s="976"/>
      <c r="DR24" s="976" t="str">
        <f>MID(SUVAHAVUJ!AF138,8,1)</f>
        <v>4</v>
      </c>
      <c r="DS24" s="976"/>
      <c r="DT24" s="976"/>
      <c r="DU24" s="976"/>
      <c r="DV24" s="976"/>
      <c r="DW24" s="982" t="str">
        <f>MID(SUVAHAVUJ!AF138,9,1)</f>
        <v>4</v>
      </c>
      <c r="DX24" s="982"/>
      <c r="DY24" s="982"/>
      <c r="DZ24" s="982"/>
      <c r="EA24" s="982"/>
      <c r="EB24" s="982"/>
      <c r="EC24" s="982" t="str">
        <f>MID(SUVAHAVUJ!AF138,10,1)</f>
        <v>3</v>
      </c>
      <c r="ED24" s="982"/>
      <c r="EE24" s="982"/>
      <c r="EF24" s="982"/>
      <c r="EG24" s="982"/>
      <c r="EH24" s="977" t="str">
        <f>MID(SUVAHAVUJ!AF138,11,1)</f>
        <v>4</v>
      </c>
      <c r="EI24" s="977"/>
      <c r="EJ24" s="977"/>
      <c r="EK24" s="977"/>
      <c r="EL24" s="977"/>
      <c r="EM24" s="977"/>
      <c r="EN24" s="665"/>
      <c r="EO24" s="666"/>
      <c r="EP24" s="976" t="str">
        <f>MID(SUVAHAVUJ!AG138,1,1)</f>
        <v xml:space="preserve"> </v>
      </c>
      <c r="EQ24" s="976"/>
      <c r="ER24" s="976"/>
      <c r="ES24" s="976"/>
      <c r="ET24" s="976"/>
      <c r="EU24" s="976"/>
      <c r="EV24" s="976" t="str">
        <f>MID(SUVAHAVUJ!AG138,2,1)</f>
        <v xml:space="preserve"> </v>
      </c>
      <c r="EW24" s="976"/>
      <c r="EX24" s="976"/>
      <c r="EY24" s="976"/>
      <c r="EZ24" s="976"/>
      <c r="FA24" s="976" t="str">
        <f>MID(SUVAHAVUJ!AG138,3,1)</f>
        <v xml:space="preserve"> </v>
      </c>
      <c r="FB24" s="976"/>
      <c r="FC24" s="976"/>
      <c r="FD24" s="976"/>
      <c r="FE24" s="976"/>
      <c r="FF24" s="976"/>
      <c r="FG24" s="976" t="str">
        <f>MID(SUVAHAVUJ!AG138,4,1)</f>
        <v xml:space="preserve"> </v>
      </c>
      <c r="FH24" s="976"/>
      <c r="FI24" s="976"/>
      <c r="FJ24" s="976"/>
      <c r="FK24" s="976"/>
      <c r="FL24" s="982" t="str">
        <f>MID(SUVAHAVUJ!AG138,5,1)</f>
        <v xml:space="preserve"> </v>
      </c>
      <c r="FM24" s="982"/>
      <c r="FN24" s="982"/>
      <c r="FO24" s="982"/>
      <c r="FP24" s="982"/>
      <c r="FQ24" s="982"/>
      <c r="FR24" s="982" t="str">
        <f>MID(SUVAHAVUJ!AG138,6,1)</f>
        <v xml:space="preserve"> </v>
      </c>
      <c r="FS24" s="982"/>
      <c r="FT24" s="982"/>
      <c r="FU24" s="982"/>
      <c r="FV24" s="982"/>
      <c r="FW24" s="982" t="str">
        <f>MID(SUVAHAVUJ!AG138,7,1)</f>
        <v>1</v>
      </c>
      <c r="FX24" s="982"/>
      <c r="FY24" s="982"/>
      <c r="FZ24" s="982"/>
      <c r="GA24" s="982"/>
      <c r="GB24" s="982"/>
      <c r="GC24" s="982" t="str">
        <f>MID(SUVAHAVUJ!AG138,8,1)</f>
        <v>9</v>
      </c>
      <c r="GD24" s="982"/>
      <c r="GE24" s="982"/>
      <c r="GF24" s="982"/>
      <c r="GG24" s="982"/>
      <c r="GH24" s="982" t="str">
        <f>MID(SUVAHAVUJ!AG138,9,1)</f>
        <v>6</v>
      </c>
      <c r="GI24" s="982"/>
      <c r="GJ24" s="982"/>
      <c r="GK24" s="982"/>
      <c r="GL24" s="982"/>
      <c r="GM24" s="982"/>
      <c r="GN24" s="982" t="str">
        <f>MID(SUVAHAVUJ!AG138,10,1)</f>
        <v>7</v>
      </c>
      <c r="GO24" s="982"/>
      <c r="GP24" s="982"/>
      <c r="GQ24" s="982"/>
      <c r="GR24" s="982"/>
      <c r="GS24" s="978" t="str">
        <f>MID(SUVAHAVUJ!AG138,11,1)</f>
        <v>8</v>
      </c>
      <c r="GT24" s="978"/>
      <c r="GU24" s="978"/>
      <c r="GV24" s="978"/>
      <c r="GW24" s="978"/>
    </row>
    <row r="25" spans="1:205" ht="24" customHeight="1" x14ac:dyDescent="0.25">
      <c r="A25" s="675"/>
      <c r="B25" s="985" t="s">
        <v>2215</v>
      </c>
      <c r="C25" s="985"/>
      <c r="D25" s="985"/>
      <c r="E25" s="985"/>
      <c r="F25" s="985"/>
      <c r="G25" s="985"/>
      <c r="H25" s="985"/>
      <c r="I25" s="985"/>
      <c r="J25" s="985"/>
      <c r="K25" s="985"/>
      <c r="L25" s="1005" t="str">
        <f>SUVAHAVUJ!$D$139</f>
        <v>Zákonné rezervy (323A, 451A)</v>
      </c>
      <c r="M25" s="1005"/>
      <c r="N25" s="1005"/>
      <c r="O25" s="1005"/>
      <c r="P25" s="1005"/>
      <c r="Q25" s="1005"/>
      <c r="R25" s="1005"/>
      <c r="S25" s="1005"/>
      <c r="T25" s="1005"/>
      <c r="U25" s="1005"/>
      <c r="V25" s="1005"/>
      <c r="W25" s="1005"/>
      <c r="X25" s="1005"/>
      <c r="Y25" s="1005"/>
      <c r="Z25" s="1005"/>
      <c r="AA25" s="1005"/>
      <c r="AB25" s="1005"/>
      <c r="AC25" s="1005"/>
      <c r="AD25" s="1005"/>
      <c r="AE25" s="1005"/>
      <c r="AF25" s="1005"/>
      <c r="AG25" s="1005"/>
      <c r="AH25" s="1005"/>
      <c r="AI25" s="1005"/>
      <c r="AJ25" s="1005"/>
      <c r="AK25" s="1005"/>
      <c r="AL25" s="1005"/>
      <c r="AM25" s="1005"/>
      <c r="AN25" s="1005"/>
      <c r="AO25" s="1005"/>
      <c r="AP25" s="1005"/>
      <c r="AQ25" s="1005"/>
      <c r="AR25" s="1005"/>
      <c r="AS25" s="1005"/>
      <c r="AT25" s="1005"/>
      <c r="AU25" s="1005"/>
      <c r="AV25" s="1005"/>
      <c r="AW25" s="1005"/>
      <c r="AX25" s="1005"/>
      <c r="AY25" s="1005"/>
      <c r="AZ25" s="1005"/>
      <c r="BA25" s="1005"/>
      <c r="BB25" s="1005"/>
      <c r="BC25" s="1005"/>
      <c r="BD25" s="1005"/>
      <c r="BE25" s="1005"/>
      <c r="BF25" s="1005"/>
      <c r="BG25" s="1005"/>
      <c r="BH25" s="1005"/>
      <c r="BI25" s="1005"/>
      <c r="BJ25" s="1005"/>
      <c r="BK25" s="1005"/>
      <c r="BL25" s="1005"/>
      <c r="BM25" s="1005"/>
      <c r="BN25" s="1005"/>
      <c r="BO25" s="1005"/>
      <c r="BP25" s="1005"/>
      <c r="BQ25" s="1005"/>
      <c r="BR25" s="1005"/>
      <c r="BS25" s="1005"/>
      <c r="BT25" s="1005"/>
      <c r="BU25" s="1005"/>
      <c r="BV25" s="1005"/>
      <c r="BW25" s="975" t="s">
        <v>2276</v>
      </c>
      <c r="BX25" s="975"/>
      <c r="BY25" s="975"/>
      <c r="BZ25" s="975"/>
      <c r="CA25" s="975"/>
      <c r="CB25" s="975"/>
      <c r="CC25" s="975"/>
      <c r="CD25" s="975"/>
      <c r="CE25" s="976" t="str">
        <f>MID(SUVAHAVUJ!AF139,1,1)</f>
        <v xml:space="preserve"> </v>
      </c>
      <c r="CF25" s="976"/>
      <c r="CG25" s="976"/>
      <c r="CH25" s="976"/>
      <c r="CI25" s="976"/>
      <c r="CJ25" s="976" t="str">
        <f>MID(SUVAHAVUJ!AF139,2,1)</f>
        <v xml:space="preserve"> </v>
      </c>
      <c r="CK25" s="976"/>
      <c r="CL25" s="976"/>
      <c r="CM25" s="976"/>
      <c r="CN25" s="976"/>
      <c r="CO25" s="976"/>
      <c r="CP25" s="976" t="str">
        <f>MID(SUVAHAVUJ!AF139,3,1)</f>
        <v xml:space="preserve"> </v>
      </c>
      <c r="CQ25" s="976"/>
      <c r="CR25" s="976"/>
      <c r="CS25" s="976"/>
      <c r="CT25" s="976"/>
      <c r="CU25" s="976" t="str">
        <f>MID(SUVAHAVUJ!AF139,4,1)</f>
        <v xml:space="preserve"> </v>
      </c>
      <c r="CV25" s="976"/>
      <c r="CW25" s="976"/>
      <c r="CX25" s="976"/>
      <c r="CY25" s="976"/>
      <c r="CZ25" s="976"/>
      <c r="DA25" s="976" t="str">
        <f>MID(SUVAHAVUJ!AF139,5,1)</f>
        <v xml:space="preserve"> </v>
      </c>
      <c r="DB25" s="976"/>
      <c r="DC25" s="976"/>
      <c r="DD25" s="976"/>
      <c r="DE25" s="976"/>
      <c r="DF25" s="976" t="str">
        <f>MID(SUVAHAVUJ!AF139,6,1)</f>
        <v xml:space="preserve"> </v>
      </c>
      <c r="DG25" s="976"/>
      <c r="DH25" s="976"/>
      <c r="DI25" s="976"/>
      <c r="DJ25" s="976"/>
      <c r="DK25" s="976"/>
      <c r="DL25" s="976" t="str">
        <f>MID(SUVAHAVUJ!AF139,7,1)</f>
        <v>1</v>
      </c>
      <c r="DM25" s="976"/>
      <c r="DN25" s="976"/>
      <c r="DO25" s="976"/>
      <c r="DP25" s="976"/>
      <c r="DQ25" s="976"/>
      <c r="DR25" s="976" t="str">
        <f>MID(SUVAHAVUJ!AF139,8,1)</f>
        <v>4</v>
      </c>
      <c r="DS25" s="976"/>
      <c r="DT25" s="976"/>
      <c r="DU25" s="976"/>
      <c r="DV25" s="976"/>
      <c r="DW25" s="982" t="str">
        <f>MID(SUVAHAVUJ!AF139,9,1)</f>
        <v>4</v>
      </c>
      <c r="DX25" s="982"/>
      <c r="DY25" s="982"/>
      <c r="DZ25" s="982"/>
      <c r="EA25" s="982"/>
      <c r="EB25" s="982"/>
      <c r="EC25" s="982" t="str">
        <f>MID(SUVAHAVUJ!AF139,10,1)</f>
        <v>3</v>
      </c>
      <c r="ED25" s="982"/>
      <c r="EE25" s="982"/>
      <c r="EF25" s="982"/>
      <c r="EG25" s="982"/>
      <c r="EH25" s="977" t="str">
        <f>MID(SUVAHAVUJ!AF139,11,1)</f>
        <v>4</v>
      </c>
      <c r="EI25" s="977"/>
      <c r="EJ25" s="977"/>
      <c r="EK25" s="977"/>
      <c r="EL25" s="977"/>
      <c r="EM25" s="977"/>
      <c r="EN25" s="665"/>
      <c r="EO25" s="666"/>
      <c r="EP25" s="976" t="str">
        <f>MID(SUVAHAVUJ!AG139,1,1)</f>
        <v xml:space="preserve"> </v>
      </c>
      <c r="EQ25" s="976"/>
      <c r="ER25" s="976"/>
      <c r="ES25" s="976"/>
      <c r="ET25" s="976"/>
      <c r="EU25" s="976"/>
      <c r="EV25" s="976" t="str">
        <f>MID(SUVAHAVUJ!AG139,2,1)</f>
        <v xml:space="preserve"> </v>
      </c>
      <c r="EW25" s="976"/>
      <c r="EX25" s="976"/>
      <c r="EY25" s="976"/>
      <c r="EZ25" s="976"/>
      <c r="FA25" s="976" t="str">
        <f>MID(SUVAHAVUJ!AG139,3,1)</f>
        <v xml:space="preserve"> </v>
      </c>
      <c r="FB25" s="976"/>
      <c r="FC25" s="976"/>
      <c r="FD25" s="976"/>
      <c r="FE25" s="976"/>
      <c r="FF25" s="976"/>
      <c r="FG25" s="976" t="str">
        <f>MID(SUVAHAVUJ!AG139,4,1)</f>
        <v xml:space="preserve"> </v>
      </c>
      <c r="FH25" s="976"/>
      <c r="FI25" s="976"/>
      <c r="FJ25" s="976"/>
      <c r="FK25" s="976"/>
      <c r="FL25" s="982" t="str">
        <f>MID(SUVAHAVUJ!AG139,5,1)</f>
        <v xml:space="preserve"> </v>
      </c>
      <c r="FM25" s="982"/>
      <c r="FN25" s="982"/>
      <c r="FO25" s="982"/>
      <c r="FP25" s="982"/>
      <c r="FQ25" s="982"/>
      <c r="FR25" s="982" t="str">
        <f>MID(SUVAHAVUJ!AG139,6,1)</f>
        <v xml:space="preserve"> </v>
      </c>
      <c r="FS25" s="982"/>
      <c r="FT25" s="982"/>
      <c r="FU25" s="982"/>
      <c r="FV25" s="982"/>
      <c r="FW25" s="982" t="str">
        <f>MID(SUVAHAVUJ!AG139,7,1)</f>
        <v>1</v>
      </c>
      <c r="FX25" s="982"/>
      <c r="FY25" s="982"/>
      <c r="FZ25" s="982"/>
      <c r="GA25" s="982"/>
      <c r="GB25" s="982"/>
      <c r="GC25" s="982" t="str">
        <f>MID(SUVAHAVUJ!AG139,8,1)</f>
        <v>9</v>
      </c>
      <c r="GD25" s="982"/>
      <c r="GE25" s="982"/>
      <c r="GF25" s="982"/>
      <c r="GG25" s="982"/>
      <c r="GH25" s="982" t="str">
        <f>MID(SUVAHAVUJ!AG139,9,1)</f>
        <v>6</v>
      </c>
      <c r="GI25" s="982"/>
      <c r="GJ25" s="982"/>
      <c r="GK25" s="982"/>
      <c r="GL25" s="982"/>
      <c r="GM25" s="982"/>
      <c r="GN25" s="982" t="str">
        <f>MID(SUVAHAVUJ!AG139,10,1)</f>
        <v>7</v>
      </c>
      <c r="GO25" s="982"/>
      <c r="GP25" s="982"/>
      <c r="GQ25" s="982"/>
      <c r="GR25" s="982"/>
      <c r="GS25" s="978" t="str">
        <f>MID(SUVAHAVUJ!AG139,11,1)</f>
        <v>8</v>
      </c>
      <c r="GT25" s="978"/>
      <c r="GU25" s="978"/>
      <c r="GV25" s="978"/>
      <c r="GW25" s="978"/>
    </row>
    <row r="26" spans="1:205" ht="24" customHeight="1" x14ac:dyDescent="0.25">
      <c r="A26" s="675"/>
      <c r="B26" s="985" t="s">
        <v>2166</v>
      </c>
      <c r="C26" s="985"/>
      <c r="D26" s="985"/>
      <c r="E26" s="985"/>
      <c r="F26" s="985"/>
      <c r="G26" s="985"/>
      <c r="H26" s="985"/>
      <c r="I26" s="985"/>
      <c r="J26" s="985"/>
      <c r="K26" s="985"/>
      <c r="L26" s="1005" t="str">
        <f>SUVAHAVUJ!$D$140</f>
        <v>Ostatné rezervy (323A, 32X, 459A, 45XA)</v>
      </c>
      <c r="M26" s="1005"/>
      <c r="N26" s="1005"/>
      <c r="O26" s="1005"/>
      <c r="P26" s="1005"/>
      <c r="Q26" s="1005"/>
      <c r="R26" s="1005"/>
      <c r="S26" s="1005"/>
      <c r="T26" s="1005"/>
      <c r="U26" s="1005"/>
      <c r="V26" s="1005"/>
      <c r="W26" s="1005"/>
      <c r="X26" s="1005"/>
      <c r="Y26" s="1005"/>
      <c r="Z26" s="1005"/>
      <c r="AA26" s="1005"/>
      <c r="AB26" s="1005"/>
      <c r="AC26" s="1005"/>
      <c r="AD26" s="1005"/>
      <c r="AE26" s="1005"/>
      <c r="AF26" s="1005"/>
      <c r="AG26" s="1005"/>
      <c r="AH26" s="1005"/>
      <c r="AI26" s="1005"/>
      <c r="AJ26" s="1005"/>
      <c r="AK26" s="1005"/>
      <c r="AL26" s="1005"/>
      <c r="AM26" s="1005"/>
      <c r="AN26" s="1005"/>
      <c r="AO26" s="1005"/>
      <c r="AP26" s="1005"/>
      <c r="AQ26" s="1005"/>
      <c r="AR26" s="1005"/>
      <c r="AS26" s="1005"/>
      <c r="AT26" s="1005"/>
      <c r="AU26" s="1005"/>
      <c r="AV26" s="1005"/>
      <c r="AW26" s="1005"/>
      <c r="AX26" s="1005"/>
      <c r="AY26" s="1005"/>
      <c r="AZ26" s="1005"/>
      <c r="BA26" s="1005"/>
      <c r="BB26" s="1005"/>
      <c r="BC26" s="1005"/>
      <c r="BD26" s="1005"/>
      <c r="BE26" s="1005"/>
      <c r="BF26" s="1005"/>
      <c r="BG26" s="1005"/>
      <c r="BH26" s="1005"/>
      <c r="BI26" s="1005"/>
      <c r="BJ26" s="1005"/>
      <c r="BK26" s="1005"/>
      <c r="BL26" s="1005"/>
      <c r="BM26" s="1005"/>
      <c r="BN26" s="1005"/>
      <c r="BO26" s="1005"/>
      <c r="BP26" s="1005"/>
      <c r="BQ26" s="1005"/>
      <c r="BR26" s="1005"/>
      <c r="BS26" s="1005"/>
      <c r="BT26" s="1005"/>
      <c r="BU26" s="1005"/>
      <c r="BV26" s="1005"/>
      <c r="BW26" s="975" t="s">
        <v>2277</v>
      </c>
      <c r="BX26" s="975"/>
      <c r="BY26" s="975"/>
      <c r="BZ26" s="975"/>
      <c r="CA26" s="975"/>
      <c r="CB26" s="975"/>
      <c r="CC26" s="975"/>
      <c r="CD26" s="975"/>
      <c r="CE26" s="976" t="str">
        <f>MID(SUVAHAVUJ!AF140,1,1)</f>
        <v xml:space="preserve"> </v>
      </c>
      <c r="CF26" s="976"/>
      <c r="CG26" s="976"/>
      <c r="CH26" s="976"/>
      <c r="CI26" s="976"/>
      <c r="CJ26" s="976" t="str">
        <f>MID(SUVAHAVUJ!AF140,2,1)</f>
        <v xml:space="preserve"> </v>
      </c>
      <c r="CK26" s="976"/>
      <c r="CL26" s="976"/>
      <c r="CM26" s="976"/>
      <c r="CN26" s="976"/>
      <c r="CO26" s="976"/>
      <c r="CP26" s="976" t="str">
        <f>MID(SUVAHAVUJ!AF140,3,1)</f>
        <v xml:space="preserve"> </v>
      </c>
      <c r="CQ26" s="976"/>
      <c r="CR26" s="976"/>
      <c r="CS26" s="976"/>
      <c r="CT26" s="976"/>
      <c r="CU26" s="976" t="str">
        <f>MID(SUVAHAVUJ!AF140,4,1)</f>
        <v xml:space="preserve"> </v>
      </c>
      <c r="CV26" s="976"/>
      <c r="CW26" s="976"/>
      <c r="CX26" s="976"/>
      <c r="CY26" s="976"/>
      <c r="CZ26" s="976"/>
      <c r="DA26" s="976" t="str">
        <f>MID(SUVAHAVUJ!AF140,5,1)</f>
        <v xml:space="preserve"> </v>
      </c>
      <c r="DB26" s="976"/>
      <c r="DC26" s="976"/>
      <c r="DD26" s="976"/>
      <c r="DE26" s="976"/>
      <c r="DF26" s="976" t="str">
        <f>MID(SUVAHAVUJ!AF140,6,1)</f>
        <v xml:space="preserve"> </v>
      </c>
      <c r="DG26" s="976"/>
      <c r="DH26" s="976"/>
      <c r="DI26" s="976"/>
      <c r="DJ26" s="976"/>
      <c r="DK26" s="976"/>
      <c r="DL26" s="976" t="str">
        <f>MID(SUVAHAVUJ!AF140,7,1)</f>
        <v xml:space="preserve"> </v>
      </c>
      <c r="DM26" s="976"/>
      <c r="DN26" s="976"/>
      <c r="DO26" s="976"/>
      <c r="DP26" s="976"/>
      <c r="DQ26" s="976"/>
      <c r="DR26" s="976" t="str">
        <f>MID(SUVAHAVUJ!AF140,8,1)</f>
        <v xml:space="preserve"> </v>
      </c>
      <c r="DS26" s="976"/>
      <c r="DT26" s="976"/>
      <c r="DU26" s="976"/>
      <c r="DV26" s="976"/>
      <c r="DW26" s="982" t="str">
        <f>MID(SUVAHAVUJ!AF140,9,1)</f>
        <v xml:space="preserve"> </v>
      </c>
      <c r="DX26" s="982"/>
      <c r="DY26" s="982"/>
      <c r="DZ26" s="982"/>
      <c r="EA26" s="982"/>
      <c r="EB26" s="982"/>
      <c r="EC26" s="982" t="str">
        <f>MID(SUVAHAVUJ!AF140,10,1)</f>
        <v xml:space="preserve"> </v>
      </c>
      <c r="ED26" s="982"/>
      <c r="EE26" s="982"/>
      <c r="EF26" s="982"/>
      <c r="EG26" s="982"/>
      <c r="EH26" s="977" t="str">
        <f>MID(SUVAHAVUJ!AF140,11,1)</f>
        <v>0</v>
      </c>
      <c r="EI26" s="977"/>
      <c r="EJ26" s="977"/>
      <c r="EK26" s="977"/>
      <c r="EL26" s="977"/>
      <c r="EM26" s="977"/>
      <c r="EN26" s="665"/>
      <c r="EO26" s="666"/>
      <c r="EP26" s="976" t="str">
        <f>MID(SUVAHAVUJ!AG140,1,1)</f>
        <v xml:space="preserve"> </v>
      </c>
      <c r="EQ26" s="976"/>
      <c r="ER26" s="976"/>
      <c r="ES26" s="976"/>
      <c r="ET26" s="976"/>
      <c r="EU26" s="976"/>
      <c r="EV26" s="976" t="str">
        <f>MID(SUVAHAVUJ!AG140,2,1)</f>
        <v xml:space="preserve"> </v>
      </c>
      <c r="EW26" s="976"/>
      <c r="EX26" s="976"/>
      <c r="EY26" s="976"/>
      <c r="EZ26" s="976"/>
      <c r="FA26" s="976" t="str">
        <f>MID(SUVAHAVUJ!AG140,3,1)</f>
        <v xml:space="preserve"> </v>
      </c>
      <c r="FB26" s="976"/>
      <c r="FC26" s="976"/>
      <c r="FD26" s="976"/>
      <c r="FE26" s="976"/>
      <c r="FF26" s="976"/>
      <c r="FG26" s="976" t="str">
        <f>MID(SUVAHAVUJ!AG140,4,1)</f>
        <v xml:space="preserve"> </v>
      </c>
      <c r="FH26" s="976"/>
      <c r="FI26" s="976"/>
      <c r="FJ26" s="976"/>
      <c r="FK26" s="976"/>
      <c r="FL26" s="982" t="str">
        <f>MID(SUVAHAVUJ!AG140,5,1)</f>
        <v xml:space="preserve"> </v>
      </c>
      <c r="FM26" s="982"/>
      <c r="FN26" s="982"/>
      <c r="FO26" s="982"/>
      <c r="FP26" s="982"/>
      <c r="FQ26" s="982"/>
      <c r="FR26" s="982" t="str">
        <f>MID(SUVAHAVUJ!AG140,6,1)</f>
        <v xml:space="preserve"> </v>
      </c>
      <c r="FS26" s="982"/>
      <c r="FT26" s="982"/>
      <c r="FU26" s="982"/>
      <c r="FV26" s="982"/>
      <c r="FW26" s="982" t="str">
        <f>MID(SUVAHAVUJ!AG140,7,1)</f>
        <v xml:space="preserve"> </v>
      </c>
      <c r="FX26" s="982"/>
      <c r="FY26" s="982"/>
      <c r="FZ26" s="982"/>
      <c r="GA26" s="982"/>
      <c r="GB26" s="982"/>
      <c r="GC26" s="982" t="str">
        <f>MID(SUVAHAVUJ!AG140,8,1)</f>
        <v xml:space="preserve"> </v>
      </c>
      <c r="GD26" s="982"/>
      <c r="GE26" s="982"/>
      <c r="GF26" s="982"/>
      <c r="GG26" s="982"/>
      <c r="GH26" s="982" t="str">
        <f>MID(SUVAHAVUJ!AG140,9,1)</f>
        <v xml:space="preserve"> </v>
      </c>
      <c r="GI26" s="982"/>
      <c r="GJ26" s="982"/>
      <c r="GK26" s="982"/>
      <c r="GL26" s="982"/>
      <c r="GM26" s="982"/>
      <c r="GN26" s="982" t="str">
        <f>MID(SUVAHAVUJ!AG140,10,1)</f>
        <v xml:space="preserve"> </v>
      </c>
      <c r="GO26" s="982"/>
      <c r="GP26" s="982"/>
      <c r="GQ26" s="982"/>
      <c r="GR26" s="982"/>
      <c r="GS26" s="978" t="str">
        <f>MID(SUVAHAVUJ!AG140,11,1)</f>
        <v>0</v>
      </c>
      <c r="GT26" s="978"/>
      <c r="GU26" s="978"/>
      <c r="GV26" s="978"/>
      <c r="GW26" s="978"/>
    </row>
    <row r="27" spans="1:205" ht="24" customHeight="1" x14ac:dyDescent="0.25">
      <c r="A27" s="675"/>
      <c r="B27" s="992" t="s">
        <v>2278</v>
      </c>
      <c r="C27" s="992"/>
      <c r="D27" s="992"/>
      <c r="E27" s="992"/>
      <c r="F27" s="992"/>
      <c r="G27" s="992"/>
      <c r="H27" s="992"/>
      <c r="I27" s="992"/>
      <c r="J27" s="992"/>
      <c r="K27" s="992"/>
      <c r="L27" s="1004" t="str">
        <f>SUVAHAVUJ!$D$141</f>
        <v>Bežné bankové úvery (221A, 231, 232, 23X, 461A, 46XA)</v>
      </c>
      <c r="M27" s="1004"/>
      <c r="N27" s="1004"/>
      <c r="O27" s="1004"/>
      <c r="P27" s="1004"/>
      <c r="Q27" s="1004"/>
      <c r="R27" s="1004"/>
      <c r="S27" s="1004"/>
      <c r="T27" s="1004"/>
      <c r="U27" s="1004"/>
      <c r="V27" s="1004"/>
      <c r="W27" s="1004"/>
      <c r="X27" s="1004"/>
      <c r="Y27" s="1004"/>
      <c r="Z27" s="1004"/>
      <c r="AA27" s="1004"/>
      <c r="AB27" s="1004"/>
      <c r="AC27" s="1004"/>
      <c r="AD27" s="1004"/>
      <c r="AE27" s="1004"/>
      <c r="AF27" s="1004"/>
      <c r="AG27" s="1004"/>
      <c r="AH27" s="1004"/>
      <c r="AI27" s="1004"/>
      <c r="AJ27" s="1004"/>
      <c r="AK27" s="1004"/>
      <c r="AL27" s="1004"/>
      <c r="AM27" s="1004"/>
      <c r="AN27" s="1004"/>
      <c r="AO27" s="1004"/>
      <c r="AP27" s="1004"/>
      <c r="AQ27" s="1004"/>
      <c r="AR27" s="1004"/>
      <c r="AS27" s="1004"/>
      <c r="AT27" s="1004"/>
      <c r="AU27" s="1004"/>
      <c r="AV27" s="1004"/>
      <c r="AW27" s="1004"/>
      <c r="AX27" s="1004"/>
      <c r="AY27" s="1004"/>
      <c r="AZ27" s="1004"/>
      <c r="BA27" s="1004"/>
      <c r="BB27" s="1004"/>
      <c r="BC27" s="1004"/>
      <c r="BD27" s="1004"/>
      <c r="BE27" s="1004"/>
      <c r="BF27" s="1004"/>
      <c r="BG27" s="1004"/>
      <c r="BH27" s="1004"/>
      <c r="BI27" s="1004"/>
      <c r="BJ27" s="1004"/>
      <c r="BK27" s="1004"/>
      <c r="BL27" s="1004"/>
      <c r="BM27" s="1004"/>
      <c r="BN27" s="1004"/>
      <c r="BO27" s="1004"/>
      <c r="BP27" s="1004"/>
      <c r="BQ27" s="1004"/>
      <c r="BR27" s="1004"/>
      <c r="BS27" s="1004"/>
      <c r="BT27" s="1004"/>
      <c r="BU27" s="1004"/>
      <c r="BV27" s="1004"/>
      <c r="BW27" s="1013" t="s">
        <v>382</v>
      </c>
      <c r="BX27" s="1013"/>
      <c r="BY27" s="1013"/>
      <c r="BZ27" s="1013"/>
      <c r="CA27" s="1013"/>
      <c r="CB27" s="1013"/>
      <c r="CC27" s="1013" t="e">
        <v>#NAME?</v>
      </c>
      <c r="CD27" s="1013"/>
      <c r="CE27" s="976" t="str">
        <f>MID(SUVAHAVUJ!AF141,1,1)</f>
        <v xml:space="preserve"> </v>
      </c>
      <c r="CF27" s="976"/>
      <c r="CG27" s="976"/>
      <c r="CH27" s="976"/>
      <c r="CI27" s="976"/>
      <c r="CJ27" s="976" t="str">
        <f>MID(SUVAHAVUJ!AF141,2,1)</f>
        <v xml:space="preserve"> </v>
      </c>
      <c r="CK27" s="976"/>
      <c r="CL27" s="976"/>
      <c r="CM27" s="976"/>
      <c r="CN27" s="976"/>
      <c r="CO27" s="976"/>
      <c r="CP27" s="976" t="str">
        <f>MID(SUVAHAVUJ!AF141,3,1)</f>
        <v xml:space="preserve"> </v>
      </c>
      <c r="CQ27" s="976"/>
      <c r="CR27" s="976"/>
      <c r="CS27" s="976"/>
      <c r="CT27" s="976"/>
      <c r="CU27" s="976" t="str">
        <f>MID(SUVAHAVUJ!AF141,4,1)</f>
        <v xml:space="preserve"> </v>
      </c>
      <c r="CV27" s="976"/>
      <c r="CW27" s="976"/>
      <c r="CX27" s="976"/>
      <c r="CY27" s="976"/>
      <c r="CZ27" s="976"/>
      <c r="DA27" s="976" t="str">
        <f>MID(SUVAHAVUJ!AF141,5,1)</f>
        <v xml:space="preserve"> </v>
      </c>
      <c r="DB27" s="976"/>
      <c r="DC27" s="976"/>
      <c r="DD27" s="976"/>
      <c r="DE27" s="976"/>
      <c r="DF27" s="976" t="str">
        <f>MID(SUVAHAVUJ!AF141,6,1)</f>
        <v xml:space="preserve"> </v>
      </c>
      <c r="DG27" s="976"/>
      <c r="DH27" s="976"/>
      <c r="DI27" s="976"/>
      <c r="DJ27" s="976"/>
      <c r="DK27" s="976"/>
      <c r="DL27" s="976" t="str">
        <f>MID(SUVAHAVUJ!AF141,7,1)</f>
        <v xml:space="preserve"> </v>
      </c>
      <c r="DM27" s="976"/>
      <c r="DN27" s="976"/>
      <c r="DO27" s="976"/>
      <c r="DP27" s="976"/>
      <c r="DQ27" s="976"/>
      <c r="DR27" s="976" t="str">
        <f>MID(SUVAHAVUJ!AF141,8,1)</f>
        <v xml:space="preserve"> </v>
      </c>
      <c r="DS27" s="976"/>
      <c r="DT27" s="976"/>
      <c r="DU27" s="976"/>
      <c r="DV27" s="976"/>
      <c r="DW27" s="982" t="str">
        <f>MID(SUVAHAVUJ!AF141,9,1)</f>
        <v xml:space="preserve"> </v>
      </c>
      <c r="DX27" s="982"/>
      <c r="DY27" s="982"/>
      <c r="DZ27" s="982"/>
      <c r="EA27" s="982"/>
      <c r="EB27" s="982"/>
      <c r="EC27" s="982" t="str">
        <f>MID(SUVAHAVUJ!AF141,10,1)</f>
        <v xml:space="preserve"> </v>
      </c>
      <c r="ED27" s="982"/>
      <c r="EE27" s="982"/>
      <c r="EF27" s="982"/>
      <c r="EG27" s="982"/>
      <c r="EH27" s="977" t="str">
        <f>MID(SUVAHAVUJ!AF141,11,1)</f>
        <v>0</v>
      </c>
      <c r="EI27" s="977"/>
      <c r="EJ27" s="977"/>
      <c r="EK27" s="977"/>
      <c r="EL27" s="977"/>
      <c r="EM27" s="977"/>
      <c r="EN27" s="665"/>
      <c r="EO27" s="666"/>
      <c r="EP27" s="976" t="str">
        <f>MID(SUVAHAVUJ!AG141,1,1)</f>
        <v xml:space="preserve"> </v>
      </c>
      <c r="EQ27" s="976"/>
      <c r="ER27" s="976"/>
      <c r="ES27" s="976"/>
      <c r="ET27" s="976"/>
      <c r="EU27" s="976"/>
      <c r="EV27" s="976" t="str">
        <f>MID(SUVAHAVUJ!AG141,2,1)</f>
        <v xml:space="preserve"> </v>
      </c>
      <c r="EW27" s="976"/>
      <c r="EX27" s="976"/>
      <c r="EY27" s="976"/>
      <c r="EZ27" s="976"/>
      <c r="FA27" s="976" t="str">
        <f>MID(SUVAHAVUJ!AG141,3,1)</f>
        <v xml:space="preserve"> </v>
      </c>
      <c r="FB27" s="976"/>
      <c r="FC27" s="976"/>
      <c r="FD27" s="976"/>
      <c r="FE27" s="976"/>
      <c r="FF27" s="976"/>
      <c r="FG27" s="976" t="str">
        <f>MID(SUVAHAVUJ!AG141,4,1)</f>
        <v xml:space="preserve"> </v>
      </c>
      <c r="FH27" s="976"/>
      <c r="FI27" s="976"/>
      <c r="FJ27" s="976"/>
      <c r="FK27" s="976"/>
      <c r="FL27" s="982" t="str">
        <f>MID(SUVAHAVUJ!AG141,5,1)</f>
        <v xml:space="preserve"> </v>
      </c>
      <c r="FM27" s="982"/>
      <c r="FN27" s="982"/>
      <c r="FO27" s="982"/>
      <c r="FP27" s="982"/>
      <c r="FQ27" s="982"/>
      <c r="FR27" s="982" t="str">
        <f>MID(SUVAHAVUJ!AG141,6,1)</f>
        <v xml:space="preserve"> </v>
      </c>
      <c r="FS27" s="982"/>
      <c r="FT27" s="982"/>
      <c r="FU27" s="982"/>
      <c r="FV27" s="982"/>
      <c r="FW27" s="982" t="str">
        <f>MID(SUVAHAVUJ!AG141,7,1)</f>
        <v xml:space="preserve"> </v>
      </c>
      <c r="FX27" s="982"/>
      <c r="FY27" s="982"/>
      <c r="FZ27" s="982"/>
      <c r="GA27" s="982"/>
      <c r="GB27" s="982"/>
      <c r="GC27" s="982" t="str">
        <f>MID(SUVAHAVUJ!AG141,8,1)</f>
        <v xml:space="preserve"> </v>
      </c>
      <c r="GD27" s="982"/>
      <c r="GE27" s="982"/>
      <c r="GF27" s="982"/>
      <c r="GG27" s="982"/>
      <c r="GH27" s="982" t="str">
        <f>MID(SUVAHAVUJ!AG141,9,1)</f>
        <v xml:space="preserve"> </v>
      </c>
      <c r="GI27" s="982"/>
      <c r="GJ27" s="982"/>
      <c r="GK27" s="982"/>
      <c r="GL27" s="982"/>
      <c r="GM27" s="982"/>
      <c r="GN27" s="982" t="str">
        <f>MID(SUVAHAVUJ!AG141,10,1)</f>
        <v xml:space="preserve"> </v>
      </c>
      <c r="GO27" s="982"/>
      <c r="GP27" s="982"/>
      <c r="GQ27" s="982"/>
      <c r="GR27" s="982"/>
      <c r="GS27" s="978" t="str">
        <f>MID(SUVAHAVUJ!AG141,11,1)</f>
        <v>0</v>
      </c>
      <c r="GT27" s="978"/>
      <c r="GU27" s="978"/>
      <c r="GV27" s="978"/>
      <c r="GW27" s="978"/>
    </row>
    <row r="28" spans="1:205" s="650" customFormat="1" ht="24" customHeight="1" x14ac:dyDescent="0.2">
      <c r="A28" s="676"/>
      <c r="B28" s="992" t="s">
        <v>2279</v>
      </c>
      <c r="C28" s="992"/>
      <c r="D28" s="992"/>
      <c r="E28" s="992"/>
      <c r="F28" s="992"/>
      <c r="G28" s="992"/>
      <c r="H28" s="992"/>
      <c r="I28" s="992"/>
      <c r="J28" s="992"/>
      <c r="K28" s="992"/>
      <c r="L28" s="1004" t="str">
        <f>SUVAHAVUJ!$D$142</f>
        <v>Krátkodobé finančné výpomoci (241, 249, 24X, 473A,
 /-/255A)</v>
      </c>
      <c r="M28" s="1004"/>
      <c r="N28" s="1004"/>
      <c r="O28" s="1004"/>
      <c r="P28" s="1004"/>
      <c r="Q28" s="1004"/>
      <c r="R28" s="1004"/>
      <c r="S28" s="1004"/>
      <c r="T28" s="1004"/>
      <c r="U28" s="1004"/>
      <c r="V28" s="1004"/>
      <c r="W28" s="1004"/>
      <c r="X28" s="1004"/>
      <c r="Y28" s="1004"/>
      <c r="Z28" s="1004"/>
      <c r="AA28" s="1004"/>
      <c r="AB28" s="1004"/>
      <c r="AC28" s="1004"/>
      <c r="AD28" s="1004"/>
      <c r="AE28" s="1004"/>
      <c r="AF28" s="1004"/>
      <c r="AG28" s="1004"/>
      <c r="AH28" s="1004"/>
      <c r="AI28" s="1004"/>
      <c r="AJ28" s="1004"/>
      <c r="AK28" s="1004"/>
      <c r="AL28" s="1004"/>
      <c r="AM28" s="1004"/>
      <c r="AN28" s="1004"/>
      <c r="AO28" s="1004"/>
      <c r="AP28" s="1004"/>
      <c r="AQ28" s="1004"/>
      <c r="AR28" s="1004"/>
      <c r="AS28" s="1004"/>
      <c r="AT28" s="1004"/>
      <c r="AU28" s="1004"/>
      <c r="AV28" s="1004"/>
      <c r="AW28" s="1004"/>
      <c r="AX28" s="1004"/>
      <c r="AY28" s="1004"/>
      <c r="AZ28" s="1004"/>
      <c r="BA28" s="1004"/>
      <c r="BB28" s="1004"/>
      <c r="BC28" s="1004"/>
      <c r="BD28" s="1004"/>
      <c r="BE28" s="1004"/>
      <c r="BF28" s="1004"/>
      <c r="BG28" s="1004"/>
      <c r="BH28" s="1004"/>
      <c r="BI28" s="1004"/>
      <c r="BJ28" s="1004"/>
      <c r="BK28" s="1004"/>
      <c r="BL28" s="1004"/>
      <c r="BM28" s="1004"/>
      <c r="BN28" s="1004"/>
      <c r="BO28" s="1004"/>
      <c r="BP28" s="1004"/>
      <c r="BQ28" s="1004"/>
      <c r="BR28" s="1004"/>
      <c r="BS28" s="1004"/>
      <c r="BT28" s="1004"/>
      <c r="BU28" s="1004"/>
      <c r="BV28" s="1004"/>
      <c r="BW28" s="1013" t="s">
        <v>2280</v>
      </c>
      <c r="BX28" s="1013"/>
      <c r="BY28" s="1013"/>
      <c r="BZ28" s="1013"/>
      <c r="CA28" s="1013"/>
      <c r="CB28" s="1013"/>
      <c r="CC28" s="1013" t="e">
        <v>#NAME?</v>
      </c>
      <c r="CD28" s="1013"/>
      <c r="CE28" s="976" t="str">
        <f>MID(SUVAHAVUJ!AF142,1,1)</f>
        <v xml:space="preserve"> </v>
      </c>
      <c r="CF28" s="976"/>
      <c r="CG28" s="976"/>
      <c r="CH28" s="976"/>
      <c r="CI28" s="976"/>
      <c r="CJ28" s="976" t="str">
        <f>MID(SUVAHAVUJ!AF142,2,1)</f>
        <v xml:space="preserve"> </v>
      </c>
      <c r="CK28" s="976"/>
      <c r="CL28" s="976"/>
      <c r="CM28" s="976"/>
      <c r="CN28" s="976"/>
      <c r="CO28" s="976"/>
      <c r="CP28" s="976" t="str">
        <f>MID(SUVAHAVUJ!AF142,3,1)</f>
        <v xml:space="preserve"> </v>
      </c>
      <c r="CQ28" s="976"/>
      <c r="CR28" s="976"/>
      <c r="CS28" s="976"/>
      <c r="CT28" s="976"/>
      <c r="CU28" s="976" t="str">
        <f>MID(SUVAHAVUJ!AF142,4,1)</f>
        <v xml:space="preserve"> </v>
      </c>
      <c r="CV28" s="976"/>
      <c r="CW28" s="976"/>
      <c r="CX28" s="976"/>
      <c r="CY28" s="976"/>
      <c r="CZ28" s="976"/>
      <c r="DA28" s="976" t="str">
        <f>MID(SUVAHAVUJ!AF142,5,1)</f>
        <v xml:space="preserve"> </v>
      </c>
      <c r="DB28" s="976"/>
      <c r="DC28" s="976"/>
      <c r="DD28" s="976"/>
      <c r="DE28" s="976"/>
      <c r="DF28" s="976" t="str">
        <f>MID(SUVAHAVUJ!AF142,6,1)</f>
        <v xml:space="preserve"> </v>
      </c>
      <c r="DG28" s="976"/>
      <c r="DH28" s="976"/>
      <c r="DI28" s="976"/>
      <c r="DJ28" s="976"/>
      <c r="DK28" s="976"/>
      <c r="DL28" s="976" t="str">
        <f>MID(SUVAHAVUJ!AF142,7,1)</f>
        <v xml:space="preserve"> </v>
      </c>
      <c r="DM28" s="976"/>
      <c r="DN28" s="976"/>
      <c r="DO28" s="976"/>
      <c r="DP28" s="976"/>
      <c r="DQ28" s="976"/>
      <c r="DR28" s="976" t="str">
        <f>MID(SUVAHAVUJ!AF142,8,1)</f>
        <v>3</v>
      </c>
      <c r="DS28" s="976"/>
      <c r="DT28" s="976"/>
      <c r="DU28" s="976"/>
      <c r="DV28" s="976"/>
      <c r="DW28" s="982" t="str">
        <f>MID(SUVAHAVUJ!AF142,9,1)</f>
        <v>0</v>
      </c>
      <c r="DX28" s="982"/>
      <c r="DY28" s="982"/>
      <c r="DZ28" s="982"/>
      <c r="EA28" s="982"/>
      <c r="EB28" s="982"/>
      <c r="EC28" s="982" t="str">
        <f>MID(SUVAHAVUJ!AF142,10,1)</f>
        <v>4</v>
      </c>
      <c r="ED28" s="982"/>
      <c r="EE28" s="982"/>
      <c r="EF28" s="982"/>
      <c r="EG28" s="982"/>
      <c r="EH28" s="977" t="str">
        <f>MID(SUVAHAVUJ!AF142,11,1)</f>
        <v>0</v>
      </c>
      <c r="EI28" s="977"/>
      <c r="EJ28" s="977"/>
      <c r="EK28" s="977"/>
      <c r="EL28" s="977"/>
      <c r="EM28" s="977"/>
      <c r="EN28" s="665"/>
      <c r="EO28" s="666"/>
      <c r="EP28" s="976" t="str">
        <f>MID(SUVAHAVUJ!AG142,1,1)</f>
        <v xml:space="preserve"> </v>
      </c>
      <c r="EQ28" s="976"/>
      <c r="ER28" s="976"/>
      <c r="ES28" s="976"/>
      <c r="ET28" s="976"/>
      <c r="EU28" s="976"/>
      <c r="EV28" s="976" t="str">
        <f>MID(SUVAHAVUJ!AG142,2,1)</f>
        <v xml:space="preserve"> </v>
      </c>
      <c r="EW28" s="976"/>
      <c r="EX28" s="976"/>
      <c r="EY28" s="976"/>
      <c r="EZ28" s="976"/>
      <c r="FA28" s="976" t="str">
        <f>MID(SUVAHAVUJ!AG142,3,1)</f>
        <v xml:space="preserve"> </v>
      </c>
      <c r="FB28" s="976"/>
      <c r="FC28" s="976"/>
      <c r="FD28" s="976"/>
      <c r="FE28" s="976"/>
      <c r="FF28" s="976"/>
      <c r="FG28" s="976" t="str">
        <f>MID(SUVAHAVUJ!AG142,4,1)</f>
        <v xml:space="preserve"> </v>
      </c>
      <c r="FH28" s="976"/>
      <c r="FI28" s="976"/>
      <c r="FJ28" s="976"/>
      <c r="FK28" s="976"/>
      <c r="FL28" s="982" t="str">
        <f>MID(SUVAHAVUJ!AG142,5,1)</f>
        <v xml:space="preserve"> </v>
      </c>
      <c r="FM28" s="982"/>
      <c r="FN28" s="982"/>
      <c r="FO28" s="982"/>
      <c r="FP28" s="982"/>
      <c r="FQ28" s="982"/>
      <c r="FR28" s="982" t="str">
        <f>MID(SUVAHAVUJ!AG142,6,1)</f>
        <v xml:space="preserve"> </v>
      </c>
      <c r="FS28" s="982"/>
      <c r="FT28" s="982"/>
      <c r="FU28" s="982"/>
      <c r="FV28" s="982"/>
      <c r="FW28" s="982" t="str">
        <f>MID(SUVAHAVUJ!AG142,7,1)</f>
        <v xml:space="preserve"> </v>
      </c>
      <c r="FX28" s="982"/>
      <c r="FY28" s="982"/>
      <c r="FZ28" s="982"/>
      <c r="GA28" s="982"/>
      <c r="GB28" s="982"/>
      <c r="GC28" s="982" t="str">
        <f>MID(SUVAHAVUJ!AG142,8,1)</f>
        <v>6</v>
      </c>
      <c r="GD28" s="982"/>
      <c r="GE28" s="982"/>
      <c r="GF28" s="982"/>
      <c r="GG28" s="982"/>
      <c r="GH28" s="982" t="str">
        <f>MID(SUVAHAVUJ!AG142,9,1)</f>
        <v>0</v>
      </c>
      <c r="GI28" s="982"/>
      <c r="GJ28" s="982"/>
      <c r="GK28" s="982"/>
      <c r="GL28" s="982"/>
      <c r="GM28" s="982"/>
      <c r="GN28" s="982" t="str">
        <f>MID(SUVAHAVUJ!AG142,10,1)</f>
        <v>4</v>
      </c>
      <c r="GO28" s="982"/>
      <c r="GP28" s="982"/>
      <c r="GQ28" s="982"/>
      <c r="GR28" s="982"/>
      <c r="GS28" s="978" t="str">
        <f>MID(SUVAHAVUJ!AG142,11,1)</f>
        <v>0</v>
      </c>
      <c r="GT28" s="978"/>
      <c r="GU28" s="978"/>
      <c r="GV28" s="978"/>
      <c r="GW28" s="978"/>
    </row>
    <row r="29" spans="1:205" ht="24" customHeight="1" x14ac:dyDescent="0.25">
      <c r="A29" s="675"/>
      <c r="B29" s="981" t="s">
        <v>2218</v>
      </c>
      <c r="C29" s="981"/>
      <c r="D29" s="981"/>
      <c r="E29" s="981"/>
      <c r="F29" s="981"/>
      <c r="G29" s="981"/>
      <c r="H29" s="981"/>
      <c r="I29" s="981"/>
      <c r="J29" s="981"/>
      <c r="K29" s="981"/>
      <c r="L29" s="1004" t="str">
        <f>SUVAHAVUJ!$D$143</f>
        <v>Časové rozlíšenie súčet (r. 142 až r. 145)</v>
      </c>
      <c r="M29" s="1004"/>
      <c r="N29" s="1004"/>
      <c r="O29" s="1004"/>
      <c r="P29" s="1004"/>
      <c r="Q29" s="1004"/>
      <c r="R29" s="1004"/>
      <c r="S29" s="1004"/>
      <c r="T29" s="1004"/>
      <c r="U29" s="1004"/>
      <c r="V29" s="1004"/>
      <c r="W29" s="1004"/>
      <c r="X29" s="1004"/>
      <c r="Y29" s="1004"/>
      <c r="Z29" s="1004"/>
      <c r="AA29" s="1004"/>
      <c r="AB29" s="1004"/>
      <c r="AC29" s="1004"/>
      <c r="AD29" s="1004"/>
      <c r="AE29" s="1004"/>
      <c r="AF29" s="1004"/>
      <c r="AG29" s="1004"/>
      <c r="AH29" s="1004"/>
      <c r="AI29" s="1004"/>
      <c r="AJ29" s="1004"/>
      <c r="AK29" s="1004"/>
      <c r="AL29" s="1004"/>
      <c r="AM29" s="1004"/>
      <c r="AN29" s="1004"/>
      <c r="AO29" s="1004"/>
      <c r="AP29" s="1004"/>
      <c r="AQ29" s="1004"/>
      <c r="AR29" s="1004"/>
      <c r="AS29" s="1004"/>
      <c r="AT29" s="1004"/>
      <c r="AU29" s="1004"/>
      <c r="AV29" s="1004"/>
      <c r="AW29" s="1004"/>
      <c r="AX29" s="1004"/>
      <c r="AY29" s="1004"/>
      <c r="AZ29" s="1004"/>
      <c r="BA29" s="1004"/>
      <c r="BB29" s="1004"/>
      <c r="BC29" s="1004"/>
      <c r="BD29" s="1004"/>
      <c r="BE29" s="1004"/>
      <c r="BF29" s="1004"/>
      <c r="BG29" s="1004"/>
      <c r="BH29" s="1004"/>
      <c r="BI29" s="1004"/>
      <c r="BJ29" s="1004"/>
      <c r="BK29" s="1004"/>
      <c r="BL29" s="1004"/>
      <c r="BM29" s="1004"/>
      <c r="BN29" s="1004"/>
      <c r="BO29" s="1004"/>
      <c r="BP29" s="1004"/>
      <c r="BQ29" s="1004"/>
      <c r="BR29" s="1004"/>
      <c r="BS29" s="1004"/>
      <c r="BT29" s="1004"/>
      <c r="BU29" s="1004"/>
      <c r="BV29" s="1004"/>
      <c r="BW29" s="1013" t="s">
        <v>2281</v>
      </c>
      <c r="BX29" s="1013"/>
      <c r="BY29" s="1013"/>
      <c r="BZ29" s="1013"/>
      <c r="CA29" s="1013"/>
      <c r="CB29" s="1013"/>
      <c r="CC29" s="1013" t="e">
        <v>#NAME?</v>
      </c>
      <c r="CD29" s="1013"/>
      <c r="CE29" s="976" t="str">
        <f>MID(SUVAHAVUJ!AF143,1,1)</f>
        <v xml:space="preserve"> </v>
      </c>
      <c r="CF29" s="976"/>
      <c r="CG29" s="976"/>
      <c r="CH29" s="976"/>
      <c r="CI29" s="976"/>
      <c r="CJ29" s="976" t="str">
        <f>MID(SUVAHAVUJ!AF143,2,1)</f>
        <v xml:space="preserve"> </v>
      </c>
      <c r="CK29" s="976"/>
      <c r="CL29" s="976"/>
      <c r="CM29" s="976"/>
      <c r="CN29" s="976"/>
      <c r="CO29" s="976"/>
      <c r="CP29" s="976" t="str">
        <f>MID(SUVAHAVUJ!AF143,3,1)</f>
        <v xml:space="preserve"> </v>
      </c>
      <c r="CQ29" s="976"/>
      <c r="CR29" s="976"/>
      <c r="CS29" s="976"/>
      <c r="CT29" s="976"/>
      <c r="CU29" s="976" t="str">
        <f>MID(SUVAHAVUJ!AF143,4,1)</f>
        <v xml:space="preserve"> </v>
      </c>
      <c r="CV29" s="976"/>
      <c r="CW29" s="976"/>
      <c r="CX29" s="976"/>
      <c r="CY29" s="976"/>
      <c r="CZ29" s="976"/>
      <c r="DA29" s="976" t="str">
        <f>MID(SUVAHAVUJ!AF143,5,1)</f>
        <v xml:space="preserve"> </v>
      </c>
      <c r="DB29" s="976"/>
      <c r="DC29" s="976"/>
      <c r="DD29" s="976"/>
      <c r="DE29" s="976"/>
      <c r="DF29" s="976" t="str">
        <f>MID(SUVAHAVUJ!AF143,6,1)</f>
        <v>1</v>
      </c>
      <c r="DG29" s="976"/>
      <c r="DH29" s="976"/>
      <c r="DI29" s="976"/>
      <c r="DJ29" s="976"/>
      <c r="DK29" s="976"/>
      <c r="DL29" s="976" t="str">
        <f>MID(SUVAHAVUJ!AF143,7,1)</f>
        <v>0</v>
      </c>
      <c r="DM29" s="976"/>
      <c r="DN29" s="976"/>
      <c r="DO29" s="976"/>
      <c r="DP29" s="976"/>
      <c r="DQ29" s="976"/>
      <c r="DR29" s="976" t="str">
        <f>MID(SUVAHAVUJ!AF143,8,1)</f>
        <v>3</v>
      </c>
      <c r="DS29" s="976"/>
      <c r="DT29" s="976"/>
      <c r="DU29" s="976"/>
      <c r="DV29" s="976"/>
      <c r="DW29" s="982" t="str">
        <f>MID(SUVAHAVUJ!AF143,9,1)</f>
        <v>4</v>
      </c>
      <c r="DX29" s="982"/>
      <c r="DY29" s="982"/>
      <c r="DZ29" s="982"/>
      <c r="EA29" s="982"/>
      <c r="EB29" s="982"/>
      <c r="EC29" s="982" t="str">
        <f>MID(SUVAHAVUJ!AF143,10,1)</f>
        <v>1</v>
      </c>
      <c r="ED29" s="982"/>
      <c r="EE29" s="982"/>
      <c r="EF29" s="982"/>
      <c r="EG29" s="982"/>
      <c r="EH29" s="977" t="str">
        <f>MID(SUVAHAVUJ!AF143,11,1)</f>
        <v>5</v>
      </c>
      <c r="EI29" s="977"/>
      <c r="EJ29" s="977"/>
      <c r="EK29" s="977"/>
      <c r="EL29" s="977"/>
      <c r="EM29" s="977"/>
      <c r="EN29" s="665"/>
      <c r="EO29" s="666"/>
      <c r="EP29" s="976" t="str">
        <f>MID(SUVAHAVUJ!AG143,1,1)</f>
        <v xml:space="preserve"> </v>
      </c>
      <c r="EQ29" s="976"/>
      <c r="ER29" s="976"/>
      <c r="ES29" s="976"/>
      <c r="ET29" s="976"/>
      <c r="EU29" s="976"/>
      <c r="EV29" s="976" t="str">
        <f>MID(SUVAHAVUJ!AG143,2,1)</f>
        <v xml:space="preserve"> </v>
      </c>
      <c r="EW29" s="976"/>
      <c r="EX29" s="976"/>
      <c r="EY29" s="976"/>
      <c r="EZ29" s="976"/>
      <c r="FA29" s="976" t="str">
        <f>MID(SUVAHAVUJ!AG143,3,1)</f>
        <v xml:space="preserve"> </v>
      </c>
      <c r="FB29" s="976"/>
      <c r="FC29" s="976"/>
      <c r="FD29" s="976"/>
      <c r="FE29" s="976"/>
      <c r="FF29" s="976"/>
      <c r="FG29" s="976" t="str">
        <f>MID(SUVAHAVUJ!AG143,4,1)</f>
        <v xml:space="preserve"> </v>
      </c>
      <c r="FH29" s="976"/>
      <c r="FI29" s="976"/>
      <c r="FJ29" s="976"/>
      <c r="FK29" s="976"/>
      <c r="FL29" s="982" t="str">
        <f>MID(SUVAHAVUJ!AG143,5,1)</f>
        <v xml:space="preserve"> </v>
      </c>
      <c r="FM29" s="982"/>
      <c r="FN29" s="982"/>
      <c r="FO29" s="982"/>
      <c r="FP29" s="982"/>
      <c r="FQ29" s="982"/>
      <c r="FR29" s="982" t="str">
        <f>MID(SUVAHAVUJ!AG143,6,1)</f>
        <v>1</v>
      </c>
      <c r="FS29" s="982"/>
      <c r="FT29" s="982"/>
      <c r="FU29" s="982"/>
      <c r="FV29" s="982"/>
      <c r="FW29" s="982" t="str">
        <f>MID(SUVAHAVUJ!AG143,7,1)</f>
        <v>1</v>
      </c>
      <c r="FX29" s="982"/>
      <c r="FY29" s="982"/>
      <c r="FZ29" s="982"/>
      <c r="GA29" s="982"/>
      <c r="GB29" s="982"/>
      <c r="GC29" s="982" t="str">
        <f>MID(SUVAHAVUJ!AG143,8,1)</f>
        <v>6</v>
      </c>
      <c r="GD29" s="982"/>
      <c r="GE29" s="982"/>
      <c r="GF29" s="982"/>
      <c r="GG29" s="982"/>
      <c r="GH29" s="982" t="str">
        <f>MID(SUVAHAVUJ!AG143,9,1)</f>
        <v>8</v>
      </c>
      <c r="GI29" s="982"/>
      <c r="GJ29" s="982"/>
      <c r="GK29" s="982"/>
      <c r="GL29" s="982"/>
      <c r="GM29" s="982"/>
      <c r="GN29" s="982" t="str">
        <f>MID(SUVAHAVUJ!AG143,10,1)</f>
        <v>4</v>
      </c>
      <c r="GO29" s="982"/>
      <c r="GP29" s="982"/>
      <c r="GQ29" s="982"/>
      <c r="GR29" s="982"/>
      <c r="GS29" s="978" t="str">
        <f>MID(SUVAHAVUJ!AG143,11,1)</f>
        <v>9</v>
      </c>
      <c r="GT29" s="978"/>
      <c r="GU29" s="978"/>
      <c r="GV29" s="978"/>
      <c r="GW29" s="978"/>
    </row>
    <row r="30" spans="1:205" s="650" customFormat="1" ht="24" customHeight="1" x14ac:dyDescent="0.2">
      <c r="A30" s="676"/>
      <c r="B30" s="985" t="s">
        <v>2220</v>
      </c>
      <c r="C30" s="985"/>
      <c r="D30" s="985"/>
      <c r="E30" s="985"/>
      <c r="F30" s="985"/>
      <c r="G30" s="985"/>
      <c r="H30" s="985"/>
      <c r="I30" s="985"/>
      <c r="J30" s="985"/>
      <c r="K30" s="985"/>
      <c r="L30" s="1005" t="str">
        <f>SUVAHAVUJ!$D$144</f>
        <v>Výdavky budúcich období dlhodobé (383A)</v>
      </c>
      <c r="M30" s="1005"/>
      <c r="N30" s="1005"/>
      <c r="O30" s="1005"/>
      <c r="P30" s="1005"/>
      <c r="Q30" s="1005"/>
      <c r="R30" s="1005"/>
      <c r="S30" s="1005"/>
      <c r="T30" s="1005"/>
      <c r="U30" s="1005"/>
      <c r="V30" s="1005"/>
      <c r="W30" s="1005"/>
      <c r="X30" s="1005"/>
      <c r="Y30" s="1005"/>
      <c r="Z30" s="1005"/>
      <c r="AA30" s="1005"/>
      <c r="AB30" s="1005"/>
      <c r="AC30" s="1005"/>
      <c r="AD30" s="1005"/>
      <c r="AE30" s="1005"/>
      <c r="AF30" s="1005"/>
      <c r="AG30" s="1005"/>
      <c r="AH30" s="1005"/>
      <c r="AI30" s="1005"/>
      <c r="AJ30" s="1005"/>
      <c r="AK30" s="1005"/>
      <c r="AL30" s="1005"/>
      <c r="AM30" s="1005"/>
      <c r="AN30" s="1005"/>
      <c r="AO30" s="1005"/>
      <c r="AP30" s="1005"/>
      <c r="AQ30" s="1005"/>
      <c r="AR30" s="1005"/>
      <c r="AS30" s="1005"/>
      <c r="AT30" s="1005"/>
      <c r="AU30" s="1005"/>
      <c r="AV30" s="1005"/>
      <c r="AW30" s="1005"/>
      <c r="AX30" s="1005"/>
      <c r="AY30" s="1005"/>
      <c r="AZ30" s="1005"/>
      <c r="BA30" s="1005"/>
      <c r="BB30" s="1005"/>
      <c r="BC30" s="1005"/>
      <c r="BD30" s="1005"/>
      <c r="BE30" s="1005"/>
      <c r="BF30" s="1005"/>
      <c r="BG30" s="1005"/>
      <c r="BH30" s="1005"/>
      <c r="BI30" s="1005"/>
      <c r="BJ30" s="1005"/>
      <c r="BK30" s="1005"/>
      <c r="BL30" s="1005"/>
      <c r="BM30" s="1005"/>
      <c r="BN30" s="1005"/>
      <c r="BO30" s="1005"/>
      <c r="BP30" s="1005"/>
      <c r="BQ30" s="1005"/>
      <c r="BR30" s="1005"/>
      <c r="BS30" s="1005"/>
      <c r="BT30" s="1005"/>
      <c r="BU30" s="1005"/>
      <c r="BV30" s="1005"/>
      <c r="BW30" s="975" t="s">
        <v>2282</v>
      </c>
      <c r="BX30" s="975"/>
      <c r="BY30" s="975"/>
      <c r="BZ30" s="975"/>
      <c r="CA30" s="975"/>
      <c r="CB30" s="975"/>
      <c r="CC30" s="975" t="e">
        <v>#NAME?</v>
      </c>
      <c r="CD30" s="975"/>
      <c r="CE30" s="976" t="str">
        <f>MID(SUVAHAVUJ!AF144,1,1)</f>
        <v xml:space="preserve"> </v>
      </c>
      <c r="CF30" s="976"/>
      <c r="CG30" s="976"/>
      <c r="CH30" s="976"/>
      <c r="CI30" s="976"/>
      <c r="CJ30" s="976" t="str">
        <f>MID(SUVAHAVUJ!AF144,2,1)</f>
        <v xml:space="preserve"> </v>
      </c>
      <c r="CK30" s="976"/>
      <c r="CL30" s="976"/>
      <c r="CM30" s="976"/>
      <c r="CN30" s="976"/>
      <c r="CO30" s="976"/>
      <c r="CP30" s="976" t="str">
        <f>MID(SUVAHAVUJ!AF144,3,1)</f>
        <v xml:space="preserve"> </v>
      </c>
      <c r="CQ30" s="976"/>
      <c r="CR30" s="976"/>
      <c r="CS30" s="976"/>
      <c r="CT30" s="976"/>
      <c r="CU30" s="976" t="str">
        <f>MID(SUVAHAVUJ!AF144,4,1)</f>
        <v xml:space="preserve"> </v>
      </c>
      <c r="CV30" s="976"/>
      <c r="CW30" s="976"/>
      <c r="CX30" s="976"/>
      <c r="CY30" s="976"/>
      <c r="CZ30" s="976"/>
      <c r="DA30" s="976" t="str">
        <f>MID(SUVAHAVUJ!AF144,5,1)</f>
        <v xml:space="preserve"> </v>
      </c>
      <c r="DB30" s="976"/>
      <c r="DC30" s="976"/>
      <c r="DD30" s="976"/>
      <c r="DE30" s="976"/>
      <c r="DF30" s="976" t="str">
        <f>MID(SUVAHAVUJ!AF144,6,1)</f>
        <v xml:space="preserve"> </v>
      </c>
      <c r="DG30" s="976"/>
      <c r="DH30" s="976"/>
      <c r="DI30" s="976"/>
      <c r="DJ30" s="976"/>
      <c r="DK30" s="976"/>
      <c r="DL30" s="976" t="str">
        <f>MID(SUVAHAVUJ!AF144,7,1)</f>
        <v xml:space="preserve"> </v>
      </c>
      <c r="DM30" s="976"/>
      <c r="DN30" s="976"/>
      <c r="DO30" s="976"/>
      <c r="DP30" s="976"/>
      <c r="DQ30" s="976"/>
      <c r="DR30" s="976" t="str">
        <f>MID(SUVAHAVUJ!AF144,8,1)</f>
        <v xml:space="preserve"> </v>
      </c>
      <c r="DS30" s="976"/>
      <c r="DT30" s="976"/>
      <c r="DU30" s="976"/>
      <c r="DV30" s="976"/>
      <c r="DW30" s="982" t="str">
        <f>MID(SUVAHAVUJ!AF144,9,1)</f>
        <v xml:space="preserve"> </v>
      </c>
      <c r="DX30" s="982"/>
      <c r="DY30" s="982"/>
      <c r="DZ30" s="982"/>
      <c r="EA30" s="982"/>
      <c r="EB30" s="982"/>
      <c r="EC30" s="982" t="str">
        <f>MID(SUVAHAVUJ!AF144,10,1)</f>
        <v xml:space="preserve"> </v>
      </c>
      <c r="ED30" s="982"/>
      <c r="EE30" s="982"/>
      <c r="EF30" s="982"/>
      <c r="EG30" s="982"/>
      <c r="EH30" s="977" t="str">
        <f>MID(SUVAHAVUJ!AF144,11,1)</f>
        <v>0</v>
      </c>
      <c r="EI30" s="977"/>
      <c r="EJ30" s="977"/>
      <c r="EK30" s="977"/>
      <c r="EL30" s="977"/>
      <c r="EM30" s="977"/>
      <c r="EN30" s="665"/>
      <c r="EO30" s="666"/>
      <c r="EP30" s="976" t="str">
        <f>MID(SUVAHAVUJ!AG144,1,1)</f>
        <v xml:space="preserve"> </v>
      </c>
      <c r="EQ30" s="976"/>
      <c r="ER30" s="976"/>
      <c r="ES30" s="976"/>
      <c r="ET30" s="976"/>
      <c r="EU30" s="976"/>
      <c r="EV30" s="976" t="str">
        <f>MID(SUVAHAVUJ!AG144,2,1)</f>
        <v xml:space="preserve"> </v>
      </c>
      <c r="EW30" s="976"/>
      <c r="EX30" s="976"/>
      <c r="EY30" s="976"/>
      <c r="EZ30" s="976"/>
      <c r="FA30" s="976" t="str">
        <f>MID(SUVAHAVUJ!AG144,3,1)</f>
        <v xml:space="preserve"> </v>
      </c>
      <c r="FB30" s="976"/>
      <c r="FC30" s="976"/>
      <c r="FD30" s="976"/>
      <c r="FE30" s="976"/>
      <c r="FF30" s="976"/>
      <c r="FG30" s="976" t="str">
        <f>MID(SUVAHAVUJ!AG144,4,1)</f>
        <v xml:space="preserve"> </v>
      </c>
      <c r="FH30" s="976"/>
      <c r="FI30" s="976"/>
      <c r="FJ30" s="976"/>
      <c r="FK30" s="976"/>
      <c r="FL30" s="982" t="str">
        <f>MID(SUVAHAVUJ!AG144,5,1)</f>
        <v xml:space="preserve"> </v>
      </c>
      <c r="FM30" s="982"/>
      <c r="FN30" s="982"/>
      <c r="FO30" s="982"/>
      <c r="FP30" s="982"/>
      <c r="FQ30" s="982"/>
      <c r="FR30" s="982" t="str">
        <f>MID(SUVAHAVUJ!AG144,6,1)</f>
        <v xml:space="preserve"> </v>
      </c>
      <c r="FS30" s="982"/>
      <c r="FT30" s="982"/>
      <c r="FU30" s="982"/>
      <c r="FV30" s="982"/>
      <c r="FW30" s="982" t="str">
        <f>MID(SUVAHAVUJ!AG144,7,1)</f>
        <v xml:space="preserve"> </v>
      </c>
      <c r="FX30" s="982"/>
      <c r="FY30" s="982"/>
      <c r="FZ30" s="982"/>
      <c r="GA30" s="982"/>
      <c r="GB30" s="982"/>
      <c r="GC30" s="982" t="str">
        <f>MID(SUVAHAVUJ!AG144,8,1)</f>
        <v xml:space="preserve"> </v>
      </c>
      <c r="GD30" s="982"/>
      <c r="GE30" s="982"/>
      <c r="GF30" s="982"/>
      <c r="GG30" s="982"/>
      <c r="GH30" s="982" t="str">
        <f>MID(SUVAHAVUJ!AG144,9,1)</f>
        <v xml:space="preserve"> </v>
      </c>
      <c r="GI30" s="982"/>
      <c r="GJ30" s="982"/>
      <c r="GK30" s="982"/>
      <c r="GL30" s="982"/>
      <c r="GM30" s="982"/>
      <c r="GN30" s="982" t="str">
        <f>MID(SUVAHAVUJ!AG144,10,1)</f>
        <v xml:space="preserve"> </v>
      </c>
      <c r="GO30" s="982"/>
      <c r="GP30" s="982"/>
      <c r="GQ30" s="982"/>
      <c r="GR30" s="982"/>
      <c r="GS30" s="978" t="str">
        <f>MID(SUVAHAVUJ!AG144,11,1)</f>
        <v>0</v>
      </c>
      <c r="GT30" s="978"/>
      <c r="GU30" s="978"/>
      <c r="GV30" s="978"/>
      <c r="GW30" s="978"/>
    </row>
    <row r="31" spans="1:205" ht="24" customHeight="1" x14ac:dyDescent="0.25">
      <c r="A31" s="675"/>
      <c r="B31" s="985" t="s">
        <v>2166</v>
      </c>
      <c r="C31" s="985"/>
      <c r="D31" s="985"/>
      <c r="E31" s="985"/>
      <c r="F31" s="985"/>
      <c r="G31" s="985"/>
      <c r="H31" s="985"/>
      <c r="I31" s="985"/>
      <c r="J31" s="985"/>
      <c r="K31" s="985"/>
      <c r="L31" s="1005" t="str">
        <f>SUVAHAVUJ!$D$145</f>
        <v>Výdavky budúcich období krátkodobé (383A)</v>
      </c>
      <c r="M31" s="1005"/>
      <c r="N31" s="1005"/>
      <c r="O31" s="1005"/>
      <c r="P31" s="1005"/>
      <c r="Q31" s="1005"/>
      <c r="R31" s="1005"/>
      <c r="S31" s="1005"/>
      <c r="T31" s="1005"/>
      <c r="U31" s="1005"/>
      <c r="V31" s="1005"/>
      <c r="W31" s="1005"/>
      <c r="X31" s="1005"/>
      <c r="Y31" s="1005"/>
      <c r="Z31" s="1005"/>
      <c r="AA31" s="1005"/>
      <c r="AB31" s="1005"/>
      <c r="AC31" s="1005"/>
      <c r="AD31" s="1005"/>
      <c r="AE31" s="1005"/>
      <c r="AF31" s="1005"/>
      <c r="AG31" s="1005"/>
      <c r="AH31" s="1005"/>
      <c r="AI31" s="1005"/>
      <c r="AJ31" s="1005"/>
      <c r="AK31" s="1005"/>
      <c r="AL31" s="1005"/>
      <c r="AM31" s="1005"/>
      <c r="AN31" s="1005"/>
      <c r="AO31" s="1005"/>
      <c r="AP31" s="1005"/>
      <c r="AQ31" s="1005"/>
      <c r="AR31" s="1005"/>
      <c r="AS31" s="1005"/>
      <c r="AT31" s="1005"/>
      <c r="AU31" s="1005"/>
      <c r="AV31" s="1005"/>
      <c r="AW31" s="1005"/>
      <c r="AX31" s="1005"/>
      <c r="AY31" s="1005"/>
      <c r="AZ31" s="1005"/>
      <c r="BA31" s="1005"/>
      <c r="BB31" s="1005"/>
      <c r="BC31" s="1005"/>
      <c r="BD31" s="1005"/>
      <c r="BE31" s="1005"/>
      <c r="BF31" s="1005"/>
      <c r="BG31" s="1005"/>
      <c r="BH31" s="1005"/>
      <c r="BI31" s="1005"/>
      <c r="BJ31" s="1005"/>
      <c r="BK31" s="1005"/>
      <c r="BL31" s="1005"/>
      <c r="BM31" s="1005"/>
      <c r="BN31" s="1005"/>
      <c r="BO31" s="1005"/>
      <c r="BP31" s="1005"/>
      <c r="BQ31" s="1005"/>
      <c r="BR31" s="1005"/>
      <c r="BS31" s="1005"/>
      <c r="BT31" s="1005"/>
      <c r="BU31" s="1005"/>
      <c r="BV31" s="1005"/>
      <c r="BW31" s="975" t="s">
        <v>2283</v>
      </c>
      <c r="BX31" s="975"/>
      <c r="BY31" s="975"/>
      <c r="BZ31" s="975"/>
      <c r="CA31" s="975"/>
      <c r="CB31" s="975"/>
      <c r="CC31" s="975" t="e">
        <v>#NAME?</v>
      </c>
      <c r="CD31" s="975"/>
      <c r="CE31" s="976" t="str">
        <f>MID(SUVAHAVUJ!AF145,1,1)</f>
        <v xml:space="preserve"> </v>
      </c>
      <c r="CF31" s="976"/>
      <c r="CG31" s="976"/>
      <c r="CH31" s="976"/>
      <c r="CI31" s="976"/>
      <c r="CJ31" s="976" t="str">
        <f>MID(SUVAHAVUJ!AF145,2,1)</f>
        <v xml:space="preserve"> </v>
      </c>
      <c r="CK31" s="976"/>
      <c r="CL31" s="976"/>
      <c r="CM31" s="976"/>
      <c r="CN31" s="976"/>
      <c r="CO31" s="976"/>
      <c r="CP31" s="976" t="str">
        <f>MID(SUVAHAVUJ!AF145,3,1)</f>
        <v xml:space="preserve"> </v>
      </c>
      <c r="CQ31" s="976"/>
      <c r="CR31" s="976"/>
      <c r="CS31" s="976"/>
      <c r="CT31" s="976"/>
      <c r="CU31" s="976" t="str">
        <f>MID(SUVAHAVUJ!AF145,4,1)</f>
        <v xml:space="preserve"> </v>
      </c>
      <c r="CV31" s="976"/>
      <c r="CW31" s="976"/>
      <c r="CX31" s="976"/>
      <c r="CY31" s="976"/>
      <c r="CZ31" s="976"/>
      <c r="DA31" s="976" t="str">
        <f>MID(SUVAHAVUJ!AF145,5,1)</f>
        <v xml:space="preserve"> </v>
      </c>
      <c r="DB31" s="976"/>
      <c r="DC31" s="976"/>
      <c r="DD31" s="976"/>
      <c r="DE31" s="976"/>
      <c r="DF31" s="976" t="str">
        <f>MID(SUVAHAVUJ!AF145,6,1)</f>
        <v xml:space="preserve"> </v>
      </c>
      <c r="DG31" s="976"/>
      <c r="DH31" s="976"/>
      <c r="DI31" s="976"/>
      <c r="DJ31" s="976"/>
      <c r="DK31" s="976"/>
      <c r="DL31" s="976" t="str">
        <f>MID(SUVAHAVUJ!AF145,7,1)</f>
        <v xml:space="preserve"> </v>
      </c>
      <c r="DM31" s="976"/>
      <c r="DN31" s="976"/>
      <c r="DO31" s="976"/>
      <c r="DP31" s="976"/>
      <c r="DQ31" s="976"/>
      <c r="DR31" s="976" t="str">
        <f>MID(SUVAHAVUJ!AF145,8,1)</f>
        <v xml:space="preserve"> </v>
      </c>
      <c r="DS31" s="976"/>
      <c r="DT31" s="976"/>
      <c r="DU31" s="976"/>
      <c r="DV31" s="976"/>
      <c r="DW31" s="982" t="str">
        <f>MID(SUVAHAVUJ!AF145,9,1)</f>
        <v xml:space="preserve"> </v>
      </c>
      <c r="DX31" s="982"/>
      <c r="DY31" s="982"/>
      <c r="DZ31" s="982"/>
      <c r="EA31" s="982"/>
      <c r="EB31" s="982"/>
      <c r="EC31" s="982" t="str">
        <f>MID(SUVAHAVUJ!AF145,10,1)</f>
        <v xml:space="preserve"> </v>
      </c>
      <c r="ED31" s="982"/>
      <c r="EE31" s="982"/>
      <c r="EF31" s="982"/>
      <c r="EG31" s="982"/>
      <c r="EH31" s="977" t="str">
        <f>MID(SUVAHAVUJ!AF145,11,1)</f>
        <v>0</v>
      </c>
      <c r="EI31" s="977"/>
      <c r="EJ31" s="977"/>
      <c r="EK31" s="977"/>
      <c r="EL31" s="977"/>
      <c r="EM31" s="977"/>
      <c r="EN31" s="665"/>
      <c r="EO31" s="666"/>
      <c r="EP31" s="976" t="str">
        <f>MID(SUVAHAVUJ!AG145,1,1)</f>
        <v xml:space="preserve"> </v>
      </c>
      <c r="EQ31" s="976"/>
      <c r="ER31" s="976"/>
      <c r="ES31" s="976"/>
      <c r="ET31" s="976"/>
      <c r="EU31" s="976"/>
      <c r="EV31" s="976" t="str">
        <f>MID(SUVAHAVUJ!AG145,2,1)</f>
        <v xml:space="preserve"> </v>
      </c>
      <c r="EW31" s="976"/>
      <c r="EX31" s="976"/>
      <c r="EY31" s="976"/>
      <c r="EZ31" s="976"/>
      <c r="FA31" s="976" t="str">
        <f>MID(SUVAHAVUJ!AG145,3,1)</f>
        <v xml:space="preserve"> </v>
      </c>
      <c r="FB31" s="976"/>
      <c r="FC31" s="976"/>
      <c r="FD31" s="976"/>
      <c r="FE31" s="976"/>
      <c r="FF31" s="976"/>
      <c r="FG31" s="976" t="str">
        <f>MID(SUVAHAVUJ!AG145,4,1)</f>
        <v xml:space="preserve"> </v>
      </c>
      <c r="FH31" s="976"/>
      <c r="FI31" s="976"/>
      <c r="FJ31" s="976"/>
      <c r="FK31" s="976"/>
      <c r="FL31" s="982" t="str">
        <f>MID(SUVAHAVUJ!AG145,5,1)</f>
        <v xml:space="preserve"> </v>
      </c>
      <c r="FM31" s="982"/>
      <c r="FN31" s="982"/>
      <c r="FO31" s="982"/>
      <c r="FP31" s="982"/>
      <c r="FQ31" s="982"/>
      <c r="FR31" s="982" t="str">
        <f>MID(SUVAHAVUJ!AG145,6,1)</f>
        <v xml:space="preserve"> </v>
      </c>
      <c r="FS31" s="982"/>
      <c r="FT31" s="982"/>
      <c r="FU31" s="982"/>
      <c r="FV31" s="982"/>
      <c r="FW31" s="982" t="str">
        <f>MID(SUVAHAVUJ!AG145,7,1)</f>
        <v xml:space="preserve"> </v>
      </c>
      <c r="FX31" s="982"/>
      <c r="FY31" s="982"/>
      <c r="FZ31" s="982"/>
      <c r="GA31" s="982"/>
      <c r="GB31" s="982"/>
      <c r="GC31" s="982" t="str">
        <f>MID(SUVAHAVUJ!AG145,8,1)</f>
        <v xml:space="preserve"> </v>
      </c>
      <c r="GD31" s="982"/>
      <c r="GE31" s="982"/>
      <c r="GF31" s="982"/>
      <c r="GG31" s="982"/>
      <c r="GH31" s="982" t="str">
        <f>MID(SUVAHAVUJ!AG145,9,1)</f>
        <v xml:space="preserve"> </v>
      </c>
      <c r="GI31" s="982"/>
      <c r="GJ31" s="982"/>
      <c r="GK31" s="982"/>
      <c r="GL31" s="982"/>
      <c r="GM31" s="982"/>
      <c r="GN31" s="982" t="str">
        <f>MID(SUVAHAVUJ!AG145,10,1)</f>
        <v xml:space="preserve"> </v>
      </c>
      <c r="GO31" s="982"/>
      <c r="GP31" s="982"/>
      <c r="GQ31" s="982"/>
      <c r="GR31" s="982"/>
      <c r="GS31" s="978" t="str">
        <f>MID(SUVAHAVUJ!AG145,11,1)</f>
        <v>0</v>
      </c>
      <c r="GT31" s="978"/>
      <c r="GU31" s="978"/>
      <c r="GV31" s="978"/>
      <c r="GW31" s="978"/>
    </row>
    <row r="32" spans="1:205" s="650" customFormat="1" ht="24" customHeight="1" x14ac:dyDescent="0.2">
      <c r="A32" s="676"/>
      <c r="B32" s="985" t="s">
        <v>2167</v>
      </c>
      <c r="C32" s="985"/>
      <c r="D32" s="985"/>
      <c r="E32" s="985"/>
      <c r="F32" s="985"/>
      <c r="G32" s="985"/>
      <c r="H32" s="985"/>
      <c r="I32" s="985"/>
      <c r="J32" s="985"/>
      <c r="K32" s="985"/>
      <c r="L32" s="1005" t="str">
        <f>SUVAHAVUJ!$D$146</f>
        <v>Výnosy budúcich období dlhodobé (384A)</v>
      </c>
      <c r="M32" s="1005"/>
      <c r="N32" s="1005"/>
      <c r="O32" s="1005"/>
      <c r="P32" s="1005"/>
      <c r="Q32" s="1005"/>
      <c r="R32" s="1005"/>
      <c r="S32" s="1005"/>
      <c r="T32" s="1005"/>
      <c r="U32" s="1005"/>
      <c r="V32" s="1005"/>
      <c r="W32" s="1005"/>
      <c r="X32" s="1005"/>
      <c r="Y32" s="1005"/>
      <c r="Z32" s="1005"/>
      <c r="AA32" s="1005"/>
      <c r="AB32" s="1005"/>
      <c r="AC32" s="1005"/>
      <c r="AD32" s="1005"/>
      <c r="AE32" s="1005"/>
      <c r="AF32" s="1005"/>
      <c r="AG32" s="1005"/>
      <c r="AH32" s="1005"/>
      <c r="AI32" s="1005"/>
      <c r="AJ32" s="1005"/>
      <c r="AK32" s="1005"/>
      <c r="AL32" s="1005"/>
      <c r="AM32" s="1005"/>
      <c r="AN32" s="1005"/>
      <c r="AO32" s="1005"/>
      <c r="AP32" s="1005"/>
      <c r="AQ32" s="1005"/>
      <c r="AR32" s="1005"/>
      <c r="AS32" s="1005"/>
      <c r="AT32" s="1005"/>
      <c r="AU32" s="1005"/>
      <c r="AV32" s="1005"/>
      <c r="AW32" s="1005"/>
      <c r="AX32" s="1005"/>
      <c r="AY32" s="1005"/>
      <c r="AZ32" s="1005"/>
      <c r="BA32" s="1005"/>
      <c r="BB32" s="1005"/>
      <c r="BC32" s="1005"/>
      <c r="BD32" s="1005"/>
      <c r="BE32" s="1005"/>
      <c r="BF32" s="1005"/>
      <c r="BG32" s="1005"/>
      <c r="BH32" s="1005"/>
      <c r="BI32" s="1005"/>
      <c r="BJ32" s="1005"/>
      <c r="BK32" s="1005"/>
      <c r="BL32" s="1005"/>
      <c r="BM32" s="1005"/>
      <c r="BN32" s="1005"/>
      <c r="BO32" s="1005"/>
      <c r="BP32" s="1005"/>
      <c r="BQ32" s="1005"/>
      <c r="BR32" s="1005"/>
      <c r="BS32" s="1005"/>
      <c r="BT32" s="1005"/>
      <c r="BU32" s="1005"/>
      <c r="BV32" s="1005"/>
      <c r="BW32" s="975" t="s">
        <v>2284</v>
      </c>
      <c r="BX32" s="975"/>
      <c r="BY32" s="975"/>
      <c r="BZ32" s="975"/>
      <c r="CA32" s="975"/>
      <c r="CB32" s="975"/>
      <c r="CC32" s="975" t="e">
        <v>#NAME?</v>
      </c>
      <c r="CD32" s="975"/>
      <c r="CE32" s="976" t="str">
        <f>MID(SUVAHAVUJ!AF146,1,1)</f>
        <v xml:space="preserve"> </v>
      </c>
      <c r="CF32" s="976"/>
      <c r="CG32" s="976"/>
      <c r="CH32" s="976"/>
      <c r="CI32" s="976"/>
      <c r="CJ32" s="976" t="str">
        <f>MID(SUVAHAVUJ!AF146,2,1)</f>
        <v xml:space="preserve"> </v>
      </c>
      <c r="CK32" s="976"/>
      <c r="CL32" s="976"/>
      <c r="CM32" s="976"/>
      <c r="CN32" s="976"/>
      <c r="CO32" s="976"/>
      <c r="CP32" s="976" t="str">
        <f>MID(SUVAHAVUJ!AF146,3,1)</f>
        <v xml:space="preserve"> </v>
      </c>
      <c r="CQ32" s="976"/>
      <c r="CR32" s="976"/>
      <c r="CS32" s="976"/>
      <c r="CT32" s="976"/>
      <c r="CU32" s="976" t="str">
        <f>MID(SUVAHAVUJ!AF146,4,1)</f>
        <v xml:space="preserve"> </v>
      </c>
      <c r="CV32" s="976"/>
      <c r="CW32" s="976"/>
      <c r="CX32" s="976"/>
      <c r="CY32" s="976"/>
      <c r="CZ32" s="976"/>
      <c r="DA32" s="976" t="str">
        <f>MID(SUVAHAVUJ!AF146,5,1)</f>
        <v xml:space="preserve"> </v>
      </c>
      <c r="DB32" s="976"/>
      <c r="DC32" s="976"/>
      <c r="DD32" s="976"/>
      <c r="DE32" s="976"/>
      <c r="DF32" s="976" t="str">
        <f>MID(SUVAHAVUJ!AF146,6,1)</f>
        <v xml:space="preserve"> </v>
      </c>
      <c r="DG32" s="976"/>
      <c r="DH32" s="976"/>
      <c r="DI32" s="976"/>
      <c r="DJ32" s="976"/>
      <c r="DK32" s="976"/>
      <c r="DL32" s="976" t="str">
        <f>MID(SUVAHAVUJ!AF146,7,1)</f>
        <v xml:space="preserve"> </v>
      </c>
      <c r="DM32" s="976"/>
      <c r="DN32" s="976"/>
      <c r="DO32" s="976"/>
      <c r="DP32" s="976"/>
      <c r="DQ32" s="976"/>
      <c r="DR32" s="976" t="str">
        <f>MID(SUVAHAVUJ!AF146,8,1)</f>
        <v xml:space="preserve"> </v>
      </c>
      <c r="DS32" s="976"/>
      <c r="DT32" s="976"/>
      <c r="DU32" s="976"/>
      <c r="DV32" s="976"/>
      <c r="DW32" s="982" t="str">
        <f>MID(SUVAHAVUJ!AF146,9,1)</f>
        <v xml:space="preserve"> </v>
      </c>
      <c r="DX32" s="982"/>
      <c r="DY32" s="982"/>
      <c r="DZ32" s="982"/>
      <c r="EA32" s="982"/>
      <c r="EB32" s="982"/>
      <c r="EC32" s="982" t="str">
        <f>MID(SUVAHAVUJ!AF146,10,1)</f>
        <v xml:space="preserve"> </v>
      </c>
      <c r="ED32" s="982"/>
      <c r="EE32" s="982"/>
      <c r="EF32" s="982"/>
      <c r="EG32" s="982"/>
      <c r="EH32" s="977" t="str">
        <f>MID(SUVAHAVUJ!AF146,11,1)</f>
        <v>0</v>
      </c>
      <c r="EI32" s="977"/>
      <c r="EJ32" s="977"/>
      <c r="EK32" s="977"/>
      <c r="EL32" s="977"/>
      <c r="EM32" s="977"/>
      <c r="EN32" s="665"/>
      <c r="EO32" s="666"/>
      <c r="EP32" s="976" t="str">
        <f>MID(SUVAHAVUJ!AG146,1,1)</f>
        <v xml:space="preserve"> </v>
      </c>
      <c r="EQ32" s="976"/>
      <c r="ER32" s="976"/>
      <c r="ES32" s="976"/>
      <c r="ET32" s="976"/>
      <c r="EU32" s="976"/>
      <c r="EV32" s="976" t="str">
        <f>MID(SUVAHAVUJ!AG146,2,1)</f>
        <v xml:space="preserve"> </v>
      </c>
      <c r="EW32" s="976"/>
      <c r="EX32" s="976"/>
      <c r="EY32" s="976"/>
      <c r="EZ32" s="976"/>
      <c r="FA32" s="976" t="str">
        <f>MID(SUVAHAVUJ!AG146,3,1)</f>
        <v xml:space="preserve"> </v>
      </c>
      <c r="FB32" s="976"/>
      <c r="FC32" s="976"/>
      <c r="FD32" s="976"/>
      <c r="FE32" s="976"/>
      <c r="FF32" s="976"/>
      <c r="FG32" s="976" t="str">
        <f>MID(SUVAHAVUJ!AG146,4,1)</f>
        <v xml:space="preserve"> </v>
      </c>
      <c r="FH32" s="976"/>
      <c r="FI32" s="976"/>
      <c r="FJ32" s="976"/>
      <c r="FK32" s="976"/>
      <c r="FL32" s="982" t="str">
        <f>MID(SUVAHAVUJ!AG146,5,1)</f>
        <v xml:space="preserve"> </v>
      </c>
      <c r="FM32" s="982"/>
      <c r="FN32" s="982"/>
      <c r="FO32" s="982"/>
      <c r="FP32" s="982"/>
      <c r="FQ32" s="982"/>
      <c r="FR32" s="982" t="str">
        <f>MID(SUVAHAVUJ!AG146,6,1)</f>
        <v xml:space="preserve"> </v>
      </c>
      <c r="FS32" s="982"/>
      <c r="FT32" s="982"/>
      <c r="FU32" s="982"/>
      <c r="FV32" s="982"/>
      <c r="FW32" s="982" t="str">
        <f>MID(SUVAHAVUJ!AG146,7,1)</f>
        <v xml:space="preserve"> </v>
      </c>
      <c r="FX32" s="982"/>
      <c r="FY32" s="982"/>
      <c r="FZ32" s="982"/>
      <c r="GA32" s="982"/>
      <c r="GB32" s="982"/>
      <c r="GC32" s="982" t="str">
        <f>MID(SUVAHAVUJ!AG146,8,1)</f>
        <v xml:space="preserve"> </v>
      </c>
      <c r="GD32" s="982"/>
      <c r="GE32" s="982"/>
      <c r="GF32" s="982"/>
      <c r="GG32" s="982"/>
      <c r="GH32" s="982" t="str">
        <f>MID(SUVAHAVUJ!AG146,9,1)</f>
        <v xml:space="preserve"> </v>
      </c>
      <c r="GI32" s="982"/>
      <c r="GJ32" s="982"/>
      <c r="GK32" s="982"/>
      <c r="GL32" s="982"/>
      <c r="GM32" s="982"/>
      <c r="GN32" s="982" t="str">
        <f>MID(SUVAHAVUJ!AG146,10,1)</f>
        <v xml:space="preserve"> </v>
      </c>
      <c r="GO32" s="982"/>
      <c r="GP32" s="982"/>
      <c r="GQ32" s="982"/>
      <c r="GR32" s="982"/>
      <c r="GS32" s="978" t="str">
        <f>MID(SUVAHAVUJ!AG146,11,1)</f>
        <v>0</v>
      </c>
      <c r="GT32" s="978"/>
      <c r="GU32" s="978"/>
      <c r="GV32" s="978"/>
      <c r="GW32" s="978"/>
    </row>
    <row r="33" spans="1:205" ht="24" customHeight="1" x14ac:dyDescent="0.25">
      <c r="A33" s="675"/>
      <c r="B33" s="985" t="s">
        <v>2168</v>
      </c>
      <c r="C33" s="985"/>
      <c r="D33" s="985"/>
      <c r="E33" s="985"/>
      <c r="F33" s="985"/>
      <c r="G33" s="985"/>
      <c r="H33" s="985"/>
      <c r="I33" s="985"/>
      <c r="J33" s="985"/>
      <c r="K33" s="985"/>
      <c r="L33" s="1005" t="str">
        <f>SUVAHAVUJ!$D$147</f>
        <v>Výnosy budúcich období krátkodobé (384A)</v>
      </c>
      <c r="M33" s="1005"/>
      <c r="N33" s="1005"/>
      <c r="O33" s="1005"/>
      <c r="P33" s="1005"/>
      <c r="Q33" s="1005"/>
      <c r="R33" s="1005"/>
      <c r="S33" s="1005"/>
      <c r="T33" s="1005"/>
      <c r="U33" s="1005"/>
      <c r="V33" s="1005"/>
      <c r="W33" s="1005"/>
      <c r="X33" s="1005"/>
      <c r="Y33" s="1005"/>
      <c r="Z33" s="1005"/>
      <c r="AA33" s="1005"/>
      <c r="AB33" s="1005"/>
      <c r="AC33" s="1005"/>
      <c r="AD33" s="1005"/>
      <c r="AE33" s="1005"/>
      <c r="AF33" s="1005"/>
      <c r="AG33" s="1005"/>
      <c r="AH33" s="1005"/>
      <c r="AI33" s="1005"/>
      <c r="AJ33" s="1005"/>
      <c r="AK33" s="1005"/>
      <c r="AL33" s="1005"/>
      <c r="AM33" s="1005"/>
      <c r="AN33" s="1005"/>
      <c r="AO33" s="1005"/>
      <c r="AP33" s="1005"/>
      <c r="AQ33" s="1005"/>
      <c r="AR33" s="1005"/>
      <c r="AS33" s="1005"/>
      <c r="AT33" s="1005"/>
      <c r="AU33" s="1005"/>
      <c r="AV33" s="1005"/>
      <c r="AW33" s="1005"/>
      <c r="AX33" s="1005"/>
      <c r="AY33" s="1005"/>
      <c r="AZ33" s="1005"/>
      <c r="BA33" s="1005"/>
      <c r="BB33" s="1005"/>
      <c r="BC33" s="1005"/>
      <c r="BD33" s="1005"/>
      <c r="BE33" s="1005"/>
      <c r="BF33" s="1005"/>
      <c r="BG33" s="1005"/>
      <c r="BH33" s="1005"/>
      <c r="BI33" s="1005"/>
      <c r="BJ33" s="1005"/>
      <c r="BK33" s="1005"/>
      <c r="BL33" s="1005"/>
      <c r="BM33" s="1005"/>
      <c r="BN33" s="1005"/>
      <c r="BO33" s="1005"/>
      <c r="BP33" s="1005"/>
      <c r="BQ33" s="1005"/>
      <c r="BR33" s="1005"/>
      <c r="BS33" s="1005"/>
      <c r="BT33" s="1005"/>
      <c r="BU33" s="1005"/>
      <c r="BV33" s="1005"/>
      <c r="BW33" s="975" t="s">
        <v>2285</v>
      </c>
      <c r="BX33" s="975"/>
      <c r="BY33" s="975"/>
      <c r="BZ33" s="975"/>
      <c r="CA33" s="975"/>
      <c r="CB33" s="975"/>
      <c r="CC33" s="975" t="e">
        <v>#NAME?</v>
      </c>
      <c r="CD33" s="975"/>
      <c r="CE33" s="976" t="str">
        <f>MID(SUVAHAVUJ!AF147,1,1)</f>
        <v xml:space="preserve"> </v>
      </c>
      <c r="CF33" s="976"/>
      <c r="CG33" s="976"/>
      <c r="CH33" s="976"/>
      <c r="CI33" s="976"/>
      <c r="CJ33" s="976" t="str">
        <f>MID(SUVAHAVUJ!AF147,2,1)</f>
        <v xml:space="preserve"> </v>
      </c>
      <c r="CK33" s="976"/>
      <c r="CL33" s="976"/>
      <c r="CM33" s="976"/>
      <c r="CN33" s="976"/>
      <c r="CO33" s="976"/>
      <c r="CP33" s="976" t="str">
        <f>MID(SUVAHAVUJ!AF147,3,1)</f>
        <v xml:space="preserve"> </v>
      </c>
      <c r="CQ33" s="976"/>
      <c r="CR33" s="976"/>
      <c r="CS33" s="976"/>
      <c r="CT33" s="976"/>
      <c r="CU33" s="976" t="str">
        <f>MID(SUVAHAVUJ!AF147,4,1)</f>
        <v xml:space="preserve"> </v>
      </c>
      <c r="CV33" s="976"/>
      <c r="CW33" s="976"/>
      <c r="CX33" s="976"/>
      <c r="CY33" s="976"/>
      <c r="CZ33" s="976"/>
      <c r="DA33" s="976" t="str">
        <f>MID(SUVAHAVUJ!AF147,5,1)</f>
        <v xml:space="preserve"> </v>
      </c>
      <c r="DB33" s="976"/>
      <c r="DC33" s="976"/>
      <c r="DD33" s="976"/>
      <c r="DE33" s="976"/>
      <c r="DF33" s="976" t="str">
        <f>MID(SUVAHAVUJ!AF147,6,1)</f>
        <v>1</v>
      </c>
      <c r="DG33" s="976"/>
      <c r="DH33" s="976"/>
      <c r="DI33" s="976"/>
      <c r="DJ33" s="976"/>
      <c r="DK33" s="976"/>
      <c r="DL33" s="976" t="str">
        <f>MID(SUVAHAVUJ!AF147,7,1)</f>
        <v>0</v>
      </c>
      <c r="DM33" s="976"/>
      <c r="DN33" s="976"/>
      <c r="DO33" s="976"/>
      <c r="DP33" s="976"/>
      <c r="DQ33" s="976"/>
      <c r="DR33" s="976" t="str">
        <f>MID(SUVAHAVUJ!AF147,8,1)</f>
        <v>3</v>
      </c>
      <c r="DS33" s="976"/>
      <c r="DT33" s="976"/>
      <c r="DU33" s="976"/>
      <c r="DV33" s="976"/>
      <c r="DW33" s="982" t="str">
        <f>MID(SUVAHAVUJ!AF147,9,1)</f>
        <v>4</v>
      </c>
      <c r="DX33" s="982"/>
      <c r="DY33" s="982"/>
      <c r="DZ33" s="982"/>
      <c r="EA33" s="982"/>
      <c r="EB33" s="982"/>
      <c r="EC33" s="982" t="str">
        <f>MID(SUVAHAVUJ!AF147,10,1)</f>
        <v>1</v>
      </c>
      <c r="ED33" s="982"/>
      <c r="EE33" s="982"/>
      <c r="EF33" s="982"/>
      <c r="EG33" s="982"/>
      <c r="EH33" s="977" t="str">
        <f>MID(SUVAHAVUJ!AF147,11,1)</f>
        <v>5</v>
      </c>
      <c r="EI33" s="977"/>
      <c r="EJ33" s="977"/>
      <c r="EK33" s="977"/>
      <c r="EL33" s="977"/>
      <c r="EM33" s="977"/>
      <c r="EN33" s="665"/>
      <c r="EO33" s="666"/>
      <c r="EP33" s="976" t="str">
        <f>MID(SUVAHAVUJ!AG147,1,1)</f>
        <v xml:space="preserve"> </v>
      </c>
      <c r="EQ33" s="976"/>
      <c r="ER33" s="976"/>
      <c r="ES33" s="976"/>
      <c r="ET33" s="976"/>
      <c r="EU33" s="976"/>
      <c r="EV33" s="976" t="str">
        <f>MID(SUVAHAVUJ!AG147,2,1)</f>
        <v xml:space="preserve"> </v>
      </c>
      <c r="EW33" s="976"/>
      <c r="EX33" s="976"/>
      <c r="EY33" s="976"/>
      <c r="EZ33" s="976"/>
      <c r="FA33" s="976" t="str">
        <f>MID(SUVAHAVUJ!AG147,3,1)</f>
        <v xml:space="preserve"> </v>
      </c>
      <c r="FB33" s="976"/>
      <c r="FC33" s="976"/>
      <c r="FD33" s="976"/>
      <c r="FE33" s="976"/>
      <c r="FF33" s="976"/>
      <c r="FG33" s="976" t="str">
        <f>MID(SUVAHAVUJ!AG147,4,1)</f>
        <v xml:space="preserve"> </v>
      </c>
      <c r="FH33" s="976"/>
      <c r="FI33" s="976"/>
      <c r="FJ33" s="976"/>
      <c r="FK33" s="976"/>
      <c r="FL33" s="982" t="str">
        <f>MID(SUVAHAVUJ!AG147,5,1)</f>
        <v xml:space="preserve"> </v>
      </c>
      <c r="FM33" s="982"/>
      <c r="FN33" s="982"/>
      <c r="FO33" s="982"/>
      <c r="FP33" s="982"/>
      <c r="FQ33" s="982"/>
      <c r="FR33" s="982" t="str">
        <f>MID(SUVAHAVUJ!AG147,6,1)</f>
        <v>1</v>
      </c>
      <c r="FS33" s="982"/>
      <c r="FT33" s="982"/>
      <c r="FU33" s="982"/>
      <c r="FV33" s="982"/>
      <c r="FW33" s="982" t="str">
        <f>MID(SUVAHAVUJ!AG147,7,1)</f>
        <v>1</v>
      </c>
      <c r="FX33" s="982"/>
      <c r="FY33" s="982"/>
      <c r="FZ33" s="982"/>
      <c r="GA33" s="982"/>
      <c r="GB33" s="982"/>
      <c r="GC33" s="982" t="str">
        <f>MID(SUVAHAVUJ!AG147,8,1)</f>
        <v>6</v>
      </c>
      <c r="GD33" s="982"/>
      <c r="GE33" s="982"/>
      <c r="GF33" s="982"/>
      <c r="GG33" s="982"/>
      <c r="GH33" s="982" t="str">
        <f>MID(SUVAHAVUJ!AG147,9,1)</f>
        <v>8</v>
      </c>
      <c r="GI33" s="982"/>
      <c r="GJ33" s="982"/>
      <c r="GK33" s="982"/>
      <c r="GL33" s="982"/>
      <c r="GM33" s="982"/>
      <c r="GN33" s="982" t="str">
        <f>MID(SUVAHAVUJ!AG147,10,1)</f>
        <v>4</v>
      </c>
      <c r="GO33" s="982"/>
      <c r="GP33" s="982"/>
      <c r="GQ33" s="982"/>
      <c r="GR33" s="982"/>
      <c r="GS33" s="978" t="str">
        <f>MID(SUVAHAVUJ!AG147,11,1)</f>
        <v>9</v>
      </c>
      <c r="GT33" s="978"/>
      <c r="GU33" s="978"/>
      <c r="GV33" s="978"/>
      <c r="GW33" s="978"/>
    </row>
    <row r="34" spans="1:205" ht="12.75" customHeight="1" x14ac:dyDescent="0.25">
      <c r="A34" s="650"/>
      <c r="B34" s="667"/>
      <c r="C34" s="668"/>
      <c r="D34" s="668"/>
      <c r="E34" s="668"/>
      <c r="F34" s="668"/>
      <c r="G34" s="668"/>
      <c r="H34" s="668"/>
      <c r="I34" s="668"/>
      <c r="J34" s="668"/>
      <c r="K34" s="677"/>
      <c r="L34" s="650"/>
      <c r="M34" s="650"/>
      <c r="N34" s="650"/>
      <c r="O34" s="650"/>
      <c r="P34" s="650"/>
      <c r="Q34" s="650"/>
      <c r="R34" s="650"/>
      <c r="S34" s="650"/>
      <c r="T34" s="650"/>
      <c r="U34" s="650"/>
      <c r="V34" s="650"/>
      <c r="W34" s="650"/>
      <c r="X34" s="650"/>
      <c r="Y34" s="650"/>
      <c r="Z34" s="650"/>
      <c r="AA34" s="650"/>
      <c r="AB34" s="650"/>
      <c r="AC34" s="650"/>
      <c r="AD34" s="650"/>
      <c r="AE34" s="650"/>
      <c r="AF34" s="650"/>
      <c r="AG34" s="650"/>
      <c r="AH34" s="650"/>
      <c r="AI34" s="650"/>
      <c r="AJ34" s="650"/>
      <c r="AK34" s="650"/>
      <c r="AL34" s="650"/>
      <c r="AM34" s="650"/>
      <c r="AN34" s="650"/>
      <c r="AO34" s="650"/>
      <c r="AP34" s="650"/>
      <c r="AQ34" s="650"/>
      <c r="AR34" s="650"/>
      <c r="AS34" s="650"/>
      <c r="AT34" s="650"/>
      <c r="AU34" s="650"/>
      <c r="AV34" s="650"/>
      <c r="AW34" s="650"/>
      <c r="AX34" s="650"/>
      <c r="AY34" s="650"/>
      <c r="AZ34" s="650"/>
      <c r="BA34" s="650"/>
      <c r="BB34" s="650"/>
      <c r="BC34" s="650"/>
      <c r="BD34" s="650"/>
      <c r="BE34" s="650"/>
      <c r="BF34" s="650"/>
      <c r="BG34" s="650"/>
      <c r="BH34" s="650"/>
      <c r="BI34" s="650"/>
      <c r="BJ34" s="650"/>
      <c r="BK34" s="650"/>
      <c r="BL34" s="650"/>
      <c r="BM34" s="650"/>
      <c r="BN34" s="650"/>
      <c r="BO34" s="650"/>
      <c r="BP34" s="650"/>
      <c r="BQ34" s="650"/>
      <c r="BR34" s="650"/>
      <c r="BS34" s="650"/>
      <c r="BT34" s="650"/>
      <c r="BU34" s="650"/>
      <c r="BV34" s="650"/>
      <c r="BW34" s="650"/>
      <c r="BX34" s="650"/>
      <c r="BY34" s="650"/>
      <c r="BZ34" s="650"/>
      <c r="CA34" s="650"/>
      <c r="CB34" s="650"/>
      <c r="CC34" s="650"/>
      <c r="CD34" s="650"/>
      <c r="CE34" s="650"/>
      <c r="CF34" s="650"/>
      <c r="CG34" s="650"/>
      <c r="CH34" s="650"/>
      <c r="CI34" s="650"/>
      <c r="CJ34" s="650"/>
      <c r="CK34" s="650"/>
      <c r="CL34" s="650"/>
      <c r="CM34" s="650"/>
      <c r="CN34" s="650"/>
      <c r="CO34" s="650"/>
      <c r="CP34" s="650"/>
      <c r="CQ34" s="650"/>
      <c r="CR34" s="650"/>
      <c r="CS34" s="650"/>
      <c r="CT34" s="650"/>
      <c r="CU34" s="650"/>
      <c r="CV34" s="650"/>
      <c r="CW34" s="650"/>
      <c r="CX34" s="650"/>
      <c r="CY34" s="650"/>
      <c r="CZ34" s="650"/>
      <c r="DA34" s="650"/>
      <c r="DB34" s="650"/>
      <c r="DC34" s="650"/>
      <c r="DD34" s="650"/>
      <c r="DE34" s="650"/>
      <c r="DF34" s="650"/>
      <c r="DG34" s="650"/>
      <c r="DH34" s="650"/>
      <c r="DI34" s="650"/>
      <c r="DJ34" s="650"/>
      <c r="DK34" s="650"/>
      <c r="DL34" s="650"/>
      <c r="DM34" s="650"/>
      <c r="DN34" s="650"/>
      <c r="DO34" s="650"/>
      <c r="DP34" s="650"/>
      <c r="DQ34" s="650"/>
      <c r="DR34" s="650"/>
      <c r="DS34" s="650"/>
      <c r="DT34" s="650"/>
      <c r="DU34" s="650"/>
      <c r="DV34" s="650"/>
      <c r="DW34" s="650"/>
      <c r="DX34" s="650"/>
      <c r="DY34" s="650"/>
      <c r="DZ34" s="650"/>
      <c r="EA34" s="650"/>
      <c r="EB34" s="650"/>
      <c r="EC34" s="650"/>
      <c r="ED34" s="650"/>
      <c r="EE34" s="650"/>
      <c r="EF34" s="650"/>
      <c r="EG34" s="650"/>
      <c r="EH34" s="650"/>
      <c r="EI34" s="650"/>
      <c r="EJ34" s="650"/>
      <c r="EK34" s="650"/>
      <c r="EL34" s="650"/>
      <c r="EM34" s="650"/>
      <c r="EN34" s="650"/>
      <c r="EO34" s="650"/>
      <c r="EP34" s="650"/>
      <c r="EQ34" s="650"/>
      <c r="ER34" s="650"/>
      <c r="ES34" s="650"/>
      <c r="ET34" s="650"/>
      <c r="EU34" s="650"/>
      <c r="EV34" s="650"/>
      <c r="EW34" s="650"/>
      <c r="EX34" s="650"/>
      <c r="EY34" s="650"/>
      <c r="EZ34" s="650"/>
      <c r="FA34" s="650"/>
      <c r="FB34" s="650"/>
      <c r="FC34" s="650"/>
      <c r="FD34" s="650"/>
      <c r="FE34" s="650"/>
      <c r="FF34" s="650"/>
      <c r="FG34" s="650"/>
      <c r="FH34" s="650"/>
      <c r="FI34" s="650"/>
      <c r="FJ34" s="650"/>
      <c r="FK34" s="650"/>
      <c r="FL34" s="650"/>
      <c r="FM34" s="650"/>
      <c r="FN34" s="650"/>
      <c r="FO34" s="650"/>
      <c r="FP34" s="650"/>
      <c r="FQ34" s="650"/>
      <c r="FR34" s="650"/>
      <c r="FS34" s="650"/>
      <c r="FT34" s="650"/>
      <c r="FU34" s="650"/>
      <c r="FV34" s="650"/>
      <c r="FW34" s="650"/>
      <c r="FX34" s="650"/>
      <c r="FY34" s="650"/>
      <c r="FZ34" s="650"/>
      <c r="GA34" s="650"/>
      <c r="GB34" s="650"/>
      <c r="GC34" s="650"/>
      <c r="GD34" s="650"/>
      <c r="GE34" s="650"/>
      <c r="GF34" s="650"/>
      <c r="GG34" s="650"/>
      <c r="GH34" s="650"/>
      <c r="GI34" s="650"/>
      <c r="GJ34" s="650"/>
      <c r="GK34" s="650"/>
      <c r="GL34" s="650"/>
      <c r="GM34" s="650"/>
      <c r="GN34" s="650"/>
      <c r="GO34" s="650"/>
      <c r="GP34" s="650"/>
      <c r="GQ34" s="668"/>
      <c r="GR34" s="668"/>
      <c r="GS34" s="668"/>
      <c r="GT34" s="668"/>
      <c r="GU34" s="668"/>
      <c r="GV34" s="668"/>
      <c r="GW34" s="669"/>
    </row>
    <row r="35" spans="1:205" ht="9" customHeight="1" x14ac:dyDescent="0.25">
      <c r="B35" s="650"/>
      <c r="C35" s="650"/>
      <c r="D35" s="650"/>
      <c r="E35" s="650"/>
      <c r="F35" s="650"/>
      <c r="G35" s="650"/>
      <c r="H35" s="650"/>
      <c r="I35" s="650"/>
      <c r="J35" s="650"/>
      <c r="K35" s="650"/>
      <c r="L35" s="650"/>
      <c r="M35" s="650"/>
      <c r="N35" s="650"/>
      <c r="O35" s="650"/>
      <c r="P35" s="650"/>
      <c r="Q35" s="650"/>
      <c r="R35" s="650"/>
      <c r="S35" s="650"/>
      <c r="T35" s="650"/>
      <c r="U35" s="650"/>
      <c r="V35" s="650"/>
      <c r="W35" s="650"/>
      <c r="X35" s="650"/>
      <c r="Y35" s="650"/>
      <c r="Z35" s="650"/>
      <c r="AA35" s="650"/>
      <c r="AB35" s="650"/>
      <c r="AC35" s="650"/>
      <c r="AD35" s="650"/>
      <c r="AE35" s="650"/>
      <c r="AF35" s="650"/>
      <c r="AG35" s="650"/>
      <c r="AH35" s="650"/>
      <c r="AI35" s="650"/>
      <c r="AJ35" s="650"/>
      <c r="AK35" s="650"/>
      <c r="AL35" s="650"/>
      <c r="AM35" s="650"/>
      <c r="AN35" s="650"/>
      <c r="AO35" s="650"/>
      <c r="AP35" s="650"/>
      <c r="AQ35" s="650"/>
      <c r="AR35" s="650"/>
      <c r="AS35" s="650"/>
      <c r="AT35" s="650"/>
      <c r="AU35" s="650"/>
      <c r="AV35" s="650"/>
      <c r="AW35" s="650"/>
      <c r="AX35" s="650"/>
      <c r="AY35" s="650"/>
      <c r="AZ35" s="650"/>
      <c r="BA35" s="650"/>
      <c r="BB35" s="650"/>
      <c r="BC35" s="650"/>
      <c r="BD35" s="650"/>
      <c r="BE35" s="650"/>
      <c r="BF35" s="650"/>
      <c r="BG35" s="650"/>
      <c r="BH35" s="650"/>
      <c r="BI35" s="650"/>
      <c r="BJ35" s="650"/>
      <c r="BK35" s="650"/>
      <c r="BL35" s="650"/>
      <c r="BM35" s="650"/>
      <c r="BN35" s="650"/>
      <c r="BO35" s="650"/>
      <c r="BP35" s="650"/>
      <c r="BQ35" s="650"/>
      <c r="BR35" s="650"/>
      <c r="BS35" s="650"/>
      <c r="BT35" s="650"/>
      <c r="BU35" s="650"/>
      <c r="BV35" s="650"/>
      <c r="BW35" s="650"/>
      <c r="BX35" s="650"/>
      <c r="BY35" s="650"/>
      <c r="BZ35" s="650"/>
      <c r="CA35" s="650"/>
      <c r="CB35" s="650"/>
      <c r="CC35" s="650"/>
      <c r="CD35" s="650"/>
      <c r="CE35" s="650"/>
      <c r="CF35" s="650"/>
      <c r="CG35" s="650"/>
      <c r="CH35" s="650"/>
      <c r="CI35" s="650"/>
      <c r="CJ35" s="650"/>
      <c r="CK35" s="650"/>
      <c r="CL35" s="650"/>
      <c r="CM35" s="650"/>
      <c r="CN35" s="650"/>
      <c r="CO35" s="650"/>
      <c r="CP35" s="650"/>
      <c r="CQ35" s="650"/>
      <c r="CR35" s="650"/>
      <c r="CS35" s="650"/>
      <c r="CT35" s="650"/>
      <c r="CU35" s="650"/>
      <c r="CV35" s="650"/>
      <c r="CW35" s="650"/>
      <c r="CX35" s="650"/>
      <c r="CY35" s="650"/>
      <c r="CZ35" s="650"/>
      <c r="DA35" s="650"/>
      <c r="DB35" s="650"/>
      <c r="DC35" s="650"/>
      <c r="DD35" s="650"/>
      <c r="DE35" s="650"/>
      <c r="DF35" s="650"/>
      <c r="DG35" s="650"/>
      <c r="DH35" s="650"/>
      <c r="DI35" s="650"/>
      <c r="DJ35" s="650"/>
      <c r="DK35" s="650"/>
      <c r="DL35" s="650"/>
      <c r="DM35" s="650"/>
      <c r="DN35" s="650"/>
      <c r="DO35" s="650"/>
      <c r="DP35" s="650"/>
      <c r="DQ35" s="650"/>
      <c r="DR35" s="650"/>
      <c r="DS35" s="650"/>
      <c r="DT35" s="650"/>
      <c r="DU35" s="650"/>
      <c r="DV35" s="650"/>
      <c r="DW35" s="650"/>
      <c r="DX35" s="650"/>
      <c r="DY35" s="650"/>
      <c r="DZ35" s="650"/>
      <c r="EA35" s="650"/>
      <c r="EB35" s="650"/>
      <c r="EC35" s="650"/>
      <c r="ED35" s="650"/>
      <c r="EE35" s="650"/>
      <c r="EF35" s="650"/>
      <c r="EG35" s="650"/>
      <c r="EH35" s="650"/>
      <c r="EI35" s="650"/>
      <c r="EJ35" s="650"/>
      <c r="EK35" s="650"/>
      <c r="EL35" s="650"/>
      <c r="EM35" s="650"/>
      <c r="EN35" s="650"/>
      <c r="EO35" s="650"/>
      <c r="EP35" s="650"/>
      <c r="EQ35" s="650"/>
      <c r="ER35" s="650"/>
      <c r="ES35" s="650"/>
      <c r="ET35" s="650"/>
      <c r="EU35" s="650"/>
      <c r="EV35" s="650"/>
      <c r="EW35" s="650"/>
      <c r="EX35" s="650"/>
      <c r="EY35" s="650"/>
      <c r="EZ35" s="650"/>
      <c r="FA35" s="650"/>
      <c r="FB35" s="650"/>
      <c r="FC35" s="650"/>
      <c r="FD35" s="650"/>
      <c r="FE35" s="650"/>
      <c r="FF35" s="650"/>
      <c r="FG35" s="650"/>
      <c r="FH35" s="650"/>
      <c r="FI35" s="650"/>
      <c r="FJ35" s="650"/>
      <c r="FK35" s="650"/>
      <c r="FL35" s="650"/>
      <c r="FM35" s="650"/>
      <c r="FN35" s="650"/>
      <c r="FO35" s="650"/>
      <c r="FP35" s="650"/>
      <c r="FQ35" s="650"/>
      <c r="FR35" s="650"/>
      <c r="FS35" s="650"/>
      <c r="FT35" s="650"/>
      <c r="FU35" s="650"/>
      <c r="FV35" s="650"/>
      <c r="FW35" s="650"/>
      <c r="FX35" s="650"/>
      <c r="FY35" s="650"/>
      <c r="FZ35" s="650"/>
      <c r="GA35" s="650"/>
      <c r="GB35" s="650"/>
      <c r="GC35" s="650"/>
      <c r="GD35" s="650"/>
      <c r="GE35" s="650"/>
      <c r="GF35" s="650"/>
      <c r="GG35" s="650"/>
      <c r="GH35" s="650"/>
      <c r="GI35" s="650"/>
      <c r="GJ35" s="650"/>
      <c r="GK35" s="650"/>
      <c r="GL35" s="650"/>
      <c r="GM35" s="650"/>
      <c r="GN35" s="650"/>
      <c r="GO35" s="650"/>
      <c r="GP35" s="650"/>
      <c r="GQ35" s="650"/>
      <c r="GR35" s="650"/>
      <c r="GS35" s="650"/>
      <c r="GT35" s="650"/>
      <c r="GU35" s="650"/>
    </row>
    <row r="36" spans="1:205" ht="3.75" customHeight="1" x14ac:dyDescent="0.25">
      <c r="B36" s="650"/>
      <c r="C36" s="650"/>
      <c r="D36" s="650"/>
      <c r="E36" s="650"/>
      <c r="F36" s="650"/>
      <c r="G36" s="650"/>
      <c r="H36" s="650"/>
      <c r="I36" s="650"/>
      <c r="J36" s="650"/>
      <c r="K36" s="650"/>
      <c r="L36" s="650"/>
      <c r="M36" s="650"/>
      <c r="N36" s="650"/>
      <c r="O36" s="650"/>
      <c r="P36" s="650"/>
      <c r="Q36" s="650"/>
      <c r="R36" s="650"/>
      <c r="S36" s="650"/>
      <c r="T36" s="650"/>
      <c r="U36" s="650"/>
      <c r="V36" s="650"/>
      <c r="W36" s="650"/>
      <c r="X36" s="650"/>
      <c r="Y36" s="650"/>
      <c r="Z36" s="650"/>
      <c r="AA36" s="650"/>
      <c r="AB36" s="650"/>
      <c r="AC36" s="650"/>
      <c r="AD36" s="650"/>
      <c r="AE36" s="650"/>
      <c r="AF36" s="650"/>
      <c r="AG36" s="650"/>
      <c r="AH36" s="650"/>
      <c r="AI36" s="650"/>
      <c r="AJ36" s="650"/>
      <c r="AK36" s="650"/>
      <c r="AL36" s="650"/>
      <c r="AM36" s="650"/>
      <c r="AN36" s="650"/>
      <c r="AO36" s="650"/>
      <c r="AP36" s="650"/>
      <c r="AQ36" s="650"/>
      <c r="AR36" s="650"/>
      <c r="AS36" s="650"/>
      <c r="AT36" s="650"/>
      <c r="AU36" s="650"/>
      <c r="AV36" s="650"/>
      <c r="AW36" s="650"/>
      <c r="AX36" s="650"/>
      <c r="AY36" s="650"/>
      <c r="AZ36" s="650"/>
      <c r="BA36" s="650"/>
      <c r="BB36" s="650"/>
      <c r="BC36" s="650"/>
      <c r="BD36" s="650"/>
      <c r="BE36" s="650"/>
      <c r="BF36" s="650"/>
      <c r="BG36" s="650"/>
      <c r="BH36" s="650"/>
      <c r="BI36" s="650"/>
      <c r="BJ36" s="650"/>
      <c r="BK36" s="650"/>
      <c r="BL36" s="650"/>
      <c r="BM36" s="650"/>
      <c r="BN36" s="650"/>
      <c r="BO36" s="650"/>
      <c r="BP36" s="650"/>
      <c r="BQ36" s="650"/>
      <c r="BR36" s="650"/>
      <c r="BS36" s="650"/>
      <c r="BT36" s="650"/>
      <c r="BU36" s="650"/>
      <c r="BV36" s="650"/>
      <c r="BW36" s="650"/>
      <c r="BX36" s="650"/>
      <c r="BY36" s="650"/>
      <c r="BZ36" s="650"/>
      <c r="CA36" s="650"/>
      <c r="CB36" s="650"/>
      <c r="CC36" s="650"/>
      <c r="CD36" s="650"/>
      <c r="CE36" s="650"/>
      <c r="CF36" s="650"/>
      <c r="CG36" s="650"/>
      <c r="CH36" s="650"/>
      <c r="CI36" s="650"/>
      <c r="CJ36" s="650"/>
      <c r="CK36" s="650"/>
      <c r="CL36" s="650"/>
      <c r="CM36" s="650"/>
      <c r="CN36" s="650"/>
      <c r="CO36" s="650"/>
      <c r="CP36" s="650"/>
      <c r="CQ36" s="650"/>
      <c r="CR36" s="650"/>
      <c r="CS36" s="650"/>
      <c r="CT36" s="650"/>
      <c r="CU36" s="650"/>
      <c r="CV36" s="650"/>
      <c r="CW36" s="650"/>
      <c r="CX36" s="650"/>
      <c r="CY36" s="650"/>
      <c r="CZ36" s="650"/>
      <c r="DA36" s="650"/>
      <c r="DB36" s="650"/>
      <c r="DC36" s="650"/>
      <c r="DD36" s="650"/>
      <c r="DE36" s="650"/>
      <c r="DF36" s="650"/>
      <c r="DG36" s="650"/>
      <c r="DH36" s="650"/>
      <c r="DI36" s="650"/>
      <c r="DJ36" s="650"/>
      <c r="DK36" s="650"/>
      <c r="DL36" s="650"/>
      <c r="DM36" s="650"/>
      <c r="DN36" s="650"/>
      <c r="DO36" s="650"/>
      <c r="DP36" s="650"/>
      <c r="DQ36" s="650"/>
      <c r="DR36" s="650"/>
      <c r="DS36" s="650"/>
      <c r="DT36" s="650"/>
      <c r="DU36" s="650"/>
      <c r="DV36" s="650"/>
      <c r="DW36" s="650"/>
      <c r="DX36" s="650"/>
      <c r="DY36" s="650"/>
      <c r="DZ36" s="650"/>
      <c r="EA36" s="650"/>
      <c r="EB36" s="650"/>
      <c r="EC36" s="650"/>
      <c r="ED36" s="650"/>
      <c r="EE36" s="650"/>
      <c r="EF36" s="650"/>
      <c r="EG36" s="650"/>
      <c r="EH36" s="650"/>
      <c r="EI36" s="650"/>
      <c r="EJ36" s="650"/>
      <c r="EK36" s="650"/>
      <c r="EL36" s="650"/>
      <c r="EM36" s="650"/>
      <c r="EN36" s="650"/>
      <c r="EO36" s="650"/>
      <c r="EP36" s="650"/>
      <c r="EQ36" s="650"/>
      <c r="ER36" s="650"/>
      <c r="ES36" s="650"/>
      <c r="ET36" s="650"/>
      <c r="EU36" s="650"/>
      <c r="EV36" s="650"/>
      <c r="EW36" s="650"/>
      <c r="EX36" s="650"/>
      <c r="EY36" s="650"/>
      <c r="EZ36" s="650"/>
      <c r="FA36" s="650"/>
      <c r="FB36" s="650"/>
      <c r="FC36" s="650"/>
      <c r="FD36" s="650"/>
      <c r="FE36" s="650"/>
      <c r="FF36" s="650"/>
      <c r="FG36" s="650"/>
      <c r="FH36" s="650"/>
      <c r="FI36" s="650"/>
      <c r="FJ36" s="650"/>
      <c r="FK36" s="650"/>
      <c r="FL36" s="650"/>
      <c r="FM36" s="650"/>
      <c r="FN36" s="650"/>
      <c r="FO36" s="650"/>
      <c r="FP36" s="650"/>
      <c r="FQ36" s="650"/>
      <c r="FR36" s="650"/>
      <c r="FS36" s="650"/>
      <c r="FT36" s="650"/>
      <c r="FU36" s="650"/>
      <c r="FV36" s="650"/>
      <c r="FW36" s="650"/>
      <c r="FX36" s="650"/>
      <c r="FY36" s="650"/>
      <c r="FZ36" s="650"/>
      <c r="GA36" s="650"/>
      <c r="GB36" s="650"/>
      <c r="GC36" s="650"/>
      <c r="GD36" s="650"/>
      <c r="GE36" s="650"/>
      <c r="GF36" s="650"/>
      <c r="GG36" s="650"/>
      <c r="GH36" s="650"/>
      <c r="GI36" s="650"/>
      <c r="GJ36" s="650"/>
      <c r="GK36" s="650"/>
      <c r="GL36" s="650"/>
      <c r="GM36" s="650"/>
      <c r="GN36" s="650"/>
      <c r="GO36" s="650"/>
      <c r="GP36" s="650"/>
      <c r="GQ36" s="650"/>
      <c r="GR36" s="650"/>
      <c r="GS36" s="650"/>
      <c r="GT36" s="650"/>
      <c r="GU36" s="650"/>
    </row>
    <row r="37" spans="1:205" ht="3.75" customHeight="1" x14ac:dyDescent="0.25"/>
    <row r="38" spans="1:205" ht="3.75" customHeight="1" x14ac:dyDescent="0.25"/>
    <row r="39" spans="1:205" ht="3.75" customHeight="1" x14ac:dyDescent="0.25"/>
    <row r="40" spans="1:205" ht="3.75" customHeight="1" x14ac:dyDescent="0.25"/>
    <row r="41" spans="1:205" ht="3.75" customHeight="1" x14ac:dyDescent="0.25"/>
    <row r="42" spans="1:205" ht="3.75" customHeight="1" x14ac:dyDescent="0.25"/>
    <row r="43" spans="1:205" ht="3.75" customHeight="1" x14ac:dyDescent="0.25"/>
    <row r="44" spans="1:205" ht="3.75" customHeight="1" x14ac:dyDescent="0.25"/>
    <row r="45" spans="1:205" ht="3.75" customHeight="1" x14ac:dyDescent="0.25"/>
    <row r="46" spans="1:205" ht="3.75" customHeight="1" x14ac:dyDescent="0.25"/>
    <row r="47" spans="1:205" ht="3.75" customHeight="1" x14ac:dyDescent="0.25"/>
    <row r="48" spans="1:205" ht="3.75" customHeight="1" x14ac:dyDescent="0.25"/>
    <row r="49" spans="43:43" ht="3.75" customHeight="1" x14ac:dyDescent="0.25"/>
    <row r="50" spans="43:43" ht="3.75" customHeight="1" x14ac:dyDescent="0.25"/>
    <row r="51" spans="43:43" ht="3.75" customHeight="1" x14ac:dyDescent="0.25"/>
    <row r="52" spans="43:43" ht="3.75" customHeight="1" x14ac:dyDescent="0.25">
      <c r="AQ52" s="659">
        <v>57</v>
      </c>
    </row>
    <row r="53" spans="43:43" ht="3.75" customHeight="1" x14ac:dyDescent="0.25"/>
    <row r="54" spans="43:43" ht="3.75" customHeight="1" x14ac:dyDescent="0.25"/>
    <row r="55" spans="43:43" ht="3.75" customHeight="1" x14ac:dyDescent="0.25"/>
    <row r="56" spans="43:43" ht="3.75" customHeight="1" x14ac:dyDescent="0.25"/>
    <row r="57" spans="43:43" ht="3.75" customHeight="1" x14ac:dyDescent="0.25"/>
    <row r="58" spans="43:43" ht="3.75" customHeight="1" x14ac:dyDescent="0.25"/>
    <row r="59" spans="43:43" ht="3.75" customHeight="1" x14ac:dyDescent="0.25"/>
    <row r="60" spans="43:43" ht="3.75" customHeight="1" x14ac:dyDescent="0.25"/>
    <row r="61" spans="43:43" ht="3.75" customHeight="1" x14ac:dyDescent="0.25"/>
    <row r="62" spans="43:43" ht="3.75" customHeight="1" x14ac:dyDescent="0.25"/>
    <row r="63" spans="43:43" ht="3.75" customHeight="1" x14ac:dyDescent="0.25"/>
    <row r="64" spans="43:43" ht="3.75" customHeight="1" x14ac:dyDescent="0.25"/>
    <row r="65" ht="3.75" customHeight="1" x14ac:dyDescent="0.25"/>
    <row r="66" ht="3.75" customHeight="1" x14ac:dyDescent="0.25"/>
    <row r="67" ht="3.75" customHeight="1" x14ac:dyDescent="0.25"/>
    <row r="68" ht="3.75" customHeight="1" x14ac:dyDescent="0.25"/>
    <row r="69" ht="3.75" customHeight="1" x14ac:dyDescent="0.25"/>
    <row r="70" ht="3.75" customHeight="1" x14ac:dyDescent="0.25"/>
    <row r="71" ht="3.75" customHeight="1" x14ac:dyDescent="0.25"/>
    <row r="72" ht="3.75" customHeight="1" x14ac:dyDescent="0.25"/>
    <row r="73" ht="3.75" customHeight="1" x14ac:dyDescent="0.25"/>
    <row r="74" ht="3.75" customHeight="1" x14ac:dyDescent="0.25"/>
    <row r="75" ht="3.75" customHeight="1" x14ac:dyDescent="0.25"/>
    <row r="76" ht="3.75" customHeight="1" x14ac:dyDescent="0.25"/>
    <row r="77" ht="3.75" customHeight="1" x14ac:dyDescent="0.25"/>
    <row r="78" ht="3.75" customHeight="1" x14ac:dyDescent="0.25"/>
    <row r="79" ht="3.75" customHeight="1" x14ac:dyDescent="0.25"/>
    <row r="80" ht="3.75" customHeight="1" x14ac:dyDescent="0.25"/>
    <row r="81" ht="3.75" customHeight="1" x14ac:dyDescent="0.25"/>
    <row r="82" ht="3.75" customHeight="1" x14ac:dyDescent="0.25"/>
    <row r="83" ht="3.75" customHeight="1" x14ac:dyDescent="0.25"/>
    <row r="84" ht="3.75" customHeight="1" x14ac:dyDescent="0.25"/>
    <row r="85" ht="3.75" customHeight="1" x14ac:dyDescent="0.25"/>
    <row r="86" ht="3.75" customHeight="1" x14ac:dyDescent="0.25"/>
    <row r="87" ht="3.75" customHeight="1" x14ac:dyDescent="0.25"/>
    <row r="88" ht="3.75" customHeight="1" x14ac:dyDescent="0.25"/>
    <row r="89" ht="3.75" customHeight="1" x14ac:dyDescent="0.25"/>
    <row r="90" ht="3.75" customHeight="1" x14ac:dyDescent="0.25"/>
    <row r="91" ht="3.75" customHeight="1" x14ac:dyDescent="0.25"/>
    <row r="92" ht="3.75" customHeight="1" x14ac:dyDescent="0.25"/>
    <row r="93" ht="3.75" customHeight="1" x14ac:dyDescent="0.25"/>
    <row r="94" ht="3.75" customHeight="1" x14ac:dyDescent="0.25"/>
    <row r="95" ht="3.75" customHeight="1" x14ac:dyDescent="0.25"/>
    <row r="96" ht="3.75" customHeight="1" x14ac:dyDescent="0.25"/>
    <row r="97" ht="3.75" customHeight="1" x14ac:dyDescent="0.25"/>
    <row r="98" ht="3.75" customHeight="1" x14ac:dyDescent="0.25"/>
    <row r="99" ht="3.75" customHeight="1" x14ac:dyDescent="0.25"/>
    <row r="100" ht="3.75" customHeight="1" x14ac:dyDescent="0.25"/>
    <row r="101" ht="3.75" customHeight="1" x14ac:dyDescent="0.25"/>
    <row r="102" ht="3.75" customHeight="1" x14ac:dyDescent="0.25"/>
    <row r="103" ht="3.75" customHeight="1" x14ac:dyDescent="0.25"/>
    <row r="104" ht="3.75" customHeight="1" x14ac:dyDescent="0.25"/>
    <row r="105" ht="3.75" customHeight="1" x14ac:dyDescent="0.25"/>
    <row r="106" ht="3.75" customHeight="1" x14ac:dyDescent="0.25"/>
    <row r="107" ht="3.75" customHeight="1" x14ac:dyDescent="0.25"/>
    <row r="108" ht="3.75" customHeight="1" x14ac:dyDescent="0.25"/>
    <row r="109" ht="3.75" customHeight="1" x14ac:dyDescent="0.25"/>
    <row r="110" ht="3.75" customHeight="1" x14ac:dyDescent="0.25"/>
    <row r="111" ht="3.75" customHeight="1" x14ac:dyDescent="0.25"/>
    <row r="112" ht="3.75" customHeight="1" x14ac:dyDescent="0.25"/>
    <row r="113" ht="3.75" customHeight="1" x14ac:dyDescent="0.25"/>
    <row r="114" ht="3.75" customHeight="1" x14ac:dyDescent="0.25"/>
    <row r="115" ht="3.75" customHeight="1" x14ac:dyDescent="0.25"/>
    <row r="116" ht="3.75" customHeight="1" x14ac:dyDescent="0.25"/>
    <row r="117" ht="3.75" customHeight="1" x14ac:dyDescent="0.25"/>
    <row r="118" ht="3.75" customHeight="1" x14ac:dyDescent="0.25"/>
    <row r="119" ht="3.75" customHeight="1" x14ac:dyDescent="0.25"/>
    <row r="120" ht="3.75" customHeight="1" x14ac:dyDescent="0.25"/>
    <row r="121" ht="3.75" customHeight="1" x14ac:dyDescent="0.25"/>
    <row r="122" ht="3.75" customHeight="1" x14ac:dyDescent="0.25"/>
    <row r="123" ht="3.75" customHeight="1" x14ac:dyDescent="0.25"/>
    <row r="124" ht="3.75" customHeight="1" x14ac:dyDescent="0.25"/>
    <row r="125" ht="3.75" customHeight="1" x14ac:dyDescent="0.25"/>
    <row r="126" ht="3.75" customHeight="1" x14ac:dyDescent="0.25"/>
    <row r="127" ht="3.75" customHeight="1" x14ac:dyDescent="0.25"/>
    <row r="128" ht="3.75" customHeight="1" x14ac:dyDescent="0.25"/>
    <row r="129" ht="3.75" customHeight="1" x14ac:dyDescent="0.25"/>
    <row r="130" ht="3.75" customHeight="1" x14ac:dyDescent="0.25"/>
    <row r="131" ht="3.75" customHeight="1" x14ac:dyDescent="0.25"/>
    <row r="132" ht="3.75" customHeight="1" x14ac:dyDescent="0.25"/>
    <row r="133" ht="3.75" customHeight="1" x14ac:dyDescent="0.25"/>
    <row r="134" ht="3.75" customHeight="1" x14ac:dyDescent="0.25"/>
    <row r="135" ht="3.75" customHeight="1" x14ac:dyDescent="0.25"/>
    <row r="136" ht="3.75" customHeight="1" x14ac:dyDescent="0.25"/>
    <row r="137" ht="3.75" customHeight="1" x14ac:dyDescent="0.25"/>
    <row r="138" ht="3.75" customHeight="1" x14ac:dyDescent="0.25"/>
    <row r="139" ht="3.75" customHeight="1" x14ac:dyDescent="0.25"/>
    <row r="140" ht="3.75" customHeight="1" x14ac:dyDescent="0.25"/>
    <row r="141" ht="3.75" customHeight="1" x14ac:dyDescent="0.25"/>
    <row r="142" ht="3.75" customHeight="1" x14ac:dyDescent="0.25"/>
    <row r="143" ht="3.75" customHeight="1" x14ac:dyDescent="0.25"/>
    <row r="144" ht="3.75" customHeight="1" x14ac:dyDescent="0.25"/>
    <row r="145" spans="10:10" ht="3.75" customHeight="1" x14ac:dyDescent="0.25"/>
    <row r="146" spans="10:10" ht="3.75" customHeight="1" x14ac:dyDescent="0.25"/>
    <row r="147" spans="10:10" ht="3.75" customHeight="1" x14ac:dyDescent="0.25">
      <c r="J147" s="659">
        <v>33</v>
      </c>
    </row>
  </sheetData>
  <mergeCells count="733">
    <mergeCell ref="FL33:FQ33"/>
    <mergeCell ref="FR33:FV33"/>
    <mergeCell ref="FW33:GB33"/>
    <mergeCell ref="GC33:GG33"/>
    <mergeCell ref="GH33:GM33"/>
    <mergeCell ref="GN33:GR33"/>
    <mergeCell ref="GS33:GW33"/>
    <mergeCell ref="DL33:DQ33"/>
    <mergeCell ref="DR33:DV33"/>
    <mergeCell ref="DW33:EB33"/>
    <mergeCell ref="EC33:EG33"/>
    <mergeCell ref="EH33:EM33"/>
    <mergeCell ref="EP33:EU33"/>
    <mergeCell ref="EV33:EZ33"/>
    <mergeCell ref="FA33:FF33"/>
    <mergeCell ref="FG33:FK33"/>
    <mergeCell ref="B33:K33"/>
    <mergeCell ref="L33:BV33"/>
    <mergeCell ref="BW33:CD33"/>
    <mergeCell ref="CE33:CI33"/>
    <mergeCell ref="CJ33:CO33"/>
    <mergeCell ref="CP33:CT33"/>
    <mergeCell ref="CU33:CZ33"/>
    <mergeCell ref="DA33:DE33"/>
    <mergeCell ref="DF33:DK33"/>
    <mergeCell ref="FA32:FF32"/>
    <mergeCell ref="FG32:FK32"/>
    <mergeCell ref="FL32:FQ32"/>
    <mergeCell ref="FR32:FV32"/>
    <mergeCell ref="FW32:GB32"/>
    <mergeCell ref="GC32:GG32"/>
    <mergeCell ref="GH32:GM32"/>
    <mergeCell ref="GN32:GR32"/>
    <mergeCell ref="GS32:GW32"/>
    <mergeCell ref="FG31:FK31"/>
    <mergeCell ref="FL31:FQ31"/>
    <mergeCell ref="FR31:FV31"/>
    <mergeCell ref="FW31:GB31"/>
    <mergeCell ref="GC31:GG31"/>
    <mergeCell ref="GH31:GM31"/>
    <mergeCell ref="GN31:GR31"/>
    <mergeCell ref="GS31:GW31"/>
    <mergeCell ref="B32:K32"/>
    <mergeCell ref="L32:BV32"/>
    <mergeCell ref="BW32:CD32"/>
    <mergeCell ref="CE32:CI32"/>
    <mergeCell ref="CJ32:CO32"/>
    <mergeCell ref="CP32:CT32"/>
    <mergeCell ref="CU32:CZ32"/>
    <mergeCell ref="DA32:DE32"/>
    <mergeCell ref="DF32:DK32"/>
    <mergeCell ref="DL32:DQ32"/>
    <mergeCell ref="DR32:DV32"/>
    <mergeCell ref="DW32:EB32"/>
    <mergeCell ref="EC32:EG32"/>
    <mergeCell ref="EH32:EM32"/>
    <mergeCell ref="EP32:EU32"/>
    <mergeCell ref="EV32:EZ32"/>
    <mergeCell ref="FL30:FQ30"/>
    <mergeCell ref="FR30:FV30"/>
    <mergeCell ref="FW30:GB30"/>
    <mergeCell ref="GC30:GG30"/>
    <mergeCell ref="GH30:GM30"/>
    <mergeCell ref="GN30:GR30"/>
    <mergeCell ref="GS30:GW30"/>
    <mergeCell ref="B31:K31"/>
    <mergeCell ref="L31:BV31"/>
    <mergeCell ref="BW31:CD31"/>
    <mergeCell ref="CE31:CI31"/>
    <mergeCell ref="CJ31:CO31"/>
    <mergeCell ref="CP31:CT31"/>
    <mergeCell ref="CU31:CZ31"/>
    <mergeCell ref="DA31:DE31"/>
    <mergeCell ref="DF31:DK31"/>
    <mergeCell ref="DL31:DQ31"/>
    <mergeCell ref="DR31:DV31"/>
    <mergeCell ref="DW31:EB31"/>
    <mergeCell ref="EC31:EG31"/>
    <mergeCell ref="EH31:EM31"/>
    <mergeCell ref="EP31:EU31"/>
    <mergeCell ref="EV31:EZ31"/>
    <mergeCell ref="FA31:FF31"/>
    <mergeCell ref="DL30:DQ30"/>
    <mergeCell ref="DR30:DV30"/>
    <mergeCell ref="DW30:EB30"/>
    <mergeCell ref="EC30:EG30"/>
    <mergeCell ref="EH30:EM30"/>
    <mergeCell ref="EP30:EU30"/>
    <mergeCell ref="EV30:EZ30"/>
    <mergeCell ref="FA30:FF30"/>
    <mergeCell ref="FG30:FK30"/>
    <mergeCell ref="B30:K30"/>
    <mergeCell ref="L30:BV30"/>
    <mergeCell ref="BW30:CD30"/>
    <mergeCell ref="CE30:CI30"/>
    <mergeCell ref="CJ30:CO30"/>
    <mergeCell ref="CP30:CT30"/>
    <mergeCell ref="CU30:CZ30"/>
    <mergeCell ref="DA30:DE30"/>
    <mergeCell ref="DF30:DK30"/>
    <mergeCell ref="FA29:FF29"/>
    <mergeCell ref="FG29:FK29"/>
    <mergeCell ref="FL29:FQ29"/>
    <mergeCell ref="FR29:FV29"/>
    <mergeCell ref="FW29:GB29"/>
    <mergeCell ref="GC29:GG29"/>
    <mergeCell ref="GH29:GM29"/>
    <mergeCell ref="GN29:GR29"/>
    <mergeCell ref="GS29:GW29"/>
    <mergeCell ref="FG28:FK28"/>
    <mergeCell ref="FL28:FQ28"/>
    <mergeCell ref="FR28:FV28"/>
    <mergeCell ref="FW28:GB28"/>
    <mergeCell ref="GC28:GG28"/>
    <mergeCell ref="GH28:GM28"/>
    <mergeCell ref="GN28:GR28"/>
    <mergeCell ref="GS28:GW28"/>
    <mergeCell ref="B29:K29"/>
    <mergeCell ref="L29:BV29"/>
    <mergeCell ref="BW29:CD29"/>
    <mergeCell ref="CE29:CI29"/>
    <mergeCell ref="CJ29:CO29"/>
    <mergeCell ref="CP29:CT29"/>
    <mergeCell ref="CU29:CZ29"/>
    <mergeCell ref="DA29:DE29"/>
    <mergeCell ref="DF29:DK29"/>
    <mergeCell ref="DL29:DQ29"/>
    <mergeCell ref="DR29:DV29"/>
    <mergeCell ref="DW29:EB29"/>
    <mergeCell ref="EC29:EG29"/>
    <mergeCell ref="EH29:EM29"/>
    <mergeCell ref="EP29:EU29"/>
    <mergeCell ref="EV29:EZ29"/>
    <mergeCell ref="FL27:FQ27"/>
    <mergeCell ref="FR27:FV27"/>
    <mergeCell ref="FW27:GB27"/>
    <mergeCell ref="GC27:GG27"/>
    <mergeCell ref="GH27:GM27"/>
    <mergeCell ref="GN27:GR27"/>
    <mergeCell ref="GS27:GW27"/>
    <mergeCell ref="B28:K28"/>
    <mergeCell ref="L28:BV28"/>
    <mergeCell ref="BW28:CD28"/>
    <mergeCell ref="CE28:CI28"/>
    <mergeCell ref="CJ28:CO28"/>
    <mergeCell ref="CP28:CT28"/>
    <mergeCell ref="CU28:CZ28"/>
    <mergeCell ref="DA28:DE28"/>
    <mergeCell ref="DF28:DK28"/>
    <mergeCell ref="DL28:DQ28"/>
    <mergeCell ref="DR28:DV28"/>
    <mergeCell ref="DW28:EB28"/>
    <mergeCell ref="EC28:EG28"/>
    <mergeCell ref="EH28:EM28"/>
    <mergeCell ref="EP28:EU28"/>
    <mergeCell ref="EV28:EZ28"/>
    <mergeCell ref="FA28:FF28"/>
    <mergeCell ref="DL27:DQ27"/>
    <mergeCell ref="DR27:DV27"/>
    <mergeCell ref="DW27:EB27"/>
    <mergeCell ref="EC27:EG27"/>
    <mergeCell ref="EH27:EM27"/>
    <mergeCell ref="EP27:EU27"/>
    <mergeCell ref="EV27:EZ27"/>
    <mergeCell ref="FA27:FF27"/>
    <mergeCell ref="FG27:FK27"/>
    <mergeCell ref="B27:K27"/>
    <mergeCell ref="L27:BV27"/>
    <mergeCell ref="BW27:CD27"/>
    <mergeCell ref="CE27:CI27"/>
    <mergeCell ref="CJ27:CO27"/>
    <mergeCell ref="CP27:CT27"/>
    <mergeCell ref="CU27:CZ27"/>
    <mergeCell ref="DA27:DE27"/>
    <mergeCell ref="DF27:DK27"/>
    <mergeCell ref="FA26:FF26"/>
    <mergeCell ref="FG26:FK26"/>
    <mergeCell ref="FL26:FQ26"/>
    <mergeCell ref="FR26:FV26"/>
    <mergeCell ref="FW26:GB26"/>
    <mergeCell ref="GC26:GG26"/>
    <mergeCell ref="GH26:GM26"/>
    <mergeCell ref="GN26:GR26"/>
    <mergeCell ref="GS26:GW26"/>
    <mergeCell ref="FG25:FK25"/>
    <mergeCell ref="FL25:FQ25"/>
    <mergeCell ref="FR25:FV25"/>
    <mergeCell ref="FW25:GB25"/>
    <mergeCell ref="GC25:GG25"/>
    <mergeCell ref="GH25:GM25"/>
    <mergeCell ref="GN25:GR25"/>
    <mergeCell ref="GS25:GW25"/>
    <mergeCell ref="B26:K26"/>
    <mergeCell ref="L26:BV26"/>
    <mergeCell ref="BW26:CD26"/>
    <mergeCell ref="CE26:CI26"/>
    <mergeCell ref="CJ26:CO26"/>
    <mergeCell ref="CP26:CT26"/>
    <mergeCell ref="CU26:CZ26"/>
    <mergeCell ref="DA26:DE26"/>
    <mergeCell ref="DF26:DK26"/>
    <mergeCell ref="DL26:DQ26"/>
    <mergeCell ref="DR26:DV26"/>
    <mergeCell ref="DW26:EB26"/>
    <mergeCell ref="EC26:EG26"/>
    <mergeCell ref="EH26:EM26"/>
    <mergeCell ref="EP26:EU26"/>
    <mergeCell ref="EV26:EZ26"/>
    <mergeCell ref="FL24:FQ24"/>
    <mergeCell ref="FR24:FV24"/>
    <mergeCell ref="FW24:GB24"/>
    <mergeCell ref="GC24:GG24"/>
    <mergeCell ref="GH24:GM24"/>
    <mergeCell ref="GN24:GR24"/>
    <mergeCell ref="GS24:GW24"/>
    <mergeCell ref="B25:K25"/>
    <mergeCell ref="L25:BV25"/>
    <mergeCell ref="BW25:CD25"/>
    <mergeCell ref="CE25:CI25"/>
    <mergeCell ref="CJ25:CO25"/>
    <mergeCell ref="CP25:CT25"/>
    <mergeCell ref="CU25:CZ25"/>
    <mergeCell ref="DA25:DE25"/>
    <mergeCell ref="DF25:DK25"/>
    <mergeCell ref="DL25:DQ25"/>
    <mergeCell ref="DR25:DV25"/>
    <mergeCell ref="DW25:EB25"/>
    <mergeCell ref="EC25:EG25"/>
    <mergeCell ref="EH25:EM25"/>
    <mergeCell ref="EP25:EU25"/>
    <mergeCell ref="EV25:EZ25"/>
    <mergeCell ref="FA25:FF25"/>
    <mergeCell ref="DL24:DQ24"/>
    <mergeCell ref="DR24:DV24"/>
    <mergeCell ref="DW24:EB24"/>
    <mergeCell ref="EC24:EG24"/>
    <mergeCell ref="EH24:EM24"/>
    <mergeCell ref="EP24:EU24"/>
    <mergeCell ref="EV24:EZ24"/>
    <mergeCell ref="FA24:FF24"/>
    <mergeCell ref="FG24:FK24"/>
    <mergeCell ref="B24:K24"/>
    <mergeCell ref="L24:BV24"/>
    <mergeCell ref="BW24:CD24"/>
    <mergeCell ref="CE24:CI24"/>
    <mergeCell ref="CJ24:CO24"/>
    <mergeCell ref="CP24:CT24"/>
    <mergeCell ref="CU24:CZ24"/>
    <mergeCell ref="DA24:DE24"/>
    <mergeCell ref="DF24:DK24"/>
    <mergeCell ref="FA23:FF23"/>
    <mergeCell ref="FG23:FK23"/>
    <mergeCell ref="FL23:FQ23"/>
    <mergeCell ref="FR23:FV23"/>
    <mergeCell ref="FW23:GB23"/>
    <mergeCell ref="GC23:GG23"/>
    <mergeCell ref="GH23:GM23"/>
    <mergeCell ref="GN23:GR23"/>
    <mergeCell ref="GS23:GW23"/>
    <mergeCell ref="FG22:FK22"/>
    <mergeCell ref="FL22:FQ22"/>
    <mergeCell ref="FR22:FV22"/>
    <mergeCell ref="FW22:GB22"/>
    <mergeCell ref="GC22:GG22"/>
    <mergeCell ref="GH22:GM22"/>
    <mergeCell ref="GN22:GR22"/>
    <mergeCell ref="GS22:GW22"/>
    <mergeCell ref="B23:K23"/>
    <mergeCell ref="L23:BV23"/>
    <mergeCell ref="BW23:CD23"/>
    <mergeCell ref="CE23:CI23"/>
    <mergeCell ref="CJ23:CO23"/>
    <mergeCell ref="CP23:CT23"/>
    <mergeCell ref="CU23:CZ23"/>
    <mergeCell ref="DA23:DE23"/>
    <mergeCell ref="DF23:DK23"/>
    <mergeCell ref="DL23:DQ23"/>
    <mergeCell ref="DR23:DV23"/>
    <mergeCell ref="DW23:EB23"/>
    <mergeCell ref="EC23:EG23"/>
    <mergeCell ref="EH23:EM23"/>
    <mergeCell ref="EP23:EU23"/>
    <mergeCell ref="EV23:EZ23"/>
    <mergeCell ref="FL21:FQ21"/>
    <mergeCell ref="FR21:FV21"/>
    <mergeCell ref="FW21:GB21"/>
    <mergeCell ref="GC21:GG21"/>
    <mergeCell ref="GH21:GM21"/>
    <mergeCell ref="GN21:GR21"/>
    <mergeCell ref="GS21:GW21"/>
    <mergeCell ref="B22:K22"/>
    <mergeCell ref="L22:BV22"/>
    <mergeCell ref="BW22:CD22"/>
    <mergeCell ref="CE22:CI22"/>
    <mergeCell ref="CJ22:CO22"/>
    <mergeCell ref="CP22:CT22"/>
    <mergeCell ref="CU22:CZ22"/>
    <mergeCell ref="DA22:DE22"/>
    <mergeCell ref="DF22:DK22"/>
    <mergeCell ref="DL22:DQ22"/>
    <mergeCell ref="DR22:DV22"/>
    <mergeCell ref="DW22:EB22"/>
    <mergeCell ref="EC22:EG22"/>
    <mergeCell ref="EH22:EM22"/>
    <mergeCell ref="EP22:EU22"/>
    <mergeCell ref="EV22:EZ22"/>
    <mergeCell ref="FA22:FF22"/>
    <mergeCell ref="DL21:DQ21"/>
    <mergeCell ref="DR21:DV21"/>
    <mergeCell ref="DW21:EB21"/>
    <mergeCell ref="EC21:EG21"/>
    <mergeCell ref="EH21:EM21"/>
    <mergeCell ref="EP21:EU21"/>
    <mergeCell ref="EV21:EZ21"/>
    <mergeCell ref="FA21:FF21"/>
    <mergeCell ref="FG21:FK21"/>
    <mergeCell ref="B21:K21"/>
    <mergeCell ref="L21:BV21"/>
    <mergeCell ref="BW21:CD21"/>
    <mergeCell ref="CE21:CI21"/>
    <mergeCell ref="CJ21:CO21"/>
    <mergeCell ref="CP21:CT21"/>
    <mergeCell ref="CU21:CZ21"/>
    <mergeCell ref="DA21:DE21"/>
    <mergeCell ref="DF21:DK21"/>
    <mergeCell ref="FA20:FF20"/>
    <mergeCell ref="FG20:FK20"/>
    <mergeCell ref="FL20:FQ20"/>
    <mergeCell ref="FR20:FV20"/>
    <mergeCell ref="FW20:GB20"/>
    <mergeCell ref="GC20:GG20"/>
    <mergeCell ref="GH20:GM20"/>
    <mergeCell ref="GN20:GR20"/>
    <mergeCell ref="GS20:GW20"/>
    <mergeCell ref="FG19:FK19"/>
    <mergeCell ref="FL19:FQ19"/>
    <mergeCell ref="FR19:FV19"/>
    <mergeCell ref="FW19:GB19"/>
    <mergeCell ref="GC19:GG19"/>
    <mergeCell ref="GH19:GM19"/>
    <mergeCell ref="GN19:GR19"/>
    <mergeCell ref="GS19:GW19"/>
    <mergeCell ref="B20:K20"/>
    <mergeCell ref="L20:BV20"/>
    <mergeCell ref="BW20:CD20"/>
    <mergeCell ref="CE20:CI20"/>
    <mergeCell ref="CJ20:CO20"/>
    <mergeCell ref="CP20:CT20"/>
    <mergeCell ref="CU20:CZ20"/>
    <mergeCell ref="DA20:DE20"/>
    <mergeCell ref="DF20:DK20"/>
    <mergeCell ref="DL20:DQ20"/>
    <mergeCell ref="DR20:DV20"/>
    <mergeCell ref="DW20:EB20"/>
    <mergeCell ref="EC20:EG20"/>
    <mergeCell ref="EH20:EM20"/>
    <mergeCell ref="EP20:EU20"/>
    <mergeCell ref="EV20:EZ20"/>
    <mergeCell ref="FL18:FQ18"/>
    <mergeCell ref="FR18:FV18"/>
    <mergeCell ref="FW18:GB18"/>
    <mergeCell ref="GC18:GG18"/>
    <mergeCell ref="GH18:GM18"/>
    <mergeCell ref="GN18:GR18"/>
    <mergeCell ref="GS18:GW18"/>
    <mergeCell ref="B19:K19"/>
    <mergeCell ref="L19:BV19"/>
    <mergeCell ref="BW19:CD19"/>
    <mergeCell ref="CE19:CI19"/>
    <mergeCell ref="CJ19:CO19"/>
    <mergeCell ref="CP19:CT19"/>
    <mergeCell ref="CU19:CZ19"/>
    <mergeCell ref="DA19:DE19"/>
    <mergeCell ref="DF19:DK19"/>
    <mergeCell ref="DL19:DQ19"/>
    <mergeCell ref="DR19:DV19"/>
    <mergeCell ref="DW19:EB19"/>
    <mergeCell ref="EC19:EG19"/>
    <mergeCell ref="EH19:EM19"/>
    <mergeCell ref="EP19:EU19"/>
    <mergeCell ref="EV19:EZ19"/>
    <mergeCell ref="FA19:FF19"/>
    <mergeCell ref="DL18:DQ18"/>
    <mergeCell ref="DR18:DV18"/>
    <mergeCell ref="DW18:EB18"/>
    <mergeCell ref="EC18:EG18"/>
    <mergeCell ref="EH18:EM18"/>
    <mergeCell ref="EP18:EU18"/>
    <mergeCell ref="EV18:EZ18"/>
    <mergeCell ref="FA18:FF18"/>
    <mergeCell ref="FG18:FK18"/>
    <mergeCell ref="B18:K18"/>
    <mergeCell ref="L18:BV18"/>
    <mergeCell ref="BW18:CD18"/>
    <mergeCell ref="CE18:CI18"/>
    <mergeCell ref="CJ18:CO18"/>
    <mergeCell ref="CP18:CT18"/>
    <mergeCell ref="CU18:CZ18"/>
    <mergeCell ref="DA18:DE18"/>
    <mergeCell ref="DF18:DK18"/>
    <mergeCell ref="FA17:FF17"/>
    <mergeCell ref="FG17:FK17"/>
    <mergeCell ref="FL17:FQ17"/>
    <mergeCell ref="FR17:FV17"/>
    <mergeCell ref="FW17:GB17"/>
    <mergeCell ref="GC17:GG17"/>
    <mergeCell ref="GH17:GM17"/>
    <mergeCell ref="GN17:GR17"/>
    <mergeCell ref="GS17:GW17"/>
    <mergeCell ref="FG16:FK16"/>
    <mergeCell ref="FL16:FQ16"/>
    <mergeCell ref="FR16:FV16"/>
    <mergeCell ref="FW16:GB16"/>
    <mergeCell ref="GC16:GG16"/>
    <mergeCell ref="GH16:GM16"/>
    <mergeCell ref="GN16:GR16"/>
    <mergeCell ref="GS16:GW16"/>
    <mergeCell ref="B17:K17"/>
    <mergeCell ref="L17:BV17"/>
    <mergeCell ref="BW17:CD17"/>
    <mergeCell ref="CE17:CI17"/>
    <mergeCell ref="CJ17:CO17"/>
    <mergeCell ref="CP17:CT17"/>
    <mergeCell ref="CU17:CZ17"/>
    <mergeCell ref="DA17:DE17"/>
    <mergeCell ref="DF17:DK17"/>
    <mergeCell ref="DL17:DQ17"/>
    <mergeCell ref="DR17:DV17"/>
    <mergeCell ref="DW17:EB17"/>
    <mergeCell ref="EC17:EG17"/>
    <mergeCell ref="EH17:EM17"/>
    <mergeCell ref="EP17:EU17"/>
    <mergeCell ref="EV17:EZ17"/>
    <mergeCell ref="FL15:FQ15"/>
    <mergeCell ref="FR15:FV15"/>
    <mergeCell ref="FW15:GB15"/>
    <mergeCell ref="GC15:GG15"/>
    <mergeCell ref="GH15:GM15"/>
    <mergeCell ref="GN15:GR15"/>
    <mergeCell ref="GS15:GW15"/>
    <mergeCell ref="B16:K16"/>
    <mergeCell ref="L16:BV16"/>
    <mergeCell ref="BW16:CD16"/>
    <mergeCell ref="CE16:CI16"/>
    <mergeCell ref="CJ16:CO16"/>
    <mergeCell ref="CP16:CT16"/>
    <mergeCell ref="CU16:CZ16"/>
    <mergeCell ref="DA16:DE16"/>
    <mergeCell ref="DF16:DK16"/>
    <mergeCell ref="DL16:DQ16"/>
    <mergeCell ref="DR16:DV16"/>
    <mergeCell ref="DW16:EB16"/>
    <mergeCell ref="EC16:EG16"/>
    <mergeCell ref="EH16:EM16"/>
    <mergeCell ref="EP16:EU16"/>
    <mergeCell ref="EV16:EZ16"/>
    <mergeCell ref="FA16:FF16"/>
    <mergeCell ref="DL15:DQ15"/>
    <mergeCell ref="DR15:DV15"/>
    <mergeCell ref="DW15:EB15"/>
    <mergeCell ref="EC15:EG15"/>
    <mergeCell ref="EH15:EM15"/>
    <mergeCell ref="EP15:EU15"/>
    <mergeCell ref="EV15:EZ15"/>
    <mergeCell ref="FA15:FF15"/>
    <mergeCell ref="FG15:FK15"/>
    <mergeCell ref="B15:K15"/>
    <mergeCell ref="L15:BV15"/>
    <mergeCell ref="BW15:CD15"/>
    <mergeCell ref="CE15:CI15"/>
    <mergeCell ref="CJ15:CO15"/>
    <mergeCell ref="CP15:CT15"/>
    <mergeCell ref="CU15:CZ15"/>
    <mergeCell ref="DA15:DE15"/>
    <mergeCell ref="DF15:DK15"/>
    <mergeCell ref="FA14:FF14"/>
    <mergeCell ref="FG14:FK14"/>
    <mergeCell ref="FL14:FQ14"/>
    <mergeCell ref="FR14:FV14"/>
    <mergeCell ref="FW14:GB14"/>
    <mergeCell ref="GC14:GG14"/>
    <mergeCell ref="GH14:GM14"/>
    <mergeCell ref="GN14:GR14"/>
    <mergeCell ref="GS14:GW14"/>
    <mergeCell ref="FG13:FK13"/>
    <mergeCell ref="FL13:FQ13"/>
    <mergeCell ref="FR13:FV13"/>
    <mergeCell ref="FW13:GB13"/>
    <mergeCell ref="GC13:GG13"/>
    <mergeCell ref="GH13:GM13"/>
    <mergeCell ref="GN13:GR13"/>
    <mergeCell ref="GS13:GW13"/>
    <mergeCell ref="B14:K14"/>
    <mergeCell ref="L14:BV14"/>
    <mergeCell ref="BW14:CD14"/>
    <mergeCell ref="CE14:CI14"/>
    <mergeCell ref="CJ14:CO14"/>
    <mergeCell ref="CP14:CT14"/>
    <mergeCell ref="CU14:CZ14"/>
    <mergeCell ref="DA14:DE14"/>
    <mergeCell ref="DF14:DK14"/>
    <mergeCell ref="DL14:DQ14"/>
    <mergeCell ref="DR14:DV14"/>
    <mergeCell ref="DW14:EB14"/>
    <mergeCell ref="EC14:EG14"/>
    <mergeCell ref="EH14:EM14"/>
    <mergeCell ref="EP14:EU14"/>
    <mergeCell ref="EV14:EZ14"/>
    <mergeCell ref="FL12:FQ12"/>
    <mergeCell ref="FR12:FV12"/>
    <mergeCell ref="FW12:GB12"/>
    <mergeCell ref="GC12:GG12"/>
    <mergeCell ref="GH12:GM12"/>
    <mergeCell ref="GN12:GR12"/>
    <mergeCell ref="GS12:GW12"/>
    <mergeCell ref="B13:K13"/>
    <mergeCell ref="L13:BV13"/>
    <mergeCell ref="BW13:CD13"/>
    <mergeCell ref="CE13:CI13"/>
    <mergeCell ref="CJ13:CO13"/>
    <mergeCell ref="CP13:CT13"/>
    <mergeCell ref="CU13:CZ13"/>
    <mergeCell ref="DA13:DE13"/>
    <mergeCell ref="DF13:DK13"/>
    <mergeCell ref="DL13:DQ13"/>
    <mergeCell ref="DR13:DV13"/>
    <mergeCell ref="DW13:EB13"/>
    <mergeCell ref="EC13:EG13"/>
    <mergeCell ref="EH13:EM13"/>
    <mergeCell ref="EP13:EU13"/>
    <mergeCell ref="EV13:EZ13"/>
    <mergeCell ref="FA13:FF13"/>
    <mergeCell ref="DL12:DQ12"/>
    <mergeCell ref="DR12:DV12"/>
    <mergeCell ref="DW12:EB12"/>
    <mergeCell ref="EC12:EG12"/>
    <mergeCell ref="EH12:EM12"/>
    <mergeCell ref="EP12:EU12"/>
    <mergeCell ref="EV12:EZ12"/>
    <mergeCell ref="FA12:FF12"/>
    <mergeCell ref="FG12:FK12"/>
    <mergeCell ref="B12:K12"/>
    <mergeCell ref="L12:BV12"/>
    <mergeCell ref="BW12:CD12"/>
    <mergeCell ref="CE12:CI12"/>
    <mergeCell ref="CJ12:CO12"/>
    <mergeCell ref="CP12:CT12"/>
    <mergeCell ref="CU12:CZ12"/>
    <mergeCell ref="DA12:DE12"/>
    <mergeCell ref="DF12:DK12"/>
    <mergeCell ref="FA11:FF11"/>
    <mergeCell ref="FG11:FK11"/>
    <mergeCell ref="FL11:FQ11"/>
    <mergeCell ref="FR11:FV11"/>
    <mergeCell ref="FW11:GB11"/>
    <mergeCell ref="GC11:GG11"/>
    <mergeCell ref="GH11:GM11"/>
    <mergeCell ref="GN11:GR11"/>
    <mergeCell ref="GS11:GW11"/>
    <mergeCell ref="FG10:FK10"/>
    <mergeCell ref="FL10:FQ10"/>
    <mergeCell ref="FR10:FV10"/>
    <mergeCell ref="FW10:GB10"/>
    <mergeCell ref="GC10:GG10"/>
    <mergeCell ref="GH10:GM10"/>
    <mergeCell ref="GN10:GR10"/>
    <mergeCell ref="GS10:GW10"/>
    <mergeCell ref="B11:K11"/>
    <mergeCell ref="L11:BV11"/>
    <mergeCell ref="BW11:CD11"/>
    <mergeCell ref="CE11:CI11"/>
    <mergeCell ref="CJ11:CO11"/>
    <mergeCell ref="CP11:CT11"/>
    <mergeCell ref="CU11:CZ11"/>
    <mergeCell ref="DA11:DE11"/>
    <mergeCell ref="DF11:DK11"/>
    <mergeCell ref="DL11:DQ11"/>
    <mergeCell ref="DR11:DV11"/>
    <mergeCell ref="DW11:EB11"/>
    <mergeCell ref="EC11:EG11"/>
    <mergeCell ref="EH11:EM11"/>
    <mergeCell ref="EP11:EU11"/>
    <mergeCell ref="EV11:EZ11"/>
    <mergeCell ref="FL9:FQ9"/>
    <mergeCell ref="FR9:FV9"/>
    <mergeCell ref="FW9:GB9"/>
    <mergeCell ref="GC9:GG9"/>
    <mergeCell ref="GH9:GM9"/>
    <mergeCell ref="GN9:GR9"/>
    <mergeCell ref="GS9:GW9"/>
    <mergeCell ref="B10:K10"/>
    <mergeCell ref="L10:BV10"/>
    <mergeCell ref="BW10:CD10"/>
    <mergeCell ref="CE10:CI10"/>
    <mergeCell ref="CJ10:CO10"/>
    <mergeCell ref="CP10:CT10"/>
    <mergeCell ref="CU10:CZ10"/>
    <mergeCell ref="DA10:DE10"/>
    <mergeCell ref="DF10:DK10"/>
    <mergeCell ref="DL10:DQ10"/>
    <mergeCell ref="DR10:DV10"/>
    <mergeCell ref="DW10:EB10"/>
    <mergeCell ref="EC10:EG10"/>
    <mergeCell ref="EH10:EM10"/>
    <mergeCell ref="EP10:EU10"/>
    <mergeCell ref="EV10:EZ10"/>
    <mergeCell ref="FA10:FF10"/>
    <mergeCell ref="DL9:DQ9"/>
    <mergeCell ref="DR9:DV9"/>
    <mergeCell ref="DW9:EB9"/>
    <mergeCell ref="EC9:EG9"/>
    <mergeCell ref="EH9:EM9"/>
    <mergeCell ref="EP9:EU9"/>
    <mergeCell ref="EV9:EZ9"/>
    <mergeCell ref="FA9:FF9"/>
    <mergeCell ref="FG9:FK9"/>
    <mergeCell ref="B9:K9"/>
    <mergeCell ref="L9:BV9"/>
    <mergeCell ref="BW9:CD9"/>
    <mergeCell ref="CE9:CI9"/>
    <mergeCell ref="CJ9:CO9"/>
    <mergeCell ref="CP9:CT9"/>
    <mergeCell ref="CU9:CZ9"/>
    <mergeCell ref="DA9:DE9"/>
    <mergeCell ref="DF9:DK9"/>
    <mergeCell ref="FA8:FF8"/>
    <mergeCell ref="FG8:FK8"/>
    <mergeCell ref="FL8:FQ8"/>
    <mergeCell ref="FR8:FV8"/>
    <mergeCell ref="FW8:GB8"/>
    <mergeCell ref="GC8:GG8"/>
    <mergeCell ref="GH8:GM8"/>
    <mergeCell ref="GN8:GR8"/>
    <mergeCell ref="GS8:GW8"/>
    <mergeCell ref="FG7:FK7"/>
    <mergeCell ref="FL7:FQ7"/>
    <mergeCell ref="FR7:FV7"/>
    <mergeCell ref="FW7:GB7"/>
    <mergeCell ref="GC7:GG7"/>
    <mergeCell ref="GH7:GM7"/>
    <mergeCell ref="GN7:GR7"/>
    <mergeCell ref="GS7:GW7"/>
    <mergeCell ref="B8:K8"/>
    <mergeCell ref="L8:BV8"/>
    <mergeCell ref="BW8:CD8"/>
    <mergeCell ref="CE8:CI8"/>
    <mergeCell ref="CJ8:CO8"/>
    <mergeCell ref="CP8:CT8"/>
    <mergeCell ref="CU8:CZ8"/>
    <mergeCell ref="DA8:DE8"/>
    <mergeCell ref="DF8:DK8"/>
    <mergeCell ref="DL8:DQ8"/>
    <mergeCell ref="DR8:DV8"/>
    <mergeCell ref="DW8:EB8"/>
    <mergeCell ref="EC8:EG8"/>
    <mergeCell ref="EH8:EM8"/>
    <mergeCell ref="EP8:EU8"/>
    <mergeCell ref="EV8:EZ8"/>
    <mergeCell ref="FL6:FQ6"/>
    <mergeCell ref="FR6:FV6"/>
    <mergeCell ref="FW6:GB6"/>
    <mergeCell ref="GC6:GG6"/>
    <mergeCell ref="GH6:GM6"/>
    <mergeCell ref="GN6:GR6"/>
    <mergeCell ref="GS6:GW6"/>
    <mergeCell ref="B7:K7"/>
    <mergeCell ref="L7:BV7"/>
    <mergeCell ref="BW7:CD7"/>
    <mergeCell ref="CE7:CI7"/>
    <mergeCell ref="CJ7:CO7"/>
    <mergeCell ref="CP7:CT7"/>
    <mergeCell ref="CU7:CZ7"/>
    <mergeCell ref="DA7:DE7"/>
    <mergeCell ref="DF7:DK7"/>
    <mergeCell ref="DL7:DQ7"/>
    <mergeCell ref="DR7:DV7"/>
    <mergeCell ref="DW7:EB7"/>
    <mergeCell ref="EC7:EG7"/>
    <mergeCell ref="EH7:EM7"/>
    <mergeCell ref="EP7:EU7"/>
    <mergeCell ref="EV7:EZ7"/>
    <mergeCell ref="FA7:FF7"/>
    <mergeCell ref="DL6:DQ6"/>
    <mergeCell ref="DR6:DV6"/>
    <mergeCell ref="DW6:EB6"/>
    <mergeCell ref="EC6:EG6"/>
    <mergeCell ref="EH6:EM6"/>
    <mergeCell ref="EP6:EU6"/>
    <mergeCell ref="EV6:EZ6"/>
    <mergeCell ref="FA6:FF6"/>
    <mergeCell ref="FG6:FK6"/>
    <mergeCell ref="B6:K6"/>
    <mergeCell ref="L6:BV6"/>
    <mergeCell ref="BW6:CD6"/>
    <mergeCell ref="CE6:CI6"/>
    <mergeCell ref="CJ6:CO6"/>
    <mergeCell ref="CP6:CT6"/>
    <mergeCell ref="CU6:CZ6"/>
    <mergeCell ref="DA6:DE6"/>
    <mergeCell ref="DF6:DK6"/>
    <mergeCell ref="EY4:FC4"/>
    <mergeCell ref="FD4:FI4"/>
    <mergeCell ref="FJ4:FN4"/>
    <mergeCell ref="FO4:FS4"/>
    <mergeCell ref="FT4:GW4"/>
    <mergeCell ref="B5:K5"/>
    <mergeCell ref="L5:BV5"/>
    <mergeCell ref="BW5:CD5"/>
    <mergeCell ref="CE5:EM5"/>
    <mergeCell ref="EN5:GW5"/>
    <mergeCell ref="J2:AJ2"/>
    <mergeCell ref="AK2:AR2"/>
    <mergeCell ref="AT2:CS2"/>
    <mergeCell ref="CW2:DC2"/>
    <mergeCell ref="DE2:EU2"/>
    <mergeCell ref="BA4:BF4"/>
    <mergeCell ref="BG4:BK4"/>
    <mergeCell ref="BL4:BQ4"/>
    <mergeCell ref="BR4:BV4"/>
    <mergeCell ref="BW4:CB4"/>
    <mergeCell ref="CC4:CG4"/>
    <mergeCell ref="CH4:CM4"/>
    <mergeCell ref="CN4:CR4"/>
    <mergeCell ref="CS4:CX4"/>
    <mergeCell ref="CY4:DC4"/>
    <mergeCell ref="DD4:DI4"/>
    <mergeCell ref="DL4:DQ4"/>
    <mergeCell ref="DR4:DV4"/>
    <mergeCell ref="DW4:EB4"/>
    <mergeCell ref="EC4:EG4"/>
    <mergeCell ref="EH4:EM4"/>
    <mergeCell ref="EN4:ER4"/>
    <mergeCell ref="ES4:EX4"/>
  </mergeCells>
  <pageMargins left="0.70833333333333304" right="0.70833333333333304" top="0.78749999999999998" bottom="0.78749999999999998" header="0.51180555555555496" footer="0.51180555555555496"/>
  <pageSetup paperSize="9" firstPageNumber="0" orientation="portrait" horizontalDpi="300" verticalDpi="300"/>
  <rowBreaks count="1" manualBreakCount="1">
    <brk id="34" max="16383" man="1"/>
  </rowBreak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Normal="100" workbookViewId="0"/>
  </sheetViews>
  <sheetFormatPr defaultRowHeight="15" x14ac:dyDescent="0.25"/>
  <cols>
    <col min="1" max="1025" width="0.42578125" customWidth="1"/>
  </cols>
  <sheetData>
    <row r="1" spans="1:205" ht="3.75" customHeight="1" x14ac:dyDescent="0.25">
      <c r="A1" s="642"/>
    </row>
    <row r="2" spans="1:205" ht="25.5" customHeight="1" x14ac:dyDescent="0.25">
      <c r="B2" s="643"/>
      <c r="C2" s="644"/>
      <c r="D2" s="644"/>
      <c r="E2" s="644"/>
      <c r="F2" s="644"/>
      <c r="G2" s="644"/>
      <c r="H2" s="644"/>
      <c r="J2" s="957" t="s">
        <v>5353</v>
      </c>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J2" s="957"/>
      <c r="AK2" s="958" t="s">
        <v>2327</v>
      </c>
      <c r="AL2" s="958"/>
      <c r="AM2" s="958"/>
      <c r="AN2" s="958"/>
      <c r="AO2" s="958"/>
      <c r="AP2" s="958"/>
      <c r="AQ2" s="958"/>
      <c r="AR2" s="958"/>
      <c r="AS2" s="645"/>
      <c r="AT2" s="986" t="str">
        <f>'S 002'!$AT$2</f>
        <v>2020473411</v>
      </c>
      <c r="AU2" s="986"/>
      <c r="AV2" s="986"/>
      <c r="AW2" s="986"/>
      <c r="AX2" s="986"/>
      <c r="AY2" s="986"/>
      <c r="AZ2" s="986"/>
      <c r="BA2" s="986"/>
      <c r="BB2" s="986"/>
      <c r="BC2" s="986"/>
      <c r="BD2" s="986"/>
      <c r="BE2" s="986"/>
      <c r="BF2" s="986"/>
      <c r="BG2" s="986"/>
      <c r="BH2" s="986"/>
      <c r="BI2" s="986"/>
      <c r="BJ2" s="986"/>
      <c r="BK2" s="986"/>
      <c r="BL2" s="986"/>
      <c r="BM2" s="986"/>
      <c r="BN2" s="986"/>
      <c r="BO2" s="986"/>
      <c r="BP2" s="986"/>
      <c r="BQ2" s="986"/>
      <c r="BR2" s="986"/>
      <c r="BS2" s="986"/>
      <c r="BT2" s="986"/>
      <c r="BU2" s="986"/>
      <c r="BV2" s="986"/>
      <c r="BW2" s="986"/>
      <c r="BX2" s="986"/>
      <c r="BY2" s="986"/>
      <c r="BZ2" s="986"/>
      <c r="CA2" s="986"/>
      <c r="CB2" s="986"/>
      <c r="CC2" s="986"/>
      <c r="CD2" s="986"/>
      <c r="CE2" s="986"/>
      <c r="CF2" s="986"/>
      <c r="CG2" s="986"/>
      <c r="CH2" s="986"/>
      <c r="CI2" s="986"/>
      <c r="CJ2" s="986"/>
      <c r="CK2" s="986"/>
      <c r="CL2" s="986"/>
      <c r="CM2" s="986"/>
      <c r="CN2" s="986"/>
      <c r="CO2" s="986"/>
      <c r="CP2" s="986"/>
      <c r="CQ2" s="986"/>
      <c r="CR2" s="986"/>
      <c r="CS2" s="986"/>
      <c r="CT2" s="645"/>
      <c r="CU2" s="646"/>
      <c r="CW2" s="958" t="s">
        <v>5</v>
      </c>
      <c r="CX2" s="958"/>
      <c r="CY2" s="958"/>
      <c r="CZ2" s="958"/>
      <c r="DA2" s="958"/>
      <c r="DB2" s="958"/>
      <c r="DC2" s="958"/>
      <c r="DD2" s="645"/>
      <c r="DE2" s="986" t="str">
        <f>'S 002'!$DE$2</f>
        <v>00651052</v>
      </c>
      <c r="DF2" s="986"/>
      <c r="DG2" s="986"/>
      <c r="DH2" s="986"/>
      <c r="DI2" s="986"/>
      <c r="DJ2" s="986"/>
      <c r="DK2" s="986"/>
      <c r="DL2" s="986"/>
      <c r="DM2" s="986"/>
      <c r="DN2" s="986"/>
      <c r="DO2" s="986"/>
      <c r="DP2" s="986"/>
      <c r="DQ2" s="986"/>
      <c r="DR2" s="986"/>
      <c r="DS2" s="986"/>
      <c r="DT2" s="986"/>
      <c r="DU2" s="986"/>
      <c r="DV2" s="986"/>
      <c r="DW2" s="986"/>
      <c r="DX2" s="986"/>
      <c r="DY2" s="986"/>
      <c r="DZ2" s="986"/>
      <c r="EA2" s="986"/>
      <c r="EB2" s="986"/>
      <c r="EC2" s="986"/>
      <c r="ED2" s="986"/>
      <c r="EE2" s="986"/>
      <c r="EF2" s="986"/>
      <c r="EG2" s="986"/>
      <c r="EH2" s="986"/>
      <c r="EI2" s="986"/>
      <c r="EJ2" s="986"/>
      <c r="EK2" s="986"/>
      <c r="EL2" s="986"/>
      <c r="EM2" s="986"/>
      <c r="EN2" s="986"/>
      <c r="EO2" s="986"/>
      <c r="EP2" s="986"/>
      <c r="EQ2" s="986"/>
      <c r="ER2" s="986"/>
      <c r="ES2" s="986"/>
      <c r="ET2" s="986"/>
      <c r="EU2" s="986"/>
      <c r="EV2" s="645"/>
      <c r="EW2" s="646"/>
      <c r="GQ2" s="644"/>
      <c r="GR2" s="644"/>
      <c r="GS2" s="644"/>
      <c r="GT2" s="644"/>
      <c r="GU2" s="644"/>
      <c r="GV2" s="644"/>
      <c r="GW2" s="647"/>
    </row>
    <row r="3" spans="1:205" ht="3" customHeight="1" x14ac:dyDescent="0.25"/>
    <row r="4" spans="1:205" s="650" customFormat="1" ht="2.25" customHeight="1" x14ac:dyDescent="0.3">
      <c r="B4" s="670"/>
      <c r="C4" s="670"/>
      <c r="D4" s="670"/>
      <c r="E4" s="670"/>
      <c r="F4" s="670"/>
      <c r="G4" s="670"/>
      <c r="H4" s="670"/>
      <c r="I4" s="670"/>
      <c r="J4" s="670"/>
      <c r="K4" s="670"/>
      <c r="L4" s="671"/>
      <c r="M4" s="672"/>
      <c r="N4" s="672"/>
      <c r="O4" s="672"/>
      <c r="P4" s="672"/>
      <c r="Q4" s="672"/>
      <c r="R4" s="672"/>
      <c r="S4" s="672"/>
      <c r="T4" s="672"/>
      <c r="U4" s="672"/>
      <c r="V4" s="672"/>
      <c r="W4" s="672"/>
      <c r="X4" s="672"/>
      <c r="Y4" s="672"/>
      <c r="Z4" s="672"/>
      <c r="AA4" s="672"/>
      <c r="AB4" s="672"/>
      <c r="AC4" s="672"/>
      <c r="AD4" s="672"/>
      <c r="AE4" s="672"/>
      <c r="AF4" s="672"/>
      <c r="AG4" s="672"/>
      <c r="AH4" s="672"/>
      <c r="AI4" s="672"/>
      <c r="AJ4" s="672"/>
      <c r="AK4" s="672"/>
      <c r="AL4" s="672"/>
      <c r="AM4" s="672"/>
      <c r="AN4" s="672"/>
      <c r="AO4" s="672"/>
      <c r="AP4" s="672"/>
      <c r="AQ4" s="673"/>
      <c r="AR4" s="673"/>
      <c r="AS4" s="673"/>
      <c r="AT4" s="673"/>
      <c r="AU4" s="673"/>
      <c r="AV4" s="673"/>
      <c r="AW4" s="673"/>
      <c r="AX4" s="673"/>
      <c r="AY4" s="674"/>
      <c r="AZ4" s="664"/>
      <c r="BA4" s="995"/>
      <c r="BB4" s="995"/>
      <c r="BC4" s="995"/>
      <c r="BD4" s="995"/>
      <c r="BE4" s="995"/>
      <c r="BF4" s="995"/>
      <c r="BG4" s="995"/>
      <c r="BH4" s="995"/>
      <c r="BI4" s="995"/>
      <c r="BJ4" s="995"/>
      <c r="BK4" s="995"/>
      <c r="BL4" s="995"/>
      <c r="BM4" s="995"/>
      <c r="BN4" s="995"/>
      <c r="BO4" s="995"/>
      <c r="BP4" s="995"/>
      <c r="BQ4" s="995"/>
      <c r="BR4" s="995"/>
      <c r="BS4" s="995"/>
      <c r="BT4" s="995"/>
      <c r="BU4" s="995"/>
      <c r="BV4" s="995"/>
      <c r="BW4" s="995"/>
      <c r="BX4" s="995"/>
      <c r="BY4" s="995"/>
      <c r="BZ4" s="995"/>
      <c r="CA4" s="995"/>
      <c r="CB4" s="995"/>
      <c r="CC4" s="995"/>
      <c r="CD4" s="995"/>
      <c r="CE4" s="995"/>
      <c r="CF4" s="995"/>
      <c r="CG4" s="995"/>
      <c r="CH4" s="995"/>
      <c r="CI4" s="995"/>
      <c r="CJ4" s="995"/>
      <c r="CK4" s="995"/>
      <c r="CL4" s="995"/>
      <c r="CM4" s="995"/>
      <c r="CN4" s="995"/>
      <c r="CO4" s="995"/>
      <c r="CP4" s="995"/>
      <c r="CQ4" s="995"/>
      <c r="CR4" s="995"/>
      <c r="CS4" s="995"/>
      <c r="CT4" s="995"/>
      <c r="CU4" s="995"/>
      <c r="CV4" s="995"/>
      <c r="CW4" s="995"/>
      <c r="CX4" s="995"/>
      <c r="CY4" s="995"/>
      <c r="CZ4" s="995"/>
      <c r="DA4" s="995"/>
      <c r="DB4" s="995"/>
      <c r="DC4" s="995"/>
      <c r="DD4" s="1006"/>
      <c r="DE4" s="1006"/>
      <c r="DF4" s="1006"/>
      <c r="DG4" s="1006"/>
      <c r="DH4" s="1006"/>
      <c r="DI4" s="1006"/>
      <c r="DJ4" s="674"/>
      <c r="DK4" s="664"/>
      <c r="DL4" s="995"/>
      <c r="DM4" s="995"/>
      <c r="DN4" s="995"/>
      <c r="DO4" s="995"/>
      <c r="DP4" s="995"/>
      <c r="DQ4" s="995"/>
      <c r="DR4" s="995"/>
      <c r="DS4" s="995"/>
      <c r="DT4" s="995"/>
      <c r="DU4" s="995"/>
      <c r="DV4" s="995"/>
      <c r="DW4" s="995"/>
      <c r="DX4" s="995"/>
      <c r="DY4" s="995"/>
      <c r="DZ4" s="995"/>
      <c r="EA4" s="995"/>
      <c r="EB4" s="995"/>
      <c r="EC4" s="995"/>
      <c r="ED4" s="995"/>
      <c r="EE4" s="995"/>
      <c r="EF4" s="995"/>
      <c r="EG4" s="995"/>
      <c r="EH4" s="995"/>
      <c r="EI4" s="995"/>
      <c r="EJ4" s="995"/>
      <c r="EK4" s="995"/>
      <c r="EL4" s="995"/>
      <c r="EM4" s="995"/>
      <c r="EN4" s="995"/>
      <c r="EO4" s="995"/>
      <c r="EP4" s="995"/>
      <c r="EQ4" s="995"/>
      <c r="ER4" s="995"/>
      <c r="ES4" s="995"/>
      <c r="ET4" s="995"/>
      <c r="EU4" s="995"/>
      <c r="EV4" s="995"/>
      <c r="EW4" s="995"/>
      <c r="EX4" s="995"/>
      <c r="EY4" s="995"/>
      <c r="EZ4" s="995"/>
      <c r="FA4" s="995"/>
      <c r="FB4" s="995"/>
      <c r="FC4" s="995"/>
      <c r="FD4" s="995"/>
      <c r="FE4" s="995"/>
      <c r="FF4" s="995"/>
      <c r="FG4" s="995"/>
      <c r="FH4" s="995"/>
      <c r="FI4" s="995"/>
      <c r="FJ4" s="995"/>
      <c r="FK4" s="995"/>
      <c r="FL4" s="995"/>
      <c r="FM4" s="995"/>
      <c r="FN4" s="995"/>
      <c r="FO4" s="1007"/>
      <c r="FP4" s="1007"/>
      <c r="FQ4" s="1007"/>
      <c r="FR4" s="1007"/>
      <c r="FS4" s="1007"/>
      <c r="FT4" s="1008"/>
      <c r="FU4" s="1008"/>
      <c r="FV4" s="1008"/>
      <c r="FW4" s="1008"/>
      <c r="FX4" s="1008"/>
      <c r="FY4" s="1008"/>
      <c r="FZ4" s="1008"/>
      <c r="GA4" s="1008"/>
      <c r="GB4" s="1008"/>
      <c r="GC4" s="1008"/>
      <c r="GD4" s="1008"/>
      <c r="GE4" s="1008"/>
      <c r="GF4" s="1008"/>
      <c r="GG4" s="1008"/>
      <c r="GH4" s="1008"/>
      <c r="GI4" s="1008"/>
      <c r="GJ4" s="1008"/>
      <c r="GK4" s="1008"/>
      <c r="GL4" s="1008"/>
      <c r="GM4" s="1008"/>
      <c r="GN4" s="1008"/>
      <c r="GO4" s="1008"/>
      <c r="GP4" s="1008"/>
      <c r="GQ4" s="1008"/>
      <c r="GR4" s="1008"/>
      <c r="GS4" s="1008"/>
      <c r="GT4" s="1008"/>
      <c r="GU4" s="1008"/>
      <c r="GV4" s="1008"/>
      <c r="GW4" s="1008"/>
    </row>
    <row r="5" spans="1:205" ht="11.25" customHeight="1" x14ac:dyDescent="0.25">
      <c r="A5" s="650"/>
      <c r="B5" s="998" t="s">
        <v>5349</v>
      </c>
      <c r="C5" s="998"/>
      <c r="D5" s="998"/>
      <c r="E5" s="998"/>
      <c r="F5" s="998"/>
      <c r="G5" s="998"/>
      <c r="H5" s="998"/>
      <c r="I5" s="998"/>
      <c r="J5" s="998"/>
      <c r="K5" s="998"/>
      <c r="L5" s="999" t="s">
        <v>5354</v>
      </c>
      <c r="M5" s="999"/>
      <c r="N5" s="999"/>
      <c r="O5" s="999"/>
      <c r="P5" s="999"/>
      <c r="Q5" s="999"/>
      <c r="R5" s="999"/>
      <c r="S5" s="999"/>
      <c r="T5" s="999"/>
      <c r="U5" s="999"/>
      <c r="V5" s="999"/>
      <c r="W5" s="999"/>
      <c r="X5" s="999"/>
      <c r="Y5" s="999"/>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999"/>
      <c r="BI5" s="999"/>
      <c r="BJ5" s="999"/>
      <c r="BK5" s="999"/>
      <c r="BL5" s="999"/>
      <c r="BM5" s="999"/>
      <c r="BN5" s="999"/>
      <c r="BO5" s="999"/>
      <c r="BP5" s="999"/>
      <c r="BQ5" s="999"/>
      <c r="BR5" s="999"/>
      <c r="BS5" s="999"/>
      <c r="BT5" s="999"/>
      <c r="BU5" s="999"/>
      <c r="BV5" s="999"/>
      <c r="BW5" s="1000" t="str">
        <f>'S 008'!$BW$5</f>
        <v>Číslo riadku</v>
      </c>
      <c r="BX5" s="1000"/>
      <c r="BY5" s="1000"/>
      <c r="BZ5" s="1000"/>
      <c r="CA5" s="1000"/>
      <c r="CB5" s="1000"/>
      <c r="CC5" s="1000"/>
      <c r="CD5" s="1000"/>
      <c r="CE5" s="1001" t="s">
        <v>5154</v>
      </c>
      <c r="CF5" s="1001"/>
      <c r="CG5" s="1001"/>
      <c r="CH5" s="1001"/>
      <c r="CI5" s="1001"/>
      <c r="CJ5" s="1001"/>
      <c r="CK5" s="1001"/>
      <c r="CL5" s="1001"/>
      <c r="CM5" s="1001"/>
      <c r="CN5" s="1001"/>
      <c r="CO5" s="1001"/>
      <c r="CP5" s="1001"/>
      <c r="CQ5" s="1001"/>
      <c r="CR5" s="1001"/>
      <c r="CS5" s="1001"/>
      <c r="CT5" s="1001"/>
      <c r="CU5" s="1001"/>
      <c r="CV5" s="1001"/>
      <c r="CW5" s="1001"/>
      <c r="CX5" s="1001"/>
      <c r="CY5" s="1001"/>
      <c r="CZ5" s="1001"/>
      <c r="DA5" s="1001"/>
      <c r="DB5" s="1001"/>
      <c r="DC5" s="1001"/>
      <c r="DD5" s="1001"/>
      <c r="DE5" s="1001"/>
      <c r="DF5" s="1001"/>
      <c r="DG5" s="1001"/>
      <c r="DH5" s="1001"/>
      <c r="DI5" s="1001"/>
      <c r="DJ5" s="1001"/>
      <c r="DK5" s="1001"/>
      <c r="DL5" s="1001"/>
      <c r="DM5" s="1001"/>
      <c r="DN5" s="1001"/>
      <c r="DO5" s="1001"/>
      <c r="DP5" s="1001"/>
      <c r="DQ5" s="1001"/>
      <c r="DR5" s="1001"/>
      <c r="DS5" s="1001"/>
      <c r="DT5" s="1001"/>
      <c r="DU5" s="1001"/>
      <c r="DV5" s="1001"/>
      <c r="DW5" s="1001"/>
      <c r="DX5" s="1001"/>
      <c r="DY5" s="1001"/>
      <c r="DZ5" s="1001"/>
      <c r="EA5" s="1001"/>
      <c r="EB5" s="1001"/>
      <c r="EC5" s="1001"/>
      <c r="ED5" s="1001"/>
      <c r="EE5" s="1001"/>
      <c r="EF5" s="1001"/>
      <c r="EG5" s="1001"/>
      <c r="EH5" s="1001"/>
      <c r="EI5" s="1001"/>
      <c r="EJ5" s="1001"/>
      <c r="EK5" s="1001"/>
      <c r="EL5" s="1001"/>
      <c r="EM5" s="1001"/>
      <c r="EN5" s="1001"/>
      <c r="EO5" s="1001"/>
      <c r="EP5" s="1001"/>
      <c r="EQ5" s="1001"/>
      <c r="ER5" s="1001"/>
      <c r="ES5" s="1001"/>
      <c r="ET5" s="1001"/>
      <c r="EU5" s="1001"/>
      <c r="EV5" s="1001"/>
      <c r="EW5" s="1001"/>
      <c r="EX5" s="1001"/>
      <c r="EY5" s="1001"/>
      <c r="EZ5" s="1001"/>
      <c r="FA5" s="1001"/>
      <c r="FB5" s="1001"/>
      <c r="FC5" s="1001"/>
      <c r="FD5" s="1001"/>
      <c r="FE5" s="1001"/>
      <c r="FF5" s="1001"/>
      <c r="FG5" s="1001"/>
      <c r="FH5" s="1001"/>
      <c r="FI5" s="1001"/>
      <c r="FJ5" s="1001"/>
      <c r="FK5" s="1001"/>
      <c r="FL5" s="1001"/>
      <c r="FM5" s="1001"/>
      <c r="FN5" s="1001"/>
      <c r="FO5" s="1001"/>
      <c r="FP5" s="1001"/>
      <c r="FQ5" s="1001"/>
      <c r="FR5" s="1001"/>
      <c r="FS5" s="1001"/>
      <c r="FT5" s="1001"/>
      <c r="FU5" s="1001"/>
      <c r="FV5" s="1001"/>
      <c r="FW5" s="1001"/>
      <c r="FX5" s="1001"/>
      <c r="FY5" s="1001"/>
      <c r="FZ5" s="1001"/>
      <c r="GA5" s="1001"/>
      <c r="GB5" s="1001"/>
      <c r="GC5" s="1001"/>
      <c r="GD5" s="1001"/>
      <c r="GE5" s="1001"/>
      <c r="GF5" s="1001"/>
      <c r="GG5" s="1001"/>
      <c r="GH5" s="1001"/>
      <c r="GI5" s="1001"/>
      <c r="GJ5" s="1001"/>
      <c r="GK5" s="1001"/>
      <c r="GL5" s="1001"/>
      <c r="GM5" s="1001"/>
      <c r="GN5" s="1001"/>
      <c r="GO5" s="1001"/>
      <c r="GP5" s="1001"/>
      <c r="GQ5" s="1001"/>
      <c r="GR5" s="1001"/>
      <c r="GS5" s="1001"/>
      <c r="GT5" s="1001"/>
      <c r="GU5" s="1001"/>
      <c r="GV5" s="1001"/>
      <c r="GW5" s="1001"/>
    </row>
    <row r="6" spans="1:205" ht="25.5" customHeight="1" x14ac:dyDescent="0.25">
      <c r="B6" s="998"/>
      <c r="C6" s="998"/>
      <c r="D6" s="998"/>
      <c r="E6" s="998"/>
      <c r="F6" s="998"/>
      <c r="G6" s="998"/>
      <c r="H6" s="998"/>
      <c r="I6" s="998"/>
      <c r="J6" s="998"/>
      <c r="K6" s="998"/>
      <c r="L6" s="999"/>
      <c r="M6" s="999"/>
      <c r="N6" s="999"/>
      <c r="O6" s="999"/>
      <c r="P6" s="999"/>
      <c r="Q6" s="999"/>
      <c r="R6" s="999"/>
      <c r="S6" s="999"/>
      <c r="T6" s="999"/>
      <c r="U6" s="999"/>
      <c r="V6" s="999"/>
      <c r="W6" s="999"/>
      <c r="X6" s="999"/>
      <c r="Y6" s="999"/>
      <c r="Z6" s="999"/>
      <c r="AA6" s="999"/>
      <c r="AB6" s="999"/>
      <c r="AC6" s="999"/>
      <c r="AD6" s="999"/>
      <c r="AE6" s="999"/>
      <c r="AF6" s="999"/>
      <c r="AG6" s="999"/>
      <c r="AH6" s="999"/>
      <c r="AI6" s="999"/>
      <c r="AJ6" s="999"/>
      <c r="AK6" s="999"/>
      <c r="AL6" s="999"/>
      <c r="AM6" s="999"/>
      <c r="AN6" s="999"/>
      <c r="AO6" s="999"/>
      <c r="AP6" s="999"/>
      <c r="AQ6" s="999"/>
      <c r="AR6" s="999"/>
      <c r="AS6" s="999"/>
      <c r="AT6" s="999"/>
      <c r="AU6" s="999"/>
      <c r="AV6" s="999"/>
      <c r="AW6" s="999"/>
      <c r="AX6" s="999"/>
      <c r="AY6" s="999"/>
      <c r="AZ6" s="999"/>
      <c r="BA6" s="999"/>
      <c r="BB6" s="999"/>
      <c r="BC6" s="999"/>
      <c r="BD6" s="999"/>
      <c r="BE6" s="999"/>
      <c r="BF6" s="999"/>
      <c r="BG6" s="999"/>
      <c r="BH6" s="999"/>
      <c r="BI6" s="999"/>
      <c r="BJ6" s="999"/>
      <c r="BK6" s="999"/>
      <c r="BL6" s="999"/>
      <c r="BM6" s="999"/>
      <c r="BN6" s="999"/>
      <c r="BO6" s="999"/>
      <c r="BP6" s="999"/>
      <c r="BQ6" s="999"/>
      <c r="BR6" s="999"/>
      <c r="BS6" s="999"/>
      <c r="BT6" s="999"/>
      <c r="BU6" s="999"/>
      <c r="BV6" s="999"/>
      <c r="BW6" s="1000"/>
      <c r="BX6" s="1000"/>
      <c r="BY6" s="1000"/>
      <c r="BZ6" s="1000"/>
      <c r="CA6" s="1000"/>
      <c r="CB6" s="1000"/>
      <c r="CC6" s="1000"/>
      <c r="CD6" s="1000"/>
      <c r="CE6" s="1015" t="str">
        <f>'S 009'!CE5</f>
        <v>Bežné účtovné obdobie</v>
      </c>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6">
        <f>'S 009'!EN5</f>
        <v>0</v>
      </c>
      <c r="EO6" s="1016"/>
      <c r="EP6" s="1016"/>
      <c r="EQ6" s="1016"/>
      <c r="ER6" s="1016"/>
      <c r="ES6" s="1016"/>
      <c r="ET6" s="1016"/>
      <c r="EU6" s="1016"/>
      <c r="EV6" s="1016"/>
      <c r="EW6" s="1016"/>
      <c r="EX6" s="1016"/>
      <c r="EY6" s="1016"/>
      <c r="EZ6" s="1016"/>
      <c r="FA6" s="1016"/>
      <c r="FB6" s="1016"/>
      <c r="FC6" s="1016"/>
      <c r="FD6" s="1016"/>
      <c r="FE6" s="1016"/>
      <c r="FF6" s="1016"/>
      <c r="FG6" s="1016"/>
      <c r="FH6" s="1016"/>
      <c r="FI6" s="1016"/>
      <c r="FJ6" s="1016"/>
      <c r="FK6" s="1016"/>
      <c r="FL6" s="1016"/>
      <c r="FM6" s="1016"/>
      <c r="FN6" s="1016"/>
      <c r="FO6" s="1016"/>
      <c r="FP6" s="1016"/>
      <c r="FQ6" s="1016"/>
      <c r="FR6" s="1016"/>
      <c r="FS6" s="1016"/>
      <c r="FT6" s="1016"/>
      <c r="FU6" s="1016"/>
      <c r="FV6" s="1016"/>
      <c r="FW6" s="1016"/>
      <c r="FX6" s="1016"/>
      <c r="FY6" s="1016"/>
      <c r="FZ6" s="1016"/>
      <c r="GA6" s="1016"/>
      <c r="GB6" s="1016"/>
      <c r="GC6" s="1016"/>
      <c r="GD6" s="1016"/>
      <c r="GE6" s="1016"/>
      <c r="GF6" s="1016"/>
      <c r="GG6" s="1016"/>
      <c r="GH6" s="1016"/>
      <c r="GI6" s="1016"/>
      <c r="GJ6" s="1016"/>
      <c r="GK6" s="1016"/>
      <c r="GL6" s="1016"/>
      <c r="GM6" s="1016"/>
      <c r="GN6" s="1016"/>
      <c r="GO6" s="1016"/>
      <c r="GP6" s="1016"/>
      <c r="GQ6" s="1016"/>
      <c r="GR6" s="1016"/>
      <c r="GS6" s="1016"/>
      <c r="GT6" s="1016"/>
      <c r="GU6" s="1016"/>
      <c r="GV6" s="1016"/>
      <c r="GW6" s="1016"/>
    </row>
    <row r="7" spans="1:205" s="650" customFormat="1" ht="24.6" customHeight="1" x14ac:dyDescent="0.2">
      <c r="B7" s="1013" t="s">
        <v>2286</v>
      </c>
      <c r="C7" s="1013"/>
      <c r="D7" s="1013"/>
      <c r="E7" s="1013"/>
      <c r="F7" s="1013"/>
      <c r="G7" s="1013"/>
      <c r="H7" s="1013"/>
      <c r="I7" s="1013"/>
      <c r="J7" s="1013"/>
      <c r="K7" s="1013"/>
      <c r="L7" s="1004" t="str">
        <f>SUVAHAVUJ!$D$149</f>
        <v>Čistý obrat (časť účt. tr. 6 podľa zákona)</v>
      </c>
      <c r="M7" s="1004"/>
      <c r="N7" s="1004"/>
      <c r="O7" s="1004"/>
      <c r="P7" s="1004"/>
      <c r="Q7" s="1004"/>
      <c r="R7" s="1004"/>
      <c r="S7" s="1004"/>
      <c r="T7" s="1004"/>
      <c r="U7" s="1004"/>
      <c r="V7" s="1004"/>
      <c r="W7" s="1004"/>
      <c r="X7" s="1004"/>
      <c r="Y7" s="1004"/>
      <c r="Z7" s="1004"/>
      <c r="AA7" s="1004"/>
      <c r="AB7" s="1004"/>
      <c r="AC7" s="1004"/>
      <c r="AD7" s="1004"/>
      <c r="AE7" s="1004"/>
      <c r="AF7" s="1004"/>
      <c r="AG7" s="1004"/>
      <c r="AH7" s="1004"/>
      <c r="AI7" s="1004"/>
      <c r="AJ7" s="1004"/>
      <c r="AK7" s="1004"/>
      <c r="AL7" s="1004"/>
      <c r="AM7" s="1004"/>
      <c r="AN7" s="1004"/>
      <c r="AO7" s="1004"/>
      <c r="AP7" s="1004"/>
      <c r="AQ7" s="1004"/>
      <c r="AR7" s="1004"/>
      <c r="AS7" s="1004"/>
      <c r="AT7" s="1004"/>
      <c r="AU7" s="1004"/>
      <c r="AV7" s="1004"/>
      <c r="AW7" s="1004"/>
      <c r="AX7" s="1004"/>
      <c r="AY7" s="1004"/>
      <c r="AZ7" s="1004"/>
      <c r="BA7" s="1004"/>
      <c r="BB7" s="1004"/>
      <c r="BC7" s="1004"/>
      <c r="BD7" s="1004"/>
      <c r="BE7" s="1004"/>
      <c r="BF7" s="1004"/>
      <c r="BG7" s="1004"/>
      <c r="BH7" s="1004"/>
      <c r="BI7" s="1004"/>
      <c r="BJ7" s="1004"/>
      <c r="BK7" s="1004"/>
      <c r="BL7" s="1004"/>
      <c r="BM7" s="1004"/>
      <c r="BN7" s="1004"/>
      <c r="BO7" s="1004"/>
      <c r="BP7" s="1004"/>
      <c r="BQ7" s="1004"/>
      <c r="BR7" s="1004"/>
      <c r="BS7" s="1004"/>
      <c r="BT7" s="1004"/>
      <c r="BU7" s="1004"/>
      <c r="BV7" s="1004"/>
      <c r="BW7" s="975" t="s">
        <v>2160</v>
      </c>
      <c r="BX7" s="975"/>
      <c r="BY7" s="975"/>
      <c r="BZ7" s="975"/>
      <c r="CA7" s="975"/>
      <c r="CB7" s="975"/>
      <c r="CC7" s="975"/>
      <c r="CD7" s="975"/>
      <c r="CE7" s="976" t="str">
        <f>MID(SUVAHAVUJ!AF149,1,1)</f>
        <v xml:space="preserve"> </v>
      </c>
      <c r="CF7" s="976"/>
      <c r="CG7" s="976"/>
      <c r="CH7" s="976"/>
      <c r="CI7" s="976"/>
      <c r="CJ7" s="976" t="str">
        <f>MID(SUVAHAVUJ!AF149,2,1)</f>
        <v xml:space="preserve"> </v>
      </c>
      <c r="CK7" s="976"/>
      <c r="CL7" s="976"/>
      <c r="CM7" s="976"/>
      <c r="CN7" s="976"/>
      <c r="CO7" s="976"/>
      <c r="CP7" s="976" t="str">
        <f>MID(SUVAHAVUJ!AF149,3,1)</f>
        <v xml:space="preserve"> </v>
      </c>
      <c r="CQ7" s="976"/>
      <c r="CR7" s="976"/>
      <c r="CS7" s="976"/>
      <c r="CT7" s="976"/>
      <c r="CU7" s="976" t="str">
        <f>MID(SUVAHAVUJ!AF149,4,1)</f>
        <v xml:space="preserve"> </v>
      </c>
      <c r="CV7" s="976"/>
      <c r="CW7" s="976"/>
      <c r="CX7" s="976"/>
      <c r="CY7" s="976"/>
      <c r="CZ7" s="976"/>
      <c r="DA7" s="976" t="str">
        <f>MID(SUVAHAVUJ!AF149,5,1)</f>
        <v xml:space="preserve"> </v>
      </c>
      <c r="DB7" s="976"/>
      <c r="DC7" s="976"/>
      <c r="DD7" s="976"/>
      <c r="DE7" s="976"/>
      <c r="DF7" s="976" t="str">
        <f>MID(SUVAHAVUJ!AF149,6,1)</f>
        <v xml:space="preserve"> </v>
      </c>
      <c r="DG7" s="976"/>
      <c r="DH7" s="976"/>
      <c r="DI7" s="976"/>
      <c r="DJ7" s="976"/>
      <c r="DK7" s="976"/>
      <c r="DL7" s="976" t="str">
        <f>MID(SUVAHAVUJ!AF149,7,1)</f>
        <v>4</v>
      </c>
      <c r="DM7" s="976"/>
      <c r="DN7" s="976"/>
      <c r="DO7" s="976"/>
      <c r="DP7" s="976"/>
      <c r="DQ7" s="976"/>
      <c r="DR7" s="976" t="str">
        <f>MID(SUVAHAVUJ!AF149,8,1)</f>
        <v>3</v>
      </c>
      <c r="DS7" s="976"/>
      <c r="DT7" s="976"/>
      <c r="DU7" s="976"/>
      <c r="DV7" s="976"/>
      <c r="DW7" s="982" t="str">
        <f>MID(SUVAHAVUJ!AF149,9,1)</f>
        <v>5</v>
      </c>
      <c r="DX7" s="982"/>
      <c r="DY7" s="982"/>
      <c r="DZ7" s="982"/>
      <c r="EA7" s="982"/>
      <c r="EB7" s="982"/>
      <c r="EC7" s="982" t="str">
        <f>MID(SUVAHAVUJ!AF149,10,1)</f>
        <v>2</v>
      </c>
      <c r="ED7" s="982"/>
      <c r="EE7" s="982"/>
      <c r="EF7" s="982"/>
      <c r="EG7" s="982"/>
      <c r="EH7" s="977" t="str">
        <f>MID(SUVAHAVUJ!AF149,11,1)</f>
        <v>8</v>
      </c>
      <c r="EI7" s="977"/>
      <c r="EJ7" s="977"/>
      <c r="EK7" s="977"/>
      <c r="EL7" s="977"/>
      <c r="EM7" s="977"/>
      <c r="EN7" s="665"/>
      <c r="EO7" s="666"/>
      <c r="EP7" s="976" t="str">
        <f>MID(SUVAHAVUJ!AG149,1,1)</f>
        <v xml:space="preserve"> </v>
      </c>
      <c r="EQ7" s="976"/>
      <c r="ER7" s="976"/>
      <c r="ES7" s="976"/>
      <c r="ET7" s="976"/>
      <c r="EU7" s="976"/>
      <c r="EV7" s="976" t="str">
        <f>MID(SUVAHAVUJ!AG149,2,1)</f>
        <v xml:space="preserve"> </v>
      </c>
      <c r="EW7" s="976"/>
      <c r="EX7" s="976"/>
      <c r="EY7" s="976"/>
      <c r="EZ7" s="976"/>
      <c r="FA7" s="976" t="str">
        <f>MID(SUVAHAVUJ!AG149,3,1)</f>
        <v xml:space="preserve"> </v>
      </c>
      <c r="FB7" s="976"/>
      <c r="FC7" s="976"/>
      <c r="FD7" s="976"/>
      <c r="FE7" s="976"/>
      <c r="FF7" s="976"/>
      <c r="FG7" s="976" t="str">
        <f>MID(SUVAHAVUJ!AG149,4,1)</f>
        <v xml:space="preserve"> </v>
      </c>
      <c r="FH7" s="976"/>
      <c r="FI7" s="976"/>
      <c r="FJ7" s="976"/>
      <c r="FK7" s="976"/>
      <c r="FL7" s="982" t="str">
        <f>MID(SUVAHAVUJ!AG149,5,1)</f>
        <v xml:space="preserve"> </v>
      </c>
      <c r="FM7" s="982"/>
      <c r="FN7" s="982"/>
      <c r="FO7" s="982"/>
      <c r="FP7" s="982"/>
      <c r="FQ7" s="982"/>
      <c r="FR7" s="982" t="str">
        <f>MID(SUVAHAVUJ!AG149,6,1)</f>
        <v xml:space="preserve"> </v>
      </c>
      <c r="FS7" s="982"/>
      <c r="FT7" s="982"/>
      <c r="FU7" s="982"/>
      <c r="FV7" s="982"/>
      <c r="FW7" s="982" t="str">
        <f>MID(SUVAHAVUJ!AG149,7,1)</f>
        <v>4</v>
      </c>
      <c r="FX7" s="982"/>
      <c r="FY7" s="982"/>
      <c r="FZ7" s="982"/>
      <c r="GA7" s="982"/>
      <c r="GB7" s="982"/>
      <c r="GC7" s="982" t="str">
        <f>MID(SUVAHAVUJ!AG149,8,1)</f>
        <v>6</v>
      </c>
      <c r="GD7" s="982"/>
      <c r="GE7" s="982"/>
      <c r="GF7" s="982"/>
      <c r="GG7" s="982"/>
      <c r="GH7" s="982" t="str">
        <f>MID(SUVAHAVUJ!AG149,9,1)</f>
        <v>1</v>
      </c>
      <c r="GI7" s="982"/>
      <c r="GJ7" s="982"/>
      <c r="GK7" s="982"/>
      <c r="GL7" s="982"/>
      <c r="GM7" s="982"/>
      <c r="GN7" s="982" t="str">
        <f>MID(SUVAHAVUJ!AG149,10,1)</f>
        <v>7</v>
      </c>
      <c r="GO7" s="982"/>
      <c r="GP7" s="982"/>
      <c r="GQ7" s="982"/>
      <c r="GR7" s="982"/>
      <c r="GS7" s="978" t="str">
        <f>MID(SUVAHAVUJ!AG149,11,1)</f>
        <v>0</v>
      </c>
      <c r="GT7" s="978"/>
      <c r="GU7" s="978"/>
      <c r="GV7" s="978"/>
      <c r="GW7" s="978"/>
    </row>
    <row r="8" spans="1:205" ht="24.6" customHeight="1" x14ac:dyDescent="0.25">
      <c r="B8" s="1013" t="s">
        <v>2287</v>
      </c>
      <c r="C8" s="1013"/>
      <c r="D8" s="1013"/>
      <c r="E8" s="1013"/>
      <c r="F8" s="1013"/>
      <c r="G8" s="1013"/>
      <c r="H8" s="1013"/>
      <c r="I8" s="1013"/>
      <c r="J8" s="1013"/>
      <c r="K8" s="1013"/>
      <c r="L8" s="1004" t="str">
        <f>SUVAHAVUJ!$D$150</f>
        <v xml:space="preserve">Výnosy z hospodárskej činnosti spolu súčet
(r. 03 až r. 09) </v>
      </c>
      <c r="M8" s="1004"/>
      <c r="N8" s="1004"/>
      <c r="O8" s="1004"/>
      <c r="P8" s="1004"/>
      <c r="Q8" s="1004"/>
      <c r="R8" s="1004"/>
      <c r="S8" s="1004"/>
      <c r="T8" s="1004"/>
      <c r="U8" s="1004"/>
      <c r="V8" s="1004"/>
      <c r="W8" s="1004"/>
      <c r="X8" s="1004"/>
      <c r="Y8" s="1004"/>
      <c r="Z8" s="1004"/>
      <c r="AA8" s="1004"/>
      <c r="AB8" s="1004"/>
      <c r="AC8" s="1004"/>
      <c r="AD8" s="1004"/>
      <c r="AE8" s="1004"/>
      <c r="AF8" s="1004"/>
      <c r="AG8" s="1004"/>
      <c r="AH8" s="1004"/>
      <c r="AI8" s="1004"/>
      <c r="AJ8" s="1004"/>
      <c r="AK8" s="1004"/>
      <c r="AL8" s="1004"/>
      <c r="AM8" s="1004"/>
      <c r="AN8" s="1004"/>
      <c r="AO8" s="1004"/>
      <c r="AP8" s="1004"/>
      <c r="AQ8" s="1004"/>
      <c r="AR8" s="1004"/>
      <c r="AS8" s="1004"/>
      <c r="AT8" s="1004"/>
      <c r="AU8" s="1004"/>
      <c r="AV8" s="1004"/>
      <c r="AW8" s="1004"/>
      <c r="AX8" s="1004"/>
      <c r="AY8" s="1004"/>
      <c r="AZ8" s="1004"/>
      <c r="BA8" s="1004"/>
      <c r="BB8" s="1004"/>
      <c r="BC8" s="1004"/>
      <c r="BD8" s="1004"/>
      <c r="BE8" s="1004"/>
      <c r="BF8" s="1004"/>
      <c r="BG8" s="1004"/>
      <c r="BH8" s="1004"/>
      <c r="BI8" s="1004"/>
      <c r="BJ8" s="1004"/>
      <c r="BK8" s="1004"/>
      <c r="BL8" s="1004"/>
      <c r="BM8" s="1004"/>
      <c r="BN8" s="1004"/>
      <c r="BO8" s="1004"/>
      <c r="BP8" s="1004"/>
      <c r="BQ8" s="1004"/>
      <c r="BR8" s="1004"/>
      <c r="BS8" s="1004"/>
      <c r="BT8" s="1004"/>
      <c r="BU8" s="1004"/>
      <c r="BV8" s="1004"/>
      <c r="BW8" s="975" t="s">
        <v>2161</v>
      </c>
      <c r="BX8" s="975"/>
      <c r="BY8" s="975"/>
      <c r="BZ8" s="975"/>
      <c r="CA8" s="975"/>
      <c r="CB8" s="975"/>
      <c r="CC8" s="975"/>
      <c r="CD8" s="975"/>
      <c r="CE8" s="976" t="str">
        <f>MID(SUVAHAVUJ!AF150,1,1)</f>
        <v xml:space="preserve"> </v>
      </c>
      <c r="CF8" s="976"/>
      <c r="CG8" s="976"/>
      <c r="CH8" s="976"/>
      <c r="CI8" s="976"/>
      <c r="CJ8" s="976" t="str">
        <f>MID(SUVAHAVUJ!AF150,2,1)</f>
        <v xml:space="preserve"> </v>
      </c>
      <c r="CK8" s="976"/>
      <c r="CL8" s="976"/>
      <c r="CM8" s="976"/>
      <c r="CN8" s="976"/>
      <c r="CO8" s="976"/>
      <c r="CP8" s="976" t="str">
        <f>MID(SUVAHAVUJ!AF150,3,1)</f>
        <v xml:space="preserve"> </v>
      </c>
      <c r="CQ8" s="976"/>
      <c r="CR8" s="976"/>
      <c r="CS8" s="976"/>
      <c r="CT8" s="976"/>
      <c r="CU8" s="976" t="str">
        <f>MID(SUVAHAVUJ!AF150,4,1)</f>
        <v xml:space="preserve"> </v>
      </c>
      <c r="CV8" s="976"/>
      <c r="CW8" s="976"/>
      <c r="CX8" s="976"/>
      <c r="CY8" s="976"/>
      <c r="CZ8" s="976"/>
      <c r="DA8" s="976" t="str">
        <f>MID(SUVAHAVUJ!AF150,5,1)</f>
        <v xml:space="preserve"> </v>
      </c>
      <c r="DB8" s="976"/>
      <c r="DC8" s="976"/>
      <c r="DD8" s="976"/>
      <c r="DE8" s="976"/>
      <c r="DF8" s="976" t="str">
        <f>MID(SUVAHAVUJ!AF150,6,1)</f>
        <v>3</v>
      </c>
      <c r="DG8" s="976"/>
      <c r="DH8" s="976"/>
      <c r="DI8" s="976"/>
      <c r="DJ8" s="976"/>
      <c r="DK8" s="976"/>
      <c r="DL8" s="976" t="str">
        <f>MID(SUVAHAVUJ!AF150,7,1)</f>
        <v>6</v>
      </c>
      <c r="DM8" s="976"/>
      <c r="DN8" s="976"/>
      <c r="DO8" s="976"/>
      <c r="DP8" s="976"/>
      <c r="DQ8" s="976"/>
      <c r="DR8" s="976" t="str">
        <f>MID(SUVAHAVUJ!AF150,8,1)</f>
        <v>5</v>
      </c>
      <c r="DS8" s="976"/>
      <c r="DT8" s="976"/>
      <c r="DU8" s="976"/>
      <c r="DV8" s="976"/>
      <c r="DW8" s="982" t="str">
        <f>MID(SUVAHAVUJ!AF150,9,1)</f>
        <v>6</v>
      </c>
      <c r="DX8" s="982"/>
      <c r="DY8" s="982"/>
      <c r="DZ8" s="982"/>
      <c r="EA8" s="982"/>
      <c r="EB8" s="982"/>
      <c r="EC8" s="982" t="str">
        <f>MID(SUVAHAVUJ!AF150,10,1)</f>
        <v>0</v>
      </c>
      <c r="ED8" s="982"/>
      <c r="EE8" s="982"/>
      <c r="EF8" s="982"/>
      <c r="EG8" s="982"/>
      <c r="EH8" s="977" t="str">
        <f>MID(SUVAHAVUJ!AF150,11,1)</f>
        <v>7</v>
      </c>
      <c r="EI8" s="977"/>
      <c r="EJ8" s="977"/>
      <c r="EK8" s="977"/>
      <c r="EL8" s="977"/>
      <c r="EM8" s="977"/>
      <c r="EN8" s="665"/>
      <c r="EO8" s="666"/>
      <c r="EP8" s="976" t="str">
        <f>MID(SUVAHAVUJ!AG150,1,1)</f>
        <v xml:space="preserve"> </v>
      </c>
      <c r="EQ8" s="976"/>
      <c r="ER8" s="976"/>
      <c r="ES8" s="976"/>
      <c r="ET8" s="976"/>
      <c r="EU8" s="976"/>
      <c r="EV8" s="976" t="str">
        <f>MID(SUVAHAVUJ!AG150,2,1)</f>
        <v xml:space="preserve"> </v>
      </c>
      <c r="EW8" s="976"/>
      <c r="EX8" s="976"/>
      <c r="EY8" s="976"/>
      <c r="EZ8" s="976"/>
      <c r="FA8" s="976" t="str">
        <f>MID(SUVAHAVUJ!AG150,3,1)</f>
        <v xml:space="preserve"> </v>
      </c>
      <c r="FB8" s="976"/>
      <c r="FC8" s="976"/>
      <c r="FD8" s="976"/>
      <c r="FE8" s="976"/>
      <c r="FF8" s="976"/>
      <c r="FG8" s="976" t="str">
        <f>MID(SUVAHAVUJ!AG150,4,1)</f>
        <v xml:space="preserve"> </v>
      </c>
      <c r="FH8" s="976"/>
      <c r="FI8" s="976"/>
      <c r="FJ8" s="976"/>
      <c r="FK8" s="976"/>
      <c r="FL8" s="982" t="str">
        <f>MID(SUVAHAVUJ!AG150,5,1)</f>
        <v xml:space="preserve"> </v>
      </c>
      <c r="FM8" s="982"/>
      <c r="FN8" s="982"/>
      <c r="FO8" s="982"/>
      <c r="FP8" s="982"/>
      <c r="FQ8" s="982"/>
      <c r="FR8" s="982" t="str">
        <f>MID(SUVAHAVUJ!AG150,6,1)</f>
        <v>4</v>
      </c>
      <c r="FS8" s="982"/>
      <c r="FT8" s="982"/>
      <c r="FU8" s="982"/>
      <c r="FV8" s="982"/>
      <c r="FW8" s="982" t="str">
        <f>MID(SUVAHAVUJ!AG150,7,1)</f>
        <v>0</v>
      </c>
      <c r="FX8" s="982"/>
      <c r="FY8" s="982"/>
      <c r="FZ8" s="982"/>
      <c r="GA8" s="982"/>
      <c r="GB8" s="982"/>
      <c r="GC8" s="982" t="str">
        <f>MID(SUVAHAVUJ!AG150,8,1)</f>
        <v>1</v>
      </c>
      <c r="GD8" s="982"/>
      <c r="GE8" s="982"/>
      <c r="GF8" s="982"/>
      <c r="GG8" s="982"/>
      <c r="GH8" s="982" t="str">
        <f>MID(SUVAHAVUJ!AG150,9,1)</f>
        <v>7</v>
      </c>
      <c r="GI8" s="982"/>
      <c r="GJ8" s="982"/>
      <c r="GK8" s="982"/>
      <c r="GL8" s="982"/>
      <c r="GM8" s="982"/>
      <c r="GN8" s="982" t="str">
        <f>MID(SUVAHAVUJ!AG150,10,1)</f>
        <v>8</v>
      </c>
      <c r="GO8" s="982"/>
      <c r="GP8" s="982"/>
      <c r="GQ8" s="982"/>
      <c r="GR8" s="982"/>
      <c r="GS8" s="978" t="str">
        <f>MID(SUVAHAVUJ!AG150,11,1)</f>
        <v>4</v>
      </c>
      <c r="GT8" s="978"/>
      <c r="GU8" s="978"/>
      <c r="GV8" s="978"/>
      <c r="GW8" s="978"/>
    </row>
    <row r="9" spans="1:205" ht="24.6" customHeight="1" x14ac:dyDescent="0.25">
      <c r="B9" s="1017" t="s">
        <v>2288</v>
      </c>
      <c r="C9" s="1017"/>
      <c r="D9" s="1017"/>
      <c r="E9" s="1017"/>
      <c r="F9" s="1017"/>
      <c r="G9" s="1017"/>
      <c r="H9" s="1017"/>
      <c r="I9" s="1017"/>
      <c r="J9" s="1017"/>
      <c r="K9" s="1017"/>
      <c r="L9" s="1005" t="str">
        <f>SUVAHAVUJ!$D$151</f>
        <v>Tržby z predaja tovaru (604, 607)</v>
      </c>
      <c r="M9" s="1005"/>
      <c r="N9" s="1005"/>
      <c r="O9" s="1005"/>
      <c r="P9" s="1005"/>
      <c r="Q9" s="1005"/>
      <c r="R9" s="1005"/>
      <c r="S9" s="1005"/>
      <c r="T9" s="1005"/>
      <c r="U9" s="1005"/>
      <c r="V9" s="1005"/>
      <c r="W9" s="1005"/>
      <c r="X9" s="1005"/>
      <c r="Y9" s="1005"/>
      <c r="Z9" s="1005"/>
      <c r="AA9" s="1005"/>
      <c r="AB9" s="1005"/>
      <c r="AC9" s="1005"/>
      <c r="AD9" s="1005"/>
      <c r="AE9" s="1005"/>
      <c r="AF9" s="1005"/>
      <c r="AG9" s="1005"/>
      <c r="AH9" s="1005"/>
      <c r="AI9" s="1005"/>
      <c r="AJ9" s="1005"/>
      <c r="AK9" s="1005"/>
      <c r="AL9" s="1005"/>
      <c r="AM9" s="1005"/>
      <c r="AN9" s="1005"/>
      <c r="AO9" s="1005"/>
      <c r="AP9" s="1005"/>
      <c r="AQ9" s="1005"/>
      <c r="AR9" s="1005"/>
      <c r="AS9" s="1005"/>
      <c r="AT9" s="1005"/>
      <c r="AU9" s="1005"/>
      <c r="AV9" s="1005"/>
      <c r="AW9" s="1005"/>
      <c r="AX9" s="1005"/>
      <c r="AY9" s="1005"/>
      <c r="AZ9" s="1005"/>
      <c r="BA9" s="1005"/>
      <c r="BB9" s="1005"/>
      <c r="BC9" s="1005"/>
      <c r="BD9" s="1005"/>
      <c r="BE9" s="1005"/>
      <c r="BF9" s="1005"/>
      <c r="BG9" s="1005"/>
      <c r="BH9" s="1005"/>
      <c r="BI9" s="1005"/>
      <c r="BJ9" s="1005"/>
      <c r="BK9" s="1005"/>
      <c r="BL9" s="1005"/>
      <c r="BM9" s="1005"/>
      <c r="BN9" s="1005"/>
      <c r="BO9" s="1005"/>
      <c r="BP9" s="1005"/>
      <c r="BQ9" s="1005"/>
      <c r="BR9" s="1005"/>
      <c r="BS9" s="1005"/>
      <c r="BT9" s="1005"/>
      <c r="BU9" s="1005"/>
      <c r="BV9" s="1005"/>
      <c r="BW9" s="975" t="s">
        <v>2163</v>
      </c>
      <c r="BX9" s="975"/>
      <c r="BY9" s="975"/>
      <c r="BZ9" s="975"/>
      <c r="CA9" s="975"/>
      <c r="CB9" s="975"/>
      <c r="CC9" s="975"/>
      <c r="CD9" s="975"/>
      <c r="CE9" s="976" t="str">
        <f>MID(SUVAHAVUJ!AF151,1,1)</f>
        <v xml:space="preserve"> </v>
      </c>
      <c r="CF9" s="976"/>
      <c r="CG9" s="976"/>
      <c r="CH9" s="976"/>
      <c r="CI9" s="976"/>
      <c r="CJ9" s="976" t="str">
        <f>MID(SUVAHAVUJ!AF151,2,1)</f>
        <v xml:space="preserve"> </v>
      </c>
      <c r="CK9" s="976"/>
      <c r="CL9" s="976"/>
      <c r="CM9" s="976"/>
      <c r="CN9" s="976"/>
      <c r="CO9" s="976"/>
      <c r="CP9" s="976" t="str">
        <f>MID(SUVAHAVUJ!AF151,3,1)</f>
        <v xml:space="preserve"> </v>
      </c>
      <c r="CQ9" s="976"/>
      <c r="CR9" s="976"/>
      <c r="CS9" s="976"/>
      <c r="CT9" s="976"/>
      <c r="CU9" s="976" t="str">
        <f>MID(SUVAHAVUJ!AF151,4,1)</f>
        <v xml:space="preserve"> </v>
      </c>
      <c r="CV9" s="976"/>
      <c r="CW9" s="976"/>
      <c r="CX9" s="976"/>
      <c r="CY9" s="976"/>
      <c r="CZ9" s="976"/>
      <c r="DA9" s="976" t="str">
        <f>MID(SUVAHAVUJ!AF151,5,1)</f>
        <v xml:space="preserve"> </v>
      </c>
      <c r="DB9" s="976"/>
      <c r="DC9" s="976"/>
      <c r="DD9" s="976"/>
      <c r="DE9" s="976"/>
      <c r="DF9" s="976" t="str">
        <f>MID(SUVAHAVUJ!AF151,6,1)</f>
        <v xml:space="preserve"> </v>
      </c>
      <c r="DG9" s="976"/>
      <c r="DH9" s="976"/>
      <c r="DI9" s="976"/>
      <c r="DJ9" s="976"/>
      <c r="DK9" s="976"/>
      <c r="DL9" s="976" t="str">
        <f>MID(SUVAHAVUJ!AF151,7,1)</f>
        <v xml:space="preserve"> </v>
      </c>
      <c r="DM9" s="976"/>
      <c r="DN9" s="976"/>
      <c r="DO9" s="976"/>
      <c r="DP9" s="976"/>
      <c r="DQ9" s="976"/>
      <c r="DR9" s="976" t="str">
        <f>MID(SUVAHAVUJ!AF151,8,1)</f>
        <v xml:space="preserve"> </v>
      </c>
      <c r="DS9" s="976"/>
      <c r="DT9" s="976"/>
      <c r="DU9" s="976"/>
      <c r="DV9" s="976"/>
      <c r="DW9" s="982" t="str">
        <f>MID(SUVAHAVUJ!AF151,9,1)</f>
        <v xml:space="preserve"> </v>
      </c>
      <c r="DX9" s="982"/>
      <c r="DY9" s="982"/>
      <c r="DZ9" s="982"/>
      <c r="EA9" s="982"/>
      <c r="EB9" s="982"/>
      <c r="EC9" s="982" t="str">
        <f>MID(SUVAHAVUJ!AF151,10,1)</f>
        <v xml:space="preserve"> </v>
      </c>
      <c r="ED9" s="982"/>
      <c r="EE9" s="982"/>
      <c r="EF9" s="982"/>
      <c r="EG9" s="982"/>
      <c r="EH9" s="977" t="str">
        <f>MID(SUVAHAVUJ!AF151,11,1)</f>
        <v>0</v>
      </c>
      <c r="EI9" s="977"/>
      <c r="EJ9" s="977"/>
      <c r="EK9" s="977"/>
      <c r="EL9" s="977"/>
      <c r="EM9" s="977"/>
      <c r="EN9" s="665"/>
      <c r="EO9" s="666"/>
      <c r="EP9" s="976" t="str">
        <f>MID(SUVAHAVUJ!AG151,1,1)</f>
        <v xml:space="preserve"> </v>
      </c>
      <c r="EQ9" s="976"/>
      <c r="ER9" s="976"/>
      <c r="ES9" s="976"/>
      <c r="ET9" s="976"/>
      <c r="EU9" s="976"/>
      <c r="EV9" s="976" t="str">
        <f>MID(SUVAHAVUJ!AG151,2,1)</f>
        <v xml:space="preserve"> </v>
      </c>
      <c r="EW9" s="976"/>
      <c r="EX9" s="976"/>
      <c r="EY9" s="976"/>
      <c r="EZ9" s="976"/>
      <c r="FA9" s="976" t="str">
        <f>MID(SUVAHAVUJ!AG151,3,1)</f>
        <v xml:space="preserve"> </v>
      </c>
      <c r="FB9" s="976"/>
      <c r="FC9" s="976"/>
      <c r="FD9" s="976"/>
      <c r="FE9" s="976"/>
      <c r="FF9" s="976"/>
      <c r="FG9" s="976" t="str">
        <f>MID(SUVAHAVUJ!AG151,4,1)</f>
        <v xml:space="preserve"> </v>
      </c>
      <c r="FH9" s="976"/>
      <c r="FI9" s="976"/>
      <c r="FJ9" s="976"/>
      <c r="FK9" s="976"/>
      <c r="FL9" s="982" t="str">
        <f>MID(SUVAHAVUJ!AG151,5,1)</f>
        <v xml:space="preserve"> </v>
      </c>
      <c r="FM9" s="982"/>
      <c r="FN9" s="982"/>
      <c r="FO9" s="982"/>
      <c r="FP9" s="982"/>
      <c r="FQ9" s="982"/>
      <c r="FR9" s="982" t="str">
        <f>MID(SUVAHAVUJ!AG151,6,1)</f>
        <v xml:space="preserve"> </v>
      </c>
      <c r="FS9" s="982"/>
      <c r="FT9" s="982"/>
      <c r="FU9" s="982"/>
      <c r="FV9" s="982"/>
      <c r="FW9" s="982" t="str">
        <f>MID(SUVAHAVUJ!AG151,7,1)</f>
        <v xml:space="preserve"> </v>
      </c>
      <c r="FX9" s="982"/>
      <c r="FY9" s="982"/>
      <c r="FZ9" s="982"/>
      <c r="GA9" s="982"/>
      <c r="GB9" s="982"/>
      <c r="GC9" s="982" t="str">
        <f>MID(SUVAHAVUJ!AG151,8,1)</f>
        <v xml:space="preserve"> </v>
      </c>
      <c r="GD9" s="982"/>
      <c r="GE9" s="982"/>
      <c r="GF9" s="982"/>
      <c r="GG9" s="982"/>
      <c r="GH9" s="982" t="str">
        <f>MID(SUVAHAVUJ!AG151,9,1)</f>
        <v xml:space="preserve"> </v>
      </c>
      <c r="GI9" s="982"/>
      <c r="GJ9" s="982"/>
      <c r="GK9" s="982"/>
      <c r="GL9" s="982"/>
      <c r="GM9" s="982"/>
      <c r="GN9" s="982" t="str">
        <f>MID(SUVAHAVUJ!AG151,10,1)</f>
        <v xml:space="preserve"> </v>
      </c>
      <c r="GO9" s="982"/>
      <c r="GP9" s="982"/>
      <c r="GQ9" s="982"/>
      <c r="GR9" s="982"/>
      <c r="GS9" s="978" t="str">
        <f>MID(SUVAHAVUJ!AG151,11,1)</f>
        <v>0</v>
      </c>
      <c r="GT9" s="978"/>
      <c r="GU9" s="978"/>
      <c r="GV9" s="978"/>
      <c r="GW9" s="978"/>
    </row>
    <row r="10" spans="1:205" ht="24.6" customHeight="1" x14ac:dyDescent="0.25">
      <c r="B10" s="1017" t="s">
        <v>5355</v>
      </c>
      <c r="C10" s="1017"/>
      <c r="D10" s="1017"/>
      <c r="E10" s="1017"/>
      <c r="F10" s="1017"/>
      <c r="G10" s="1017"/>
      <c r="H10" s="1017"/>
      <c r="I10" s="1017"/>
      <c r="J10" s="1017"/>
      <c r="K10" s="1017"/>
      <c r="L10" s="1005" t="str">
        <f>SUVAHAVUJ!$D$152</f>
        <v>Tržby z predaja vlastných výrobkov (601)</v>
      </c>
      <c r="M10" s="1005"/>
      <c r="N10" s="1005"/>
      <c r="O10" s="1005"/>
      <c r="P10" s="1005"/>
      <c r="Q10" s="1005"/>
      <c r="R10" s="1005"/>
      <c r="S10" s="1005"/>
      <c r="T10" s="1005"/>
      <c r="U10" s="1005"/>
      <c r="V10" s="1005"/>
      <c r="W10" s="1005"/>
      <c r="X10" s="1005"/>
      <c r="Y10" s="1005"/>
      <c r="Z10" s="1005"/>
      <c r="AA10" s="1005"/>
      <c r="AB10" s="1005"/>
      <c r="AC10" s="1005"/>
      <c r="AD10" s="1005"/>
      <c r="AE10" s="1005"/>
      <c r="AF10" s="1005"/>
      <c r="AG10" s="1005"/>
      <c r="AH10" s="1005"/>
      <c r="AI10" s="1005"/>
      <c r="AJ10" s="1005"/>
      <c r="AK10" s="1005"/>
      <c r="AL10" s="1005"/>
      <c r="AM10" s="1005"/>
      <c r="AN10" s="1005"/>
      <c r="AO10" s="1005"/>
      <c r="AP10" s="1005"/>
      <c r="AQ10" s="1005"/>
      <c r="AR10" s="1005"/>
      <c r="AS10" s="1005"/>
      <c r="AT10" s="1005"/>
      <c r="AU10" s="1005"/>
      <c r="AV10" s="1005"/>
      <c r="AW10" s="1005"/>
      <c r="AX10" s="1005"/>
      <c r="AY10" s="1005"/>
      <c r="AZ10" s="1005"/>
      <c r="BA10" s="1005"/>
      <c r="BB10" s="1005"/>
      <c r="BC10" s="1005"/>
      <c r="BD10" s="1005"/>
      <c r="BE10" s="1005"/>
      <c r="BF10" s="1005"/>
      <c r="BG10" s="1005"/>
      <c r="BH10" s="1005"/>
      <c r="BI10" s="1005"/>
      <c r="BJ10" s="1005"/>
      <c r="BK10" s="1005"/>
      <c r="BL10" s="1005"/>
      <c r="BM10" s="1005"/>
      <c r="BN10" s="1005"/>
      <c r="BO10" s="1005"/>
      <c r="BP10" s="1005"/>
      <c r="BQ10" s="1005"/>
      <c r="BR10" s="1005"/>
      <c r="BS10" s="1005"/>
      <c r="BT10" s="1005"/>
      <c r="BU10" s="1005"/>
      <c r="BV10" s="1005"/>
      <c r="BW10" s="975" t="s">
        <v>1232</v>
      </c>
      <c r="BX10" s="975"/>
      <c r="BY10" s="975"/>
      <c r="BZ10" s="975"/>
      <c r="CA10" s="975"/>
      <c r="CB10" s="975"/>
      <c r="CC10" s="975"/>
      <c r="CD10" s="975"/>
      <c r="CE10" s="976" t="str">
        <f>MID(SUVAHAVUJ!AF152,1,1)</f>
        <v xml:space="preserve"> </v>
      </c>
      <c r="CF10" s="976"/>
      <c r="CG10" s="976"/>
      <c r="CH10" s="976"/>
      <c r="CI10" s="976"/>
      <c r="CJ10" s="976" t="str">
        <f>MID(SUVAHAVUJ!AF152,2,1)</f>
        <v xml:space="preserve"> </v>
      </c>
      <c r="CK10" s="976"/>
      <c r="CL10" s="976"/>
      <c r="CM10" s="976"/>
      <c r="CN10" s="976"/>
      <c r="CO10" s="976"/>
      <c r="CP10" s="976" t="str">
        <f>MID(SUVAHAVUJ!AF152,3,1)</f>
        <v xml:space="preserve"> </v>
      </c>
      <c r="CQ10" s="976"/>
      <c r="CR10" s="976"/>
      <c r="CS10" s="976"/>
      <c r="CT10" s="976"/>
      <c r="CU10" s="976" t="str">
        <f>MID(SUVAHAVUJ!AF152,4,1)</f>
        <v xml:space="preserve"> </v>
      </c>
      <c r="CV10" s="976"/>
      <c r="CW10" s="976"/>
      <c r="CX10" s="976"/>
      <c r="CY10" s="976"/>
      <c r="CZ10" s="976"/>
      <c r="DA10" s="976" t="str">
        <f>MID(SUVAHAVUJ!AF152,5,1)</f>
        <v xml:space="preserve"> </v>
      </c>
      <c r="DB10" s="976"/>
      <c r="DC10" s="976"/>
      <c r="DD10" s="976"/>
      <c r="DE10" s="976"/>
      <c r="DF10" s="976" t="str">
        <f>MID(SUVAHAVUJ!AF152,6,1)</f>
        <v xml:space="preserve"> </v>
      </c>
      <c r="DG10" s="976"/>
      <c r="DH10" s="976"/>
      <c r="DI10" s="976"/>
      <c r="DJ10" s="976"/>
      <c r="DK10" s="976"/>
      <c r="DL10" s="976" t="str">
        <f>MID(SUVAHAVUJ!AF152,7,1)</f>
        <v>3</v>
      </c>
      <c r="DM10" s="976"/>
      <c r="DN10" s="976"/>
      <c r="DO10" s="976"/>
      <c r="DP10" s="976"/>
      <c r="DQ10" s="976"/>
      <c r="DR10" s="976" t="str">
        <f>MID(SUVAHAVUJ!AF152,8,1)</f>
        <v>2</v>
      </c>
      <c r="DS10" s="976"/>
      <c r="DT10" s="976"/>
      <c r="DU10" s="976"/>
      <c r="DV10" s="976"/>
      <c r="DW10" s="982" t="str">
        <f>MID(SUVAHAVUJ!AF152,9,1)</f>
        <v>7</v>
      </c>
      <c r="DX10" s="982"/>
      <c r="DY10" s="982"/>
      <c r="DZ10" s="982"/>
      <c r="EA10" s="982"/>
      <c r="EB10" s="982"/>
      <c r="EC10" s="982" t="str">
        <f>MID(SUVAHAVUJ!AF152,10,1)</f>
        <v>1</v>
      </c>
      <c r="ED10" s="982"/>
      <c r="EE10" s="982"/>
      <c r="EF10" s="982"/>
      <c r="EG10" s="982"/>
      <c r="EH10" s="977" t="str">
        <f>MID(SUVAHAVUJ!AF152,11,1)</f>
        <v>4</v>
      </c>
      <c r="EI10" s="977"/>
      <c r="EJ10" s="977"/>
      <c r="EK10" s="977"/>
      <c r="EL10" s="977"/>
      <c r="EM10" s="977"/>
      <c r="EN10" s="665"/>
      <c r="EO10" s="666"/>
      <c r="EP10" s="976" t="str">
        <f>MID(SUVAHAVUJ!AG152,1,1)</f>
        <v xml:space="preserve"> </v>
      </c>
      <c r="EQ10" s="976"/>
      <c r="ER10" s="976"/>
      <c r="ES10" s="976"/>
      <c r="ET10" s="976"/>
      <c r="EU10" s="976"/>
      <c r="EV10" s="976" t="str">
        <f>MID(SUVAHAVUJ!AG152,2,1)</f>
        <v xml:space="preserve"> </v>
      </c>
      <c r="EW10" s="976"/>
      <c r="EX10" s="976"/>
      <c r="EY10" s="976"/>
      <c r="EZ10" s="976"/>
      <c r="FA10" s="976" t="str">
        <f>MID(SUVAHAVUJ!AG152,3,1)</f>
        <v xml:space="preserve"> </v>
      </c>
      <c r="FB10" s="976"/>
      <c r="FC10" s="976"/>
      <c r="FD10" s="976"/>
      <c r="FE10" s="976"/>
      <c r="FF10" s="976"/>
      <c r="FG10" s="976" t="str">
        <f>MID(SUVAHAVUJ!AG152,4,1)</f>
        <v xml:space="preserve"> </v>
      </c>
      <c r="FH10" s="976"/>
      <c r="FI10" s="976"/>
      <c r="FJ10" s="976"/>
      <c r="FK10" s="976"/>
      <c r="FL10" s="982" t="str">
        <f>MID(SUVAHAVUJ!AG152,5,1)</f>
        <v xml:space="preserve"> </v>
      </c>
      <c r="FM10" s="982"/>
      <c r="FN10" s="982"/>
      <c r="FO10" s="982"/>
      <c r="FP10" s="982"/>
      <c r="FQ10" s="982"/>
      <c r="FR10" s="982" t="str">
        <f>MID(SUVAHAVUJ!AG152,6,1)</f>
        <v xml:space="preserve"> </v>
      </c>
      <c r="FS10" s="982"/>
      <c r="FT10" s="982"/>
      <c r="FU10" s="982"/>
      <c r="FV10" s="982"/>
      <c r="FW10" s="982" t="str">
        <f>MID(SUVAHAVUJ!AG152,7,1)</f>
        <v>4</v>
      </c>
      <c r="FX10" s="982"/>
      <c r="FY10" s="982"/>
      <c r="FZ10" s="982"/>
      <c r="GA10" s="982"/>
      <c r="GB10" s="982"/>
      <c r="GC10" s="982" t="str">
        <f>MID(SUVAHAVUJ!AG152,8,1)</f>
        <v>2</v>
      </c>
      <c r="GD10" s="982"/>
      <c r="GE10" s="982"/>
      <c r="GF10" s="982"/>
      <c r="GG10" s="982"/>
      <c r="GH10" s="982" t="str">
        <f>MID(SUVAHAVUJ!AG152,9,1)</f>
        <v>7</v>
      </c>
      <c r="GI10" s="982"/>
      <c r="GJ10" s="982"/>
      <c r="GK10" s="982"/>
      <c r="GL10" s="982"/>
      <c r="GM10" s="982"/>
      <c r="GN10" s="982" t="str">
        <f>MID(SUVAHAVUJ!AG152,10,1)</f>
        <v>2</v>
      </c>
      <c r="GO10" s="982"/>
      <c r="GP10" s="982"/>
      <c r="GQ10" s="982"/>
      <c r="GR10" s="982"/>
      <c r="GS10" s="978" t="str">
        <f>MID(SUVAHAVUJ!AG152,11,1)</f>
        <v>2</v>
      </c>
      <c r="GT10" s="978"/>
      <c r="GU10" s="978"/>
      <c r="GV10" s="978"/>
      <c r="GW10" s="978"/>
    </row>
    <row r="11" spans="1:205" ht="24.6" customHeight="1" x14ac:dyDescent="0.25">
      <c r="B11" s="1017" t="s">
        <v>2290</v>
      </c>
      <c r="C11" s="1017"/>
      <c r="D11" s="1017"/>
      <c r="E11" s="1017"/>
      <c r="F11" s="1017"/>
      <c r="G11" s="1017"/>
      <c r="H11" s="1017"/>
      <c r="I11" s="1017"/>
      <c r="J11" s="1017"/>
      <c r="K11" s="1017"/>
      <c r="L11" s="1005" t="str">
        <f>SUVAHAVUJ!$D$153</f>
        <v>Tržby z predaja služieb (602, 606)</v>
      </c>
      <c r="M11" s="1005"/>
      <c r="N11" s="1005"/>
      <c r="O11" s="1005"/>
      <c r="P11" s="1005"/>
      <c r="Q11" s="1005"/>
      <c r="R11" s="1005"/>
      <c r="S11" s="1005"/>
      <c r="T11" s="1005"/>
      <c r="U11" s="1005"/>
      <c r="V11" s="1005"/>
      <c r="W11" s="1005"/>
      <c r="X11" s="1005"/>
      <c r="Y11" s="1005"/>
      <c r="Z11" s="1005"/>
      <c r="AA11" s="1005"/>
      <c r="AB11" s="1005"/>
      <c r="AC11" s="1005"/>
      <c r="AD11" s="1005"/>
      <c r="AE11" s="1005"/>
      <c r="AF11" s="1005"/>
      <c r="AG11" s="1005"/>
      <c r="AH11" s="1005"/>
      <c r="AI11" s="1005"/>
      <c r="AJ11" s="1005"/>
      <c r="AK11" s="1005"/>
      <c r="AL11" s="1005"/>
      <c r="AM11" s="1005"/>
      <c r="AN11" s="1005"/>
      <c r="AO11" s="1005"/>
      <c r="AP11" s="1005"/>
      <c r="AQ11" s="1005"/>
      <c r="AR11" s="1005"/>
      <c r="AS11" s="1005"/>
      <c r="AT11" s="1005"/>
      <c r="AU11" s="1005"/>
      <c r="AV11" s="1005"/>
      <c r="AW11" s="1005"/>
      <c r="AX11" s="1005"/>
      <c r="AY11" s="1005"/>
      <c r="AZ11" s="1005"/>
      <c r="BA11" s="1005"/>
      <c r="BB11" s="1005"/>
      <c r="BC11" s="1005"/>
      <c r="BD11" s="1005"/>
      <c r="BE11" s="1005"/>
      <c r="BF11" s="1005"/>
      <c r="BG11" s="1005"/>
      <c r="BH11" s="1005"/>
      <c r="BI11" s="1005"/>
      <c r="BJ11" s="1005"/>
      <c r="BK11" s="1005"/>
      <c r="BL11" s="1005"/>
      <c r="BM11" s="1005"/>
      <c r="BN11" s="1005"/>
      <c r="BO11" s="1005"/>
      <c r="BP11" s="1005"/>
      <c r="BQ11" s="1005"/>
      <c r="BR11" s="1005"/>
      <c r="BS11" s="1005"/>
      <c r="BT11" s="1005"/>
      <c r="BU11" s="1005"/>
      <c r="BV11" s="1005"/>
      <c r="BW11" s="975" t="s">
        <v>1233</v>
      </c>
      <c r="BX11" s="975"/>
      <c r="BY11" s="975"/>
      <c r="BZ11" s="975"/>
      <c r="CA11" s="975"/>
      <c r="CB11" s="975"/>
      <c r="CC11" s="975"/>
      <c r="CD11" s="975"/>
      <c r="CE11" s="976" t="str">
        <f>MID(SUVAHAVUJ!AF153,1,1)</f>
        <v xml:space="preserve"> </v>
      </c>
      <c r="CF11" s="976"/>
      <c r="CG11" s="976"/>
      <c r="CH11" s="976"/>
      <c r="CI11" s="976"/>
      <c r="CJ11" s="976" t="str">
        <f>MID(SUVAHAVUJ!AF153,2,1)</f>
        <v xml:space="preserve"> </v>
      </c>
      <c r="CK11" s="976"/>
      <c r="CL11" s="976"/>
      <c r="CM11" s="976"/>
      <c r="CN11" s="976"/>
      <c r="CO11" s="976"/>
      <c r="CP11" s="976" t="str">
        <f>MID(SUVAHAVUJ!AF153,3,1)</f>
        <v xml:space="preserve"> </v>
      </c>
      <c r="CQ11" s="976"/>
      <c r="CR11" s="976"/>
      <c r="CS11" s="976"/>
      <c r="CT11" s="976"/>
      <c r="CU11" s="976" t="str">
        <f>MID(SUVAHAVUJ!AF153,4,1)</f>
        <v xml:space="preserve"> </v>
      </c>
      <c r="CV11" s="976"/>
      <c r="CW11" s="976"/>
      <c r="CX11" s="976"/>
      <c r="CY11" s="976"/>
      <c r="CZ11" s="976"/>
      <c r="DA11" s="976" t="str">
        <f>MID(SUVAHAVUJ!AF153,5,1)</f>
        <v xml:space="preserve"> </v>
      </c>
      <c r="DB11" s="976"/>
      <c r="DC11" s="976"/>
      <c r="DD11" s="976"/>
      <c r="DE11" s="976"/>
      <c r="DF11" s="976" t="str">
        <f>MID(SUVAHAVUJ!AF153,6,1)</f>
        <v xml:space="preserve"> </v>
      </c>
      <c r="DG11" s="976"/>
      <c r="DH11" s="976"/>
      <c r="DI11" s="976"/>
      <c r="DJ11" s="976"/>
      <c r="DK11" s="976"/>
      <c r="DL11" s="976" t="str">
        <f>MID(SUVAHAVUJ!AF153,7,1)</f>
        <v>1</v>
      </c>
      <c r="DM11" s="976"/>
      <c r="DN11" s="976"/>
      <c r="DO11" s="976"/>
      <c r="DP11" s="976"/>
      <c r="DQ11" s="976"/>
      <c r="DR11" s="976" t="str">
        <f>MID(SUVAHAVUJ!AF153,8,1)</f>
        <v>0</v>
      </c>
      <c r="DS11" s="976"/>
      <c r="DT11" s="976"/>
      <c r="DU11" s="976"/>
      <c r="DV11" s="976"/>
      <c r="DW11" s="982" t="str">
        <f>MID(SUVAHAVUJ!AF153,9,1)</f>
        <v>0</v>
      </c>
      <c r="DX11" s="982"/>
      <c r="DY11" s="982"/>
      <c r="DZ11" s="982"/>
      <c r="EA11" s="982"/>
      <c r="EB11" s="982"/>
      <c r="EC11" s="982" t="str">
        <f>MID(SUVAHAVUJ!AF153,10,1)</f>
        <v>7</v>
      </c>
      <c r="ED11" s="982"/>
      <c r="EE11" s="982"/>
      <c r="EF11" s="982"/>
      <c r="EG11" s="982"/>
      <c r="EH11" s="977" t="str">
        <f>MID(SUVAHAVUJ!AF153,11,1)</f>
        <v>3</v>
      </c>
      <c r="EI11" s="977"/>
      <c r="EJ11" s="977"/>
      <c r="EK11" s="977"/>
      <c r="EL11" s="977"/>
      <c r="EM11" s="977"/>
      <c r="EN11" s="665"/>
      <c r="EO11" s="666"/>
      <c r="EP11" s="976" t="str">
        <f>MID(SUVAHAVUJ!AG153,1,1)</f>
        <v xml:space="preserve"> </v>
      </c>
      <c r="EQ11" s="976"/>
      <c r="ER11" s="976"/>
      <c r="ES11" s="976"/>
      <c r="ET11" s="976"/>
      <c r="EU11" s="976"/>
      <c r="EV11" s="976" t="str">
        <f>MID(SUVAHAVUJ!AG153,2,1)</f>
        <v xml:space="preserve"> </v>
      </c>
      <c r="EW11" s="976"/>
      <c r="EX11" s="976"/>
      <c r="EY11" s="976"/>
      <c r="EZ11" s="976"/>
      <c r="FA11" s="976" t="str">
        <f>MID(SUVAHAVUJ!AG153,3,1)</f>
        <v xml:space="preserve"> </v>
      </c>
      <c r="FB11" s="976"/>
      <c r="FC11" s="976"/>
      <c r="FD11" s="976"/>
      <c r="FE11" s="976"/>
      <c r="FF11" s="976"/>
      <c r="FG11" s="976" t="str">
        <f>MID(SUVAHAVUJ!AG153,4,1)</f>
        <v xml:space="preserve"> </v>
      </c>
      <c r="FH11" s="976"/>
      <c r="FI11" s="976"/>
      <c r="FJ11" s="976"/>
      <c r="FK11" s="976"/>
      <c r="FL11" s="982" t="str">
        <f>MID(SUVAHAVUJ!AG153,5,1)</f>
        <v xml:space="preserve"> </v>
      </c>
      <c r="FM11" s="982"/>
      <c r="FN11" s="982"/>
      <c r="FO11" s="982"/>
      <c r="FP11" s="982"/>
      <c r="FQ11" s="982"/>
      <c r="FR11" s="982" t="str">
        <f>MID(SUVAHAVUJ!AG153,6,1)</f>
        <v xml:space="preserve"> </v>
      </c>
      <c r="FS11" s="982"/>
      <c r="FT11" s="982"/>
      <c r="FU11" s="982"/>
      <c r="FV11" s="982"/>
      <c r="FW11" s="982" t="str">
        <f>MID(SUVAHAVUJ!AG153,7,1)</f>
        <v xml:space="preserve"> </v>
      </c>
      <c r="FX11" s="982"/>
      <c r="FY11" s="982"/>
      <c r="FZ11" s="982"/>
      <c r="GA11" s="982"/>
      <c r="GB11" s="982"/>
      <c r="GC11" s="982" t="str">
        <f>MID(SUVAHAVUJ!AG153,8,1)</f>
        <v>2</v>
      </c>
      <c r="GD11" s="982"/>
      <c r="GE11" s="982"/>
      <c r="GF11" s="982"/>
      <c r="GG11" s="982"/>
      <c r="GH11" s="982" t="str">
        <f>MID(SUVAHAVUJ!AG153,9,1)</f>
        <v>1</v>
      </c>
      <c r="GI11" s="982"/>
      <c r="GJ11" s="982"/>
      <c r="GK11" s="982"/>
      <c r="GL11" s="982"/>
      <c r="GM11" s="982"/>
      <c r="GN11" s="982" t="str">
        <f>MID(SUVAHAVUJ!AG153,10,1)</f>
        <v>3</v>
      </c>
      <c r="GO11" s="982"/>
      <c r="GP11" s="982"/>
      <c r="GQ11" s="982"/>
      <c r="GR11" s="982"/>
      <c r="GS11" s="978" t="str">
        <f>MID(SUVAHAVUJ!AG153,11,1)</f>
        <v>1</v>
      </c>
      <c r="GT11" s="978"/>
      <c r="GU11" s="978"/>
      <c r="GV11" s="978"/>
      <c r="GW11" s="978"/>
    </row>
    <row r="12" spans="1:205" ht="24.6" customHeight="1" x14ac:dyDescent="0.25">
      <c r="B12" s="1017" t="s">
        <v>2291</v>
      </c>
      <c r="C12" s="1017"/>
      <c r="D12" s="1017"/>
      <c r="E12" s="1017"/>
      <c r="F12" s="1017"/>
      <c r="G12" s="1017"/>
      <c r="H12" s="1017"/>
      <c r="I12" s="1017"/>
      <c r="J12" s="1017"/>
      <c r="K12" s="1017"/>
      <c r="L12" s="1005" t="str">
        <f>SUVAHAVUJ!$D$154</f>
        <v>Zmeny stavu vnútroorganizačných zásob (+/-)
(účtová skupina 61)</v>
      </c>
      <c r="M12" s="1005"/>
      <c r="N12" s="1005"/>
      <c r="O12" s="1005"/>
      <c r="P12" s="1005"/>
      <c r="Q12" s="1005"/>
      <c r="R12" s="1005"/>
      <c r="S12" s="1005"/>
      <c r="T12" s="1005"/>
      <c r="U12" s="1005"/>
      <c r="V12" s="1005"/>
      <c r="W12" s="1005"/>
      <c r="X12" s="1005"/>
      <c r="Y12" s="1005"/>
      <c r="Z12" s="1005"/>
      <c r="AA12" s="1005"/>
      <c r="AB12" s="1005"/>
      <c r="AC12" s="1005"/>
      <c r="AD12" s="1005"/>
      <c r="AE12" s="1005"/>
      <c r="AF12" s="1005"/>
      <c r="AG12" s="1005"/>
      <c r="AH12" s="1005"/>
      <c r="AI12" s="1005"/>
      <c r="AJ12" s="1005"/>
      <c r="AK12" s="1005"/>
      <c r="AL12" s="1005"/>
      <c r="AM12" s="1005"/>
      <c r="AN12" s="1005"/>
      <c r="AO12" s="1005"/>
      <c r="AP12" s="1005"/>
      <c r="AQ12" s="1005"/>
      <c r="AR12" s="1005"/>
      <c r="AS12" s="1005"/>
      <c r="AT12" s="1005"/>
      <c r="AU12" s="1005"/>
      <c r="AV12" s="1005"/>
      <c r="AW12" s="1005"/>
      <c r="AX12" s="1005"/>
      <c r="AY12" s="1005"/>
      <c r="AZ12" s="1005"/>
      <c r="BA12" s="1005"/>
      <c r="BB12" s="1005"/>
      <c r="BC12" s="1005"/>
      <c r="BD12" s="1005"/>
      <c r="BE12" s="1005"/>
      <c r="BF12" s="1005"/>
      <c r="BG12" s="1005"/>
      <c r="BH12" s="1005"/>
      <c r="BI12" s="1005"/>
      <c r="BJ12" s="1005"/>
      <c r="BK12" s="1005"/>
      <c r="BL12" s="1005"/>
      <c r="BM12" s="1005"/>
      <c r="BN12" s="1005"/>
      <c r="BO12" s="1005"/>
      <c r="BP12" s="1005"/>
      <c r="BQ12" s="1005"/>
      <c r="BR12" s="1005"/>
      <c r="BS12" s="1005"/>
      <c r="BT12" s="1005"/>
      <c r="BU12" s="1005"/>
      <c r="BV12" s="1005"/>
      <c r="BW12" s="975" t="s">
        <v>1234</v>
      </c>
      <c r="BX12" s="975"/>
      <c r="BY12" s="975"/>
      <c r="BZ12" s="975"/>
      <c r="CA12" s="975"/>
      <c r="CB12" s="975"/>
      <c r="CC12" s="975"/>
      <c r="CD12" s="975"/>
      <c r="CE12" s="976" t="str">
        <f>MID(SUVAHAVUJ!AF154,1,1)</f>
        <v xml:space="preserve"> </v>
      </c>
      <c r="CF12" s="976"/>
      <c r="CG12" s="976"/>
      <c r="CH12" s="976"/>
      <c r="CI12" s="976"/>
      <c r="CJ12" s="976" t="str">
        <f>MID(SUVAHAVUJ!AF154,2,1)</f>
        <v xml:space="preserve"> </v>
      </c>
      <c r="CK12" s="976"/>
      <c r="CL12" s="976"/>
      <c r="CM12" s="976"/>
      <c r="CN12" s="976"/>
      <c r="CO12" s="976"/>
      <c r="CP12" s="976" t="str">
        <f>MID(SUVAHAVUJ!AF154,3,1)</f>
        <v xml:space="preserve"> </v>
      </c>
      <c r="CQ12" s="976"/>
      <c r="CR12" s="976"/>
      <c r="CS12" s="976"/>
      <c r="CT12" s="976"/>
      <c r="CU12" s="976" t="str">
        <f>MID(SUVAHAVUJ!AF154,4,1)</f>
        <v xml:space="preserve"> </v>
      </c>
      <c r="CV12" s="976"/>
      <c r="CW12" s="976"/>
      <c r="CX12" s="976"/>
      <c r="CY12" s="976"/>
      <c r="CZ12" s="976"/>
      <c r="DA12" s="976" t="str">
        <f>MID(SUVAHAVUJ!AF154,5,1)</f>
        <v xml:space="preserve"> </v>
      </c>
      <c r="DB12" s="976"/>
      <c r="DC12" s="976"/>
      <c r="DD12" s="976"/>
      <c r="DE12" s="976"/>
      <c r="DF12" s="976" t="str">
        <f>MID(SUVAHAVUJ!AF154,6,1)</f>
        <v xml:space="preserve"> </v>
      </c>
      <c r="DG12" s="976"/>
      <c r="DH12" s="976"/>
      <c r="DI12" s="976"/>
      <c r="DJ12" s="976"/>
      <c r="DK12" s="976"/>
      <c r="DL12" s="976" t="str">
        <f>MID(SUVAHAVUJ!AF154,7,1)</f>
        <v xml:space="preserve"> </v>
      </c>
      <c r="DM12" s="976"/>
      <c r="DN12" s="976"/>
      <c r="DO12" s="976"/>
      <c r="DP12" s="976"/>
      <c r="DQ12" s="976"/>
      <c r="DR12" s="976" t="str">
        <f>MID(SUVAHAVUJ!AF154,8,1)</f>
        <v>4</v>
      </c>
      <c r="DS12" s="976"/>
      <c r="DT12" s="976"/>
      <c r="DU12" s="976"/>
      <c r="DV12" s="976"/>
      <c r="DW12" s="982" t="str">
        <f>MID(SUVAHAVUJ!AF154,9,1)</f>
        <v>5</v>
      </c>
      <c r="DX12" s="982"/>
      <c r="DY12" s="982"/>
      <c r="DZ12" s="982"/>
      <c r="EA12" s="982"/>
      <c r="EB12" s="982"/>
      <c r="EC12" s="982" t="str">
        <f>MID(SUVAHAVUJ!AF154,10,1)</f>
        <v>0</v>
      </c>
      <c r="ED12" s="982"/>
      <c r="EE12" s="982"/>
      <c r="EF12" s="982"/>
      <c r="EG12" s="982"/>
      <c r="EH12" s="977" t="str">
        <f>MID(SUVAHAVUJ!AF154,11,1)</f>
        <v>1</v>
      </c>
      <c r="EI12" s="977"/>
      <c r="EJ12" s="977"/>
      <c r="EK12" s="977"/>
      <c r="EL12" s="977"/>
      <c r="EM12" s="977"/>
      <c r="EN12" s="665"/>
      <c r="EO12" s="666"/>
      <c r="EP12" s="976" t="str">
        <f>MID(SUVAHAVUJ!AG154,1,1)</f>
        <v xml:space="preserve"> </v>
      </c>
      <c r="EQ12" s="976"/>
      <c r="ER12" s="976"/>
      <c r="ES12" s="976"/>
      <c r="ET12" s="976"/>
      <c r="EU12" s="976"/>
      <c r="EV12" s="976" t="str">
        <f>MID(SUVAHAVUJ!AG154,2,1)</f>
        <v xml:space="preserve"> </v>
      </c>
      <c r="EW12" s="976"/>
      <c r="EX12" s="976"/>
      <c r="EY12" s="976"/>
      <c r="EZ12" s="976"/>
      <c r="FA12" s="976" t="str">
        <f>MID(SUVAHAVUJ!AG154,3,1)</f>
        <v xml:space="preserve"> </v>
      </c>
      <c r="FB12" s="976"/>
      <c r="FC12" s="976"/>
      <c r="FD12" s="976"/>
      <c r="FE12" s="976"/>
      <c r="FF12" s="976"/>
      <c r="FG12" s="976" t="str">
        <f>MID(SUVAHAVUJ!AG154,4,1)</f>
        <v xml:space="preserve"> </v>
      </c>
      <c r="FH12" s="976"/>
      <c r="FI12" s="976"/>
      <c r="FJ12" s="976"/>
      <c r="FK12" s="976"/>
      <c r="FL12" s="982" t="str">
        <f>MID(SUVAHAVUJ!AG154,5,1)</f>
        <v xml:space="preserve"> </v>
      </c>
      <c r="FM12" s="982"/>
      <c r="FN12" s="982"/>
      <c r="FO12" s="982"/>
      <c r="FP12" s="982"/>
      <c r="FQ12" s="982"/>
      <c r="FR12" s="982" t="str">
        <f>MID(SUVAHAVUJ!AG154,6,1)</f>
        <v>-</v>
      </c>
      <c r="FS12" s="982"/>
      <c r="FT12" s="982"/>
      <c r="FU12" s="982"/>
      <c r="FV12" s="982"/>
      <c r="FW12" s="982" t="str">
        <f>MID(SUVAHAVUJ!AG154,7,1)</f>
        <v>1</v>
      </c>
      <c r="FX12" s="982"/>
      <c r="FY12" s="982"/>
      <c r="FZ12" s="982"/>
      <c r="GA12" s="982"/>
      <c r="GB12" s="982"/>
      <c r="GC12" s="982" t="str">
        <f>MID(SUVAHAVUJ!AG154,8,1)</f>
        <v>9</v>
      </c>
      <c r="GD12" s="982"/>
      <c r="GE12" s="982"/>
      <c r="GF12" s="982"/>
      <c r="GG12" s="982"/>
      <c r="GH12" s="982" t="str">
        <f>MID(SUVAHAVUJ!AG154,9,1)</f>
        <v>8</v>
      </c>
      <c r="GI12" s="982"/>
      <c r="GJ12" s="982"/>
      <c r="GK12" s="982"/>
      <c r="GL12" s="982"/>
      <c r="GM12" s="982"/>
      <c r="GN12" s="982" t="str">
        <f>MID(SUVAHAVUJ!AG154,10,1)</f>
        <v>1</v>
      </c>
      <c r="GO12" s="982"/>
      <c r="GP12" s="982"/>
      <c r="GQ12" s="982"/>
      <c r="GR12" s="982"/>
      <c r="GS12" s="978" t="str">
        <f>MID(SUVAHAVUJ!AG154,11,1)</f>
        <v>0</v>
      </c>
      <c r="GT12" s="978"/>
      <c r="GU12" s="978"/>
      <c r="GV12" s="978"/>
      <c r="GW12" s="978"/>
    </row>
    <row r="13" spans="1:205" ht="24.6" customHeight="1" x14ac:dyDescent="0.25">
      <c r="B13" s="1017" t="s">
        <v>2292</v>
      </c>
      <c r="C13" s="1017"/>
      <c r="D13" s="1017"/>
      <c r="E13" s="1017"/>
      <c r="F13" s="1017"/>
      <c r="G13" s="1017"/>
      <c r="H13" s="1017"/>
      <c r="I13" s="1017"/>
      <c r="J13" s="1017"/>
      <c r="K13" s="1017"/>
      <c r="L13" s="1005" t="str">
        <f>SUVAHAVUJ!$D$155</f>
        <v>Aktivácia (účtová skupina 62)</v>
      </c>
      <c r="M13" s="1005"/>
      <c r="N13" s="1005"/>
      <c r="O13" s="1005"/>
      <c r="P13" s="1005"/>
      <c r="Q13" s="1005"/>
      <c r="R13" s="1005"/>
      <c r="S13" s="1005"/>
      <c r="T13" s="1005"/>
      <c r="U13" s="1005"/>
      <c r="V13" s="1005"/>
      <c r="W13" s="1005"/>
      <c r="X13" s="1005"/>
      <c r="Y13" s="1005"/>
      <c r="Z13" s="1005"/>
      <c r="AA13" s="1005"/>
      <c r="AB13" s="1005"/>
      <c r="AC13" s="1005"/>
      <c r="AD13" s="1005"/>
      <c r="AE13" s="1005"/>
      <c r="AF13" s="1005"/>
      <c r="AG13" s="1005"/>
      <c r="AH13" s="1005"/>
      <c r="AI13" s="1005"/>
      <c r="AJ13" s="1005"/>
      <c r="AK13" s="1005"/>
      <c r="AL13" s="1005"/>
      <c r="AM13" s="1005"/>
      <c r="AN13" s="1005"/>
      <c r="AO13" s="1005"/>
      <c r="AP13" s="1005"/>
      <c r="AQ13" s="1005"/>
      <c r="AR13" s="1005"/>
      <c r="AS13" s="1005"/>
      <c r="AT13" s="1005"/>
      <c r="AU13" s="1005"/>
      <c r="AV13" s="1005"/>
      <c r="AW13" s="1005"/>
      <c r="AX13" s="1005"/>
      <c r="AY13" s="1005"/>
      <c r="AZ13" s="1005"/>
      <c r="BA13" s="1005"/>
      <c r="BB13" s="1005"/>
      <c r="BC13" s="1005"/>
      <c r="BD13" s="1005"/>
      <c r="BE13" s="1005"/>
      <c r="BF13" s="1005"/>
      <c r="BG13" s="1005"/>
      <c r="BH13" s="1005"/>
      <c r="BI13" s="1005"/>
      <c r="BJ13" s="1005"/>
      <c r="BK13" s="1005"/>
      <c r="BL13" s="1005"/>
      <c r="BM13" s="1005"/>
      <c r="BN13" s="1005"/>
      <c r="BO13" s="1005"/>
      <c r="BP13" s="1005"/>
      <c r="BQ13" s="1005"/>
      <c r="BR13" s="1005"/>
      <c r="BS13" s="1005"/>
      <c r="BT13" s="1005"/>
      <c r="BU13" s="1005"/>
      <c r="BV13" s="1005"/>
      <c r="BW13" s="975" t="s">
        <v>1235</v>
      </c>
      <c r="BX13" s="975"/>
      <c r="BY13" s="975"/>
      <c r="BZ13" s="975"/>
      <c r="CA13" s="975"/>
      <c r="CB13" s="975"/>
      <c r="CC13" s="975"/>
      <c r="CD13" s="975"/>
      <c r="CE13" s="976" t="str">
        <f>MID(SUVAHAVUJ!AF155,1,1)</f>
        <v xml:space="preserve"> </v>
      </c>
      <c r="CF13" s="976"/>
      <c r="CG13" s="976"/>
      <c r="CH13" s="976"/>
      <c r="CI13" s="976"/>
      <c r="CJ13" s="976" t="str">
        <f>MID(SUVAHAVUJ!AF155,2,1)</f>
        <v xml:space="preserve"> </v>
      </c>
      <c r="CK13" s="976"/>
      <c r="CL13" s="976"/>
      <c r="CM13" s="976"/>
      <c r="CN13" s="976"/>
      <c r="CO13" s="976"/>
      <c r="CP13" s="976" t="str">
        <f>MID(SUVAHAVUJ!AF155,3,1)</f>
        <v xml:space="preserve"> </v>
      </c>
      <c r="CQ13" s="976"/>
      <c r="CR13" s="976"/>
      <c r="CS13" s="976"/>
      <c r="CT13" s="976"/>
      <c r="CU13" s="976" t="str">
        <f>MID(SUVAHAVUJ!AF155,4,1)</f>
        <v xml:space="preserve"> </v>
      </c>
      <c r="CV13" s="976"/>
      <c r="CW13" s="976"/>
      <c r="CX13" s="976"/>
      <c r="CY13" s="976"/>
      <c r="CZ13" s="976"/>
      <c r="DA13" s="976" t="str">
        <f>MID(SUVAHAVUJ!AF155,5,1)</f>
        <v xml:space="preserve"> </v>
      </c>
      <c r="DB13" s="976"/>
      <c r="DC13" s="976"/>
      <c r="DD13" s="976"/>
      <c r="DE13" s="976"/>
      <c r="DF13" s="976" t="str">
        <f>MID(SUVAHAVUJ!AF155,6,1)</f>
        <v xml:space="preserve"> </v>
      </c>
      <c r="DG13" s="976"/>
      <c r="DH13" s="976"/>
      <c r="DI13" s="976"/>
      <c r="DJ13" s="976"/>
      <c r="DK13" s="976"/>
      <c r="DL13" s="976" t="str">
        <f>MID(SUVAHAVUJ!AF155,7,1)</f>
        <v xml:space="preserve"> </v>
      </c>
      <c r="DM13" s="976"/>
      <c r="DN13" s="976"/>
      <c r="DO13" s="976"/>
      <c r="DP13" s="976"/>
      <c r="DQ13" s="976"/>
      <c r="DR13" s="976" t="str">
        <f>MID(SUVAHAVUJ!AF155,8,1)</f>
        <v>4</v>
      </c>
      <c r="DS13" s="976"/>
      <c r="DT13" s="976"/>
      <c r="DU13" s="976"/>
      <c r="DV13" s="976"/>
      <c r="DW13" s="982" t="str">
        <f>MID(SUVAHAVUJ!AF155,9,1)</f>
        <v>5</v>
      </c>
      <c r="DX13" s="982"/>
      <c r="DY13" s="982"/>
      <c r="DZ13" s="982"/>
      <c r="EA13" s="982"/>
      <c r="EB13" s="982"/>
      <c r="EC13" s="982" t="str">
        <f>MID(SUVAHAVUJ!AF155,10,1)</f>
        <v>2</v>
      </c>
      <c r="ED13" s="982"/>
      <c r="EE13" s="982"/>
      <c r="EF13" s="982"/>
      <c r="EG13" s="982"/>
      <c r="EH13" s="977" t="str">
        <f>MID(SUVAHAVUJ!AF155,11,1)</f>
        <v>5</v>
      </c>
      <c r="EI13" s="977"/>
      <c r="EJ13" s="977"/>
      <c r="EK13" s="977"/>
      <c r="EL13" s="977"/>
      <c r="EM13" s="977"/>
      <c r="EN13" s="665"/>
      <c r="EO13" s="666"/>
      <c r="EP13" s="976" t="str">
        <f>MID(SUVAHAVUJ!AG155,1,1)</f>
        <v xml:space="preserve"> </v>
      </c>
      <c r="EQ13" s="976"/>
      <c r="ER13" s="976"/>
      <c r="ES13" s="976"/>
      <c r="ET13" s="976"/>
      <c r="EU13" s="976"/>
      <c r="EV13" s="976" t="str">
        <f>MID(SUVAHAVUJ!AG155,2,1)</f>
        <v xml:space="preserve"> </v>
      </c>
      <c r="EW13" s="976"/>
      <c r="EX13" s="976"/>
      <c r="EY13" s="976"/>
      <c r="EZ13" s="976"/>
      <c r="FA13" s="976" t="str">
        <f>MID(SUVAHAVUJ!AG155,3,1)</f>
        <v xml:space="preserve"> </v>
      </c>
      <c r="FB13" s="976"/>
      <c r="FC13" s="976"/>
      <c r="FD13" s="976"/>
      <c r="FE13" s="976"/>
      <c r="FF13" s="976"/>
      <c r="FG13" s="976" t="str">
        <f>MID(SUVAHAVUJ!AG155,4,1)</f>
        <v xml:space="preserve"> </v>
      </c>
      <c r="FH13" s="976"/>
      <c r="FI13" s="976"/>
      <c r="FJ13" s="976"/>
      <c r="FK13" s="976"/>
      <c r="FL13" s="982" t="str">
        <f>MID(SUVAHAVUJ!AG155,5,1)</f>
        <v xml:space="preserve"> </v>
      </c>
      <c r="FM13" s="982"/>
      <c r="FN13" s="982"/>
      <c r="FO13" s="982"/>
      <c r="FP13" s="982"/>
      <c r="FQ13" s="982"/>
      <c r="FR13" s="982" t="str">
        <f>MID(SUVAHAVUJ!AG155,6,1)</f>
        <v xml:space="preserve"> </v>
      </c>
      <c r="FS13" s="982"/>
      <c r="FT13" s="982"/>
      <c r="FU13" s="982"/>
      <c r="FV13" s="982"/>
      <c r="FW13" s="982" t="str">
        <f>MID(SUVAHAVUJ!AG155,7,1)</f>
        <v>1</v>
      </c>
      <c r="FX13" s="982"/>
      <c r="FY13" s="982"/>
      <c r="FZ13" s="982"/>
      <c r="GA13" s="982"/>
      <c r="GB13" s="982"/>
      <c r="GC13" s="982" t="str">
        <f>MID(SUVAHAVUJ!AG155,8,1)</f>
        <v>2</v>
      </c>
      <c r="GD13" s="982"/>
      <c r="GE13" s="982"/>
      <c r="GF13" s="982"/>
      <c r="GG13" s="982"/>
      <c r="GH13" s="982" t="str">
        <f>MID(SUVAHAVUJ!AG155,9,1)</f>
        <v>0</v>
      </c>
      <c r="GI13" s="982"/>
      <c r="GJ13" s="982"/>
      <c r="GK13" s="982"/>
      <c r="GL13" s="982"/>
      <c r="GM13" s="982"/>
      <c r="GN13" s="982" t="str">
        <f>MID(SUVAHAVUJ!AG155,10,1)</f>
        <v>4</v>
      </c>
      <c r="GO13" s="982"/>
      <c r="GP13" s="982"/>
      <c r="GQ13" s="982"/>
      <c r="GR13" s="982"/>
      <c r="GS13" s="978" t="str">
        <f>MID(SUVAHAVUJ!AG155,11,1)</f>
        <v>8</v>
      </c>
      <c r="GT13" s="978"/>
      <c r="GU13" s="978"/>
      <c r="GV13" s="978"/>
      <c r="GW13" s="978"/>
    </row>
    <row r="14" spans="1:205" ht="24.6" customHeight="1" x14ac:dyDescent="0.25">
      <c r="B14" s="1017" t="s">
        <v>2293</v>
      </c>
      <c r="C14" s="1017"/>
      <c r="D14" s="1017"/>
      <c r="E14" s="1017"/>
      <c r="F14" s="1017"/>
      <c r="G14" s="1017"/>
      <c r="H14" s="1017"/>
      <c r="I14" s="1017"/>
      <c r="J14" s="1017"/>
      <c r="K14" s="1017"/>
      <c r="L14" s="1005" t="str">
        <f>SUVAHAVUJ!$D$156</f>
        <v>Tržby z predaja dlhodobého nehmotného majetku, dlhodobého hmotného majetku a materiálu (641, 642)</v>
      </c>
      <c r="M14" s="1005"/>
      <c r="N14" s="1005"/>
      <c r="O14" s="1005"/>
      <c r="P14" s="1005"/>
      <c r="Q14" s="1005"/>
      <c r="R14" s="1005"/>
      <c r="S14" s="1005"/>
      <c r="T14" s="1005"/>
      <c r="U14" s="1005"/>
      <c r="V14" s="1005"/>
      <c r="W14" s="1005"/>
      <c r="X14" s="1005"/>
      <c r="Y14" s="1005"/>
      <c r="Z14" s="1005"/>
      <c r="AA14" s="1005"/>
      <c r="AB14" s="1005"/>
      <c r="AC14" s="1005"/>
      <c r="AD14" s="1005"/>
      <c r="AE14" s="1005"/>
      <c r="AF14" s="1005"/>
      <c r="AG14" s="1005"/>
      <c r="AH14" s="1005"/>
      <c r="AI14" s="1005"/>
      <c r="AJ14" s="1005"/>
      <c r="AK14" s="1005"/>
      <c r="AL14" s="1005"/>
      <c r="AM14" s="1005"/>
      <c r="AN14" s="1005"/>
      <c r="AO14" s="1005"/>
      <c r="AP14" s="1005"/>
      <c r="AQ14" s="1005"/>
      <c r="AR14" s="1005"/>
      <c r="AS14" s="1005"/>
      <c r="AT14" s="1005"/>
      <c r="AU14" s="1005"/>
      <c r="AV14" s="1005"/>
      <c r="AW14" s="1005"/>
      <c r="AX14" s="1005"/>
      <c r="AY14" s="1005"/>
      <c r="AZ14" s="1005"/>
      <c r="BA14" s="1005"/>
      <c r="BB14" s="1005"/>
      <c r="BC14" s="1005"/>
      <c r="BD14" s="1005"/>
      <c r="BE14" s="1005"/>
      <c r="BF14" s="1005"/>
      <c r="BG14" s="1005"/>
      <c r="BH14" s="1005"/>
      <c r="BI14" s="1005"/>
      <c r="BJ14" s="1005"/>
      <c r="BK14" s="1005"/>
      <c r="BL14" s="1005"/>
      <c r="BM14" s="1005"/>
      <c r="BN14" s="1005"/>
      <c r="BO14" s="1005"/>
      <c r="BP14" s="1005"/>
      <c r="BQ14" s="1005"/>
      <c r="BR14" s="1005"/>
      <c r="BS14" s="1005"/>
      <c r="BT14" s="1005"/>
      <c r="BU14" s="1005"/>
      <c r="BV14" s="1005"/>
      <c r="BW14" s="975" t="s">
        <v>1236</v>
      </c>
      <c r="BX14" s="975"/>
      <c r="BY14" s="975"/>
      <c r="BZ14" s="975"/>
      <c r="CA14" s="975"/>
      <c r="CB14" s="975"/>
      <c r="CC14" s="975"/>
      <c r="CD14" s="975"/>
      <c r="CE14" s="976" t="str">
        <f>MID(SUVAHAVUJ!AF156,1,1)</f>
        <v xml:space="preserve"> </v>
      </c>
      <c r="CF14" s="976"/>
      <c r="CG14" s="976"/>
      <c r="CH14" s="976"/>
      <c r="CI14" s="976"/>
      <c r="CJ14" s="976" t="str">
        <f>MID(SUVAHAVUJ!AF156,2,1)</f>
        <v xml:space="preserve"> </v>
      </c>
      <c r="CK14" s="976"/>
      <c r="CL14" s="976"/>
      <c r="CM14" s="976"/>
      <c r="CN14" s="976"/>
      <c r="CO14" s="976"/>
      <c r="CP14" s="976" t="str">
        <f>MID(SUVAHAVUJ!AF156,3,1)</f>
        <v xml:space="preserve"> </v>
      </c>
      <c r="CQ14" s="976"/>
      <c r="CR14" s="976"/>
      <c r="CS14" s="976"/>
      <c r="CT14" s="976"/>
      <c r="CU14" s="976" t="str">
        <f>MID(SUVAHAVUJ!AF156,4,1)</f>
        <v xml:space="preserve"> </v>
      </c>
      <c r="CV14" s="976"/>
      <c r="CW14" s="976"/>
      <c r="CX14" s="976"/>
      <c r="CY14" s="976"/>
      <c r="CZ14" s="976"/>
      <c r="DA14" s="976" t="str">
        <f>MID(SUVAHAVUJ!AF156,5,1)</f>
        <v xml:space="preserve"> </v>
      </c>
      <c r="DB14" s="976"/>
      <c r="DC14" s="976"/>
      <c r="DD14" s="976"/>
      <c r="DE14" s="976"/>
      <c r="DF14" s="976" t="str">
        <f>MID(SUVAHAVUJ!AF156,6,1)</f>
        <v xml:space="preserve"> </v>
      </c>
      <c r="DG14" s="976"/>
      <c r="DH14" s="976"/>
      <c r="DI14" s="976"/>
      <c r="DJ14" s="976"/>
      <c r="DK14" s="976"/>
      <c r="DL14" s="976" t="str">
        <f>MID(SUVAHAVUJ!AF156,7,1)</f>
        <v xml:space="preserve"> </v>
      </c>
      <c r="DM14" s="976"/>
      <c r="DN14" s="976"/>
      <c r="DO14" s="976"/>
      <c r="DP14" s="976"/>
      <c r="DQ14" s="976"/>
      <c r="DR14" s="976" t="str">
        <f>MID(SUVAHAVUJ!AF156,8,1)</f>
        <v xml:space="preserve"> </v>
      </c>
      <c r="DS14" s="976"/>
      <c r="DT14" s="976"/>
      <c r="DU14" s="976"/>
      <c r="DV14" s="976"/>
      <c r="DW14" s="982" t="str">
        <f>MID(SUVAHAVUJ!AF156,9,1)</f>
        <v>7</v>
      </c>
      <c r="DX14" s="982"/>
      <c r="DY14" s="982"/>
      <c r="DZ14" s="982"/>
      <c r="EA14" s="982"/>
      <c r="EB14" s="982"/>
      <c r="EC14" s="982" t="str">
        <f>MID(SUVAHAVUJ!AF156,10,1)</f>
        <v>4</v>
      </c>
      <c r="ED14" s="982"/>
      <c r="EE14" s="982"/>
      <c r="EF14" s="982"/>
      <c r="EG14" s="982"/>
      <c r="EH14" s="977" t="str">
        <f>MID(SUVAHAVUJ!AF156,11,1)</f>
        <v>1</v>
      </c>
      <c r="EI14" s="977"/>
      <c r="EJ14" s="977"/>
      <c r="EK14" s="977"/>
      <c r="EL14" s="977"/>
      <c r="EM14" s="977"/>
      <c r="EN14" s="665"/>
      <c r="EO14" s="666"/>
      <c r="EP14" s="976" t="str">
        <f>MID(SUVAHAVUJ!AG156,1,1)</f>
        <v xml:space="preserve"> </v>
      </c>
      <c r="EQ14" s="976"/>
      <c r="ER14" s="976"/>
      <c r="ES14" s="976"/>
      <c r="ET14" s="976"/>
      <c r="EU14" s="976"/>
      <c r="EV14" s="976" t="str">
        <f>MID(SUVAHAVUJ!AG156,2,1)</f>
        <v xml:space="preserve"> </v>
      </c>
      <c r="EW14" s="976"/>
      <c r="EX14" s="976"/>
      <c r="EY14" s="976"/>
      <c r="EZ14" s="976"/>
      <c r="FA14" s="976" t="str">
        <f>MID(SUVAHAVUJ!AG156,3,1)</f>
        <v xml:space="preserve"> </v>
      </c>
      <c r="FB14" s="976"/>
      <c r="FC14" s="976"/>
      <c r="FD14" s="976"/>
      <c r="FE14" s="976"/>
      <c r="FF14" s="976"/>
      <c r="FG14" s="976" t="str">
        <f>MID(SUVAHAVUJ!AG156,4,1)</f>
        <v xml:space="preserve"> </v>
      </c>
      <c r="FH14" s="976"/>
      <c r="FI14" s="976"/>
      <c r="FJ14" s="976"/>
      <c r="FK14" s="976"/>
      <c r="FL14" s="982" t="str">
        <f>MID(SUVAHAVUJ!AG156,5,1)</f>
        <v xml:space="preserve"> </v>
      </c>
      <c r="FM14" s="982"/>
      <c r="FN14" s="982"/>
      <c r="FO14" s="982"/>
      <c r="FP14" s="982"/>
      <c r="FQ14" s="982"/>
      <c r="FR14" s="982" t="str">
        <f>MID(SUVAHAVUJ!AG156,6,1)</f>
        <v xml:space="preserve"> </v>
      </c>
      <c r="FS14" s="982"/>
      <c r="FT14" s="982"/>
      <c r="FU14" s="982"/>
      <c r="FV14" s="982"/>
      <c r="FW14" s="982" t="str">
        <f>MID(SUVAHAVUJ!AG156,7,1)</f>
        <v xml:space="preserve"> </v>
      </c>
      <c r="FX14" s="982"/>
      <c r="FY14" s="982"/>
      <c r="FZ14" s="982"/>
      <c r="GA14" s="982"/>
      <c r="GB14" s="982"/>
      <c r="GC14" s="982" t="str">
        <f>MID(SUVAHAVUJ!AG156,8,1)</f>
        <v>1</v>
      </c>
      <c r="GD14" s="982"/>
      <c r="GE14" s="982"/>
      <c r="GF14" s="982"/>
      <c r="GG14" s="982"/>
      <c r="GH14" s="982" t="str">
        <f>MID(SUVAHAVUJ!AG156,9,1)</f>
        <v>3</v>
      </c>
      <c r="GI14" s="982"/>
      <c r="GJ14" s="982"/>
      <c r="GK14" s="982"/>
      <c r="GL14" s="982"/>
      <c r="GM14" s="982"/>
      <c r="GN14" s="982" t="str">
        <f>MID(SUVAHAVUJ!AG156,10,1)</f>
        <v>1</v>
      </c>
      <c r="GO14" s="982"/>
      <c r="GP14" s="982"/>
      <c r="GQ14" s="982"/>
      <c r="GR14" s="982"/>
      <c r="GS14" s="978" t="str">
        <f>MID(SUVAHAVUJ!AG156,11,1)</f>
        <v>7</v>
      </c>
      <c r="GT14" s="978"/>
      <c r="GU14" s="978"/>
      <c r="GV14" s="978"/>
      <c r="GW14" s="978"/>
    </row>
    <row r="15" spans="1:205" ht="24.6" customHeight="1" x14ac:dyDescent="0.25">
      <c r="B15" s="1017" t="s">
        <v>2294</v>
      </c>
      <c r="C15" s="1017"/>
      <c r="D15" s="1017"/>
      <c r="E15" s="1017"/>
      <c r="F15" s="1017"/>
      <c r="G15" s="1017"/>
      <c r="H15" s="1017"/>
      <c r="I15" s="1017"/>
      <c r="J15" s="1017"/>
      <c r="K15" s="1017"/>
      <c r="L15" s="1005" t="str">
        <f>SUVAHAVUJ!$D$157</f>
        <v>Ostatné výnosy z hospodárskej činnosti (644, 645, 646, 648, 655, 657)</v>
      </c>
      <c r="M15" s="1005"/>
      <c r="N15" s="1005"/>
      <c r="O15" s="1005"/>
      <c r="P15" s="1005"/>
      <c r="Q15" s="1005"/>
      <c r="R15" s="1005"/>
      <c r="S15" s="1005"/>
      <c r="T15" s="1005"/>
      <c r="U15" s="1005"/>
      <c r="V15" s="1005"/>
      <c r="W15" s="1005"/>
      <c r="X15" s="1005"/>
      <c r="Y15" s="1005"/>
      <c r="Z15" s="1005"/>
      <c r="AA15" s="1005"/>
      <c r="AB15" s="1005"/>
      <c r="AC15" s="1005"/>
      <c r="AD15" s="1005"/>
      <c r="AE15" s="1005"/>
      <c r="AF15" s="1005"/>
      <c r="AG15" s="1005"/>
      <c r="AH15" s="1005"/>
      <c r="AI15" s="1005"/>
      <c r="AJ15" s="1005"/>
      <c r="AK15" s="1005"/>
      <c r="AL15" s="1005"/>
      <c r="AM15" s="1005"/>
      <c r="AN15" s="1005"/>
      <c r="AO15" s="1005"/>
      <c r="AP15" s="1005"/>
      <c r="AQ15" s="1005"/>
      <c r="AR15" s="1005"/>
      <c r="AS15" s="1005"/>
      <c r="AT15" s="1005"/>
      <c r="AU15" s="1005"/>
      <c r="AV15" s="1005"/>
      <c r="AW15" s="1005"/>
      <c r="AX15" s="1005"/>
      <c r="AY15" s="1005"/>
      <c r="AZ15" s="1005"/>
      <c r="BA15" s="1005"/>
      <c r="BB15" s="1005"/>
      <c r="BC15" s="1005"/>
      <c r="BD15" s="1005"/>
      <c r="BE15" s="1005"/>
      <c r="BF15" s="1005"/>
      <c r="BG15" s="1005"/>
      <c r="BH15" s="1005"/>
      <c r="BI15" s="1005"/>
      <c r="BJ15" s="1005"/>
      <c r="BK15" s="1005"/>
      <c r="BL15" s="1005"/>
      <c r="BM15" s="1005"/>
      <c r="BN15" s="1005"/>
      <c r="BO15" s="1005"/>
      <c r="BP15" s="1005"/>
      <c r="BQ15" s="1005"/>
      <c r="BR15" s="1005"/>
      <c r="BS15" s="1005"/>
      <c r="BT15" s="1005"/>
      <c r="BU15" s="1005"/>
      <c r="BV15" s="1005"/>
      <c r="BW15" s="975" t="s">
        <v>2170</v>
      </c>
      <c r="BX15" s="975"/>
      <c r="BY15" s="975"/>
      <c r="BZ15" s="975"/>
      <c r="CA15" s="975"/>
      <c r="CB15" s="975"/>
      <c r="CC15" s="975"/>
      <c r="CD15" s="975"/>
      <c r="CE15" s="976" t="str">
        <f>MID(SUVAHAVUJ!AF157,1,1)</f>
        <v xml:space="preserve"> </v>
      </c>
      <c r="CF15" s="976"/>
      <c r="CG15" s="976"/>
      <c r="CH15" s="976"/>
      <c r="CI15" s="976"/>
      <c r="CJ15" s="976" t="str">
        <f>MID(SUVAHAVUJ!AF157,2,1)</f>
        <v xml:space="preserve"> </v>
      </c>
      <c r="CK15" s="976"/>
      <c r="CL15" s="976"/>
      <c r="CM15" s="976"/>
      <c r="CN15" s="976"/>
      <c r="CO15" s="976"/>
      <c r="CP15" s="976" t="str">
        <f>MID(SUVAHAVUJ!AF157,3,1)</f>
        <v xml:space="preserve"> </v>
      </c>
      <c r="CQ15" s="976"/>
      <c r="CR15" s="976"/>
      <c r="CS15" s="976"/>
      <c r="CT15" s="976"/>
      <c r="CU15" s="976" t="str">
        <f>MID(SUVAHAVUJ!AF157,4,1)</f>
        <v xml:space="preserve"> </v>
      </c>
      <c r="CV15" s="976"/>
      <c r="CW15" s="976"/>
      <c r="CX15" s="976"/>
      <c r="CY15" s="976"/>
      <c r="CZ15" s="976"/>
      <c r="DA15" s="976" t="str">
        <f>MID(SUVAHAVUJ!AF157,5,1)</f>
        <v xml:space="preserve"> </v>
      </c>
      <c r="DB15" s="976"/>
      <c r="DC15" s="976"/>
      <c r="DD15" s="976"/>
      <c r="DE15" s="976"/>
      <c r="DF15" s="976" t="str">
        <f>MID(SUVAHAVUJ!AF157,6,1)</f>
        <v>3</v>
      </c>
      <c r="DG15" s="976"/>
      <c r="DH15" s="976"/>
      <c r="DI15" s="976"/>
      <c r="DJ15" s="976"/>
      <c r="DK15" s="976"/>
      <c r="DL15" s="976" t="str">
        <f>MID(SUVAHAVUJ!AF157,7,1)</f>
        <v>1</v>
      </c>
      <c r="DM15" s="976"/>
      <c r="DN15" s="976"/>
      <c r="DO15" s="976"/>
      <c r="DP15" s="976"/>
      <c r="DQ15" s="976"/>
      <c r="DR15" s="976" t="str">
        <f>MID(SUVAHAVUJ!AF157,8,1)</f>
        <v>3</v>
      </c>
      <c r="DS15" s="976"/>
      <c r="DT15" s="976"/>
      <c r="DU15" s="976"/>
      <c r="DV15" s="976"/>
      <c r="DW15" s="982" t="str">
        <f>MID(SUVAHAVUJ!AF157,9,1)</f>
        <v>0</v>
      </c>
      <c r="DX15" s="982"/>
      <c r="DY15" s="982"/>
      <c r="DZ15" s="982"/>
      <c r="EA15" s="982"/>
      <c r="EB15" s="982"/>
      <c r="EC15" s="982" t="str">
        <f>MID(SUVAHAVUJ!AF157,10,1)</f>
        <v>5</v>
      </c>
      <c r="ED15" s="982"/>
      <c r="EE15" s="982"/>
      <c r="EF15" s="982"/>
      <c r="EG15" s="982"/>
      <c r="EH15" s="977" t="str">
        <f>MID(SUVAHAVUJ!AF157,11,1)</f>
        <v>3</v>
      </c>
      <c r="EI15" s="977"/>
      <c r="EJ15" s="977"/>
      <c r="EK15" s="977"/>
      <c r="EL15" s="977"/>
      <c r="EM15" s="977"/>
      <c r="EN15" s="665"/>
      <c r="EO15" s="666"/>
      <c r="EP15" s="976" t="str">
        <f>MID(SUVAHAVUJ!AG157,1,1)</f>
        <v xml:space="preserve"> </v>
      </c>
      <c r="EQ15" s="976"/>
      <c r="ER15" s="976"/>
      <c r="ES15" s="976"/>
      <c r="ET15" s="976"/>
      <c r="EU15" s="976"/>
      <c r="EV15" s="976" t="str">
        <f>MID(SUVAHAVUJ!AG157,2,1)</f>
        <v xml:space="preserve"> </v>
      </c>
      <c r="EW15" s="976"/>
      <c r="EX15" s="976"/>
      <c r="EY15" s="976"/>
      <c r="EZ15" s="976"/>
      <c r="FA15" s="976" t="str">
        <f>MID(SUVAHAVUJ!AG157,3,1)</f>
        <v xml:space="preserve"> </v>
      </c>
      <c r="FB15" s="976"/>
      <c r="FC15" s="976"/>
      <c r="FD15" s="976"/>
      <c r="FE15" s="976"/>
      <c r="FF15" s="976"/>
      <c r="FG15" s="976" t="str">
        <f>MID(SUVAHAVUJ!AG157,4,1)</f>
        <v xml:space="preserve"> </v>
      </c>
      <c r="FH15" s="976"/>
      <c r="FI15" s="976"/>
      <c r="FJ15" s="976"/>
      <c r="FK15" s="976"/>
      <c r="FL15" s="982" t="str">
        <f>MID(SUVAHAVUJ!AG157,5,1)</f>
        <v xml:space="preserve"> </v>
      </c>
      <c r="FM15" s="982"/>
      <c r="FN15" s="982"/>
      <c r="FO15" s="982"/>
      <c r="FP15" s="982"/>
      <c r="FQ15" s="982"/>
      <c r="FR15" s="982" t="str">
        <f>MID(SUVAHAVUJ!AG157,6,1)</f>
        <v>3</v>
      </c>
      <c r="FS15" s="982"/>
      <c r="FT15" s="982"/>
      <c r="FU15" s="982"/>
      <c r="FV15" s="982"/>
      <c r="FW15" s="982" t="str">
        <f>MID(SUVAHAVUJ!AG157,7,1)</f>
        <v>6</v>
      </c>
      <c r="FX15" s="982"/>
      <c r="FY15" s="982"/>
      <c r="FZ15" s="982"/>
      <c r="GA15" s="982"/>
      <c r="GB15" s="982"/>
      <c r="GC15" s="982" t="str">
        <f>MID(SUVAHAVUJ!AG157,8,1)</f>
        <v>3</v>
      </c>
      <c r="GD15" s="982"/>
      <c r="GE15" s="982"/>
      <c r="GF15" s="982"/>
      <c r="GG15" s="982"/>
      <c r="GH15" s="982" t="str">
        <f>MID(SUVAHAVUJ!AG157,9,1)</f>
        <v>3</v>
      </c>
      <c r="GI15" s="982"/>
      <c r="GJ15" s="982"/>
      <c r="GK15" s="982"/>
      <c r="GL15" s="982"/>
      <c r="GM15" s="982"/>
      <c r="GN15" s="982" t="str">
        <f>MID(SUVAHAVUJ!AG157,10,1)</f>
        <v>7</v>
      </c>
      <c r="GO15" s="982"/>
      <c r="GP15" s="982"/>
      <c r="GQ15" s="982"/>
      <c r="GR15" s="982"/>
      <c r="GS15" s="978" t="str">
        <f>MID(SUVAHAVUJ!AG157,11,1)</f>
        <v>6</v>
      </c>
      <c r="GT15" s="978"/>
      <c r="GU15" s="978"/>
      <c r="GV15" s="978"/>
      <c r="GW15" s="978"/>
    </row>
    <row r="16" spans="1:205" ht="24.6" customHeight="1" x14ac:dyDescent="0.25">
      <c r="B16" s="1013" t="s">
        <v>2287</v>
      </c>
      <c r="C16" s="1013"/>
      <c r="D16" s="1013"/>
      <c r="E16" s="1013"/>
      <c r="F16" s="1013"/>
      <c r="G16" s="1013"/>
      <c r="H16" s="1013"/>
      <c r="I16" s="1013"/>
      <c r="J16" s="1013"/>
      <c r="K16" s="1013"/>
      <c r="L16" s="1004" t="str">
        <f>SUVAHAVUJ!$D$158</f>
        <v>Náklady na hospodársku činnosť spolu r. 11 + r. 12
+ r. 13 + r. 14 + r. 15 + r. 20 +r. 21 + r. 24 + r. 25 + r. 26</v>
      </c>
      <c r="M16" s="1004"/>
      <c r="N16" s="1004"/>
      <c r="O16" s="1004"/>
      <c r="P16" s="1004"/>
      <c r="Q16" s="1004"/>
      <c r="R16" s="1004"/>
      <c r="S16" s="1004"/>
      <c r="T16" s="1004"/>
      <c r="U16" s="1004"/>
      <c r="V16" s="1004"/>
      <c r="W16" s="1004"/>
      <c r="X16" s="1004"/>
      <c r="Y16" s="1004"/>
      <c r="Z16" s="1004"/>
      <c r="AA16" s="1004"/>
      <c r="AB16" s="1004"/>
      <c r="AC16" s="1004"/>
      <c r="AD16" s="1004"/>
      <c r="AE16" s="1004"/>
      <c r="AF16" s="1004"/>
      <c r="AG16" s="1004"/>
      <c r="AH16" s="1004"/>
      <c r="AI16" s="1004"/>
      <c r="AJ16" s="1004"/>
      <c r="AK16" s="1004"/>
      <c r="AL16" s="1004"/>
      <c r="AM16" s="1004"/>
      <c r="AN16" s="1004"/>
      <c r="AO16" s="1004"/>
      <c r="AP16" s="1004"/>
      <c r="AQ16" s="1004"/>
      <c r="AR16" s="1004"/>
      <c r="AS16" s="1004"/>
      <c r="AT16" s="1004"/>
      <c r="AU16" s="1004"/>
      <c r="AV16" s="1004"/>
      <c r="AW16" s="1004"/>
      <c r="AX16" s="1004"/>
      <c r="AY16" s="1004"/>
      <c r="AZ16" s="1004"/>
      <c r="BA16" s="1004"/>
      <c r="BB16" s="1004"/>
      <c r="BC16" s="1004"/>
      <c r="BD16" s="1004"/>
      <c r="BE16" s="1004"/>
      <c r="BF16" s="1004"/>
      <c r="BG16" s="1004"/>
      <c r="BH16" s="1004"/>
      <c r="BI16" s="1004"/>
      <c r="BJ16" s="1004"/>
      <c r="BK16" s="1004"/>
      <c r="BL16" s="1004"/>
      <c r="BM16" s="1004"/>
      <c r="BN16" s="1004"/>
      <c r="BO16" s="1004"/>
      <c r="BP16" s="1004"/>
      <c r="BQ16" s="1004"/>
      <c r="BR16" s="1004"/>
      <c r="BS16" s="1004"/>
      <c r="BT16" s="1004"/>
      <c r="BU16" s="1004"/>
      <c r="BV16" s="1004"/>
      <c r="BW16" s="975" t="s">
        <v>1245</v>
      </c>
      <c r="BX16" s="975"/>
      <c r="BY16" s="975"/>
      <c r="BZ16" s="975"/>
      <c r="CA16" s="975"/>
      <c r="CB16" s="975"/>
      <c r="CC16" s="975"/>
      <c r="CD16" s="975"/>
      <c r="CE16" s="976" t="str">
        <f>MID(SUVAHAVUJ!AF158,1,1)</f>
        <v xml:space="preserve"> </v>
      </c>
      <c r="CF16" s="976"/>
      <c r="CG16" s="976"/>
      <c r="CH16" s="976"/>
      <c r="CI16" s="976"/>
      <c r="CJ16" s="976" t="str">
        <f>MID(SUVAHAVUJ!AF158,2,1)</f>
        <v xml:space="preserve"> </v>
      </c>
      <c r="CK16" s="976"/>
      <c r="CL16" s="976"/>
      <c r="CM16" s="976"/>
      <c r="CN16" s="976"/>
      <c r="CO16" s="976"/>
      <c r="CP16" s="976" t="str">
        <f>MID(SUVAHAVUJ!AF158,3,1)</f>
        <v xml:space="preserve"> </v>
      </c>
      <c r="CQ16" s="976"/>
      <c r="CR16" s="976"/>
      <c r="CS16" s="976"/>
      <c r="CT16" s="976"/>
      <c r="CU16" s="976" t="str">
        <f>MID(SUVAHAVUJ!AF158,4,1)</f>
        <v xml:space="preserve"> </v>
      </c>
      <c r="CV16" s="976"/>
      <c r="CW16" s="976"/>
      <c r="CX16" s="976"/>
      <c r="CY16" s="976"/>
      <c r="CZ16" s="976"/>
      <c r="DA16" s="976" t="str">
        <f>MID(SUVAHAVUJ!AF158,5,1)</f>
        <v xml:space="preserve"> </v>
      </c>
      <c r="DB16" s="976"/>
      <c r="DC16" s="976"/>
      <c r="DD16" s="976"/>
      <c r="DE16" s="976"/>
      <c r="DF16" s="976" t="str">
        <f>MID(SUVAHAVUJ!AF158,6,1)</f>
        <v>3</v>
      </c>
      <c r="DG16" s="976"/>
      <c r="DH16" s="976"/>
      <c r="DI16" s="976"/>
      <c r="DJ16" s="976"/>
      <c r="DK16" s="976"/>
      <c r="DL16" s="976" t="str">
        <f>MID(SUVAHAVUJ!AF158,7,1)</f>
        <v>7</v>
      </c>
      <c r="DM16" s="976"/>
      <c r="DN16" s="976"/>
      <c r="DO16" s="976"/>
      <c r="DP16" s="976"/>
      <c r="DQ16" s="976"/>
      <c r="DR16" s="976" t="str">
        <f>MID(SUVAHAVUJ!AF158,8,1)</f>
        <v>2</v>
      </c>
      <c r="DS16" s="976"/>
      <c r="DT16" s="976"/>
      <c r="DU16" s="976"/>
      <c r="DV16" s="976"/>
      <c r="DW16" s="982" t="str">
        <f>MID(SUVAHAVUJ!AF158,9,1)</f>
        <v>0</v>
      </c>
      <c r="DX16" s="982"/>
      <c r="DY16" s="982"/>
      <c r="DZ16" s="982"/>
      <c r="EA16" s="982"/>
      <c r="EB16" s="982"/>
      <c r="EC16" s="982" t="str">
        <f>MID(SUVAHAVUJ!AF158,10,1)</f>
        <v>3</v>
      </c>
      <c r="ED16" s="982"/>
      <c r="EE16" s="982"/>
      <c r="EF16" s="982"/>
      <c r="EG16" s="982"/>
      <c r="EH16" s="977" t="str">
        <f>MID(SUVAHAVUJ!AF158,11,1)</f>
        <v>2</v>
      </c>
      <c r="EI16" s="977"/>
      <c r="EJ16" s="977"/>
      <c r="EK16" s="977"/>
      <c r="EL16" s="977"/>
      <c r="EM16" s="977"/>
      <c r="EN16" s="665"/>
      <c r="EO16" s="666"/>
      <c r="EP16" s="976" t="str">
        <f>MID(SUVAHAVUJ!AG158,1,1)</f>
        <v xml:space="preserve"> </v>
      </c>
      <c r="EQ16" s="976"/>
      <c r="ER16" s="976"/>
      <c r="ES16" s="976"/>
      <c r="ET16" s="976"/>
      <c r="EU16" s="976"/>
      <c r="EV16" s="976" t="str">
        <f>MID(SUVAHAVUJ!AG158,2,1)</f>
        <v xml:space="preserve"> </v>
      </c>
      <c r="EW16" s="976"/>
      <c r="EX16" s="976"/>
      <c r="EY16" s="976"/>
      <c r="EZ16" s="976"/>
      <c r="FA16" s="976" t="str">
        <f>MID(SUVAHAVUJ!AG158,3,1)</f>
        <v xml:space="preserve"> </v>
      </c>
      <c r="FB16" s="976"/>
      <c r="FC16" s="976"/>
      <c r="FD16" s="976"/>
      <c r="FE16" s="976"/>
      <c r="FF16" s="976"/>
      <c r="FG16" s="976" t="str">
        <f>MID(SUVAHAVUJ!AG158,4,1)</f>
        <v xml:space="preserve"> </v>
      </c>
      <c r="FH16" s="976"/>
      <c r="FI16" s="976"/>
      <c r="FJ16" s="976"/>
      <c r="FK16" s="976"/>
      <c r="FL16" s="982" t="str">
        <f>MID(SUVAHAVUJ!AG158,5,1)</f>
        <v xml:space="preserve"> </v>
      </c>
      <c r="FM16" s="982"/>
      <c r="FN16" s="982"/>
      <c r="FO16" s="982"/>
      <c r="FP16" s="982"/>
      <c r="FQ16" s="982"/>
      <c r="FR16" s="982" t="str">
        <f>MID(SUVAHAVUJ!AG158,6,1)</f>
        <v>3</v>
      </c>
      <c r="FS16" s="982"/>
      <c r="FT16" s="982"/>
      <c r="FU16" s="982"/>
      <c r="FV16" s="982"/>
      <c r="FW16" s="982" t="str">
        <f>MID(SUVAHAVUJ!AG158,7,1)</f>
        <v>7</v>
      </c>
      <c r="FX16" s="982"/>
      <c r="FY16" s="982"/>
      <c r="FZ16" s="982"/>
      <c r="GA16" s="982"/>
      <c r="GB16" s="982"/>
      <c r="GC16" s="982" t="str">
        <f>MID(SUVAHAVUJ!AG158,8,1)</f>
        <v>4</v>
      </c>
      <c r="GD16" s="982"/>
      <c r="GE16" s="982"/>
      <c r="GF16" s="982"/>
      <c r="GG16" s="982"/>
      <c r="GH16" s="982" t="str">
        <f>MID(SUVAHAVUJ!AG158,9,1)</f>
        <v>6</v>
      </c>
      <c r="GI16" s="982"/>
      <c r="GJ16" s="982"/>
      <c r="GK16" s="982"/>
      <c r="GL16" s="982"/>
      <c r="GM16" s="982"/>
      <c r="GN16" s="982" t="str">
        <f>MID(SUVAHAVUJ!AG158,10,1)</f>
        <v>3</v>
      </c>
      <c r="GO16" s="982"/>
      <c r="GP16" s="982"/>
      <c r="GQ16" s="982"/>
      <c r="GR16" s="982"/>
      <c r="GS16" s="978" t="str">
        <f>MID(SUVAHAVUJ!AG158,11,1)</f>
        <v>4</v>
      </c>
      <c r="GT16" s="978"/>
      <c r="GU16" s="978"/>
      <c r="GV16" s="978"/>
      <c r="GW16" s="978"/>
    </row>
    <row r="17" spans="1:205" ht="24.6" customHeight="1" x14ac:dyDescent="0.25">
      <c r="B17" s="1017" t="s">
        <v>2162</v>
      </c>
      <c r="C17" s="1017"/>
      <c r="D17" s="1017"/>
      <c r="E17" s="1017"/>
      <c r="F17" s="1017"/>
      <c r="G17" s="1017"/>
      <c r="H17" s="1017"/>
      <c r="I17" s="1017"/>
      <c r="J17" s="1017"/>
      <c r="K17" s="1017"/>
      <c r="L17" s="1005" t="str">
        <f>SUVAHAVUJ!$D$159</f>
        <v>Náklady vynaložené na obstaranie predaného tovaru (504, 507)</v>
      </c>
      <c r="M17" s="1005"/>
      <c r="N17" s="1005"/>
      <c r="O17" s="1005"/>
      <c r="P17" s="1005"/>
      <c r="Q17" s="1005"/>
      <c r="R17" s="1005"/>
      <c r="S17" s="1005"/>
      <c r="T17" s="1005"/>
      <c r="U17" s="1005"/>
      <c r="V17" s="1005"/>
      <c r="W17" s="1005"/>
      <c r="X17" s="1005"/>
      <c r="Y17" s="1005"/>
      <c r="Z17" s="1005"/>
      <c r="AA17" s="1005"/>
      <c r="AB17" s="1005"/>
      <c r="AC17" s="1005"/>
      <c r="AD17" s="1005"/>
      <c r="AE17" s="1005"/>
      <c r="AF17" s="1005"/>
      <c r="AG17" s="1005"/>
      <c r="AH17" s="1005"/>
      <c r="AI17" s="1005"/>
      <c r="AJ17" s="1005"/>
      <c r="AK17" s="1005"/>
      <c r="AL17" s="1005"/>
      <c r="AM17" s="1005"/>
      <c r="AN17" s="1005"/>
      <c r="AO17" s="1005"/>
      <c r="AP17" s="1005"/>
      <c r="AQ17" s="1005"/>
      <c r="AR17" s="1005"/>
      <c r="AS17" s="1005"/>
      <c r="AT17" s="1005"/>
      <c r="AU17" s="1005"/>
      <c r="AV17" s="1005"/>
      <c r="AW17" s="1005"/>
      <c r="AX17" s="1005"/>
      <c r="AY17" s="1005"/>
      <c r="AZ17" s="1005"/>
      <c r="BA17" s="1005"/>
      <c r="BB17" s="1005"/>
      <c r="BC17" s="1005"/>
      <c r="BD17" s="1005"/>
      <c r="BE17" s="1005"/>
      <c r="BF17" s="1005"/>
      <c r="BG17" s="1005"/>
      <c r="BH17" s="1005"/>
      <c r="BI17" s="1005"/>
      <c r="BJ17" s="1005"/>
      <c r="BK17" s="1005"/>
      <c r="BL17" s="1005"/>
      <c r="BM17" s="1005"/>
      <c r="BN17" s="1005"/>
      <c r="BO17" s="1005"/>
      <c r="BP17" s="1005"/>
      <c r="BQ17" s="1005"/>
      <c r="BR17" s="1005"/>
      <c r="BS17" s="1005"/>
      <c r="BT17" s="1005"/>
      <c r="BU17" s="1005"/>
      <c r="BV17" s="1005"/>
      <c r="BW17" s="975" t="s">
        <v>2174</v>
      </c>
      <c r="BX17" s="975"/>
      <c r="BY17" s="975"/>
      <c r="BZ17" s="975"/>
      <c r="CA17" s="975"/>
      <c r="CB17" s="975"/>
      <c r="CC17" s="975"/>
      <c r="CD17" s="975"/>
      <c r="CE17" s="976" t="str">
        <f>MID(SUVAHAVUJ!AF159,1,1)</f>
        <v xml:space="preserve"> </v>
      </c>
      <c r="CF17" s="976"/>
      <c r="CG17" s="976"/>
      <c r="CH17" s="976"/>
      <c r="CI17" s="976"/>
      <c r="CJ17" s="976" t="str">
        <f>MID(SUVAHAVUJ!AF159,2,1)</f>
        <v xml:space="preserve"> </v>
      </c>
      <c r="CK17" s="976"/>
      <c r="CL17" s="976"/>
      <c r="CM17" s="976"/>
      <c r="CN17" s="976"/>
      <c r="CO17" s="976"/>
      <c r="CP17" s="976" t="str">
        <f>MID(SUVAHAVUJ!AF159,3,1)</f>
        <v xml:space="preserve"> </v>
      </c>
      <c r="CQ17" s="976"/>
      <c r="CR17" s="976"/>
      <c r="CS17" s="976"/>
      <c r="CT17" s="976"/>
      <c r="CU17" s="976" t="str">
        <f>MID(SUVAHAVUJ!AF159,4,1)</f>
        <v xml:space="preserve"> </v>
      </c>
      <c r="CV17" s="976"/>
      <c r="CW17" s="976"/>
      <c r="CX17" s="976"/>
      <c r="CY17" s="976"/>
      <c r="CZ17" s="976"/>
      <c r="DA17" s="976" t="str">
        <f>MID(SUVAHAVUJ!AF159,5,1)</f>
        <v xml:space="preserve"> </v>
      </c>
      <c r="DB17" s="976"/>
      <c r="DC17" s="976"/>
      <c r="DD17" s="976"/>
      <c r="DE17" s="976"/>
      <c r="DF17" s="976" t="str">
        <f>MID(SUVAHAVUJ!AF159,6,1)</f>
        <v xml:space="preserve"> </v>
      </c>
      <c r="DG17" s="976"/>
      <c r="DH17" s="976"/>
      <c r="DI17" s="976"/>
      <c r="DJ17" s="976"/>
      <c r="DK17" s="976"/>
      <c r="DL17" s="976" t="str">
        <f>MID(SUVAHAVUJ!AF159,7,1)</f>
        <v xml:space="preserve"> </v>
      </c>
      <c r="DM17" s="976"/>
      <c r="DN17" s="976"/>
      <c r="DO17" s="976"/>
      <c r="DP17" s="976"/>
      <c r="DQ17" s="976"/>
      <c r="DR17" s="976" t="str">
        <f>MID(SUVAHAVUJ!AF159,8,1)</f>
        <v xml:space="preserve"> </v>
      </c>
      <c r="DS17" s="976"/>
      <c r="DT17" s="976"/>
      <c r="DU17" s="976"/>
      <c r="DV17" s="976"/>
      <c r="DW17" s="982" t="str">
        <f>MID(SUVAHAVUJ!AF159,9,1)</f>
        <v xml:space="preserve"> </v>
      </c>
      <c r="DX17" s="982"/>
      <c r="DY17" s="982"/>
      <c r="DZ17" s="982"/>
      <c r="EA17" s="982"/>
      <c r="EB17" s="982"/>
      <c r="EC17" s="982" t="str">
        <f>MID(SUVAHAVUJ!AF159,10,1)</f>
        <v xml:space="preserve"> </v>
      </c>
      <c r="ED17" s="982"/>
      <c r="EE17" s="982"/>
      <c r="EF17" s="982"/>
      <c r="EG17" s="982"/>
      <c r="EH17" s="977" t="str">
        <f>MID(SUVAHAVUJ!AF159,11,1)</f>
        <v>0</v>
      </c>
      <c r="EI17" s="977"/>
      <c r="EJ17" s="977"/>
      <c r="EK17" s="977"/>
      <c r="EL17" s="977"/>
      <c r="EM17" s="977"/>
      <c r="EN17" s="665"/>
      <c r="EO17" s="666"/>
      <c r="EP17" s="976" t="str">
        <f>MID(SUVAHAVUJ!AG159,1,1)</f>
        <v xml:space="preserve"> </v>
      </c>
      <c r="EQ17" s="976"/>
      <c r="ER17" s="976"/>
      <c r="ES17" s="976"/>
      <c r="ET17" s="976"/>
      <c r="EU17" s="976"/>
      <c r="EV17" s="976" t="str">
        <f>MID(SUVAHAVUJ!AG159,2,1)</f>
        <v xml:space="preserve"> </v>
      </c>
      <c r="EW17" s="976"/>
      <c r="EX17" s="976"/>
      <c r="EY17" s="976"/>
      <c r="EZ17" s="976"/>
      <c r="FA17" s="976" t="str">
        <f>MID(SUVAHAVUJ!AG159,3,1)</f>
        <v xml:space="preserve"> </v>
      </c>
      <c r="FB17" s="976"/>
      <c r="FC17" s="976"/>
      <c r="FD17" s="976"/>
      <c r="FE17" s="976"/>
      <c r="FF17" s="976"/>
      <c r="FG17" s="976" t="str">
        <f>MID(SUVAHAVUJ!AG159,4,1)</f>
        <v xml:space="preserve"> </v>
      </c>
      <c r="FH17" s="976"/>
      <c r="FI17" s="976"/>
      <c r="FJ17" s="976"/>
      <c r="FK17" s="976"/>
      <c r="FL17" s="982" t="str">
        <f>MID(SUVAHAVUJ!AG159,5,1)</f>
        <v xml:space="preserve"> </v>
      </c>
      <c r="FM17" s="982"/>
      <c r="FN17" s="982"/>
      <c r="FO17" s="982"/>
      <c r="FP17" s="982"/>
      <c r="FQ17" s="982"/>
      <c r="FR17" s="982" t="str">
        <f>MID(SUVAHAVUJ!AG159,6,1)</f>
        <v xml:space="preserve"> </v>
      </c>
      <c r="FS17" s="982"/>
      <c r="FT17" s="982"/>
      <c r="FU17" s="982"/>
      <c r="FV17" s="982"/>
      <c r="FW17" s="982" t="str">
        <f>MID(SUVAHAVUJ!AG159,7,1)</f>
        <v xml:space="preserve"> </v>
      </c>
      <c r="FX17" s="982"/>
      <c r="FY17" s="982"/>
      <c r="FZ17" s="982"/>
      <c r="GA17" s="982"/>
      <c r="GB17" s="982"/>
      <c r="GC17" s="982" t="str">
        <f>MID(SUVAHAVUJ!AG159,8,1)</f>
        <v xml:space="preserve"> </v>
      </c>
      <c r="GD17" s="982"/>
      <c r="GE17" s="982"/>
      <c r="GF17" s="982"/>
      <c r="GG17" s="982"/>
      <c r="GH17" s="982" t="str">
        <f>MID(SUVAHAVUJ!AG159,9,1)</f>
        <v xml:space="preserve"> </v>
      </c>
      <c r="GI17" s="982"/>
      <c r="GJ17" s="982"/>
      <c r="GK17" s="982"/>
      <c r="GL17" s="982"/>
      <c r="GM17" s="982"/>
      <c r="GN17" s="982" t="str">
        <f>MID(SUVAHAVUJ!AG159,10,1)</f>
        <v xml:space="preserve"> </v>
      </c>
      <c r="GO17" s="982"/>
      <c r="GP17" s="982"/>
      <c r="GQ17" s="982"/>
      <c r="GR17" s="982"/>
      <c r="GS17" s="978" t="str">
        <f>MID(SUVAHAVUJ!AG159,11,1)</f>
        <v>0</v>
      </c>
      <c r="GT17" s="978"/>
      <c r="GU17" s="978"/>
      <c r="GV17" s="978"/>
      <c r="GW17" s="978"/>
    </row>
    <row r="18" spans="1:205" ht="24.6" customHeight="1" x14ac:dyDescent="0.25">
      <c r="B18" s="1017" t="s">
        <v>2186</v>
      </c>
      <c r="C18" s="1017"/>
      <c r="D18" s="1017"/>
      <c r="E18" s="1017"/>
      <c r="F18" s="1017"/>
      <c r="G18" s="1017"/>
      <c r="H18" s="1017"/>
      <c r="I18" s="1017"/>
      <c r="J18" s="1017"/>
      <c r="K18" s="1017"/>
      <c r="L18" s="1005" t="str">
        <f>SUVAHAVUJ!$D$160</f>
        <v>Spotreba materiálu, energie a ostatných neskladovateľných dodávok (501, 502, 503)</v>
      </c>
      <c r="M18" s="1005"/>
      <c r="N18" s="1005"/>
      <c r="O18" s="1005"/>
      <c r="P18" s="1005"/>
      <c r="Q18" s="1005"/>
      <c r="R18" s="1005"/>
      <c r="S18" s="1005"/>
      <c r="T18" s="1005"/>
      <c r="U18" s="1005"/>
      <c r="V18" s="1005"/>
      <c r="W18" s="1005"/>
      <c r="X18" s="1005"/>
      <c r="Y18" s="1005"/>
      <c r="Z18" s="1005"/>
      <c r="AA18" s="1005"/>
      <c r="AB18" s="1005"/>
      <c r="AC18" s="1005"/>
      <c r="AD18" s="1005"/>
      <c r="AE18" s="1005"/>
      <c r="AF18" s="1005"/>
      <c r="AG18" s="1005"/>
      <c r="AH18" s="1005"/>
      <c r="AI18" s="1005"/>
      <c r="AJ18" s="1005"/>
      <c r="AK18" s="1005"/>
      <c r="AL18" s="1005"/>
      <c r="AM18" s="1005"/>
      <c r="AN18" s="1005"/>
      <c r="AO18" s="1005"/>
      <c r="AP18" s="1005"/>
      <c r="AQ18" s="1005"/>
      <c r="AR18" s="1005"/>
      <c r="AS18" s="1005"/>
      <c r="AT18" s="1005"/>
      <c r="AU18" s="1005"/>
      <c r="AV18" s="1005"/>
      <c r="AW18" s="1005"/>
      <c r="AX18" s="1005"/>
      <c r="AY18" s="1005"/>
      <c r="AZ18" s="1005"/>
      <c r="BA18" s="1005"/>
      <c r="BB18" s="1005"/>
      <c r="BC18" s="1005"/>
      <c r="BD18" s="1005"/>
      <c r="BE18" s="1005"/>
      <c r="BF18" s="1005"/>
      <c r="BG18" s="1005"/>
      <c r="BH18" s="1005"/>
      <c r="BI18" s="1005"/>
      <c r="BJ18" s="1005"/>
      <c r="BK18" s="1005"/>
      <c r="BL18" s="1005"/>
      <c r="BM18" s="1005"/>
      <c r="BN18" s="1005"/>
      <c r="BO18" s="1005"/>
      <c r="BP18" s="1005"/>
      <c r="BQ18" s="1005"/>
      <c r="BR18" s="1005"/>
      <c r="BS18" s="1005"/>
      <c r="BT18" s="1005"/>
      <c r="BU18" s="1005"/>
      <c r="BV18" s="1005"/>
      <c r="BW18" s="975" t="s">
        <v>1237</v>
      </c>
      <c r="BX18" s="975"/>
      <c r="BY18" s="975"/>
      <c r="BZ18" s="975"/>
      <c r="CA18" s="975"/>
      <c r="CB18" s="975"/>
      <c r="CC18" s="975"/>
      <c r="CD18" s="975"/>
      <c r="CE18" s="976" t="str">
        <f>MID(SUVAHAVUJ!AF160,1,1)</f>
        <v xml:space="preserve"> </v>
      </c>
      <c r="CF18" s="976"/>
      <c r="CG18" s="976"/>
      <c r="CH18" s="976"/>
      <c r="CI18" s="976"/>
      <c r="CJ18" s="976" t="str">
        <f>MID(SUVAHAVUJ!AF160,2,1)</f>
        <v xml:space="preserve"> </v>
      </c>
      <c r="CK18" s="976"/>
      <c r="CL18" s="976"/>
      <c r="CM18" s="976"/>
      <c r="CN18" s="976"/>
      <c r="CO18" s="976"/>
      <c r="CP18" s="976" t="str">
        <f>MID(SUVAHAVUJ!AF160,3,1)</f>
        <v xml:space="preserve"> </v>
      </c>
      <c r="CQ18" s="976"/>
      <c r="CR18" s="976"/>
      <c r="CS18" s="976"/>
      <c r="CT18" s="976"/>
      <c r="CU18" s="976" t="str">
        <f>MID(SUVAHAVUJ!AF160,4,1)</f>
        <v xml:space="preserve"> </v>
      </c>
      <c r="CV18" s="976"/>
      <c r="CW18" s="976"/>
      <c r="CX18" s="976"/>
      <c r="CY18" s="976"/>
      <c r="CZ18" s="976"/>
      <c r="DA18" s="976" t="str">
        <f>MID(SUVAHAVUJ!AF160,5,1)</f>
        <v xml:space="preserve"> </v>
      </c>
      <c r="DB18" s="976"/>
      <c r="DC18" s="976"/>
      <c r="DD18" s="976"/>
      <c r="DE18" s="976"/>
      <c r="DF18" s="976" t="str">
        <f>MID(SUVAHAVUJ!AF160,6,1)</f>
        <v xml:space="preserve"> </v>
      </c>
      <c r="DG18" s="976"/>
      <c r="DH18" s="976"/>
      <c r="DI18" s="976"/>
      <c r="DJ18" s="976"/>
      <c r="DK18" s="976"/>
      <c r="DL18" s="976" t="str">
        <f>MID(SUVAHAVUJ!AF160,7,1)</f>
        <v>7</v>
      </c>
      <c r="DM18" s="976"/>
      <c r="DN18" s="976"/>
      <c r="DO18" s="976"/>
      <c r="DP18" s="976"/>
      <c r="DQ18" s="976"/>
      <c r="DR18" s="976" t="str">
        <f>MID(SUVAHAVUJ!AF160,8,1)</f>
        <v>0</v>
      </c>
      <c r="DS18" s="976"/>
      <c r="DT18" s="976"/>
      <c r="DU18" s="976"/>
      <c r="DV18" s="976"/>
      <c r="DW18" s="982" t="str">
        <f>MID(SUVAHAVUJ!AF160,9,1)</f>
        <v>4</v>
      </c>
      <c r="DX18" s="982"/>
      <c r="DY18" s="982"/>
      <c r="DZ18" s="982"/>
      <c r="EA18" s="982"/>
      <c r="EB18" s="982"/>
      <c r="EC18" s="982" t="str">
        <f>MID(SUVAHAVUJ!AF160,10,1)</f>
        <v>4</v>
      </c>
      <c r="ED18" s="982"/>
      <c r="EE18" s="982"/>
      <c r="EF18" s="982"/>
      <c r="EG18" s="982"/>
      <c r="EH18" s="977" t="str">
        <f>MID(SUVAHAVUJ!AF160,11,1)</f>
        <v>8</v>
      </c>
      <c r="EI18" s="977"/>
      <c r="EJ18" s="977"/>
      <c r="EK18" s="977"/>
      <c r="EL18" s="977"/>
      <c r="EM18" s="977"/>
      <c r="EN18" s="665"/>
      <c r="EO18" s="666"/>
      <c r="EP18" s="976" t="str">
        <f>MID(SUVAHAVUJ!AG160,1,1)</f>
        <v xml:space="preserve"> </v>
      </c>
      <c r="EQ18" s="976"/>
      <c r="ER18" s="976"/>
      <c r="ES18" s="976"/>
      <c r="ET18" s="976"/>
      <c r="EU18" s="976"/>
      <c r="EV18" s="976" t="str">
        <f>MID(SUVAHAVUJ!AG160,2,1)</f>
        <v xml:space="preserve"> </v>
      </c>
      <c r="EW18" s="976"/>
      <c r="EX18" s="976"/>
      <c r="EY18" s="976"/>
      <c r="EZ18" s="976"/>
      <c r="FA18" s="976" t="str">
        <f>MID(SUVAHAVUJ!AG160,3,1)</f>
        <v xml:space="preserve"> </v>
      </c>
      <c r="FB18" s="976"/>
      <c r="FC18" s="976"/>
      <c r="FD18" s="976"/>
      <c r="FE18" s="976"/>
      <c r="FF18" s="976"/>
      <c r="FG18" s="976" t="str">
        <f>MID(SUVAHAVUJ!AG160,4,1)</f>
        <v xml:space="preserve"> </v>
      </c>
      <c r="FH18" s="976"/>
      <c r="FI18" s="976"/>
      <c r="FJ18" s="976"/>
      <c r="FK18" s="976"/>
      <c r="FL18" s="982" t="str">
        <f>MID(SUVAHAVUJ!AG160,5,1)</f>
        <v xml:space="preserve"> </v>
      </c>
      <c r="FM18" s="982"/>
      <c r="FN18" s="982"/>
      <c r="FO18" s="982"/>
      <c r="FP18" s="982"/>
      <c r="FQ18" s="982"/>
      <c r="FR18" s="982" t="str">
        <f>MID(SUVAHAVUJ!AG160,6,1)</f>
        <v xml:space="preserve"> </v>
      </c>
      <c r="FS18" s="982"/>
      <c r="FT18" s="982"/>
      <c r="FU18" s="982"/>
      <c r="FV18" s="982"/>
      <c r="FW18" s="982" t="str">
        <f>MID(SUVAHAVUJ!AG160,7,1)</f>
        <v>5</v>
      </c>
      <c r="FX18" s="982"/>
      <c r="FY18" s="982"/>
      <c r="FZ18" s="982"/>
      <c r="GA18" s="982"/>
      <c r="GB18" s="982"/>
      <c r="GC18" s="982" t="str">
        <f>MID(SUVAHAVUJ!AG160,8,1)</f>
        <v>9</v>
      </c>
      <c r="GD18" s="982"/>
      <c r="GE18" s="982"/>
      <c r="GF18" s="982"/>
      <c r="GG18" s="982"/>
      <c r="GH18" s="982" t="str">
        <f>MID(SUVAHAVUJ!AG160,9,1)</f>
        <v>8</v>
      </c>
      <c r="GI18" s="982"/>
      <c r="GJ18" s="982"/>
      <c r="GK18" s="982"/>
      <c r="GL18" s="982"/>
      <c r="GM18" s="982"/>
      <c r="GN18" s="982" t="str">
        <f>MID(SUVAHAVUJ!AG160,10,1)</f>
        <v>0</v>
      </c>
      <c r="GO18" s="982"/>
      <c r="GP18" s="982"/>
      <c r="GQ18" s="982"/>
      <c r="GR18" s="982"/>
      <c r="GS18" s="978" t="str">
        <f>MID(SUVAHAVUJ!AG160,11,1)</f>
        <v>7</v>
      </c>
      <c r="GT18" s="978"/>
      <c r="GU18" s="978"/>
      <c r="GV18" s="978"/>
      <c r="GW18" s="978"/>
    </row>
    <row r="19" spans="1:205" ht="24.6" customHeight="1" x14ac:dyDescent="0.25">
      <c r="B19" s="1017" t="s">
        <v>2218</v>
      </c>
      <c r="C19" s="1017"/>
      <c r="D19" s="1017"/>
      <c r="E19" s="1017"/>
      <c r="F19" s="1017"/>
      <c r="G19" s="1017"/>
      <c r="H19" s="1017"/>
      <c r="I19" s="1017"/>
      <c r="J19" s="1017"/>
      <c r="K19" s="1017"/>
      <c r="L19" s="1005" t="str">
        <f>SUVAHAVUJ!$D$161</f>
        <v>Opravné položky k zásobám (+/-) (505)</v>
      </c>
      <c r="M19" s="1005"/>
      <c r="N19" s="1005"/>
      <c r="O19" s="1005"/>
      <c r="P19" s="1005"/>
      <c r="Q19" s="1005"/>
      <c r="R19" s="1005"/>
      <c r="S19" s="1005"/>
      <c r="T19" s="1005"/>
      <c r="U19" s="1005"/>
      <c r="V19" s="1005"/>
      <c r="W19" s="1005"/>
      <c r="X19" s="1005"/>
      <c r="Y19" s="1005"/>
      <c r="Z19" s="1005"/>
      <c r="AA19" s="1005"/>
      <c r="AB19" s="1005"/>
      <c r="AC19" s="1005"/>
      <c r="AD19" s="1005"/>
      <c r="AE19" s="1005"/>
      <c r="AF19" s="1005"/>
      <c r="AG19" s="1005"/>
      <c r="AH19" s="1005"/>
      <c r="AI19" s="1005"/>
      <c r="AJ19" s="1005"/>
      <c r="AK19" s="1005"/>
      <c r="AL19" s="1005"/>
      <c r="AM19" s="1005"/>
      <c r="AN19" s="1005"/>
      <c r="AO19" s="1005"/>
      <c r="AP19" s="1005"/>
      <c r="AQ19" s="1005"/>
      <c r="AR19" s="1005"/>
      <c r="AS19" s="1005"/>
      <c r="AT19" s="1005"/>
      <c r="AU19" s="1005"/>
      <c r="AV19" s="1005"/>
      <c r="AW19" s="1005"/>
      <c r="AX19" s="1005"/>
      <c r="AY19" s="1005"/>
      <c r="AZ19" s="1005"/>
      <c r="BA19" s="1005"/>
      <c r="BB19" s="1005"/>
      <c r="BC19" s="1005"/>
      <c r="BD19" s="1005"/>
      <c r="BE19" s="1005"/>
      <c r="BF19" s="1005"/>
      <c r="BG19" s="1005"/>
      <c r="BH19" s="1005"/>
      <c r="BI19" s="1005"/>
      <c r="BJ19" s="1005"/>
      <c r="BK19" s="1005"/>
      <c r="BL19" s="1005"/>
      <c r="BM19" s="1005"/>
      <c r="BN19" s="1005"/>
      <c r="BO19" s="1005"/>
      <c r="BP19" s="1005"/>
      <c r="BQ19" s="1005"/>
      <c r="BR19" s="1005"/>
      <c r="BS19" s="1005"/>
      <c r="BT19" s="1005"/>
      <c r="BU19" s="1005"/>
      <c r="BV19" s="1005"/>
      <c r="BW19" s="975" t="s">
        <v>1238</v>
      </c>
      <c r="BX19" s="975"/>
      <c r="BY19" s="975"/>
      <c r="BZ19" s="975"/>
      <c r="CA19" s="975"/>
      <c r="CB19" s="975"/>
      <c r="CC19" s="975"/>
      <c r="CD19" s="975"/>
      <c r="CE19" s="976" t="str">
        <f>MID(SUVAHAVUJ!AF161,1,1)</f>
        <v xml:space="preserve"> </v>
      </c>
      <c r="CF19" s="976"/>
      <c r="CG19" s="976"/>
      <c r="CH19" s="976"/>
      <c r="CI19" s="976"/>
      <c r="CJ19" s="976" t="str">
        <f>MID(SUVAHAVUJ!AF161,2,1)</f>
        <v xml:space="preserve"> </v>
      </c>
      <c r="CK19" s="976"/>
      <c r="CL19" s="976"/>
      <c r="CM19" s="976"/>
      <c r="CN19" s="976"/>
      <c r="CO19" s="976"/>
      <c r="CP19" s="976" t="str">
        <f>MID(SUVAHAVUJ!AF161,3,1)</f>
        <v xml:space="preserve"> </v>
      </c>
      <c r="CQ19" s="976"/>
      <c r="CR19" s="976"/>
      <c r="CS19" s="976"/>
      <c r="CT19" s="976"/>
      <c r="CU19" s="976" t="str">
        <f>MID(SUVAHAVUJ!AF161,4,1)</f>
        <v xml:space="preserve"> </v>
      </c>
      <c r="CV19" s="976"/>
      <c r="CW19" s="976"/>
      <c r="CX19" s="976"/>
      <c r="CY19" s="976"/>
      <c r="CZ19" s="976"/>
      <c r="DA19" s="976" t="str">
        <f>MID(SUVAHAVUJ!AF161,5,1)</f>
        <v xml:space="preserve"> </v>
      </c>
      <c r="DB19" s="976"/>
      <c r="DC19" s="976"/>
      <c r="DD19" s="976"/>
      <c r="DE19" s="976"/>
      <c r="DF19" s="976" t="str">
        <f>MID(SUVAHAVUJ!AF161,6,1)</f>
        <v xml:space="preserve"> </v>
      </c>
      <c r="DG19" s="976"/>
      <c r="DH19" s="976"/>
      <c r="DI19" s="976"/>
      <c r="DJ19" s="976"/>
      <c r="DK19" s="976"/>
      <c r="DL19" s="976" t="str">
        <f>MID(SUVAHAVUJ!AF161,7,1)</f>
        <v xml:space="preserve"> </v>
      </c>
      <c r="DM19" s="976"/>
      <c r="DN19" s="976"/>
      <c r="DO19" s="976"/>
      <c r="DP19" s="976"/>
      <c r="DQ19" s="976"/>
      <c r="DR19" s="976" t="str">
        <f>MID(SUVAHAVUJ!AF161,8,1)</f>
        <v xml:space="preserve"> </v>
      </c>
      <c r="DS19" s="976"/>
      <c r="DT19" s="976"/>
      <c r="DU19" s="976"/>
      <c r="DV19" s="976"/>
      <c r="DW19" s="982" t="str">
        <f>MID(SUVAHAVUJ!AF161,9,1)</f>
        <v xml:space="preserve"> </v>
      </c>
      <c r="DX19" s="982"/>
      <c r="DY19" s="982"/>
      <c r="DZ19" s="982"/>
      <c r="EA19" s="982"/>
      <c r="EB19" s="982"/>
      <c r="EC19" s="982" t="str">
        <f>MID(SUVAHAVUJ!AF161,10,1)</f>
        <v xml:space="preserve"> </v>
      </c>
      <c r="ED19" s="982"/>
      <c r="EE19" s="982"/>
      <c r="EF19" s="982"/>
      <c r="EG19" s="982"/>
      <c r="EH19" s="977" t="str">
        <f>MID(SUVAHAVUJ!AF161,11,1)</f>
        <v>0</v>
      </c>
      <c r="EI19" s="977"/>
      <c r="EJ19" s="977"/>
      <c r="EK19" s="977"/>
      <c r="EL19" s="977"/>
      <c r="EM19" s="977"/>
      <c r="EN19" s="665"/>
      <c r="EO19" s="666"/>
      <c r="EP19" s="976" t="str">
        <f>MID(SUVAHAVUJ!AG161,1,1)</f>
        <v xml:space="preserve"> </v>
      </c>
      <c r="EQ19" s="976"/>
      <c r="ER19" s="976"/>
      <c r="ES19" s="976"/>
      <c r="ET19" s="976"/>
      <c r="EU19" s="976"/>
      <c r="EV19" s="976" t="str">
        <f>MID(SUVAHAVUJ!AG161,2,1)</f>
        <v xml:space="preserve"> </v>
      </c>
      <c r="EW19" s="976"/>
      <c r="EX19" s="976"/>
      <c r="EY19" s="976"/>
      <c r="EZ19" s="976"/>
      <c r="FA19" s="976" t="str">
        <f>MID(SUVAHAVUJ!AG161,3,1)</f>
        <v xml:space="preserve"> </v>
      </c>
      <c r="FB19" s="976"/>
      <c r="FC19" s="976"/>
      <c r="FD19" s="976"/>
      <c r="FE19" s="976"/>
      <c r="FF19" s="976"/>
      <c r="FG19" s="976" t="str">
        <f>MID(SUVAHAVUJ!AG161,4,1)</f>
        <v xml:space="preserve"> </v>
      </c>
      <c r="FH19" s="976"/>
      <c r="FI19" s="976"/>
      <c r="FJ19" s="976"/>
      <c r="FK19" s="976"/>
      <c r="FL19" s="982" t="str">
        <f>MID(SUVAHAVUJ!AG161,5,1)</f>
        <v xml:space="preserve"> </v>
      </c>
      <c r="FM19" s="982"/>
      <c r="FN19" s="982"/>
      <c r="FO19" s="982"/>
      <c r="FP19" s="982"/>
      <c r="FQ19" s="982"/>
      <c r="FR19" s="982" t="str">
        <f>MID(SUVAHAVUJ!AG161,6,1)</f>
        <v xml:space="preserve"> </v>
      </c>
      <c r="FS19" s="982"/>
      <c r="FT19" s="982"/>
      <c r="FU19" s="982"/>
      <c r="FV19" s="982"/>
      <c r="FW19" s="982" t="str">
        <f>MID(SUVAHAVUJ!AG161,7,1)</f>
        <v xml:space="preserve"> </v>
      </c>
      <c r="FX19" s="982"/>
      <c r="FY19" s="982"/>
      <c r="FZ19" s="982"/>
      <c r="GA19" s="982"/>
      <c r="GB19" s="982"/>
      <c r="GC19" s="982" t="str">
        <f>MID(SUVAHAVUJ!AG161,8,1)</f>
        <v xml:space="preserve"> </v>
      </c>
      <c r="GD19" s="982"/>
      <c r="GE19" s="982"/>
      <c r="GF19" s="982"/>
      <c r="GG19" s="982"/>
      <c r="GH19" s="982" t="str">
        <f>MID(SUVAHAVUJ!AG161,9,1)</f>
        <v xml:space="preserve"> </v>
      </c>
      <c r="GI19" s="982"/>
      <c r="GJ19" s="982"/>
      <c r="GK19" s="982"/>
      <c r="GL19" s="982"/>
      <c r="GM19" s="982"/>
      <c r="GN19" s="982" t="str">
        <f>MID(SUVAHAVUJ!AG161,10,1)</f>
        <v xml:space="preserve"> </v>
      </c>
      <c r="GO19" s="982"/>
      <c r="GP19" s="982"/>
      <c r="GQ19" s="982"/>
      <c r="GR19" s="982"/>
      <c r="GS19" s="978" t="str">
        <f>MID(SUVAHAVUJ!AG161,11,1)</f>
        <v>0</v>
      </c>
      <c r="GT19" s="978"/>
      <c r="GU19" s="978"/>
      <c r="GV19" s="978"/>
      <c r="GW19" s="978"/>
    </row>
    <row r="20" spans="1:205" ht="24.6" customHeight="1" x14ac:dyDescent="0.25">
      <c r="B20" s="1017" t="s">
        <v>2295</v>
      </c>
      <c r="C20" s="1017"/>
      <c r="D20" s="1017"/>
      <c r="E20" s="1017"/>
      <c r="F20" s="1017"/>
      <c r="G20" s="1017"/>
      <c r="H20" s="1017"/>
      <c r="I20" s="1017"/>
      <c r="J20" s="1017"/>
      <c r="K20" s="1017"/>
      <c r="L20" s="1005" t="str">
        <f>SUVAHAVUJ!$D$162</f>
        <v>Služby (účtová skupina 51)</v>
      </c>
      <c r="M20" s="1005"/>
      <c r="N20" s="1005"/>
      <c r="O20" s="1005"/>
      <c r="P20" s="1005"/>
      <c r="Q20" s="1005"/>
      <c r="R20" s="1005"/>
      <c r="S20" s="1005"/>
      <c r="T20" s="1005"/>
      <c r="U20" s="1005"/>
      <c r="V20" s="1005"/>
      <c r="W20" s="1005"/>
      <c r="X20" s="1005"/>
      <c r="Y20" s="1005"/>
      <c r="Z20" s="1005"/>
      <c r="AA20" s="1005"/>
      <c r="AB20" s="1005"/>
      <c r="AC20" s="1005"/>
      <c r="AD20" s="1005"/>
      <c r="AE20" s="1005"/>
      <c r="AF20" s="1005"/>
      <c r="AG20" s="1005"/>
      <c r="AH20" s="1005"/>
      <c r="AI20" s="1005"/>
      <c r="AJ20" s="1005"/>
      <c r="AK20" s="1005"/>
      <c r="AL20" s="1005"/>
      <c r="AM20" s="1005"/>
      <c r="AN20" s="1005"/>
      <c r="AO20" s="1005"/>
      <c r="AP20" s="1005"/>
      <c r="AQ20" s="1005"/>
      <c r="AR20" s="1005"/>
      <c r="AS20" s="1005"/>
      <c r="AT20" s="1005"/>
      <c r="AU20" s="1005"/>
      <c r="AV20" s="1005"/>
      <c r="AW20" s="1005"/>
      <c r="AX20" s="1005"/>
      <c r="AY20" s="1005"/>
      <c r="AZ20" s="1005"/>
      <c r="BA20" s="1005"/>
      <c r="BB20" s="1005"/>
      <c r="BC20" s="1005"/>
      <c r="BD20" s="1005"/>
      <c r="BE20" s="1005"/>
      <c r="BF20" s="1005"/>
      <c r="BG20" s="1005"/>
      <c r="BH20" s="1005"/>
      <c r="BI20" s="1005"/>
      <c r="BJ20" s="1005"/>
      <c r="BK20" s="1005"/>
      <c r="BL20" s="1005"/>
      <c r="BM20" s="1005"/>
      <c r="BN20" s="1005"/>
      <c r="BO20" s="1005"/>
      <c r="BP20" s="1005"/>
      <c r="BQ20" s="1005"/>
      <c r="BR20" s="1005"/>
      <c r="BS20" s="1005"/>
      <c r="BT20" s="1005"/>
      <c r="BU20" s="1005"/>
      <c r="BV20" s="1005"/>
      <c r="BW20" s="975" t="s">
        <v>1239</v>
      </c>
      <c r="BX20" s="975"/>
      <c r="BY20" s="975"/>
      <c r="BZ20" s="975"/>
      <c r="CA20" s="975"/>
      <c r="CB20" s="975"/>
      <c r="CC20" s="975"/>
      <c r="CD20" s="975"/>
      <c r="CE20" s="976" t="str">
        <f>MID(SUVAHAVUJ!AF162,1,1)</f>
        <v xml:space="preserve"> </v>
      </c>
      <c r="CF20" s="976"/>
      <c r="CG20" s="976"/>
      <c r="CH20" s="976"/>
      <c r="CI20" s="976"/>
      <c r="CJ20" s="976" t="str">
        <f>MID(SUVAHAVUJ!AF162,2,1)</f>
        <v xml:space="preserve"> </v>
      </c>
      <c r="CK20" s="976"/>
      <c r="CL20" s="976"/>
      <c r="CM20" s="976"/>
      <c r="CN20" s="976"/>
      <c r="CO20" s="976"/>
      <c r="CP20" s="976" t="str">
        <f>MID(SUVAHAVUJ!AF162,3,1)</f>
        <v xml:space="preserve"> </v>
      </c>
      <c r="CQ20" s="976"/>
      <c r="CR20" s="976"/>
      <c r="CS20" s="976"/>
      <c r="CT20" s="976"/>
      <c r="CU20" s="976" t="str">
        <f>MID(SUVAHAVUJ!AF162,4,1)</f>
        <v xml:space="preserve"> </v>
      </c>
      <c r="CV20" s="976"/>
      <c r="CW20" s="976"/>
      <c r="CX20" s="976"/>
      <c r="CY20" s="976"/>
      <c r="CZ20" s="976"/>
      <c r="DA20" s="976" t="str">
        <f>MID(SUVAHAVUJ!AF162,5,1)</f>
        <v xml:space="preserve"> </v>
      </c>
      <c r="DB20" s="976"/>
      <c r="DC20" s="976"/>
      <c r="DD20" s="976"/>
      <c r="DE20" s="976"/>
      <c r="DF20" s="976" t="str">
        <f>MID(SUVAHAVUJ!AF162,6,1)</f>
        <v xml:space="preserve"> </v>
      </c>
      <c r="DG20" s="976"/>
      <c r="DH20" s="976"/>
      <c r="DI20" s="976"/>
      <c r="DJ20" s="976"/>
      <c r="DK20" s="976"/>
      <c r="DL20" s="976" t="str">
        <f>MID(SUVAHAVUJ!AF162,7,1)</f>
        <v>3</v>
      </c>
      <c r="DM20" s="976"/>
      <c r="DN20" s="976"/>
      <c r="DO20" s="976"/>
      <c r="DP20" s="976"/>
      <c r="DQ20" s="976"/>
      <c r="DR20" s="976" t="str">
        <f>MID(SUVAHAVUJ!AF162,8,1)</f>
        <v>9</v>
      </c>
      <c r="DS20" s="976"/>
      <c r="DT20" s="976"/>
      <c r="DU20" s="976"/>
      <c r="DV20" s="976"/>
      <c r="DW20" s="982" t="str">
        <f>MID(SUVAHAVUJ!AF162,9,1)</f>
        <v>9</v>
      </c>
      <c r="DX20" s="982"/>
      <c r="DY20" s="982"/>
      <c r="DZ20" s="982"/>
      <c r="EA20" s="982"/>
      <c r="EB20" s="982"/>
      <c r="EC20" s="982" t="str">
        <f>MID(SUVAHAVUJ!AF162,10,1)</f>
        <v>6</v>
      </c>
      <c r="ED20" s="982"/>
      <c r="EE20" s="982"/>
      <c r="EF20" s="982"/>
      <c r="EG20" s="982"/>
      <c r="EH20" s="977" t="str">
        <f>MID(SUVAHAVUJ!AF162,11,1)</f>
        <v>7</v>
      </c>
      <c r="EI20" s="977"/>
      <c r="EJ20" s="977"/>
      <c r="EK20" s="977"/>
      <c r="EL20" s="977"/>
      <c r="EM20" s="977"/>
      <c r="EN20" s="665"/>
      <c r="EO20" s="666"/>
      <c r="EP20" s="976" t="str">
        <f>MID(SUVAHAVUJ!AG162,1,1)</f>
        <v xml:space="preserve"> </v>
      </c>
      <c r="EQ20" s="976"/>
      <c r="ER20" s="976"/>
      <c r="ES20" s="976"/>
      <c r="ET20" s="976"/>
      <c r="EU20" s="976"/>
      <c r="EV20" s="976" t="str">
        <f>MID(SUVAHAVUJ!AG162,2,1)</f>
        <v xml:space="preserve"> </v>
      </c>
      <c r="EW20" s="976"/>
      <c r="EX20" s="976"/>
      <c r="EY20" s="976"/>
      <c r="EZ20" s="976"/>
      <c r="FA20" s="976" t="str">
        <f>MID(SUVAHAVUJ!AG162,3,1)</f>
        <v xml:space="preserve"> </v>
      </c>
      <c r="FB20" s="976"/>
      <c r="FC20" s="976"/>
      <c r="FD20" s="976"/>
      <c r="FE20" s="976"/>
      <c r="FF20" s="976"/>
      <c r="FG20" s="976" t="str">
        <f>MID(SUVAHAVUJ!AG162,4,1)</f>
        <v xml:space="preserve"> </v>
      </c>
      <c r="FH20" s="976"/>
      <c r="FI20" s="976"/>
      <c r="FJ20" s="976"/>
      <c r="FK20" s="976"/>
      <c r="FL20" s="982" t="str">
        <f>MID(SUVAHAVUJ!AG162,5,1)</f>
        <v xml:space="preserve"> </v>
      </c>
      <c r="FM20" s="982"/>
      <c r="FN20" s="982"/>
      <c r="FO20" s="982"/>
      <c r="FP20" s="982"/>
      <c r="FQ20" s="982"/>
      <c r="FR20" s="982" t="str">
        <f>MID(SUVAHAVUJ!AG162,6,1)</f>
        <v xml:space="preserve"> </v>
      </c>
      <c r="FS20" s="982"/>
      <c r="FT20" s="982"/>
      <c r="FU20" s="982"/>
      <c r="FV20" s="982"/>
      <c r="FW20" s="982" t="str">
        <f>MID(SUVAHAVUJ!AG162,7,1)</f>
        <v>3</v>
      </c>
      <c r="FX20" s="982"/>
      <c r="FY20" s="982"/>
      <c r="FZ20" s="982"/>
      <c r="GA20" s="982"/>
      <c r="GB20" s="982"/>
      <c r="GC20" s="982" t="str">
        <f>MID(SUVAHAVUJ!AG162,8,1)</f>
        <v>7</v>
      </c>
      <c r="GD20" s="982"/>
      <c r="GE20" s="982"/>
      <c r="GF20" s="982"/>
      <c r="GG20" s="982"/>
      <c r="GH20" s="982" t="str">
        <f>MID(SUVAHAVUJ!AG162,9,1)</f>
        <v>6</v>
      </c>
      <c r="GI20" s="982"/>
      <c r="GJ20" s="982"/>
      <c r="GK20" s="982"/>
      <c r="GL20" s="982"/>
      <c r="GM20" s="982"/>
      <c r="GN20" s="982" t="str">
        <f>MID(SUVAHAVUJ!AG162,10,1)</f>
        <v>0</v>
      </c>
      <c r="GO20" s="982"/>
      <c r="GP20" s="982"/>
      <c r="GQ20" s="982"/>
      <c r="GR20" s="982"/>
      <c r="GS20" s="978" t="str">
        <f>MID(SUVAHAVUJ!AG162,11,1)</f>
        <v>4</v>
      </c>
      <c r="GT20" s="978"/>
      <c r="GU20" s="978"/>
      <c r="GV20" s="978"/>
      <c r="GW20" s="978"/>
    </row>
    <row r="21" spans="1:205" ht="24.6" customHeight="1" x14ac:dyDescent="0.25">
      <c r="B21" s="1017" t="s">
        <v>2296</v>
      </c>
      <c r="C21" s="1017"/>
      <c r="D21" s="1017"/>
      <c r="E21" s="1017"/>
      <c r="F21" s="1017"/>
      <c r="G21" s="1017"/>
      <c r="H21" s="1017"/>
      <c r="I21" s="1017"/>
      <c r="J21" s="1017"/>
      <c r="K21" s="1017"/>
      <c r="L21" s="1005" t="str">
        <f>SUVAHAVUJ!$D$163</f>
        <v>Osobné náklady súčet (r. 16 až r. 19)</v>
      </c>
      <c r="M21" s="1005"/>
      <c r="N21" s="1005"/>
      <c r="O21" s="1005"/>
      <c r="P21" s="1005"/>
      <c r="Q21" s="1005"/>
      <c r="R21" s="1005"/>
      <c r="S21" s="1005"/>
      <c r="T21" s="1005"/>
      <c r="U21" s="1005"/>
      <c r="V21" s="1005"/>
      <c r="W21" s="1005"/>
      <c r="X21" s="1005"/>
      <c r="Y21" s="1005"/>
      <c r="Z21" s="1005"/>
      <c r="AA21" s="1005"/>
      <c r="AB21" s="1005"/>
      <c r="AC21" s="1005"/>
      <c r="AD21" s="1005"/>
      <c r="AE21" s="1005"/>
      <c r="AF21" s="1005"/>
      <c r="AG21" s="1005"/>
      <c r="AH21" s="1005"/>
      <c r="AI21" s="1005"/>
      <c r="AJ21" s="1005"/>
      <c r="AK21" s="1005"/>
      <c r="AL21" s="1005"/>
      <c r="AM21" s="1005"/>
      <c r="AN21" s="1005"/>
      <c r="AO21" s="1005"/>
      <c r="AP21" s="1005"/>
      <c r="AQ21" s="1005"/>
      <c r="AR21" s="1005"/>
      <c r="AS21" s="1005"/>
      <c r="AT21" s="1005"/>
      <c r="AU21" s="1005"/>
      <c r="AV21" s="1005"/>
      <c r="AW21" s="1005"/>
      <c r="AX21" s="1005"/>
      <c r="AY21" s="1005"/>
      <c r="AZ21" s="1005"/>
      <c r="BA21" s="1005"/>
      <c r="BB21" s="1005"/>
      <c r="BC21" s="1005"/>
      <c r="BD21" s="1005"/>
      <c r="BE21" s="1005"/>
      <c r="BF21" s="1005"/>
      <c r="BG21" s="1005"/>
      <c r="BH21" s="1005"/>
      <c r="BI21" s="1005"/>
      <c r="BJ21" s="1005"/>
      <c r="BK21" s="1005"/>
      <c r="BL21" s="1005"/>
      <c r="BM21" s="1005"/>
      <c r="BN21" s="1005"/>
      <c r="BO21" s="1005"/>
      <c r="BP21" s="1005"/>
      <c r="BQ21" s="1005"/>
      <c r="BR21" s="1005"/>
      <c r="BS21" s="1005"/>
      <c r="BT21" s="1005"/>
      <c r="BU21" s="1005"/>
      <c r="BV21" s="1005"/>
      <c r="BW21" s="975" t="s">
        <v>1240</v>
      </c>
      <c r="BX21" s="975"/>
      <c r="BY21" s="975"/>
      <c r="BZ21" s="975"/>
      <c r="CA21" s="975"/>
      <c r="CB21" s="975"/>
      <c r="CC21" s="975"/>
      <c r="CD21" s="975"/>
      <c r="CE21" s="976" t="str">
        <f>MID(SUVAHAVUJ!AF163,1,1)</f>
        <v xml:space="preserve"> </v>
      </c>
      <c r="CF21" s="976"/>
      <c r="CG21" s="976"/>
      <c r="CH21" s="976"/>
      <c r="CI21" s="976"/>
      <c r="CJ21" s="976" t="str">
        <f>MID(SUVAHAVUJ!AF163,2,1)</f>
        <v xml:space="preserve"> </v>
      </c>
      <c r="CK21" s="976"/>
      <c r="CL21" s="976"/>
      <c r="CM21" s="976"/>
      <c r="CN21" s="976"/>
      <c r="CO21" s="976"/>
      <c r="CP21" s="976" t="str">
        <f>MID(SUVAHAVUJ!AF163,3,1)</f>
        <v xml:space="preserve"> </v>
      </c>
      <c r="CQ21" s="976"/>
      <c r="CR21" s="976"/>
      <c r="CS21" s="976"/>
      <c r="CT21" s="976"/>
      <c r="CU21" s="976" t="str">
        <f>MID(SUVAHAVUJ!AF163,4,1)</f>
        <v xml:space="preserve"> </v>
      </c>
      <c r="CV21" s="976"/>
      <c r="CW21" s="976"/>
      <c r="CX21" s="976"/>
      <c r="CY21" s="976"/>
      <c r="CZ21" s="976"/>
      <c r="DA21" s="976" t="str">
        <f>MID(SUVAHAVUJ!AF163,5,1)</f>
        <v xml:space="preserve"> </v>
      </c>
      <c r="DB21" s="976"/>
      <c r="DC21" s="976"/>
      <c r="DD21" s="976"/>
      <c r="DE21" s="976"/>
      <c r="DF21" s="976" t="str">
        <f>MID(SUVAHAVUJ!AF163,6,1)</f>
        <v>2</v>
      </c>
      <c r="DG21" s="976"/>
      <c r="DH21" s="976"/>
      <c r="DI21" s="976"/>
      <c r="DJ21" s="976"/>
      <c r="DK21" s="976"/>
      <c r="DL21" s="976" t="str">
        <f>MID(SUVAHAVUJ!AF163,7,1)</f>
        <v>0</v>
      </c>
      <c r="DM21" s="976"/>
      <c r="DN21" s="976"/>
      <c r="DO21" s="976"/>
      <c r="DP21" s="976"/>
      <c r="DQ21" s="976"/>
      <c r="DR21" s="976" t="str">
        <f>MID(SUVAHAVUJ!AF163,8,1)</f>
        <v>8</v>
      </c>
      <c r="DS21" s="976"/>
      <c r="DT21" s="976"/>
      <c r="DU21" s="976"/>
      <c r="DV21" s="976"/>
      <c r="DW21" s="982" t="str">
        <f>MID(SUVAHAVUJ!AF163,9,1)</f>
        <v>4</v>
      </c>
      <c r="DX21" s="982"/>
      <c r="DY21" s="982"/>
      <c r="DZ21" s="982"/>
      <c r="EA21" s="982"/>
      <c r="EB21" s="982"/>
      <c r="EC21" s="982" t="str">
        <f>MID(SUVAHAVUJ!AF163,10,1)</f>
        <v>9</v>
      </c>
      <c r="ED21" s="982"/>
      <c r="EE21" s="982"/>
      <c r="EF21" s="982"/>
      <c r="EG21" s="982"/>
      <c r="EH21" s="977" t="str">
        <f>MID(SUVAHAVUJ!AF163,11,1)</f>
        <v>3</v>
      </c>
      <c r="EI21" s="977"/>
      <c r="EJ21" s="977"/>
      <c r="EK21" s="977"/>
      <c r="EL21" s="977"/>
      <c r="EM21" s="977"/>
      <c r="EN21" s="665"/>
      <c r="EO21" s="666"/>
      <c r="EP21" s="976" t="str">
        <f>MID(SUVAHAVUJ!AG163,1,1)</f>
        <v xml:space="preserve"> </v>
      </c>
      <c r="EQ21" s="976"/>
      <c r="ER21" s="976"/>
      <c r="ES21" s="976"/>
      <c r="ET21" s="976"/>
      <c r="EU21" s="976"/>
      <c r="EV21" s="976" t="str">
        <f>MID(SUVAHAVUJ!AG163,2,1)</f>
        <v xml:space="preserve"> </v>
      </c>
      <c r="EW21" s="976"/>
      <c r="EX21" s="976"/>
      <c r="EY21" s="976"/>
      <c r="EZ21" s="976"/>
      <c r="FA21" s="976" t="str">
        <f>MID(SUVAHAVUJ!AG163,3,1)</f>
        <v xml:space="preserve"> </v>
      </c>
      <c r="FB21" s="976"/>
      <c r="FC21" s="976"/>
      <c r="FD21" s="976"/>
      <c r="FE21" s="976"/>
      <c r="FF21" s="976"/>
      <c r="FG21" s="976" t="str">
        <f>MID(SUVAHAVUJ!AG163,4,1)</f>
        <v xml:space="preserve"> </v>
      </c>
      <c r="FH21" s="976"/>
      <c r="FI21" s="976"/>
      <c r="FJ21" s="976"/>
      <c r="FK21" s="976"/>
      <c r="FL21" s="982" t="str">
        <f>MID(SUVAHAVUJ!AG163,5,1)</f>
        <v xml:space="preserve"> </v>
      </c>
      <c r="FM21" s="982"/>
      <c r="FN21" s="982"/>
      <c r="FO21" s="982"/>
      <c r="FP21" s="982"/>
      <c r="FQ21" s="982"/>
      <c r="FR21" s="982" t="str">
        <f>MID(SUVAHAVUJ!AG163,6,1)</f>
        <v>2</v>
      </c>
      <c r="FS21" s="982"/>
      <c r="FT21" s="982"/>
      <c r="FU21" s="982"/>
      <c r="FV21" s="982"/>
      <c r="FW21" s="982" t="str">
        <f>MID(SUVAHAVUJ!AG163,7,1)</f>
        <v>1</v>
      </c>
      <c r="FX21" s="982"/>
      <c r="FY21" s="982"/>
      <c r="FZ21" s="982"/>
      <c r="GA21" s="982"/>
      <c r="GB21" s="982"/>
      <c r="GC21" s="982" t="str">
        <f>MID(SUVAHAVUJ!AG163,8,1)</f>
        <v>8</v>
      </c>
      <c r="GD21" s="982"/>
      <c r="GE21" s="982"/>
      <c r="GF21" s="982"/>
      <c r="GG21" s="982"/>
      <c r="GH21" s="982" t="str">
        <f>MID(SUVAHAVUJ!AG163,9,1)</f>
        <v>7</v>
      </c>
      <c r="GI21" s="982"/>
      <c r="GJ21" s="982"/>
      <c r="GK21" s="982"/>
      <c r="GL21" s="982"/>
      <c r="GM21" s="982"/>
      <c r="GN21" s="982" t="str">
        <f>MID(SUVAHAVUJ!AG163,10,1)</f>
        <v>6</v>
      </c>
      <c r="GO21" s="982"/>
      <c r="GP21" s="982"/>
      <c r="GQ21" s="982"/>
      <c r="GR21" s="982"/>
      <c r="GS21" s="978" t="str">
        <f>MID(SUVAHAVUJ!AG163,11,1)</f>
        <v>0</v>
      </c>
      <c r="GT21" s="978"/>
      <c r="GU21" s="978"/>
      <c r="GV21" s="978"/>
      <c r="GW21" s="978"/>
    </row>
    <row r="22" spans="1:205" ht="24.6" customHeight="1" x14ac:dyDescent="0.25">
      <c r="B22" s="1017" t="s">
        <v>2297</v>
      </c>
      <c r="C22" s="1017"/>
      <c r="D22" s="1017"/>
      <c r="E22" s="1017"/>
      <c r="F22" s="1017"/>
      <c r="G22" s="1017"/>
      <c r="H22" s="1017"/>
      <c r="I22" s="1017"/>
      <c r="J22" s="1017"/>
      <c r="K22" s="1017"/>
      <c r="L22" s="1005" t="str">
        <f>SUVAHAVUJ!$D$164</f>
        <v>Mzdové náklady (521, 522)</v>
      </c>
      <c r="M22" s="1005"/>
      <c r="N22" s="1005"/>
      <c r="O22" s="1005"/>
      <c r="P22" s="1005"/>
      <c r="Q22" s="1005"/>
      <c r="R22" s="1005"/>
      <c r="S22" s="1005"/>
      <c r="T22" s="1005"/>
      <c r="U22" s="1005"/>
      <c r="V22" s="1005"/>
      <c r="W22" s="1005"/>
      <c r="X22" s="1005"/>
      <c r="Y22" s="1005"/>
      <c r="Z22" s="1005"/>
      <c r="AA22" s="1005"/>
      <c r="AB22" s="1005"/>
      <c r="AC22" s="1005"/>
      <c r="AD22" s="1005"/>
      <c r="AE22" s="1005"/>
      <c r="AF22" s="1005"/>
      <c r="AG22" s="1005"/>
      <c r="AH22" s="1005"/>
      <c r="AI22" s="1005"/>
      <c r="AJ22" s="1005"/>
      <c r="AK22" s="1005"/>
      <c r="AL22" s="1005"/>
      <c r="AM22" s="1005"/>
      <c r="AN22" s="1005"/>
      <c r="AO22" s="1005"/>
      <c r="AP22" s="1005"/>
      <c r="AQ22" s="1005"/>
      <c r="AR22" s="1005"/>
      <c r="AS22" s="1005"/>
      <c r="AT22" s="1005"/>
      <c r="AU22" s="1005"/>
      <c r="AV22" s="1005"/>
      <c r="AW22" s="1005"/>
      <c r="AX22" s="1005"/>
      <c r="AY22" s="1005"/>
      <c r="AZ22" s="1005"/>
      <c r="BA22" s="1005"/>
      <c r="BB22" s="1005"/>
      <c r="BC22" s="1005"/>
      <c r="BD22" s="1005"/>
      <c r="BE22" s="1005"/>
      <c r="BF22" s="1005"/>
      <c r="BG22" s="1005"/>
      <c r="BH22" s="1005"/>
      <c r="BI22" s="1005"/>
      <c r="BJ22" s="1005"/>
      <c r="BK22" s="1005"/>
      <c r="BL22" s="1005"/>
      <c r="BM22" s="1005"/>
      <c r="BN22" s="1005"/>
      <c r="BO22" s="1005"/>
      <c r="BP22" s="1005"/>
      <c r="BQ22" s="1005"/>
      <c r="BR22" s="1005"/>
      <c r="BS22" s="1005"/>
      <c r="BT22" s="1005"/>
      <c r="BU22" s="1005"/>
      <c r="BV22" s="1005"/>
      <c r="BW22" s="975" t="s">
        <v>1241</v>
      </c>
      <c r="BX22" s="975"/>
      <c r="BY22" s="975"/>
      <c r="BZ22" s="975"/>
      <c r="CA22" s="975"/>
      <c r="CB22" s="975"/>
      <c r="CC22" s="975"/>
      <c r="CD22" s="975"/>
      <c r="CE22" s="976" t="str">
        <f>MID(SUVAHAVUJ!AF164,1,1)</f>
        <v xml:space="preserve"> </v>
      </c>
      <c r="CF22" s="976"/>
      <c r="CG22" s="976"/>
      <c r="CH22" s="976"/>
      <c r="CI22" s="976"/>
      <c r="CJ22" s="976" t="str">
        <f>MID(SUVAHAVUJ!AF164,2,1)</f>
        <v xml:space="preserve"> </v>
      </c>
      <c r="CK22" s="976"/>
      <c r="CL22" s="976"/>
      <c r="CM22" s="976"/>
      <c r="CN22" s="976"/>
      <c r="CO22" s="976"/>
      <c r="CP22" s="976" t="str">
        <f>MID(SUVAHAVUJ!AF164,3,1)</f>
        <v xml:space="preserve"> </v>
      </c>
      <c r="CQ22" s="976"/>
      <c r="CR22" s="976"/>
      <c r="CS22" s="976"/>
      <c r="CT22" s="976"/>
      <c r="CU22" s="976" t="str">
        <f>MID(SUVAHAVUJ!AF164,4,1)</f>
        <v xml:space="preserve"> </v>
      </c>
      <c r="CV22" s="976"/>
      <c r="CW22" s="976"/>
      <c r="CX22" s="976"/>
      <c r="CY22" s="976"/>
      <c r="CZ22" s="976"/>
      <c r="DA22" s="976" t="str">
        <f>MID(SUVAHAVUJ!AF164,5,1)</f>
        <v xml:space="preserve"> </v>
      </c>
      <c r="DB22" s="976"/>
      <c r="DC22" s="976"/>
      <c r="DD22" s="976"/>
      <c r="DE22" s="976"/>
      <c r="DF22" s="976" t="str">
        <f>MID(SUVAHAVUJ!AF164,6,1)</f>
        <v>1</v>
      </c>
      <c r="DG22" s="976"/>
      <c r="DH22" s="976"/>
      <c r="DI22" s="976"/>
      <c r="DJ22" s="976"/>
      <c r="DK22" s="976"/>
      <c r="DL22" s="976" t="str">
        <f>MID(SUVAHAVUJ!AF164,7,1)</f>
        <v>4</v>
      </c>
      <c r="DM22" s="976"/>
      <c r="DN22" s="976"/>
      <c r="DO22" s="976"/>
      <c r="DP22" s="976"/>
      <c r="DQ22" s="976"/>
      <c r="DR22" s="976" t="str">
        <f>MID(SUVAHAVUJ!AF164,8,1)</f>
        <v>5</v>
      </c>
      <c r="DS22" s="976"/>
      <c r="DT22" s="976"/>
      <c r="DU22" s="976"/>
      <c r="DV22" s="976"/>
      <c r="DW22" s="982" t="str">
        <f>MID(SUVAHAVUJ!AF164,9,1)</f>
        <v>7</v>
      </c>
      <c r="DX22" s="982"/>
      <c r="DY22" s="982"/>
      <c r="DZ22" s="982"/>
      <c r="EA22" s="982"/>
      <c r="EB22" s="982"/>
      <c r="EC22" s="982" t="str">
        <f>MID(SUVAHAVUJ!AF164,10,1)</f>
        <v>2</v>
      </c>
      <c r="ED22" s="982"/>
      <c r="EE22" s="982"/>
      <c r="EF22" s="982"/>
      <c r="EG22" s="982"/>
      <c r="EH22" s="977" t="str">
        <f>MID(SUVAHAVUJ!AF164,11,1)</f>
        <v>8</v>
      </c>
      <c r="EI22" s="977"/>
      <c r="EJ22" s="977"/>
      <c r="EK22" s="977"/>
      <c r="EL22" s="977"/>
      <c r="EM22" s="977"/>
      <c r="EN22" s="665"/>
      <c r="EO22" s="666"/>
      <c r="EP22" s="976" t="str">
        <f>MID(SUVAHAVUJ!AG164,1,1)</f>
        <v xml:space="preserve"> </v>
      </c>
      <c r="EQ22" s="976"/>
      <c r="ER22" s="976"/>
      <c r="ES22" s="976"/>
      <c r="ET22" s="976"/>
      <c r="EU22" s="976"/>
      <c r="EV22" s="976" t="str">
        <f>MID(SUVAHAVUJ!AG164,2,1)</f>
        <v xml:space="preserve"> </v>
      </c>
      <c r="EW22" s="976"/>
      <c r="EX22" s="976"/>
      <c r="EY22" s="976"/>
      <c r="EZ22" s="976"/>
      <c r="FA22" s="976" t="str">
        <f>MID(SUVAHAVUJ!AG164,3,1)</f>
        <v xml:space="preserve"> </v>
      </c>
      <c r="FB22" s="976"/>
      <c r="FC22" s="976"/>
      <c r="FD22" s="976"/>
      <c r="FE22" s="976"/>
      <c r="FF22" s="976"/>
      <c r="FG22" s="976" t="str">
        <f>MID(SUVAHAVUJ!AG164,4,1)</f>
        <v xml:space="preserve"> </v>
      </c>
      <c r="FH22" s="976"/>
      <c r="FI22" s="976"/>
      <c r="FJ22" s="976"/>
      <c r="FK22" s="976"/>
      <c r="FL22" s="982" t="str">
        <f>MID(SUVAHAVUJ!AG164,5,1)</f>
        <v xml:space="preserve"> </v>
      </c>
      <c r="FM22" s="982"/>
      <c r="FN22" s="982"/>
      <c r="FO22" s="982"/>
      <c r="FP22" s="982"/>
      <c r="FQ22" s="982"/>
      <c r="FR22" s="982" t="str">
        <f>MID(SUVAHAVUJ!AG164,6,1)</f>
        <v>1</v>
      </c>
      <c r="FS22" s="982"/>
      <c r="FT22" s="982"/>
      <c r="FU22" s="982"/>
      <c r="FV22" s="982"/>
      <c r="FW22" s="982" t="str">
        <f>MID(SUVAHAVUJ!AG164,7,1)</f>
        <v>5</v>
      </c>
      <c r="FX22" s="982"/>
      <c r="FY22" s="982"/>
      <c r="FZ22" s="982"/>
      <c r="GA22" s="982"/>
      <c r="GB22" s="982"/>
      <c r="GC22" s="982" t="str">
        <f>MID(SUVAHAVUJ!AG164,8,1)</f>
        <v>4</v>
      </c>
      <c r="GD22" s="982"/>
      <c r="GE22" s="982"/>
      <c r="GF22" s="982"/>
      <c r="GG22" s="982"/>
      <c r="GH22" s="982" t="str">
        <f>MID(SUVAHAVUJ!AG164,9,1)</f>
        <v>1</v>
      </c>
      <c r="GI22" s="982"/>
      <c r="GJ22" s="982"/>
      <c r="GK22" s="982"/>
      <c r="GL22" s="982"/>
      <c r="GM22" s="982"/>
      <c r="GN22" s="982" t="str">
        <f>MID(SUVAHAVUJ!AG164,10,1)</f>
        <v>2</v>
      </c>
      <c r="GO22" s="982"/>
      <c r="GP22" s="982"/>
      <c r="GQ22" s="982"/>
      <c r="GR22" s="982"/>
      <c r="GS22" s="978" t="str">
        <f>MID(SUVAHAVUJ!AG164,11,1)</f>
        <v>6</v>
      </c>
      <c r="GT22" s="978"/>
      <c r="GU22" s="978"/>
      <c r="GV22" s="978"/>
      <c r="GW22" s="978"/>
    </row>
    <row r="23" spans="1:205" ht="24.6" customHeight="1" x14ac:dyDescent="0.25">
      <c r="B23" s="1018" t="s">
        <v>2166</v>
      </c>
      <c r="C23" s="1018"/>
      <c r="D23" s="1018"/>
      <c r="E23" s="1018"/>
      <c r="F23" s="1018"/>
      <c r="G23" s="1018"/>
      <c r="H23" s="1018"/>
      <c r="I23" s="1018"/>
      <c r="J23" s="1018"/>
      <c r="K23" s="1018"/>
      <c r="L23" s="1005" t="str">
        <f>SUVAHAVUJ!$D$165</f>
        <v>Odmeny členom orgánov spoločnosti a družstva (523)</v>
      </c>
      <c r="M23" s="1005"/>
      <c r="N23" s="1005"/>
      <c r="O23" s="1005"/>
      <c r="P23" s="1005"/>
      <c r="Q23" s="1005"/>
      <c r="R23" s="1005"/>
      <c r="S23" s="1005"/>
      <c r="T23" s="1005"/>
      <c r="U23" s="1005"/>
      <c r="V23" s="1005"/>
      <c r="W23" s="1005"/>
      <c r="X23" s="1005"/>
      <c r="Y23" s="1005"/>
      <c r="Z23" s="1005"/>
      <c r="AA23" s="1005"/>
      <c r="AB23" s="1005"/>
      <c r="AC23" s="1005"/>
      <c r="AD23" s="1005"/>
      <c r="AE23" s="1005"/>
      <c r="AF23" s="1005"/>
      <c r="AG23" s="1005"/>
      <c r="AH23" s="1005"/>
      <c r="AI23" s="1005"/>
      <c r="AJ23" s="1005"/>
      <c r="AK23" s="1005"/>
      <c r="AL23" s="1005"/>
      <c r="AM23" s="1005"/>
      <c r="AN23" s="1005"/>
      <c r="AO23" s="1005"/>
      <c r="AP23" s="1005"/>
      <c r="AQ23" s="1005"/>
      <c r="AR23" s="1005"/>
      <c r="AS23" s="1005"/>
      <c r="AT23" s="1005"/>
      <c r="AU23" s="1005"/>
      <c r="AV23" s="1005"/>
      <c r="AW23" s="1005"/>
      <c r="AX23" s="1005"/>
      <c r="AY23" s="1005"/>
      <c r="AZ23" s="1005"/>
      <c r="BA23" s="1005"/>
      <c r="BB23" s="1005"/>
      <c r="BC23" s="1005"/>
      <c r="BD23" s="1005"/>
      <c r="BE23" s="1005"/>
      <c r="BF23" s="1005"/>
      <c r="BG23" s="1005"/>
      <c r="BH23" s="1005"/>
      <c r="BI23" s="1005"/>
      <c r="BJ23" s="1005"/>
      <c r="BK23" s="1005"/>
      <c r="BL23" s="1005"/>
      <c r="BM23" s="1005"/>
      <c r="BN23" s="1005"/>
      <c r="BO23" s="1005"/>
      <c r="BP23" s="1005"/>
      <c r="BQ23" s="1005"/>
      <c r="BR23" s="1005"/>
      <c r="BS23" s="1005"/>
      <c r="BT23" s="1005"/>
      <c r="BU23" s="1005"/>
      <c r="BV23" s="1005"/>
      <c r="BW23" s="975" t="s">
        <v>1242</v>
      </c>
      <c r="BX23" s="975"/>
      <c r="BY23" s="975"/>
      <c r="BZ23" s="975"/>
      <c r="CA23" s="975"/>
      <c r="CB23" s="975"/>
      <c r="CC23" s="975"/>
      <c r="CD23" s="975"/>
      <c r="CE23" s="976" t="str">
        <f>MID(SUVAHAVUJ!AF165,1,1)</f>
        <v xml:space="preserve"> </v>
      </c>
      <c r="CF23" s="976"/>
      <c r="CG23" s="976"/>
      <c r="CH23" s="976"/>
      <c r="CI23" s="976"/>
      <c r="CJ23" s="976" t="str">
        <f>MID(SUVAHAVUJ!AF165,2,1)</f>
        <v xml:space="preserve"> </v>
      </c>
      <c r="CK23" s="976"/>
      <c r="CL23" s="976"/>
      <c r="CM23" s="976"/>
      <c r="CN23" s="976"/>
      <c r="CO23" s="976"/>
      <c r="CP23" s="976" t="str">
        <f>MID(SUVAHAVUJ!AF165,3,1)</f>
        <v xml:space="preserve"> </v>
      </c>
      <c r="CQ23" s="976"/>
      <c r="CR23" s="976"/>
      <c r="CS23" s="976"/>
      <c r="CT23" s="976"/>
      <c r="CU23" s="976" t="str">
        <f>MID(SUVAHAVUJ!AF165,4,1)</f>
        <v xml:space="preserve"> </v>
      </c>
      <c r="CV23" s="976"/>
      <c r="CW23" s="976"/>
      <c r="CX23" s="976"/>
      <c r="CY23" s="976"/>
      <c r="CZ23" s="976"/>
      <c r="DA23" s="976" t="str">
        <f>MID(SUVAHAVUJ!AF165,5,1)</f>
        <v xml:space="preserve"> </v>
      </c>
      <c r="DB23" s="976"/>
      <c r="DC23" s="976"/>
      <c r="DD23" s="976"/>
      <c r="DE23" s="976"/>
      <c r="DF23" s="976" t="str">
        <f>MID(SUVAHAVUJ!AF165,6,1)</f>
        <v xml:space="preserve"> </v>
      </c>
      <c r="DG23" s="976"/>
      <c r="DH23" s="976"/>
      <c r="DI23" s="976"/>
      <c r="DJ23" s="976"/>
      <c r="DK23" s="976"/>
      <c r="DL23" s="976" t="str">
        <f>MID(SUVAHAVUJ!AF165,7,1)</f>
        <v xml:space="preserve"> </v>
      </c>
      <c r="DM23" s="976"/>
      <c r="DN23" s="976"/>
      <c r="DO23" s="976"/>
      <c r="DP23" s="976"/>
      <c r="DQ23" s="976"/>
      <c r="DR23" s="976" t="str">
        <f>MID(SUVAHAVUJ!AF165,8,1)</f>
        <v xml:space="preserve"> </v>
      </c>
      <c r="DS23" s="976"/>
      <c r="DT23" s="976"/>
      <c r="DU23" s="976"/>
      <c r="DV23" s="976"/>
      <c r="DW23" s="982" t="str">
        <f>MID(SUVAHAVUJ!AF165,9,1)</f>
        <v xml:space="preserve"> </v>
      </c>
      <c r="DX23" s="982"/>
      <c r="DY23" s="982"/>
      <c r="DZ23" s="982"/>
      <c r="EA23" s="982"/>
      <c r="EB23" s="982"/>
      <c r="EC23" s="982" t="str">
        <f>MID(SUVAHAVUJ!AF165,10,1)</f>
        <v xml:space="preserve"> </v>
      </c>
      <c r="ED23" s="982"/>
      <c r="EE23" s="982"/>
      <c r="EF23" s="982"/>
      <c r="EG23" s="982"/>
      <c r="EH23" s="977" t="str">
        <f>MID(SUVAHAVUJ!AF165,11,1)</f>
        <v>0</v>
      </c>
      <c r="EI23" s="977"/>
      <c r="EJ23" s="977"/>
      <c r="EK23" s="977"/>
      <c r="EL23" s="977"/>
      <c r="EM23" s="977"/>
      <c r="EN23" s="665"/>
      <c r="EO23" s="666"/>
      <c r="EP23" s="976" t="str">
        <f>MID(SUVAHAVUJ!AG165,1,1)</f>
        <v xml:space="preserve"> </v>
      </c>
      <c r="EQ23" s="976"/>
      <c r="ER23" s="976"/>
      <c r="ES23" s="976"/>
      <c r="ET23" s="976"/>
      <c r="EU23" s="976"/>
      <c r="EV23" s="976" t="str">
        <f>MID(SUVAHAVUJ!AG165,2,1)</f>
        <v xml:space="preserve"> </v>
      </c>
      <c r="EW23" s="976"/>
      <c r="EX23" s="976"/>
      <c r="EY23" s="976"/>
      <c r="EZ23" s="976"/>
      <c r="FA23" s="976" t="str">
        <f>MID(SUVAHAVUJ!AG165,3,1)</f>
        <v xml:space="preserve"> </v>
      </c>
      <c r="FB23" s="976"/>
      <c r="FC23" s="976"/>
      <c r="FD23" s="976"/>
      <c r="FE23" s="976"/>
      <c r="FF23" s="976"/>
      <c r="FG23" s="976" t="str">
        <f>MID(SUVAHAVUJ!AG165,4,1)</f>
        <v xml:space="preserve"> </v>
      </c>
      <c r="FH23" s="976"/>
      <c r="FI23" s="976"/>
      <c r="FJ23" s="976"/>
      <c r="FK23" s="976"/>
      <c r="FL23" s="982" t="str">
        <f>MID(SUVAHAVUJ!AG165,5,1)</f>
        <v xml:space="preserve"> </v>
      </c>
      <c r="FM23" s="982"/>
      <c r="FN23" s="982"/>
      <c r="FO23" s="982"/>
      <c r="FP23" s="982"/>
      <c r="FQ23" s="982"/>
      <c r="FR23" s="982" t="str">
        <f>MID(SUVAHAVUJ!AG165,6,1)</f>
        <v xml:space="preserve"> </v>
      </c>
      <c r="FS23" s="982"/>
      <c r="FT23" s="982"/>
      <c r="FU23" s="982"/>
      <c r="FV23" s="982"/>
      <c r="FW23" s="982" t="str">
        <f>MID(SUVAHAVUJ!AG165,7,1)</f>
        <v xml:space="preserve"> </v>
      </c>
      <c r="FX23" s="982"/>
      <c r="FY23" s="982"/>
      <c r="FZ23" s="982"/>
      <c r="GA23" s="982"/>
      <c r="GB23" s="982"/>
      <c r="GC23" s="982" t="str">
        <f>MID(SUVAHAVUJ!AG165,8,1)</f>
        <v xml:space="preserve"> </v>
      </c>
      <c r="GD23" s="982"/>
      <c r="GE23" s="982"/>
      <c r="GF23" s="982"/>
      <c r="GG23" s="982"/>
      <c r="GH23" s="982" t="str">
        <f>MID(SUVAHAVUJ!AG165,9,1)</f>
        <v xml:space="preserve"> </v>
      </c>
      <c r="GI23" s="982"/>
      <c r="GJ23" s="982"/>
      <c r="GK23" s="982"/>
      <c r="GL23" s="982"/>
      <c r="GM23" s="982"/>
      <c r="GN23" s="982" t="str">
        <f>MID(SUVAHAVUJ!AG165,10,1)</f>
        <v xml:space="preserve"> </v>
      </c>
      <c r="GO23" s="982"/>
      <c r="GP23" s="982"/>
      <c r="GQ23" s="982"/>
      <c r="GR23" s="982"/>
      <c r="GS23" s="978" t="str">
        <f>MID(SUVAHAVUJ!AG165,11,1)</f>
        <v>0</v>
      </c>
      <c r="GT23" s="978"/>
      <c r="GU23" s="978"/>
      <c r="GV23" s="978"/>
      <c r="GW23" s="978"/>
    </row>
    <row r="24" spans="1:205" ht="24.6" customHeight="1" x14ac:dyDescent="0.25">
      <c r="A24" s="675"/>
      <c r="B24" s="1018" t="s">
        <v>2167</v>
      </c>
      <c r="C24" s="1018"/>
      <c r="D24" s="1018"/>
      <c r="E24" s="1018"/>
      <c r="F24" s="1018"/>
      <c r="G24" s="1018"/>
      <c r="H24" s="1018"/>
      <c r="I24" s="1018"/>
      <c r="J24" s="1018"/>
      <c r="K24" s="1018"/>
      <c r="L24" s="1005" t="str">
        <f>SUVAHAVUJ!$D$166</f>
        <v>Náklady na sociálne poistenie (524, 525, 526)</v>
      </c>
      <c r="M24" s="1005"/>
      <c r="N24" s="1005"/>
      <c r="O24" s="1005"/>
      <c r="P24" s="1005"/>
      <c r="Q24" s="1005"/>
      <c r="R24" s="1005"/>
      <c r="S24" s="1005"/>
      <c r="T24" s="1005"/>
      <c r="U24" s="1005"/>
      <c r="V24" s="1005"/>
      <c r="W24" s="1005"/>
      <c r="X24" s="1005"/>
      <c r="Y24" s="1005"/>
      <c r="Z24" s="1005"/>
      <c r="AA24" s="1005"/>
      <c r="AB24" s="1005"/>
      <c r="AC24" s="1005"/>
      <c r="AD24" s="1005"/>
      <c r="AE24" s="1005"/>
      <c r="AF24" s="1005"/>
      <c r="AG24" s="1005"/>
      <c r="AH24" s="1005"/>
      <c r="AI24" s="1005"/>
      <c r="AJ24" s="1005"/>
      <c r="AK24" s="1005"/>
      <c r="AL24" s="1005"/>
      <c r="AM24" s="1005"/>
      <c r="AN24" s="1005"/>
      <c r="AO24" s="1005"/>
      <c r="AP24" s="1005"/>
      <c r="AQ24" s="1005"/>
      <c r="AR24" s="1005"/>
      <c r="AS24" s="1005"/>
      <c r="AT24" s="1005"/>
      <c r="AU24" s="1005"/>
      <c r="AV24" s="1005"/>
      <c r="AW24" s="1005"/>
      <c r="AX24" s="1005"/>
      <c r="AY24" s="1005"/>
      <c r="AZ24" s="1005"/>
      <c r="BA24" s="1005"/>
      <c r="BB24" s="1005"/>
      <c r="BC24" s="1005"/>
      <c r="BD24" s="1005"/>
      <c r="BE24" s="1005"/>
      <c r="BF24" s="1005"/>
      <c r="BG24" s="1005"/>
      <c r="BH24" s="1005"/>
      <c r="BI24" s="1005"/>
      <c r="BJ24" s="1005"/>
      <c r="BK24" s="1005"/>
      <c r="BL24" s="1005"/>
      <c r="BM24" s="1005"/>
      <c r="BN24" s="1005"/>
      <c r="BO24" s="1005"/>
      <c r="BP24" s="1005"/>
      <c r="BQ24" s="1005"/>
      <c r="BR24" s="1005"/>
      <c r="BS24" s="1005"/>
      <c r="BT24" s="1005"/>
      <c r="BU24" s="1005"/>
      <c r="BV24" s="1005"/>
      <c r="BW24" s="975" t="s">
        <v>2176</v>
      </c>
      <c r="BX24" s="975"/>
      <c r="BY24" s="975"/>
      <c r="BZ24" s="975"/>
      <c r="CA24" s="975"/>
      <c r="CB24" s="975"/>
      <c r="CC24" s="975"/>
      <c r="CD24" s="975"/>
      <c r="CE24" s="976" t="str">
        <f>MID(SUVAHAVUJ!AF166,1,1)</f>
        <v xml:space="preserve"> </v>
      </c>
      <c r="CF24" s="976"/>
      <c r="CG24" s="976"/>
      <c r="CH24" s="976"/>
      <c r="CI24" s="976"/>
      <c r="CJ24" s="976" t="str">
        <f>MID(SUVAHAVUJ!AF166,2,1)</f>
        <v xml:space="preserve"> </v>
      </c>
      <c r="CK24" s="976"/>
      <c r="CL24" s="976"/>
      <c r="CM24" s="976"/>
      <c r="CN24" s="976"/>
      <c r="CO24" s="976"/>
      <c r="CP24" s="976" t="str">
        <f>MID(SUVAHAVUJ!AF166,3,1)</f>
        <v xml:space="preserve"> </v>
      </c>
      <c r="CQ24" s="976"/>
      <c r="CR24" s="976"/>
      <c r="CS24" s="976"/>
      <c r="CT24" s="976"/>
      <c r="CU24" s="976" t="str">
        <f>MID(SUVAHAVUJ!AF166,4,1)</f>
        <v xml:space="preserve"> </v>
      </c>
      <c r="CV24" s="976"/>
      <c r="CW24" s="976"/>
      <c r="CX24" s="976"/>
      <c r="CY24" s="976"/>
      <c r="CZ24" s="976"/>
      <c r="DA24" s="976" t="str">
        <f>MID(SUVAHAVUJ!AF166,5,1)</f>
        <v xml:space="preserve"> </v>
      </c>
      <c r="DB24" s="976"/>
      <c r="DC24" s="976"/>
      <c r="DD24" s="976"/>
      <c r="DE24" s="976"/>
      <c r="DF24" s="976" t="str">
        <f>MID(SUVAHAVUJ!AF166,6,1)</f>
        <v xml:space="preserve"> </v>
      </c>
      <c r="DG24" s="976"/>
      <c r="DH24" s="976"/>
      <c r="DI24" s="976"/>
      <c r="DJ24" s="976"/>
      <c r="DK24" s="976"/>
      <c r="DL24" s="976" t="str">
        <f>MID(SUVAHAVUJ!AF166,7,1)</f>
        <v>5</v>
      </c>
      <c r="DM24" s="976"/>
      <c r="DN24" s="976"/>
      <c r="DO24" s="976"/>
      <c r="DP24" s="976"/>
      <c r="DQ24" s="976"/>
      <c r="DR24" s="976" t="str">
        <f>MID(SUVAHAVUJ!AF166,8,1)</f>
        <v>0</v>
      </c>
      <c r="DS24" s="976"/>
      <c r="DT24" s="976"/>
      <c r="DU24" s="976"/>
      <c r="DV24" s="976"/>
      <c r="DW24" s="982" t="str">
        <f>MID(SUVAHAVUJ!AF166,9,1)</f>
        <v>4</v>
      </c>
      <c r="DX24" s="982"/>
      <c r="DY24" s="982"/>
      <c r="DZ24" s="982"/>
      <c r="EA24" s="982"/>
      <c r="EB24" s="982"/>
      <c r="EC24" s="982" t="str">
        <f>MID(SUVAHAVUJ!AF166,10,1)</f>
        <v>6</v>
      </c>
      <c r="ED24" s="982"/>
      <c r="EE24" s="982"/>
      <c r="EF24" s="982"/>
      <c r="EG24" s="982"/>
      <c r="EH24" s="977" t="str">
        <f>MID(SUVAHAVUJ!AF166,11,1)</f>
        <v>7</v>
      </c>
      <c r="EI24" s="977"/>
      <c r="EJ24" s="977"/>
      <c r="EK24" s="977"/>
      <c r="EL24" s="977"/>
      <c r="EM24" s="977"/>
      <c r="EN24" s="665"/>
      <c r="EO24" s="666"/>
      <c r="EP24" s="976" t="str">
        <f>MID(SUVAHAVUJ!AG166,1,1)</f>
        <v xml:space="preserve"> </v>
      </c>
      <c r="EQ24" s="976"/>
      <c r="ER24" s="976"/>
      <c r="ES24" s="976"/>
      <c r="ET24" s="976"/>
      <c r="EU24" s="976"/>
      <c r="EV24" s="976" t="str">
        <f>MID(SUVAHAVUJ!AG166,2,1)</f>
        <v xml:space="preserve"> </v>
      </c>
      <c r="EW24" s="976"/>
      <c r="EX24" s="976"/>
      <c r="EY24" s="976"/>
      <c r="EZ24" s="976"/>
      <c r="FA24" s="976" t="str">
        <f>MID(SUVAHAVUJ!AG166,3,1)</f>
        <v xml:space="preserve"> </v>
      </c>
      <c r="FB24" s="976"/>
      <c r="FC24" s="976"/>
      <c r="FD24" s="976"/>
      <c r="FE24" s="976"/>
      <c r="FF24" s="976"/>
      <c r="FG24" s="976" t="str">
        <f>MID(SUVAHAVUJ!AG166,4,1)</f>
        <v xml:space="preserve"> </v>
      </c>
      <c r="FH24" s="976"/>
      <c r="FI24" s="976"/>
      <c r="FJ24" s="976"/>
      <c r="FK24" s="976"/>
      <c r="FL24" s="982" t="str">
        <f>MID(SUVAHAVUJ!AG166,5,1)</f>
        <v xml:space="preserve"> </v>
      </c>
      <c r="FM24" s="982"/>
      <c r="FN24" s="982"/>
      <c r="FO24" s="982"/>
      <c r="FP24" s="982"/>
      <c r="FQ24" s="982"/>
      <c r="FR24" s="982" t="str">
        <f>MID(SUVAHAVUJ!AG166,6,1)</f>
        <v xml:space="preserve"> </v>
      </c>
      <c r="FS24" s="982"/>
      <c r="FT24" s="982"/>
      <c r="FU24" s="982"/>
      <c r="FV24" s="982"/>
      <c r="FW24" s="982" t="str">
        <f>MID(SUVAHAVUJ!AG166,7,1)</f>
        <v>5</v>
      </c>
      <c r="FX24" s="982"/>
      <c r="FY24" s="982"/>
      <c r="FZ24" s="982"/>
      <c r="GA24" s="982"/>
      <c r="GB24" s="982"/>
      <c r="GC24" s="982" t="str">
        <f>MID(SUVAHAVUJ!AG166,8,1)</f>
        <v>5</v>
      </c>
      <c r="GD24" s="982"/>
      <c r="GE24" s="982"/>
      <c r="GF24" s="982"/>
      <c r="GG24" s="982"/>
      <c r="GH24" s="982" t="str">
        <f>MID(SUVAHAVUJ!AG166,9,1)</f>
        <v>8</v>
      </c>
      <c r="GI24" s="982"/>
      <c r="GJ24" s="982"/>
      <c r="GK24" s="982"/>
      <c r="GL24" s="982"/>
      <c r="GM24" s="982"/>
      <c r="GN24" s="982" t="str">
        <f>MID(SUVAHAVUJ!AG166,10,1)</f>
        <v>8</v>
      </c>
      <c r="GO24" s="982"/>
      <c r="GP24" s="982"/>
      <c r="GQ24" s="982"/>
      <c r="GR24" s="982"/>
      <c r="GS24" s="978" t="str">
        <f>MID(SUVAHAVUJ!AG166,11,1)</f>
        <v>7</v>
      </c>
      <c r="GT24" s="978"/>
      <c r="GU24" s="978"/>
      <c r="GV24" s="978"/>
      <c r="GW24" s="978"/>
    </row>
    <row r="25" spans="1:205" ht="24.6" customHeight="1" x14ac:dyDescent="0.25">
      <c r="A25" s="675"/>
      <c r="B25" s="1018" t="s">
        <v>2168</v>
      </c>
      <c r="C25" s="1018"/>
      <c r="D25" s="1018"/>
      <c r="E25" s="1018"/>
      <c r="F25" s="1018"/>
      <c r="G25" s="1018"/>
      <c r="H25" s="1018"/>
      <c r="I25" s="1018"/>
      <c r="J25" s="1018"/>
      <c r="K25" s="1018"/>
      <c r="L25" s="1005" t="str">
        <f>SUVAHAVUJ!$D$167</f>
        <v>Sociálne náklady (527, 528)</v>
      </c>
      <c r="M25" s="1005"/>
      <c r="N25" s="1005"/>
      <c r="O25" s="1005"/>
      <c r="P25" s="1005"/>
      <c r="Q25" s="1005"/>
      <c r="R25" s="1005"/>
      <c r="S25" s="1005"/>
      <c r="T25" s="1005"/>
      <c r="U25" s="1005"/>
      <c r="V25" s="1005"/>
      <c r="W25" s="1005"/>
      <c r="X25" s="1005"/>
      <c r="Y25" s="1005"/>
      <c r="Z25" s="1005"/>
      <c r="AA25" s="1005"/>
      <c r="AB25" s="1005"/>
      <c r="AC25" s="1005"/>
      <c r="AD25" s="1005"/>
      <c r="AE25" s="1005"/>
      <c r="AF25" s="1005"/>
      <c r="AG25" s="1005"/>
      <c r="AH25" s="1005"/>
      <c r="AI25" s="1005"/>
      <c r="AJ25" s="1005"/>
      <c r="AK25" s="1005"/>
      <c r="AL25" s="1005"/>
      <c r="AM25" s="1005"/>
      <c r="AN25" s="1005"/>
      <c r="AO25" s="1005"/>
      <c r="AP25" s="1005"/>
      <c r="AQ25" s="1005"/>
      <c r="AR25" s="1005"/>
      <c r="AS25" s="1005"/>
      <c r="AT25" s="1005"/>
      <c r="AU25" s="1005"/>
      <c r="AV25" s="1005"/>
      <c r="AW25" s="1005"/>
      <c r="AX25" s="1005"/>
      <c r="AY25" s="1005"/>
      <c r="AZ25" s="1005"/>
      <c r="BA25" s="1005"/>
      <c r="BB25" s="1005"/>
      <c r="BC25" s="1005"/>
      <c r="BD25" s="1005"/>
      <c r="BE25" s="1005"/>
      <c r="BF25" s="1005"/>
      <c r="BG25" s="1005"/>
      <c r="BH25" s="1005"/>
      <c r="BI25" s="1005"/>
      <c r="BJ25" s="1005"/>
      <c r="BK25" s="1005"/>
      <c r="BL25" s="1005"/>
      <c r="BM25" s="1005"/>
      <c r="BN25" s="1005"/>
      <c r="BO25" s="1005"/>
      <c r="BP25" s="1005"/>
      <c r="BQ25" s="1005"/>
      <c r="BR25" s="1005"/>
      <c r="BS25" s="1005"/>
      <c r="BT25" s="1005"/>
      <c r="BU25" s="1005"/>
      <c r="BV25" s="1005"/>
      <c r="BW25" s="975" t="s">
        <v>1246</v>
      </c>
      <c r="BX25" s="975"/>
      <c r="BY25" s="975"/>
      <c r="BZ25" s="975"/>
      <c r="CA25" s="975"/>
      <c r="CB25" s="975"/>
      <c r="CC25" s="975"/>
      <c r="CD25" s="975"/>
      <c r="CE25" s="976" t="str">
        <f>MID(SUVAHAVUJ!AF167,1,1)</f>
        <v xml:space="preserve"> </v>
      </c>
      <c r="CF25" s="976"/>
      <c r="CG25" s="976"/>
      <c r="CH25" s="976"/>
      <c r="CI25" s="976"/>
      <c r="CJ25" s="976" t="str">
        <f>MID(SUVAHAVUJ!AF167,2,1)</f>
        <v xml:space="preserve"> </v>
      </c>
      <c r="CK25" s="976"/>
      <c r="CL25" s="976"/>
      <c r="CM25" s="976"/>
      <c r="CN25" s="976"/>
      <c r="CO25" s="976"/>
      <c r="CP25" s="976" t="str">
        <f>MID(SUVAHAVUJ!AF167,3,1)</f>
        <v xml:space="preserve"> </v>
      </c>
      <c r="CQ25" s="976"/>
      <c r="CR25" s="976"/>
      <c r="CS25" s="976"/>
      <c r="CT25" s="976"/>
      <c r="CU25" s="976" t="str">
        <f>MID(SUVAHAVUJ!AF167,4,1)</f>
        <v xml:space="preserve"> </v>
      </c>
      <c r="CV25" s="976"/>
      <c r="CW25" s="976"/>
      <c r="CX25" s="976"/>
      <c r="CY25" s="976"/>
      <c r="CZ25" s="976"/>
      <c r="DA25" s="976" t="str">
        <f>MID(SUVAHAVUJ!AF167,5,1)</f>
        <v xml:space="preserve"> </v>
      </c>
      <c r="DB25" s="976"/>
      <c r="DC25" s="976"/>
      <c r="DD25" s="976"/>
      <c r="DE25" s="976"/>
      <c r="DF25" s="976" t="str">
        <f>MID(SUVAHAVUJ!AF167,6,1)</f>
        <v xml:space="preserve"> </v>
      </c>
      <c r="DG25" s="976"/>
      <c r="DH25" s="976"/>
      <c r="DI25" s="976"/>
      <c r="DJ25" s="976"/>
      <c r="DK25" s="976"/>
      <c r="DL25" s="976" t="str">
        <f>MID(SUVAHAVUJ!AF167,7,1)</f>
        <v>1</v>
      </c>
      <c r="DM25" s="976"/>
      <c r="DN25" s="976"/>
      <c r="DO25" s="976"/>
      <c r="DP25" s="976"/>
      <c r="DQ25" s="976"/>
      <c r="DR25" s="976" t="str">
        <f>MID(SUVAHAVUJ!AF167,8,1)</f>
        <v>2</v>
      </c>
      <c r="DS25" s="976"/>
      <c r="DT25" s="976"/>
      <c r="DU25" s="976"/>
      <c r="DV25" s="976"/>
      <c r="DW25" s="982" t="str">
        <f>MID(SUVAHAVUJ!AF167,9,1)</f>
        <v>2</v>
      </c>
      <c r="DX25" s="982"/>
      <c r="DY25" s="982"/>
      <c r="DZ25" s="982"/>
      <c r="EA25" s="982"/>
      <c r="EB25" s="982"/>
      <c r="EC25" s="982" t="str">
        <f>MID(SUVAHAVUJ!AF167,10,1)</f>
        <v>9</v>
      </c>
      <c r="ED25" s="982"/>
      <c r="EE25" s="982"/>
      <c r="EF25" s="982"/>
      <c r="EG25" s="982"/>
      <c r="EH25" s="977" t="str">
        <f>MID(SUVAHAVUJ!AF167,11,1)</f>
        <v>8</v>
      </c>
      <c r="EI25" s="977"/>
      <c r="EJ25" s="977"/>
      <c r="EK25" s="977"/>
      <c r="EL25" s="977"/>
      <c r="EM25" s="977"/>
      <c r="EN25" s="665"/>
      <c r="EO25" s="666"/>
      <c r="EP25" s="976" t="str">
        <f>MID(SUVAHAVUJ!AG167,1,1)</f>
        <v xml:space="preserve"> </v>
      </c>
      <c r="EQ25" s="976"/>
      <c r="ER25" s="976"/>
      <c r="ES25" s="976"/>
      <c r="ET25" s="976"/>
      <c r="EU25" s="976"/>
      <c r="EV25" s="976" t="str">
        <f>MID(SUVAHAVUJ!AG167,2,1)</f>
        <v xml:space="preserve"> </v>
      </c>
      <c r="EW25" s="976"/>
      <c r="EX25" s="976"/>
      <c r="EY25" s="976"/>
      <c r="EZ25" s="976"/>
      <c r="FA25" s="976" t="str">
        <f>MID(SUVAHAVUJ!AG167,3,1)</f>
        <v xml:space="preserve"> </v>
      </c>
      <c r="FB25" s="976"/>
      <c r="FC25" s="976"/>
      <c r="FD25" s="976"/>
      <c r="FE25" s="976"/>
      <c r="FF25" s="976"/>
      <c r="FG25" s="976" t="str">
        <f>MID(SUVAHAVUJ!AG167,4,1)</f>
        <v xml:space="preserve"> </v>
      </c>
      <c r="FH25" s="976"/>
      <c r="FI25" s="976"/>
      <c r="FJ25" s="976"/>
      <c r="FK25" s="976"/>
      <c r="FL25" s="982" t="str">
        <f>MID(SUVAHAVUJ!AG167,5,1)</f>
        <v xml:space="preserve"> </v>
      </c>
      <c r="FM25" s="982"/>
      <c r="FN25" s="982"/>
      <c r="FO25" s="982"/>
      <c r="FP25" s="982"/>
      <c r="FQ25" s="982"/>
      <c r="FR25" s="982" t="str">
        <f>MID(SUVAHAVUJ!AG167,6,1)</f>
        <v xml:space="preserve"> </v>
      </c>
      <c r="FS25" s="982"/>
      <c r="FT25" s="982"/>
      <c r="FU25" s="982"/>
      <c r="FV25" s="982"/>
      <c r="FW25" s="982" t="str">
        <f>MID(SUVAHAVUJ!AG167,7,1)</f>
        <v xml:space="preserve"> </v>
      </c>
      <c r="FX25" s="982"/>
      <c r="FY25" s="982"/>
      <c r="FZ25" s="982"/>
      <c r="GA25" s="982"/>
      <c r="GB25" s="982"/>
      <c r="GC25" s="982" t="str">
        <f>MID(SUVAHAVUJ!AG167,8,1)</f>
        <v>8</v>
      </c>
      <c r="GD25" s="982"/>
      <c r="GE25" s="982"/>
      <c r="GF25" s="982"/>
      <c r="GG25" s="982"/>
      <c r="GH25" s="982" t="str">
        <f>MID(SUVAHAVUJ!AG167,9,1)</f>
        <v>7</v>
      </c>
      <c r="GI25" s="982"/>
      <c r="GJ25" s="982"/>
      <c r="GK25" s="982"/>
      <c r="GL25" s="982"/>
      <c r="GM25" s="982"/>
      <c r="GN25" s="982" t="str">
        <f>MID(SUVAHAVUJ!AG167,10,1)</f>
        <v>4</v>
      </c>
      <c r="GO25" s="982"/>
      <c r="GP25" s="982"/>
      <c r="GQ25" s="982"/>
      <c r="GR25" s="982"/>
      <c r="GS25" s="978" t="str">
        <f>MID(SUVAHAVUJ!AG167,11,1)</f>
        <v>7</v>
      </c>
      <c r="GT25" s="978"/>
      <c r="GU25" s="978"/>
      <c r="GV25" s="978"/>
      <c r="GW25" s="978"/>
    </row>
    <row r="26" spans="1:205" ht="24.6" customHeight="1" x14ac:dyDescent="0.25">
      <c r="A26" s="675"/>
      <c r="B26" s="1017" t="s">
        <v>2298</v>
      </c>
      <c r="C26" s="1017"/>
      <c r="D26" s="1017"/>
      <c r="E26" s="1017"/>
      <c r="F26" s="1017"/>
      <c r="G26" s="1017"/>
      <c r="H26" s="1017"/>
      <c r="I26" s="1017"/>
      <c r="J26" s="1017"/>
      <c r="K26" s="1017"/>
      <c r="L26" s="1005" t="str">
        <f>SUVAHAVUJ!$D$168</f>
        <v>Dane a poplatky (účtová skupina 53)</v>
      </c>
      <c r="M26" s="1005"/>
      <c r="N26" s="1005"/>
      <c r="O26" s="1005"/>
      <c r="P26" s="1005"/>
      <c r="Q26" s="1005"/>
      <c r="R26" s="1005"/>
      <c r="S26" s="1005"/>
      <c r="T26" s="1005"/>
      <c r="U26" s="1005"/>
      <c r="V26" s="1005"/>
      <c r="W26" s="1005"/>
      <c r="X26" s="1005"/>
      <c r="Y26" s="1005"/>
      <c r="Z26" s="1005"/>
      <c r="AA26" s="1005"/>
      <c r="AB26" s="1005"/>
      <c r="AC26" s="1005"/>
      <c r="AD26" s="1005"/>
      <c r="AE26" s="1005"/>
      <c r="AF26" s="1005"/>
      <c r="AG26" s="1005"/>
      <c r="AH26" s="1005"/>
      <c r="AI26" s="1005"/>
      <c r="AJ26" s="1005"/>
      <c r="AK26" s="1005"/>
      <c r="AL26" s="1005"/>
      <c r="AM26" s="1005"/>
      <c r="AN26" s="1005"/>
      <c r="AO26" s="1005"/>
      <c r="AP26" s="1005"/>
      <c r="AQ26" s="1005"/>
      <c r="AR26" s="1005"/>
      <c r="AS26" s="1005"/>
      <c r="AT26" s="1005"/>
      <c r="AU26" s="1005"/>
      <c r="AV26" s="1005"/>
      <c r="AW26" s="1005"/>
      <c r="AX26" s="1005"/>
      <c r="AY26" s="1005"/>
      <c r="AZ26" s="1005"/>
      <c r="BA26" s="1005"/>
      <c r="BB26" s="1005"/>
      <c r="BC26" s="1005"/>
      <c r="BD26" s="1005"/>
      <c r="BE26" s="1005"/>
      <c r="BF26" s="1005"/>
      <c r="BG26" s="1005"/>
      <c r="BH26" s="1005"/>
      <c r="BI26" s="1005"/>
      <c r="BJ26" s="1005"/>
      <c r="BK26" s="1005"/>
      <c r="BL26" s="1005"/>
      <c r="BM26" s="1005"/>
      <c r="BN26" s="1005"/>
      <c r="BO26" s="1005"/>
      <c r="BP26" s="1005"/>
      <c r="BQ26" s="1005"/>
      <c r="BR26" s="1005"/>
      <c r="BS26" s="1005"/>
      <c r="BT26" s="1005"/>
      <c r="BU26" s="1005"/>
      <c r="BV26" s="1005"/>
      <c r="BW26" s="975" t="s">
        <v>2179</v>
      </c>
      <c r="BX26" s="975"/>
      <c r="BY26" s="975"/>
      <c r="BZ26" s="975"/>
      <c r="CA26" s="975"/>
      <c r="CB26" s="975"/>
      <c r="CC26" s="975"/>
      <c r="CD26" s="975"/>
      <c r="CE26" s="976" t="str">
        <f>MID(SUVAHAVUJ!AF168,1,1)</f>
        <v xml:space="preserve"> </v>
      </c>
      <c r="CF26" s="976"/>
      <c r="CG26" s="976"/>
      <c r="CH26" s="976"/>
      <c r="CI26" s="976"/>
      <c r="CJ26" s="976" t="str">
        <f>MID(SUVAHAVUJ!AF168,2,1)</f>
        <v xml:space="preserve"> </v>
      </c>
      <c r="CK26" s="976"/>
      <c r="CL26" s="976"/>
      <c r="CM26" s="976"/>
      <c r="CN26" s="976"/>
      <c r="CO26" s="976"/>
      <c r="CP26" s="976" t="str">
        <f>MID(SUVAHAVUJ!AF168,3,1)</f>
        <v xml:space="preserve"> </v>
      </c>
      <c r="CQ26" s="976"/>
      <c r="CR26" s="976"/>
      <c r="CS26" s="976"/>
      <c r="CT26" s="976"/>
      <c r="CU26" s="976" t="str">
        <f>MID(SUVAHAVUJ!AF168,4,1)</f>
        <v xml:space="preserve"> </v>
      </c>
      <c r="CV26" s="976"/>
      <c r="CW26" s="976"/>
      <c r="CX26" s="976"/>
      <c r="CY26" s="976"/>
      <c r="CZ26" s="976"/>
      <c r="DA26" s="976" t="str">
        <f>MID(SUVAHAVUJ!AF168,5,1)</f>
        <v xml:space="preserve"> </v>
      </c>
      <c r="DB26" s="976"/>
      <c r="DC26" s="976"/>
      <c r="DD26" s="976"/>
      <c r="DE26" s="976"/>
      <c r="DF26" s="976" t="str">
        <f>MID(SUVAHAVUJ!AF168,6,1)</f>
        <v xml:space="preserve"> </v>
      </c>
      <c r="DG26" s="976"/>
      <c r="DH26" s="976"/>
      <c r="DI26" s="976"/>
      <c r="DJ26" s="976"/>
      <c r="DK26" s="976"/>
      <c r="DL26" s="976" t="str">
        <f>MID(SUVAHAVUJ!AF168,7,1)</f>
        <v xml:space="preserve"> </v>
      </c>
      <c r="DM26" s="976"/>
      <c r="DN26" s="976"/>
      <c r="DO26" s="976"/>
      <c r="DP26" s="976"/>
      <c r="DQ26" s="976"/>
      <c r="DR26" s="976" t="str">
        <f>MID(SUVAHAVUJ!AF168,8,1)</f>
        <v xml:space="preserve"> </v>
      </c>
      <c r="DS26" s="976"/>
      <c r="DT26" s="976"/>
      <c r="DU26" s="976"/>
      <c r="DV26" s="976"/>
      <c r="DW26" s="982" t="str">
        <f>MID(SUVAHAVUJ!AF168,9,1)</f>
        <v>8</v>
      </c>
      <c r="DX26" s="982"/>
      <c r="DY26" s="982"/>
      <c r="DZ26" s="982"/>
      <c r="EA26" s="982"/>
      <c r="EB26" s="982"/>
      <c r="EC26" s="982" t="str">
        <f>MID(SUVAHAVUJ!AF168,10,1)</f>
        <v>8</v>
      </c>
      <c r="ED26" s="982"/>
      <c r="EE26" s="982"/>
      <c r="EF26" s="982"/>
      <c r="EG26" s="982"/>
      <c r="EH26" s="977" t="str">
        <f>MID(SUVAHAVUJ!AF168,11,1)</f>
        <v>9</v>
      </c>
      <c r="EI26" s="977"/>
      <c r="EJ26" s="977"/>
      <c r="EK26" s="977"/>
      <c r="EL26" s="977"/>
      <c r="EM26" s="977"/>
      <c r="EN26" s="665"/>
      <c r="EO26" s="666"/>
      <c r="EP26" s="976" t="str">
        <f>MID(SUVAHAVUJ!AG168,1,1)</f>
        <v xml:space="preserve"> </v>
      </c>
      <c r="EQ26" s="976"/>
      <c r="ER26" s="976"/>
      <c r="ES26" s="976"/>
      <c r="ET26" s="976"/>
      <c r="EU26" s="976"/>
      <c r="EV26" s="976" t="str">
        <f>MID(SUVAHAVUJ!AG168,2,1)</f>
        <v xml:space="preserve"> </v>
      </c>
      <c r="EW26" s="976"/>
      <c r="EX26" s="976"/>
      <c r="EY26" s="976"/>
      <c r="EZ26" s="976"/>
      <c r="FA26" s="976" t="str">
        <f>MID(SUVAHAVUJ!AG168,3,1)</f>
        <v xml:space="preserve"> </v>
      </c>
      <c r="FB26" s="976"/>
      <c r="FC26" s="976"/>
      <c r="FD26" s="976"/>
      <c r="FE26" s="976"/>
      <c r="FF26" s="976"/>
      <c r="FG26" s="976" t="str">
        <f>MID(SUVAHAVUJ!AG168,4,1)</f>
        <v xml:space="preserve"> </v>
      </c>
      <c r="FH26" s="976"/>
      <c r="FI26" s="976"/>
      <c r="FJ26" s="976"/>
      <c r="FK26" s="976"/>
      <c r="FL26" s="982" t="str">
        <f>MID(SUVAHAVUJ!AG168,5,1)</f>
        <v xml:space="preserve"> </v>
      </c>
      <c r="FM26" s="982"/>
      <c r="FN26" s="982"/>
      <c r="FO26" s="982"/>
      <c r="FP26" s="982"/>
      <c r="FQ26" s="982"/>
      <c r="FR26" s="982" t="str">
        <f>MID(SUVAHAVUJ!AG168,6,1)</f>
        <v xml:space="preserve"> </v>
      </c>
      <c r="FS26" s="982"/>
      <c r="FT26" s="982"/>
      <c r="FU26" s="982"/>
      <c r="FV26" s="982"/>
      <c r="FW26" s="982" t="str">
        <f>MID(SUVAHAVUJ!AG168,7,1)</f>
        <v xml:space="preserve"> </v>
      </c>
      <c r="FX26" s="982"/>
      <c r="FY26" s="982"/>
      <c r="FZ26" s="982"/>
      <c r="GA26" s="982"/>
      <c r="GB26" s="982"/>
      <c r="GC26" s="982" t="str">
        <f>MID(SUVAHAVUJ!AG168,8,1)</f>
        <v>1</v>
      </c>
      <c r="GD26" s="982"/>
      <c r="GE26" s="982"/>
      <c r="GF26" s="982"/>
      <c r="GG26" s="982"/>
      <c r="GH26" s="982" t="str">
        <f>MID(SUVAHAVUJ!AG168,9,1)</f>
        <v>6</v>
      </c>
      <c r="GI26" s="982"/>
      <c r="GJ26" s="982"/>
      <c r="GK26" s="982"/>
      <c r="GL26" s="982"/>
      <c r="GM26" s="982"/>
      <c r="GN26" s="982" t="str">
        <f>MID(SUVAHAVUJ!AG168,10,1)</f>
        <v>3</v>
      </c>
      <c r="GO26" s="982"/>
      <c r="GP26" s="982"/>
      <c r="GQ26" s="982"/>
      <c r="GR26" s="982"/>
      <c r="GS26" s="978" t="str">
        <f>MID(SUVAHAVUJ!AG168,11,1)</f>
        <v>6</v>
      </c>
      <c r="GT26" s="978"/>
      <c r="GU26" s="978"/>
      <c r="GV26" s="978"/>
      <c r="GW26" s="978"/>
    </row>
    <row r="27" spans="1:205" ht="24.6" customHeight="1" x14ac:dyDescent="0.25">
      <c r="A27" s="675"/>
      <c r="B27" s="1017" t="s">
        <v>2299</v>
      </c>
      <c r="C27" s="1017"/>
      <c r="D27" s="1017"/>
      <c r="E27" s="1017"/>
      <c r="F27" s="1017"/>
      <c r="G27" s="1017"/>
      <c r="H27" s="1017"/>
      <c r="I27" s="1017"/>
      <c r="J27" s="1017"/>
      <c r="K27" s="1017"/>
      <c r="L27" s="1005" t="str">
        <f>SUVAHAVUJ!$D$169</f>
        <v>Odpisy a opravné položky k dlhodobému nehmotnému majetku a dlhodobému hmotnému majetku (r. 22 + r. 23)</v>
      </c>
      <c r="M27" s="1005"/>
      <c r="N27" s="1005"/>
      <c r="O27" s="1005"/>
      <c r="P27" s="1005"/>
      <c r="Q27" s="1005"/>
      <c r="R27" s="1005"/>
      <c r="S27" s="1005"/>
      <c r="T27" s="1005"/>
      <c r="U27" s="1005"/>
      <c r="V27" s="1005"/>
      <c r="W27" s="1005"/>
      <c r="X27" s="1005"/>
      <c r="Y27" s="1005"/>
      <c r="Z27" s="1005"/>
      <c r="AA27" s="1005"/>
      <c r="AB27" s="1005"/>
      <c r="AC27" s="1005"/>
      <c r="AD27" s="1005"/>
      <c r="AE27" s="1005"/>
      <c r="AF27" s="1005"/>
      <c r="AG27" s="1005"/>
      <c r="AH27" s="1005"/>
      <c r="AI27" s="1005"/>
      <c r="AJ27" s="1005"/>
      <c r="AK27" s="1005"/>
      <c r="AL27" s="1005"/>
      <c r="AM27" s="1005"/>
      <c r="AN27" s="1005"/>
      <c r="AO27" s="1005"/>
      <c r="AP27" s="1005"/>
      <c r="AQ27" s="1005"/>
      <c r="AR27" s="1005"/>
      <c r="AS27" s="1005"/>
      <c r="AT27" s="1005"/>
      <c r="AU27" s="1005"/>
      <c r="AV27" s="1005"/>
      <c r="AW27" s="1005"/>
      <c r="AX27" s="1005"/>
      <c r="AY27" s="1005"/>
      <c r="AZ27" s="1005"/>
      <c r="BA27" s="1005"/>
      <c r="BB27" s="1005"/>
      <c r="BC27" s="1005"/>
      <c r="BD27" s="1005"/>
      <c r="BE27" s="1005"/>
      <c r="BF27" s="1005"/>
      <c r="BG27" s="1005"/>
      <c r="BH27" s="1005"/>
      <c r="BI27" s="1005"/>
      <c r="BJ27" s="1005"/>
      <c r="BK27" s="1005"/>
      <c r="BL27" s="1005"/>
      <c r="BM27" s="1005"/>
      <c r="BN27" s="1005"/>
      <c r="BO27" s="1005"/>
      <c r="BP27" s="1005"/>
      <c r="BQ27" s="1005"/>
      <c r="BR27" s="1005"/>
      <c r="BS27" s="1005"/>
      <c r="BT27" s="1005"/>
      <c r="BU27" s="1005"/>
      <c r="BV27" s="1005"/>
      <c r="BW27" s="975" t="s">
        <v>2181</v>
      </c>
      <c r="BX27" s="975"/>
      <c r="BY27" s="975"/>
      <c r="BZ27" s="975"/>
      <c r="CA27" s="975"/>
      <c r="CB27" s="975"/>
      <c r="CC27" s="975"/>
      <c r="CD27" s="975"/>
      <c r="CE27" s="976" t="str">
        <f>MID(SUVAHAVUJ!AF169,1,1)</f>
        <v xml:space="preserve"> </v>
      </c>
      <c r="CF27" s="976"/>
      <c r="CG27" s="976"/>
      <c r="CH27" s="976"/>
      <c r="CI27" s="976"/>
      <c r="CJ27" s="976" t="str">
        <f>MID(SUVAHAVUJ!AF169,2,1)</f>
        <v xml:space="preserve"> </v>
      </c>
      <c r="CK27" s="976"/>
      <c r="CL27" s="976"/>
      <c r="CM27" s="976"/>
      <c r="CN27" s="976"/>
      <c r="CO27" s="976"/>
      <c r="CP27" s="976" t="str">
        <f>MID(SUVAHAVUJ!AF169,3,1)</f>
        <v xml:space="preserve"> </v>
      </c>
      <c r="CQ27" s="976"/>
      <c r="CR27" s="976"/>
      <c r="CS27" s="976"/>
      <c r="CT27" s="976"/>
      <c r="CU27" s="976" t="str">
        <f>MID(SUVAHAVUJ!AF169,4,1)</f>
        <v xml:space="preserve"> </v>
      </c>
      <c r="CV27" s="976"/>
      <c r="CW27" s="976"/>
      <c r="CX27" s="976"/>
      <c r="CY27" s="976"/>
      <c r="CZ27" s="976"/>
      <c r="DA27" s="976" t="str">
        <f>MID(SUVAHAVUJ!AF169,5,1)</f>
        <v xml:space="preserve"> </v>
      </c>
      <c r="DB27" s="976"/>
      <c r="DC27" s="976"/>
      <c r="DD27" s="976"/>
      <c r="DE27" s="976"/>
      <c r="DF27" s="976" t="str">
        <f>MID(SUVAHAVUJ!AF169,6,1)</f>
        <v xml:space="preserve"> </v>
      </c>
      <c r="DG27" s="976"/>
      <c r="DH27" s="976"/>
      <c r="DI27" s="976"/>
      <c r="DJ27" s="976"/>
      <c r="DK27" s="976"/>
      <c r="DL27" s="976" t="str">
        <f>MID(SUVAHAVUJ!AF169,7,1)</f>
        <v>5</v>
      </c>
      <c r="DM27" s="976"/>
      <c r="DN27" s="976"/>
      <c r="DO27" s="976"/>
      <c r="DP27" s="976"/>
      <c r="DQ27" s="976"/>
      <c r="DR27" s="976" t="str">
        <f>MID(SUVAHAVUJ!AF169,8,1)</f>
        <v>2</v>
      </c>
      <c r="DS27" s="976"/>
      <c r="DT27" s="976"/>
      <c r="DU27" s="976"/>
      <c r="DV27" s="976"/>
      <c r="DW27" s="982" t="str">
        <f>MID(SUVAHAVUJ!AF169,9,1)</f>
        <v>0</v>
      </c>
      <c r="DX27" s="982"/>
      <c r="DY27" s="982"/>
      <c r="DZ27" s="982"/>
      <c r="EA27" s="982"/>
      <c r="EB27" s="982"/>
      <c r="EC27" s="982" t="str">
        <f>MID(SUVAHAVUJ!AF169,10,1)</f>
        <v>7</v>
      </c>
      <c r="ED27" s="982"/>
      <c r="EE27" s="982"/>
      <c r="EF27" s="982"/>
      <c r="EG27" s="982"/>
      <c r="EH27" s="977" t="str">
        <f>MID(SUVAHAVUJ!AF169,11,1)</f>
        <v>2</v>
      </c>
      <c r="EI27" s="977"/>
      <c r="EJ27" s="977"/>
      <c r="EK27" s="977"/>
      <c r="EL27" s="977"/>
      <c r="EM27" s="977"/>
      <c r="EN27" s="665"/>
      <c r="EO27" s="666"/>
      <c r="EP27" s="976" t="str">
        <f>MID(SUVAHAVUJ!AG169,1,1)</f>
        <v xml:space="preserve"> </v>
      </c>
      <c r="EQ27" s="976"/>
      <c r="ER27" s="976"/>
      <c r="ES27" s="976"/>
      <c r="ET27" s="976"/>
      <c r="EU27" s="976"/>
      <c r="EV27" s="976" t="str">
        <f>MID(SUVAHAVUJ!AG169,2,1)</f>
        <v xml:space="preserve"> </v>
      </c>
      <c r="EW27" s="976"/>
      <c r="EX27" s="976"/>
      <c r="EY27" s="976"/>
      <c r="EZ27" s="976"/>
      <c r="FA27" s="976" t="str">
        <f>MID(SUVAHAVUJ!AG169,3,1)</f>
        <v xml:space="preserve"> </v>
      </c>
      <c r="FB27" s="976"/>
      <c r="FC27" s="976"/>
      <c r="FD27" s="976"/>
      <c r="FE27" s="976"/>
      <c r="FF27" s="976"/>
      <c r="FG27" s="976" t="str">
        <f>MID(SUVAHAVUJ!AG169,4,1)</f>
        <v xml:space="preserve"> </v>
      </c>
      <c r="FH27" s="976"/>
      <c r="FI27" s="976"/>
      <c r="FJ27" s="976"/>
      <c r="FK27" s="976"/>
      <c r="FL27" s="982" t="str">
        <f>MID(SUVAHAVUJ!AG169,5,1)</f>
        <v xml:space="preserve"> </v>
      </c>
      <c r="FM27" s="982"/>
      <c r="FN27" s="982"/>
      <c r="FO27" s="982"/>
      <c r="FP27" s="982"/>
      <c r="FQ27" s="982"/>
      <c r="FR27" s="982" t="str">
        <f>MID(SUVAHAVUJ!AG169,6,1)</f>
        <v xml:space="preserve"> </v>
      </c>
      <c r="FS27" s="982"/>
      <c r="FT27" s="982"/>
      <c r="FU27" s="982"/>
      <c r="FV27" s="982"/>
      <c r="FW27" s="982" t="str">
        <f>MID(SUVAHAVUJ!AG169,7,1)</f>
        <v>5</v>
      </c>
      <c r="FX27" s="982"/>
      <c r="FY27" s="982"/>
      <c r="FZ27" s="982"/>
      <c r="GA27" s="982"/>
      <c r="GB27" s="982"/>
      <c r="GC27" s="982" t="str">
        <f>MID(SUVAHAVUJ!AG169,8,1)</f>
        <v>6</v>
      </c>
      <c r="GD27" s="982"/>
      <c r="GE27" s="982"/>
      <c r="GF27" s="982"/>
      <c r="GG27" s="982"/>
      <c r="GH27" s="982" t="str">
        <f>MID(SUVAHAVUJ!AG169,9,1)</f>
        <v>4</v>
      </c>
      <c r="GI27" s="982"/>
      <c r="GJ27" s="982"/>
      <c r="GK27" s="982"/>
      <c r="GL27" s="982"/>
      <c r="GM27" s="982"/>
      <c r="GN27" s="982" t="str">
        <f>MID(SUVAHAVUJ!AG169,10,1)</f>
        <v>1</v>
      </c>
      <c r="GO27" s="982"/>
      <c r="GP27" s="982"/>
      <c r="GQ27" s="982"/>
      <c r="GR27" s="982"/>
      <c r="GS27" s="978" t="str">
        <f>MID(SUVAHAVUJ!AG169,11,1)</f>
        <v>6</v>
      </c>
      <c r="GT27" s="978"/>
      <c r="GU27" s="978"/>
      <c r="GV27" s="978"/>
      <c r="GW27" s="978"/>
    </row>
    <row r="28" spans="1:205" ht="24.6" customHeight="1" x14ac:dyDescent="0.25">
      <c r="A28" s="675"/>
      <c r="B28" s="1018" t="s">
        <v>2300</v>
      </c>
      <c r="C28" s="1018"/>
      <c r="D28" s="1018"/>
      <c r="E28" s="1018"/>
      <c r="F28" s="1018"/>
      <c r="G28" s="1018"/>
      <c r="H28" s="1018"/>
      <c r="I28" s="1018"/>
      <c r="J28" s="1018"/>
      <c r="K28" s="1018"/>
      <c r="L28" s="1005" t="str">
        <f>SUVAHAVUJ!$D$170</f>
        <v>Odpisy dlhodobého nehmotného majetku a dlhodobého hmotného majetku (551)</v>
      </c>
      <c r="M28" s="1005"/>
      <c r="N28" s="1005"/>
      <c r="O28" s="1005"/>
      <c r="P28" s="1005"/>
      <c r="Q28" s="1005"/>
      <c r="R28" s="1005"/>
      <c r="S28" s="1005"/>
      <c r="T28" s="1005"/>
      <c r="U28" s="1005"/>
      <c r="V28" s="1005"/>
      <c r="W28" s="1005"/>
      <c r="X28" s="1005"/>
      <c r="Y28" s="1005"/>
      <c r="Z28" s="1005"/>
      <c r="AA28" s="1005"/>
      <c r="AB28" s="1005"/>
      <c r="AC28" s="1005"/>
      <c r="AD28" s="1005"/>
      <c r="AE28" s="1005"/>
      <c r="AF28" s="1005"/>
      <c r="AG28" s="1005"/>
      <c r="AH28" s="1005"/>
      <c r="AI28" s="1005"/>
      <c r="AJ28" s="1005"/>
      <c r="AK28" s="1005"/>
      <c r="AL28" s="1005"/>
      <c r="AM28" s="1005"/>
      <c r="AN28" s="1005"/>
      <c r="AO28" s="1005"/>
      <c r="AP28" s="1005"/>
      <c r="AQ28" s="1005"/>
      <c r="AR28" s="1005"/>
      <c r="AS28" s="1005"/>
      <c r="AT28" s="1005"/>
      <c r="AU28" s="1005"/>
      <c r="AV28" s="1005"/>
      <c r="AW28" s="1005"/>
      <c r="AX28" s="1005"/>
      <c r="AY28" s="1005"/>
      <c r="AZ28" s="1005"/>
      <c r="BA28" s="1005"/>
      <c r="BB28" s="1005"/>
      <c r="BC28" s="1005"/>
      <c r="BD28" s="1005"/>
      <c r="BE28" s="1005"/>
      <c r="BF28" s="1005"/>
      <c r="BG28" s="1005"/>
      <c r="BH28" s="1005"/>
      <c r="BI28" s="1005"/>
      <c r="BJ28" s="1005"/>
      <c r="BK28" s="1005"/>
      <c r="BL28" s="1005"/>
      <c r="BM28" s="1005"/>
      <c r="BN28" s="1005"/>
      <c r="BO28" s="1005"/>
      <c r="BP28" s="1005"/>
      <c r="BQ28" s="1005"/>
      <c r="BR28" s="1005"/>
      <c r="BS28" s="1005"/>
      <c r="BT28" s="1005"/>
      <c r="BU28" s="1005"/>
      <c r="BV28" s="1005"/>
      <c r="BW28" s="975" t="s">
        <v>1217</v>
      </c>
      <c r="BX28" s="975"/>
      <c r="BY28" s="975"/>
      <c r="BZ28" s="975"/>
      <c r="CA28" s="975"/>
      <c r="CB28" s="975"/>
      <c r="CC28" s="975" t="e">
        <v>#NAME?</v>
      </c>
      <c r="CD28" s="975"/>
      <c r="CE28" s="976" t="str">
        <f>MID(SUVAHAVUJ!AF170,1,1)</f>
        <v xml:space="preserve"> </v>
      </c>
      <c r="CF28" s="976"/>
      <c r="CG28" s="976"/>
      <c r="CH28" s="976"/>
      <c r="CI28" s="976"/>
      <c r="CJ28" s="976" t="str">
        <f>MID(SUVAHAVUJ!AF170,2,1)</f>
        <v xml:space="preserve"> </v>
      </c>
      <c r="CK28" s="976"/>
      <c r="CL28" s="976"/>
      <c r="CM28" s="976"/>
      <c r="CN28" s="976"/>
      <c r="CO28" s="976"/>
      <c r="CP28" s="976" t="str">
        <f>MID(SUVAHAVUJ!AF170,3,1)</f>
        <v xml:space="preserve"> </v>
      </c>
      <c r="CQ28" s="976"/>
      <c r="CR28" s="976"/>
      <c r="CS28" s="976"/>
      <c r="CT28" s="976"/>
      <c r="CU28" s="976" t="str">
        <f>MID(SUVAHAVUJ!AF170,4,1)</f>
        <v xml:space="preserve"> </v>
      </c>
      <c r="CV28" s="976"/>
      <c r="CW28" s="976"/>
      <c r="CX28" s="976"/>
      <c r="CY28" s="976"/>
      <c r="CZ28" s="976"/>
      <c r="DA28" s="976" t="str">
        <f>MID(SUVAHAVUJ!AF170,5,1)</f>
        <v xml:space="preserve"> </v>
      </c>
      <c r="DB28" s="976"/>
      <c r="DC28" s="976"/>
      <c r="DD28" s="976"/>
      <c r="DE28" s="976"/>
      <c r="DF28" s="976" t="str">
        <f>MID(SUVAHAVUJ!AF170,6,1)</f>
        <v xml:space="preserve"> </v>
      </c>
      <c r="DG28" s="976"/>
      <c r="DH28" s="976"/>
      <c r="DI28" s="976"/>
      <c r="DJ28" s="976"/>
      <c r="DK28" s="976"/>
      <c r="DL28" s="976" t="str">
        <f>MID(SUVAHAVUJ!AF170,7,1)</f>
        <v>5</v>
      </c>
      <c r="DM28" s="976"/>
      <c r="DN28" s="976"/>
      <c r="DO28" s="976"/>
      <c r="DP28" s="976"/>
      <c r="DQ28" s="976"/>
      <c r="DR28" s="976" t="str">
        <f>MID(SUVAHAVUJ!AF170,8,1)</f>
        <v>2</v>
      </c>
      <c r="DS28" s="976"/>
      <c r="DT28" s="976"/>
      <c r="DU28" s="976"/>
      <c r="DV28" s="976"/>
      <c r="DW28" s="982" t="str">
        <f>MID(SUVAHAVUJ!AF170,9,1)</f>
        <v>0</v>
      </c>
      <c r="DX28" s="982"/>
      <c r="DY28" s="982"/>
      <c r="DZ28" s="982"/>
      <c r="EA28" s="982"/>
      <c r="EB28" s="982"/>
      <c r="EC28" s="982" t="str">
        <f>MID(SUVAHAVUJ!AF170,10,1)</f>
        <v>7</v>
      </c>
      <c r="ED28" s="982"/>
      <c r="EE28" s="982"/>
      <c r="EF28" s="982"/>
      <c r="EG28" s="982"/>
      <c r="EH28" s="977" t="str">
        <f>MID(SUVAHAVUJ!AF170,11,1)</f>
        <v>2</v>
      </c>
      <c r="EI28" s="977"/>
      <c r="EJ28" s="977"/>
      <c r="EK28" s="977"/>
      <c r="EL28" s="977"/>
      <c r="EM28" s="977"/>
      <c r="EN28" s="665"/>
      <c r="EO28" s="666"/>
      <c r="EP28" s="976" t="str">
        <f>MID(SUVAHAVUJ!AG170,1,1)</f>
        <v xml:space="preserve"> </v>
      </c>
      <c r="EQ28" s="976"/>
      <c r="ER28" s="976"/>
      <c r="ES28" s="976"/>
      <c r="ET28" s="976"/>
      <c r="EU28" s="976"/>
      <c r="EV28" s="976" t="str">
        <f>MID(SUVAHAVUJ!AG170,2,1)</f>
        <v xml:space="preserve"> </v>
      </c>
      <c r="EW28" s="976"/>
      <c r="EX28" s="976"/>
      <c r="EY28" s="976"/>
      <c r="EZ28" s="976"/>
      <c r="FA28" s="976" t="str">
        <f>MID(SUVAHAVUJ!AG170,3,1)</f>
        <v xml:space="preserve"> </v>
      </c>
      <c r="FB28" s="976"/>
      <c r="FC28" s="976"/>
      <c r="FD28" s="976"/>
      <c r="FE28" s="976"/>
      <c r="FF28" s="976"/>
      <c r="FG28" s="976" t="str">
        <f>MID(SUVAHAVUJ!AG170,4,1)</f>
        <v xml:space="preserve"> </v>
      </c>
      <c r="FH28" s="976"/>
      <c r="FI28" s="976"/>
      <c r="FJ28" s="976"/>
      <c r="FK28" s="976"/>
      <c r="FL28" s="982" t="str">
        <f>MID(SUVAHAVUJ!AG170,5,1)</f>
        <v xml:space="preserve"> </v>
      </c>
      <c r="FM28" s="982"/>
      <c r="FN28" s="982"/>
      <c r="FO28" s="982"/>
      <c r="FP28" s="982"/>
      <c r="FQ28" s="982"/>
      <c r="FR28" s="982" t="str">
        <f>MID(SUVAHAVUJ!AG170,6,1)</f>
        <v xml:space="preserve"> </v>
      </c>
      <c r="FS28" s="982"/>
      <c r="FT28" s="982"/>
      <c r="FU28" s="982"/>
      <c r="FV28" s="982"/>
      <c r="FW28" s="982" t="str">
        <f>MID(SUVAHAVUJ!AG170,7,1)</f>
        <v>5</v>
      </c>
      <c r="FX28" s="982"/>
      <c r="FY28" s="982"/>
      <c r="FZ28" s="982"/>
      <c r="GA28" s="982"/>
      <c r="GB28" s="982"/>
      <c r="GC28" s="982" t="str">
        <f>MID(SUVAHAVUJ!AG170,8,1)</f>
        <v>6</v>
      </c>
      <c r="GD28" s="982"/>
      <c r="GE28" s="982"/>
      <c r="GF28" s="982"/>
      <c r="GG28" s="982"/>
      <c r="GH28" s="982" t="str">
        <f>MID(SUVAHAVUJ!AG170,9,1)</f>
        <v>4</v>
      </c>
      <c r="GI28" s="982"/>
      <c r="GJ28" s="982"/>
      <c r="GK28" s="982"/>
      <c r="GL28" s="982"/>
      <c r="GM28" s="982"/>
      <c r="GN28" s="982" t="str">
        <f>MID(SUVAHAVUJ!AG170,10,1)</f>
        <v>1</v>
      </c>
      <c r="GO28" s="982"/>
      <c r="GP28" s="982"/>
      <c r="GQ28" s="982"/>
      <c r="GR28" s="982"/>
      <c r="GS28" s="978" t="str">
        <f>MID(SUVAHAVUJ!AG170,11,1)</f>
        <v>6</v>
      </c>
      <c r="GT28" s="978"/>
      <c r="GU28" s="978"/>
      <c r="GV28" s="978"/>
      <c r="GW28" s="978"/>
    </row>
    <row r="29" spans="1:205" s="650" customFormat="1" ht="24.6" customHeight="1" x14ac:dyDescent="0.2">
      <c r="A29" s="676"/>
      <c r="B29" s="1018" t="s">
        <v>2166</v>
      </c>
      <c r="C29" s="1018"/>
      <c r="D29" s="1018"/>
      <c r="E29" s="1018"/>
      <c r="F29" s="1018"/>
      <c r="G29" s="1018"/>
      <c r="H29" s="1018"/>
      <c r="I29" s="1018"/>
      <c r="J29" s="1018"/>
      <c r="K29" s="1018"/>
      <c r="L29" s="1005" t="str">
        <f>SUVAHAVUJ!$D$171</f>
        <v>Opravné položky  k dlhodobému nehmotnému majetku a dlhodobému hmotnému majetku (+/-) (553)</v>
      </c>
      <c r="M29" s="1005"/>
      <c r="N29" s="1005"/>
      <c r="O29" s="1005"/>
      <c r="P29" s="1005"/>
      <c r="Q29" s="1005"/>
      <c r="R29" s="1005"/>
      <c r="S29" s="1005"/>
      <c r="T29" s="1005"/>
      <c r="U29" s="1005"/>
      <c r="V29" s="1005"/>
      <c r="W29" s="1005"/>
      <c r="X29" s="1005"/>
      <c r="Y29" s="1005"/>
      <c r="Z29" s="1005"/>
      <c r="AA29" s="1005"/>
      <c r="AB29" s="1005"/>
      <c r="AC29" s="1005"/>
      <c r="AD29" s="1005"/>
      <c r="AE29" s="1005"/>
      <c r="AF29" s="1005"/>
      <c r="AG29" s="1005"/>
      <c r="AH29" s="1005"/>
      <c r="AI29" s="1005"/>
      <c r="AJ29" s="1005"/>
      <c r="AK29" s="1005"/>
      <c r="AL29" s="1005"/>
      <c r="AM29" s="1005"/>
      <c r="AN29" s="1005"/>
      <c r="AO29" s="1005"/>
      <c r="AP29" s="1005"/>
      <c r="AQ29" s="1005"/>
      <c r="AR29" s="1005"/>
      <c r="AS29" s="1005"/>
      <c r="AT29" s="1005"/>
      <c r="AU29" s="1005"/>
      <c r="AV29" s="1005"/>
      <c r="AW29" s="1005"/>
      <c r="AX29" s="1005"/>
      <c r="AY29" s="1005"/>
      <c r="AZ29" s="1005"/>
      <c r="BA29" s="1005"/>
      <c r="BB29" s="1005"/>
      <c r="BC29" s="1005"/>
      <c r="BD29" s="1005"/>
      <c r="BE29" s="1005"/>
      <c r="BF29" s="1005"/>
      <c r="BG29" s="1005"/>
      <c r="BH29" s="1005"/>
      <c r="BI29" s="1005"/>
      <c r="BJ29" s="1005"/>
      <c r="BK29" s="1005"/>
      <c r="BL29" s="1005"/>
      <c r="BM29" s="1005"/>
      <c r="BN29" s="1005"/>
      <c r="BO29" s="1005"/>
      <c r="BP29" s="1005"/>
      <c r="BQ29" s="1005"/>
      <c r="BR29" s="1005"/>
      <c r="BS29" s="1005"/>
      <c r="BT29" s="1005"/>
      <c r="BU29" s="1005"/>
      <c r="BV29" s="1005"/>
      <c r="BW29" s="975" t="s">
        <v>1219</v>
      </c>
      <c r="BX29" s="975"/>
      <c r="BY29" s="975"/>
      <c r="BZ29" s="975"/>
      <c r="CA29" s="975"/>
      <c r="CB29" s="975"/>
      <c r="CC29" s="975" t="e">
        <v>#NAME?</v>
      </c>
      <c r="CD29" s="975"/>
      <c r="CE29" s="976" t="str">
        <f>MID(SUVAHAVUJ!AF171,1,1)</f>
        <v xml:space="preserve"> </v>
      </c>
      <c r="CF29" s="976"/>
      <c r="CG29" s="976"/>
      <c r="CH29" s="976"/>
      <c r="CI29" s="976"/>
      <c r="CJ29" s="976" t="str">
        <f>MID(SUVAHAVUJ!AF171,2,1)</f>
        <v xml:space="preserve"> </v>
      </c>
      <c r="CK29" s="976"/>
      <c r="CL29" s="976"/>
      <c r="CM29" s="976"/>
      <c r="CN29" s="976"/>
      <c r="CO29" s="976"/>
      <c r="CP29" s="976" t="str">
        <f>MID(SUVAHAVUJ!AF171,3,1)</f>
        <v xml:space="preserve"> </v>
      </c>
      <c r="CQ29" s="976"/>
      <c r="CR29" s="976"/>
      <c r="CS29" s="976"/>
      <c r="CT29" s="976"/>
      <c r="CU29" s="976" t="str">
        <f>MID(SUVAHAVUJ!AF171,4,1)</f>
        <v xml:space="preserve"> </v>
      </c>
      <c r="CV29" s="976"/>
      <c r="CW29" s="976"/>
      <c r="CX29" s="976"/>
      <c r="CY29" s="976"/>
      <c r="CZ29" s="976"/>
      <c r="DA29" s="976" t="str">
        <f>MID(SUVAHAVUJ!AF171,5,1)</f>
        <v xml:space="preserve"> </v>
      </c>
      <c r="DB29" s="976"/>
      <c r="DC29" s="976"/>
      <c r="DD29" s="976"/>
      <c r="DE29" s="976"/>
      <c r="DF29" s="976" t="str">
        <f>MID(SUVAHAVUJ!AF171,6,1)</f>
        <v xml:space="preserve"> </v>
      </c>
      <c r="DG29" s="976"/>
      <c r="DH29" s="976"/>
      <c r="DI29" s="976"/>
      <c r="DJ29" s="976"/>
      <c r="DK29" s="976"/>
      <c r="DL29" s="976" t="str">
        <f>MID(SUVAHAVUJ!AF171,7,1)</f>
        <v xml:space="preserve"> </v>
      </c>
      <c r="DM29" s="976"/>
      <c r="DN29" s="976"/>
      <c r="DO29" s="976"/>
      <c r="DP29" s="976"/>
      <c r="DQ29" s="976"/>
      <c r="DR29" s="976" t="str">
        <f>MID(SUVAHAVUJ!AF171,8,1)</f>
        <v xml:space="preserve"> </v>
      </c>
      <c r="DS29" s="976"/>
      <c r="DT29" s="976"/>
      <c r="DU29" s="976"/>
      <c r="DV29" s="976"/>
      <c r="DW29" s="982" t="str">
        <f>MID(SUVAHAVUJ!AF171,9,1)</f>
        <v xml:space="preserve"> </v>
      </c>
      <c r="DX29" s="982"/>
      <c r="DY29" s="982"/>
      <c r="DZ29" s="982"/>
      <c r="EA29" s="982"/>
      <c r="EB29" s="982"/>
      <c r="EC29" s="982" t="str">
        <f>MID(SUVAHAVUJ!AF171,10,1)</f>
        <v xml:space="preserve"> </v>
      </c>
      <c r="ED29" s="982"/>
      <c r="EE29" s="982"/>
      <c r="EF29" s="982"/>
      <c r="EG29" s="982"/>
      <c r="EH29" s="977" t="str">
        <f>MID(SUVAHAVUJ!AF171,11,1)</f>
        <v>0</v>
      </c>
      <c r="EI29" s="977"/>
      <c r="EJ29" s="977"/>
      <c r="EK29" s="977"/>
      <c r="EL29" s="977"/>
      <c r="EM29" s="977"/>
      <c r="EN29" s="665"/>
      <c r="EO29" s="666"/>
      <c r="EP29" s="976" t="str">
        <f>MID(SUVAHAVUJ!AG171,1,1)</f>
        <v xml:space="preserve"> </v>
      </c>
      <c r="EQ29" s="976"/>
      <c r="ER29" s="976"/>
      <c r="ES29" s="976"/>
      <c r="ET29" s="976"/>
      <c r="EU29" s="976"/>
      <c r="EV29" s="976" t="str">
        <f>MID(SUVAHAVUJ!AG171,2,1)</f>
        <v xml:space="preserve"> </v>
      </c>
      <c r="EW29" s="976"/>
      <c r="EX29" s="976"/>
      <c r="EY29" s="976"/>
      <c r="EZ29" s="976"/>
      <c r="FA29" s="976" t="str">
        <f>MID(SUVAHAVUJ!AG171,3,1)</f>
        <v xml:space="preserve"> </v>
      </c>
      <c r="FB29" s="976"/>
      <c r="FC29" s="976"/>
      <c r="FD29" s="976"/>
      <c r="FE29" s="976"/>
      <c r="FF29" s="976"/>
      <c r="FG29" s="976" t="str">
        <f>MID(SUVAHAVUJ!AG171,4,1)</f>
        <v xml:space="preserve"> </v>
      </c>
      <c r="FH29" s="976"/>
      <c r="FI29" s="976"/>
      <c r="FJ29" s="976"/>
      <c r="FK29" s="976"/>
      <c r="FL29" s="982" t="str">
        <f>MID(SUVAHAVUJ!AG171,5,1)</f>
        <v xml:space="preserve"> </v>
      </c>
      <c r="FM29" s="982"/>
      <c r="FN29" s="982"/>
      <c r="FO29" s="982"/>
      <c r="FP29" s="982"/>
      <c r="FQ29" s="982"/>
      <c r="FR29" s="982" t="str">
        <f>MID(SUVAHAVUJ!AG171,6,1)</f>
        <v xml:space="preserve"> </v>
      </c>
      <c r="FS29" s="982"/>
      <c r="FT29" s="982"/>
      <c r="FU29" s="982"/>
      <c r="FV29" s="982"/>
      <c r="FW29" s="982" t="str">
        <f>MID(SUVAHAVUJ!AG171,7,1)</f>
        <v xml:space="preserve"> </v>
      </c>
      <c r="FX29" s="982"/>
      <c r="FY29" s="982"/>
      <c r="FZ29" s="982"/>
      <c r="GA29" s="982"/>
      <c r="GB29" s="982"/>
      <c r="GC29" s="982" t="str">
        <f>MID(SUVAHAVUJ!AG171,8,1)</f>
        <v xml:space="preserve"> </v>
      </c>
      <c r="GD29" s="982"/>
      <c r="GE29" s="982"/>
      <c r="GF29" s="982"/>
      <c r="GG29" s="982"/>
      <c r="GH29" s="982" t="str">
        <f>MID(SUVAHAVUJ!AG171,9,1)</f>
        <v xml:space="preserve"> </v>
      </c>
      <c r="GI29" s="982"/>
      <c r="GJ29" s="982"/>
      <c r="GK29" s="982"/>
      <c r="GL29" s="982"/>
      <c r="GM29" s="982"/>
      <c r="GN29" s="982" t="str">
        <f>MID(SUVAHAVUJ!AG171,10,1)</f>
        <v xml:space="preserve"> </v>
      </c>
      <c r="GO29" s="982"/>
      <c r="GP29" s="982"/>
      <c r="GQ29" s="982"/>
      <c r="GR29" s="982"/>
      <c r="GS29" s="978" t="str">
        <f>MID(SUVAHAVUJ!AG171,11,1)</f>
        <v>0</v>
      </c>
      <c r="GT29" s="978"/>
      <c r="GU29" s="978"/>
      <c r="GV29" s="978"/>
      <c r="GW29" s="978"/>
    </row>
    <row r="30" spans="1:205" ht="24.6" customHeight="1" x14ac:dyDescent="0.25">
      <c r="A30" s="675"/>
      <c r="B30" s="1017" t="s">
        <v>2301</v>
      </c>
      <c r="C30" s="1017"/>
      <c r="D30" s="1017"/>
      <c r="E30" s="1017"/>
      <c r="F30" s="1017"/>
      <c r="G30" s="1017"/>
      <c r="H30" s="1017"/>
      <c r="I30" s="1017"/>
      <c r="J30" s="1017"/>
      <c r="K30" s="1017"/>
      <c r="L30" s="1005" t="str">
        <f>SUVAHAVUJ!$D$172</f>
        <v>Zostatková cena predaného dlhodobého majetku a predaného materiálu (541, 542)</v>
      </c>
      <c r="M30" s="1005"/>
      <c r="N30" s="1005"/>
      <c r="O30" s="1005"/>
      <c r="P30" s="1005"/>
      <c r="Q30" s="1005"/>
      <c r="R30" s="1005"/>
      <c r="S30" s="1005"/>
      <c r="T30" s="1005"/>
      <c r="U30" s="1005"/>
      <c r="V30" s="1005"/>
      <c r="W30" s="1005"/>
      <c r="X30" s="1005"/>
      <c r="Y30" s="1005"/>
      <c r="Z30" s="1005"/>
      <c r="AA30" s="1005"/>
      <c r="AB30" s="1005"/>
      <c r="AC30" s="1005"/>
      <c r="AD30" s="1005"/>
      <c r="AE30" s="1005"/>
      <c r="AF30" s="1005"/>
      <c r="AG30" s="1005"/>
      <c r="AH30" s="1005"/>
      <c r="AI30" s="1005"/>
      <c r="AJ30" s="1005"/>
      <c r="AK30" s="1005"/>
      <c r="AL30" s="1005"/>
      <c r="AM30" s="1005"/>
      <c r="AN30" s="1005"/>
      <c r="AO30" s="1005"/>
      <c r="AP30" s="1005"/>
      <c r="AQ30" s="1005"/>
      <c r="AR30" s="1005"/>
      <c r="AS30" s="1005"/>
      <c r="AT30" s="1005"/>
      <c r="AU30" s="1005"/>
      <c r="AV30" s="1005"/>
      <c r="AW30" s="1005"/>
      <c r="AX30" s="1005"/>
      <c r="AY30" s="1005"/>
      <c r="AZ30" s="1005"/>
      <c r="BA30" s="1005"/>
      <c r="BB30" s="1005"/>
      <c r="BC30" s="1005"/>
      <c r="BD30" s="1005"/>
      <c r="BE30" s="1005"/>
      <c r="BF30" s="1005"/>
      <c r="BG30" s="1005"/>
      <c r="BH30" s="1005"/>
      <c r="BI30" s="1005"/>
      <c r="BJ30" s="1005"/>
      <c r="BK30" s="1005"/>
      <c r="BL30" s="1005"/>
      <c r="BM30" s="1005"/>
      <c r="BN30" s="1005"/>
      <c r="BO30" s="1005"/>
      <c r="BP30" s="1005"/>
      <c r="BQ30" s="1005"/>
      <c r="BR30" s="1005"/>
      <c r="BS30" s="1005"/>
      <c r="BT30" s="1005"/>
      <c r="BU30" s="1005"/>
      <c r="BV30" s="1005"/>
      <c r="BW30" s="975" t="s">
        <v>1222</v>
      </c>
      <c r="BX30" s="975"/>
      <c r="BY30" s="975"/>
      <c r="BZ30" s="975"/>
      <c r="CA30" s="975"/>
      <c r="CB30" s="975"/>
      <c r="CC30" s="975" t="e">
        <v>#NAME?</v>
      </c>
      <c r="CD30" s="975"/>
      <c r="CE30" s="976" t="str">
        <f>MID(SUVAHAVUJ!AF172,1,1)</f>
        <v xml:space="preserve"> </v>
      </c>
      <c r="CF30" s="976"/>
      <c r="CG30" s="976"/>
      <c r="CH30" s="976"/>
      <c r="CI30" s="976"/>
      <c r="CJ30" s="976" t="str">
        <f>MID(SUVAHAVUJ!AF172,2,1)</f>
        <v xml:space="preserve"> </v>
      </c>
      <c r="CK30" s="976"/>
      <c r="CL30" s="976"/>
      <c r="CM30" s="976"/>
      <c r="CN30" s="976"/>
      <c r="CO30" s="976"/>
      <c r="CP30" s="976" t="str">
        <f>MID(SUVAHAVUJ!AF172,3,1)</f>
        <v xml:space="preserve"> </v>
      </c>
      <c r="CQ30" s="976"/>
      <c r="CR30" s="976"/>
      <c r="CS30" s="976"/>
      <c r="CT30" s="976"/>
      <c r="CU30" s="976" t="str">
        <f>MID(SUVAHAVUJ!AF172,4,1)</f>
        <v xml:space="preserve"> </v>
      </c>
      <c r="CV30" s="976"/>
      <c r="CW30" s="976"/>
      <c r="CX30" s="976"/>
      <c r="CY30" s="976"/>
      <c r="CZ30" s="976"/>
      <c r="DA30" s="976" t="str">
        <f>MID(SUVAHAVUJ!AF172,5,1)</f>
        <v xml:space="preserve"> </v>
      </c>
      <c r="DB30" s="976"/>
      <c r="DC30" s="976"/>
      <c r="DD30" s="976"/>
      <c r="DE30" s="976"/>
      <c r="DF30" s="976" t="str">
        <f>MID(SUVAHAVUJ!AF172,6,1)</f>
        <v xml:space="preserve"> </v>
      </c>
      <c r="DG30" s="976"/>
      <c r="DH30" s="976"/>
      <c r="DI30" s="976"/>
      <c r="DJ30" s="976"/>
      <c r="DK30" s="976"/>
      <c r="DL30" s="976" t="str">
        <f>MID(SUVAHAVUJ!AF172,7,1)</f>
        <v xml:space="preserve"> </v>
      </c>
      <c r="DM30" s="976"/>
      <c r="DN30" s="976"/>
      <c r="DO30" s="976"/>
      <c r="DP30" s="976"/>
      <c r="DQ30" s="976"/>
      <c r="DR30" s="976" t="str">
        <f>MID(SUVAHAVUJ!AF172,8,1)</f>
        <v xml:space="preserve"> </v>
      </c>
      <c r="DS30" s="976"/>
      <c r="DT30" s="976"/>
      <c r="DU30" s="976"/>
      <c r="DV30" s="976"/>
      <c r="DW30" s="982" t="str">
        <f>MID(SUVAHAVUJ!AF172,9,1)</f>
        <v xml:space="preserve"> </v>
      </c>
      <c r="DX30" s="982"/>
      <c r="DY30" s="982"/>
      <c r="DZ30" s="982"/>
      <c r="EA30" s="982"/>
      <c r="EB30" s="982"/>
      <c r="EC30" s="982" t="str">
        <f>MID(SUVAHAVUJ!AF172,10,1)</f>
        <v xml:space="preserve"> </v>
      </c>
      <c r="ED30" s="982"/>
      <c r="EE30" s="982"/>
      <c r="EF30" s="982"/>
      <c r="EG30" s="982"/>
      <c r="EH30" s="977" t="str">
        <f>MID(SUVAHAVUJ!AF172,11,1)</f>
        <v>0</v>
      </c>
      <c r="EI30" s="977"/>
      <c r="EJ30" s="977"/>
      <c r="EK30" s="977"/>
      <c r="EL30" s="977"/>
      <c r="EM30" s="977"/>
      <c r="EN30" s="665"/>
      <c r="EO30" s="666"/>
      <c r="EP30" s="976" t="str">
        <f>MID(SUVAHAVUJ!AG172,1,1)</f>
        <v xml:space="preserve"> </v>
      </c>
      <c r="EQ30" s="976"/>
      <c r="ER30" s="976"/>
      <c r="ES30" s="976"/>
      <c r="ET30" s="976"/>
      <c r="EU30" s="976"/>
      <c r="EV30" s="976" t="str">
        <f>MID(SUVAHAVUJ!AG172,2,1)</f>
        <v xml:space="preserve"> </v>
      </c>
      <c r="EW30" s="976"/>
      <c r="EX30" s="976"/>
      <c r="EY30" s="976"/>
      <c r="EZ30" s="976"/>
      <c r="FA30" s="976" t="str">
        <f>MID(SUVAHAVUJ!AG172,3,1)</f>
        <v xml:space="preserve"> </v>
      </c>
      <c r="FB30" s="976"/>
      <c r="FC30" s="976"/>
      <c r="FD30" s="976"/>
      <c r="FE30" s="976"/>
      <c r="FF30" s="976"/>
      <c r="FG30" s="976" t="str">
        <f>MID(SUVAHAVUJ!AG172,4,1)</f>
        <v xml:space="preserve"> </v>
      </c>
      <c r="FH30" s="976"/>
      <c r="FI30" s="976"/>
      <c r="FJ30" s="976"/>
      <c r="FK30" s="976"/>
      <c r="FL30" s="982" t="str">
        <f>MID(SUVAHAVUJ!AG172,5,1)</f>
        <v xml:space="preserve"> </v>
      </c>
      <c r="FM30" s="982"/>
      <c r="FN30" s="982"/>
      <c r="FO30" s="982"/>
      <c r="FP30" s="982"/>
      <c r="FQ30" s="982"/>
      <c r="FR30" s="982" t="str">
        <f>MID(SUVAHAVUJ!AG172,6,1)</f>
        <v xml:space="preserve"> </v>
      </c>
      <c r="FS30" s="982"/>
      <c r="FT30" s="982"/>
      <c r="FU30" s="982"/>
      <c r="FV30" s="982"/>
      <c r="FW30" s="982" t="str">
        <f>MID(SUVAHAVUJ!AG172,7,1)</f>
        <v xml:space="preserve"> </v>
      </c>
      <c r="FX30" s="982"/>
      <c r="FY30" s="982"/>
      <c r="FZ30" s="982"/>
      <c r="GA30" s="982"/>
      <c r="GB30" s="982"/>
      <c r="GC30" s="982" t="str">
        <f>MID(SUVAHAVUJ!AG172,8,1)</f>
        <v xml:space="preserve"> </v>
      </c>
      <c r="GD30" s="982"/>
      <c r="GE30" s="982"/>
      <c r="GF30" s="982"/>
      <c r="GG30" s="982"/>
      <c r="GH30" s="982" t="str">
        <f>MID(SUVAHAVUJ!AG172,9,1)</f>
        <v xml:space="preserve"> </v>
      </c>
      <c r="GI30" s="982"/>
      <c r="GJ30" s="982"/>
      <c r="GK30" s="982"/>
      <c r="GL30" s="982"/>
      <c r="GM30" s="982"/>
      <c r="GN30" s="982" t="str">
        <f>MID(SUVAHAVUJ!AG172,10,1)</f>
        <v xml:space="preserve"> </v>
      </c>
      <c r="GO30" s="982"/>
      <c r="GP30" s="982"/>
      <c r="GQ30" s="982"/>
      <c r="GR30" s="982"/>
      <c r="GS30" s="978" t="str">
        <f>MID(SUVAHAVUJ!AG172,11,1)</f>
        <v>0</v>
      </c>
      <c r="GT30" s="978"/>
      <c r="GU30" s="978"/>
      <c r="GV30" s="978"/>
      <c r="GW30" s="978"/>
    </row>
    <row r="31" spans="1:205" s="650" customFormat="1" ht="24.6" customHeight="1" x14ac:dyDescent="0.2">
      <c r="A31" s="676"/>
      <c r="B31" s="1017" t="s">
        <v>2288</v>
      </c>
      <c r="C31" s="1017"/>
      <c r="D31" s="1017"/>
      <c r="E31" s="1017"/>
      <c r="F31" s="1017"/>
      <c r="G31" s="1017"/>
      <c r="H31" s="1017"/>
      <c r="I31" s="1017"/>
      <c r="J31" s="1017"/>
      <c r="K31" s="1017"/>
      <c r="L31" s="1005" t="str">
        <f>SUVAHAVUJ!$D$173</f>
        <v>Opravné položky k pohľadávkam (+/-) (547)</v>
      </c>
      <c r="M31" s="1005"/>
      <c r="N31" s="1005"/>
      <c r="O31" s="1005"/>
      <c r="P31" s="1005"/>
      <c r="Q31" s="1005"/>
      <c r="R31" s="1005"/>
      <c r="S31" s="1005"/>
      <c r="T31" s="1005"/>
      <c r="U31" s="1005"/>
      <c r="V31" s="1005"/>
      <c r="W31" s="1005"/>
      <c r="X31" s="1005"/>
      <c r="Y31" s="1005"/>
      <c r="Z31" s="1005"/>
      <c r="AA31" s="1005"/>
      <c r="AB31" s="1005"/>
      <c r="AC31" s="1005"/>
      <c r="AD31" s="1005"/>
      <c r="AE31" s="1005"/>
      <c r="AF31" s="1005"/>
      <c r="AG31" s="1005"/>
      <c r="AH31" s="1005"/>
      <c r="AI31" s="1005"/>
      <c r="AJ31" s="1005"/>
      <c r="AK31" s="1005"/>
      <c r="AL31" s="1005"/>
      <c r="AM31" s="1005"/>
      <c r="AN31" s="1005"/>
      <c r="AO31" s="1005"/>
      <c r="AP31" s="1005"/>
      <c r="AQ31" s="1005"/>
      <c r="AR31" s="1005"/>
      <c r="AS31" s="1005"/>
      <c r="AT31" s="1005"/>
      <c r="AU31" s="1005"/>
      <c r="AV31" s="1005"/>
      <c r="AW31" s="1005"/>
      <c r="AX31" s="1005"/>
      <c r="AY31" s="1005"/>
      <c r="AZ31" s="1005"/>
      <c r="BA31" s="1005"/>
      <c r="BB31" s="1005"/>
      <c r="BC31" s="1005"/>
      <c r="BD31" s="1005"/>
      <c r="BE31" s="1005"/>
      <c r="BF31" s="1005"/>
      <c r="BG31" s="1005"/>
      <c r="BH31" s="1005"/>
      <c r="BI31" s="1005"/>
      <c r="BJ31" s="1005"/>
      <c r="BK31" s="1005"/>
      <c r="BL31" s="1005"/>
      <c r="BM31" s="1005"/>
      <c r="BN31" s="1005"/>
      <c r="BO31" s="1005"/>
      <c r="BP31" s="1005"/>
      <c r="BQ31" s="1005"/>
      <c r="BR31" s="1005"/>
      <c r="BS31" s="1005"/>
      <c r="BT31" s="1005"/>
      <c r="BU31" s="1005"/>
      <c r="BV31" s="1005"/>
      <c r="BW31" s="975" t="s">
        <v>1225</v>
      </c>
      <c r="BX31" s="975"/>
      <c r="BY31" s="975"/>
      <c r="BZ31" s="975"/>
      <c r="CA31" s="975"/>
      <c r="CB31" s="975"/>
      <c r="CC31" s="975" t="e">
        <v>#NAME?</v>
      </c>
      <c r="CD31" s="975"/>
      <c r="CE31" s="976" t="str">
        <f>MID(SUVAHAVUJ!AF173,1,1)</f>
        <v xml:space="preserve"> </v>
      </c>
      <c r="CF31" s="976"/>
      <c r="CG31" s="976"/>
      <c r="CH31" s="976"/>
      <c r="CI31" s="976"/>
      <c r="CJ31" s="976" t="str">
        <f>MID(SUVAHAVUJ!AF173,2,1)</f>
        <v xml:space="preserve"> </v>
      </c>
      <c r="CK31" s="976"/>
      <c r="CL31" s="976"/>
      <c r="CM31" s="976"/>
      <c r="CN31" s="976"/>
      <c r="CO31" s="976"/>
      <c r="CP31" s="976" t="str">
        <f>MID(SUVAHAVUJ!AF173,3,1)</f>
        <v xml:space="preserve"> </v>
      </c>
      <c r="CQ31" s="976"/>
      <c r="CR31" s="976"/>
      <c r="CS31" s="976"/>
      <c r="CT31" s="976"/>
      <c r="CU31" s="976" t="str">
        <f>MID(SUVAHAVUJ!AF173,4,1)</f>
        <v xml:space="preserve"> </v>
      </c>
      <c r="CV31" s="976"/>
      <c r="CW31" s="976"/>
      <c r="CX31" s="976"/>
      <c r="CY31" s="976"/>
      <c r="CZ31" s="976"/>
      <c r="DA31" s="976" t="str">
        <f>MID(SUVAHAVUJ!AF173,5,1)</f>
        <v xml:space="preserve"> </v>
      </c>
      <c r="DB31" s="976"/>
      <c r="DC31" s="976"/>
      <c r="DD31" s="976"/>
      <c r="DE31" s="976"/>
      <c r="DF31" s="976" t="str">
        <f>MID(SUVAHAVUJ!AF173,6,1)</f>
        <v xml:space="preserve"> </v>
      </c>
      <c r="DG31" s="976"/>
      <c r="DH31" s="976"/>
      <c r="DI31" s="976"/>
      <c r="DJ31" s="976"/>
      <c r="DK31" s="976"/>
      <c r="DL31" s="976" t="str">
        <f>MID(SUVAHAVUJ!AF173,7,1)</f>
        <v xml:space="preserve"> </v>
      </c>
      <c r="DM31" s="976"/>
      <c r="DN31" s="976"/>
      <c r="DO31" s="976"/>
      <c r="DP31" s="976"/>
      <c r="DQ31" s="976"/>
      <c r="DR31" s="976" t="str">
        <f>MID(SUVAHAVUJ!AF173,8,1)</f>
        <v xml:space="preserve"> </v>
      </c>
      <c r="DS31" s="976"/>
      <c r="DT31" s="976"/>
      <c r="DU31" s="976"/>
      <c r="DV31" s="976"/>
      <c r="DW31" s="982" t="str">
        <f>MID(SUVAHAVUJ!AF173,9,1)</f>
        <v xml:space="preserve"> </v>
      </c>
      <c r="DX31" s="982"/>
      <c r="DY31" s="982"/>
      <c r="DZ31" s="982"/>
      <c r="EA31" s="982"/>
      <c r="EB31" s="982"/>
      <c r="EC31" s="982" t="str">
        <f>MID(SUVAHAVUJ!AF173,10,1)</f>
        <v xml:space="preserve"> </v>
      </c>
      <c r="ED31" s="982"/>
      <c r="EE31" s="982"/>
      <c r="EF31" s="982"/>
      <c r="EG31" s="982"/>
      <c r="EH31" s="977" t="str">
        <f>MID(SUVAHAVUJ!AF173,11,1)</f>
        <v>0</v>
      </c>
      <c r="EI31" s="977"/>
      <c r="EJ31" s="977"/>
      <c r="EK31" s="977"/>
      <c r="EL31" s="977"/>
      <c r="EM31" s="977"/>
      <c r="EN31" s="665"/>
      <c r="EO31" s="666"/>
      <c r="EP31" s="976" t="str">
        <f>MID(SUVAHAVUJ!AG173,1,1)</f>
        <v xml:space="preserve"> </v>
      </c>
      <c r="EQ31" s="976"/>
      <c r="ER31" s="976"/>
      <c r="ES31" s="976"/>
      <c r="ET31" s="976"/>
      <c r="EU31" s="976"/>
      <c r="EV31" s="976" t="str">
        <f>MID(SUVAHAVUJ!AG173,2,1)</f>
        <v xml:space="preserve"> </v>
      </c>
      <c r="EW31" s="976"/>
      <c r="EX31" s="976"/>
      <c r="EY31" s="976"/>
      <c r="EZ31" s="976"/>
      <c r="FA31" s="976" t="str">
        <f>MID(SUVAHAVUJ!AG173,3,1)</f>
        <v xml:space="preserve"> </v>
      </c>
      <c r="FB31" s="976"/>
      <c r="FC31" s="976"/>
      <c r="FD31" s="976"/>
      <c r="FE31" s="976"/>
      <c r="FF31" s="976"/>
      <c r="FG31" s="976" t="str">
        <f>MID(SUVAHAVUJ!AG173,4,1)</f>
        <v xml:space="preserve"> </v>
      </c>
      <c r="FH31" s="976"/>
      <c r="FI31" s="976"/>
      <c r="FJ31" s="976"/>
      <c r="FK31" s="976"/>
      <c r="FL31" s="982" t="str">
        <f>MID(SUVAHAVUJ!AG173,5,1)</f>
        <v xml:space="preserve"> </v>
      </c>
      <c r="FM31" s="982"/>
      <c r="FN31" s="982"/>
      <c r="FO31" s="982"/>
      <c r="FP31" s="982"/>
      <c r="FQ31" s="982"/>
      <c r="FR31" s="982" t="str">
        <f>MID(SUVAHAVUJ!AG173,6,1)</f>
        <v xml:space="preserve"> </v>
      </c>
      <c r="FS31" s="982"/>
      <c r="FT31" s="982"/>
      <c r="FU31" s="982"/>
      <c r="FV31" s="982"/>
      <c r="FW31" s="982" t="str">
        <f>MID(SUVAHAVUJ!AG173,7,1)</f>
        <v xml:space="preserve"> </v>
      </c>
      <c r="FX31" s="982"/>
      <c r="FY31" s="982"/>
      <c r="FZ31" s="982"/>
      <c r="GA31" s="982"/>
      <c r="GB31" s="982"/>
      <c r="GC31" s="982" t="str">
        <f>MID(SUVAHAVUJ!AG173,8,1)</f>
        <v xml:space="preserve"> </v>
      </c>
      <c r="GD31" s="982"/>
      <c r="GE31" s="982"/>
      <c r="GF31" s="982"/>
      <c r="GG31" s="982"/>
      <c r="GH31" s="982" t="str">
        <f>MID(SUVAHAVUJ!AG173,9,1)</f>
        <v xml:space="preserve"> </v>
      </c>
      <c r="GI31" s="982"/>
      <c r="GJ31" s="982"/>
      <c r="GK31" s="982"/>
      <c r="GL31" s="982"/>
      <c r="GM31" s="982"/>
      <c r="GN31" s="982" t="str">
        <f>MID(SUVAHAVUJ!AG173,10,1)</f>
        <v xml:space="preserve"> </v>
      </c>
      <c r="GO31" s="982"/>
      <c r="GP31" s="982"/>
      <c r="GQ31" s="982"/>
      <c r="GR31" s="982"/>
      <c r="GS31" s="978" t="str">
        <f>MID(SUVAHAVUJ!AG173,11,1)</f>
        <v>0</v>
      </c>
      <c r="GT31" s="978"/>
      <c r="GU31" s="978"/>
      <c r="GV31" s="978"/>
      <c r="GW31" s="978"/>
    </row>
    <row r="32" spans="1:205" ht="24.6" customHeight="1" x14ac:dyDescent="0.25">
      <c r="A32" s="675"/>
      <c r="B32" s="1017" t="s">
        <v>2302</v>
      </c>
      <c r="C32" s="1017"/>
      <c r="D32" s="1017"/>
      <c r="E32" s="1017"/>
      <c r="F32" s="1017"/>
      <c r="G32" s="1017"/>
      <c r="H32" s="1017"/>
      <c r="I32" s="1017"/>
      <c r="J32" s="1017"/>
      <c r="K32" s="1017"/>
      <c r="L32" s="1005" t="str">
        <f>SUVAHAVUJ!$D$174</f>
        <v>Ostatné náklady na hospodársku činnosť 
(543, 544, 545, 546, 548, 549, 555, 557)</v>
      </c>
      <c r="M32" s="1005"/>
      <c r="N32" s="1005"/>
      <c r="O32" s="1005"/>
      <c r="P32" s="1005"/>
      <c r="Q32" s="1005"/>
      <c r="R32" s="1005"/>
      <c r="S32" s="1005"/>
      <c r="T32" s="1005"/>
      <c r="U32" s="1005"/>
      <c r="V32" s="1005"/>
      <c r="W32" s="1005"/>
      <c r="X32" s="1005"/>
      <c r="Y32" s="1005"/>
      <c r="Z32" s="1005"/>
      <c r="AA32" s="1005"/>
      <c r="AB32" s="1005"/>
      <c r="AC32" s="1005"/>
      <c r="AD32" s="1005"/>
      <c r="AE32" s="1005"/>
      <c r="AF32" s="1005"/>
      <c r="AG32" s="1005"/>
      <c r="AH32" s="1005"/>
      <c r="AI32" s="1005"/>
      <c r="AJ32" s="1005"/>
      <c r="AK32" s="1005"/>
      <c r="AL32" s="1005"/>
      <c r="AM32" s="1005"/>
      <c r="AN32" s="1005"/>
      <c r="AO32" s="1005"/>
      <c r="AP32" s="1005"/>
      <c r="AQ32" s="1005"/>
      <c r="AR32" s="1005"/>
      <c r="AS32" s="1005"/>
      <c r="AT32" s="1005"/>
      <c r="AU32" s="1005"/>
      <c r="AV32" s="1005"/>
      <c r="AW32" s="1005"/>
      <c r="AX32" s="1005"/>
      <c r="AY32" s="1005"/>
      <c r="AZ32" s="1005"/>
      <c r="BA32" s="1005"/>
      <c r="BB32" s="1005"/>
      <c r="BC32" s="1005"/>
      <c r="BD32" s="1005"/>
      <c r="BE32" s="1005"/>
      <c r="BF32" s="1005"/>
      <c r="BG32" s="1005"/>
      <c r="BH32" s="1005"/>
      <c r="BI32" s="1005"/>
      <c r="BJ32" s="1005"/>
      <c r="BK32" s="1005"/>
      <c r="BL32" s="1005"/>
      <c r="BM32" s="1005"/>
      <c r="BN32" s="1005"/>
      <c r="BO32" s="1005"/>
      <c r="BP32" s="1005"/>
      <c r="BQ32" s="1005"/>
      <c r="BR32" s="1005"/>
      <c r="BS32" s="1005"/>
      <c r="BT32" s="1005"/>
      <c r="BU32" s="1005"/>
      <c r="BV32" s="1005"/>
      <c r="BW32" s="975" t="s">
        <v>1226</v>
      </c>
      <c r="BX32" s="975"/>
      <c r="BY32" s="975"/>
      <c r="BZ32" s="975"/>
      <c r="CA32" s="975"/>
      <c r="CB32" s="975"/>
      <c r="CC32" s="975" t="e">
        <v>#NAME?</v>
      </c>
      <c r="CD32" s="975"/>
      <c r="CE32" s="976" t="str">
        <f>MID(SUVAHAVUJ!AF174,1,1)</f>
        <v xml:space="preserve"> </v>
      </c>
      <c r="CF32" s="976"/>
      <c r="CG32" s="976"/>
      <c r="CH32" s="976"/>
      <c r="CI32" s="976"/>
      <c r="CJ32" s="976" t="str">
        <f>MID(SUVAHAVUJ!AF174,2,1)</f>
        <v xml:space="preserve"> </v>
      </c>
      <c r="CK32" s="976"/>
      <c r="CL32" s="976"/>
      <c r="CM32" s="976"/>
      <c r="CN32" s="976"/>
      <c r="CO32" s="976"/>
      <c r="CP32" s="976" t="str">
        <f>MID(SUVAHAVUJ!AF174,3,1)</f>
        <v xml:space="preserve"> </v>
      </c>
      <c r="CQ32" s="976"/>
      <c r="CR32" s="976"/>
      <c r="CS32" s="976"/>
      <c r="CT32" s="976"/>
      <c r="CU32" s="976" t="str">
        <f>MID(SUVAHAVUJ!AF174,4,1)</f>
        <v xml:space="preserve"> </v>
      </c>
      <c r="CV32" s="976"/>
      <c r="CW32" s="976"/>
      <c r="CX32" s="976"/>
      <c r="CY32" s="976"/>
      <c r="CZ32" s="976"/>
      <c r="DA32" s="976" t="str">
        <f>MID(SUVAHAVUJ!AF174,5,1)</f>
        <v xml:space="preserve"> </v>
      </c>
      <c r="DB32" s="976"/>
      <c r="DC32" s="976"/>
      <c r="DD32" s="976"/>
      <c r="DE32" s="976"/>
      <c r="DF32" s="976" t="str">
        <f>MID(SUVAHAVUJ!AF174,6,1)</f>
        <v xml:space="preserve"> </v>
      </c>
      <c r="DG32" s="976"/>
      <c r="DH32" s="976"/>
      <c r="DI32" s="976"/>
      <c r="DJ32" s="976"/>
      <c r="DK32" s="976"/>
      <c r="DL32" s="976" t="str">
        <f>MID(SUVAHAVUJ!AF174,7,1)</f>
        <v xml:space="preserve"> </v>
      </c>
      <c r="DM32" s="976"/>
      <c r="DN32" s="976"/>
      <c r="DO32" s="976"/>
      <c r="DP32" s="976"/>
      <c r="DQ32" s="976"/>
      <c r="DR32" s="976" t="str">
        <f>MID(SUVAHAVUJ!AF174,8,1)</f>
        <v xml:space="preserve"> </v>
      </c>
      <c r="DS32" s="976"/>
      <c r="DT32" s="976"/>
      <c r="DU32" s="976"/>
      <c r="DV32" s="976"/>
      <c r="DW32" s="982" t="str">
        <f>MID(SUVAHAVUJ!AF174,9,1)</f>
        <v>1</v>
      </c>
      <c r="DX32" s="982"/>
      <c r="DY32" s="982"/>
      <c r="DZ32" s="982"/>
      <c r="EA32" s="982"/>
      <c r="EB32" s="982"/>
      <c r="EC32" s="982" t="str">
        <f>MID(SUVAHAVUJ!AF174,10,1)</f>
        <v>6</v>
      </c>
      <c r="ED32" s="982"/>
      <c r="EE32" s="982"/>
      <c r="EF32" s="982"/>
      <c r="EG32" s="982"/>
      <c r="EH32" s="977" t="str">
        <f>MID(SUVAHAVUJ!AF174,11,1)</f>
        <v>3</v>
      </c>
      <c r="EI32" s="977"/>
      <c r="EJ32" s="977"/>
      <c r="EK32" s="977"/>
      <c r="EL32" s="977"/>
      <c r="EM32" s="977"/>
      <c r="EN32" s="665"/>
      <c r="EO32" s="666"/>
      <c r="EP32" s="976" t="str">
        <f>MID(SUVAHAVUJ!AG174,1,1)</f>
        <v xml:space="preserve"> </v>
      </c>
      <c r="EQ32" s="976"/>
      <c r="ER32" s="976"/>
      <c r="ES32" s="976"/>
      <c r="ET32" s="976"/>
      <c r="EU32" s="976"/>
      <c r="EV32" s="976" t="str">
        <f>MID(SUVAHAVUJ!AG174,2,1)</f>
        <v xml:space="preserve"> </v>
      </c>
      <c r="EW32" s="976"/>
      <c r="EX32" s="976"/>
      <c r="EY32" s="976"/>
      <c r="EZ32" s="976"/>
      <c r="FA32" s="976" t="str">
        <f>MID(SUVAHAVUJ!AG174,3,1)</f>
        <v xml:space="preserve"> </v>
      </c>
      <c r="FB32" s="976"/>
      <c r="FC32" s="976"/>
      <c r="FD32" s="976"/>
      <c r="FE32" s="976"/>
      <c r="FF32" s="976"/>
      <c r="FG32" s="976" t="str">
        <f>MID(SUVAHAVUJ!AG174,4,1)</f>
        <v xml:space="preserve"> </v>
      </c>
      <c r="FH32" s="976"/>
      <c r="FI32" s="976"/>
      <c r="FJ32" s="976"/>
      <c r="FK32" s="976"/>
      <c r="FL32" s="982" t="str">
        <f>MID(SUVAHAVUJ!AG174,5,1)</f>
        <v xml:space="preserve"> </v>
      </c>
      <c r="FM32" s="982"/>
      <c r="FN32" s="982"/>
      <c r="FO32" s="982"/>
      <c r="FP32" s="982"/>
      <c r="FQ32" s="982"/>
      <c r="FR32" s="982" t="str">
        <f>MID(SUVAHAVUJ!AG174,6,1)</f>
        <v xml:space="preserve"> </v>
      </c>
      <c r="FS32" s="982"/>
      <c r="FT32" s="982"/>
      <c r="FU32" s="982"/>
      <c r="FV32" s="982"/>
      <c r="FW32" s="982" t="str">
        <f>MID(SUVAHAVUJ!AG174,7,1)</f>
        <v xml:space="preserve"> </v>
      </c>
      <c r="FX32" s="982"/>
      <c r="FY32" s="982"/>
      <c r="FZ32" s="982"/>
      <c r="GA32" s="982"/>
      <c r="GB32" s="982"/>
      <c r="GC32" s="982" t="str">
        <f>MID(SUVAHAVUJ!AG174,8,1)</f>
        <v xml:space="preserve"> </v>
      </c>
      <c r="GD32" s="982"/>
      <c r="GE32" s="982"/>
      <c r="GF32" s="982"/>
      <c r="GG32" s="982"/>
      <c r="GH32" s="982" t="str">
        <f>MID(SUVAHAVUJ!AG174,9,1)</f>
        <v>4</v>
      </c>
      <c r="GI32" s="982"/>
      <c r="GJ32" s="982"/>
      <c r="GK32" s="982"/>
      <c r="GL32" s="982"/>
      <c r="GM32" s="982"/>
      <c r="GN32" s="982" t="str">
        <f>MID(SUVAHAVUJ!AG174,10,1)</f>
        <v>1</v>
      </c>
      <c r="GO32" s="982"/>
      <c r="GP32" s="982"/>
      <c r="GQ32" s="982"/>
      <c r="GR32" s="982"/>
      <c r="GS32" s="978" t="str">
        <f>MID(SUVAHAVUJ!AG174,11,1)</f>
        <v>1</v>
      </c>
      <c r="GT32" s="978"/>
      <c r="GU32" s="978"/>
      <c r="GV32" s="978"/>
      <c r="GW32" s="978"/>
    </row>
    <row r="33" spans="1:205" s="650" customFormat="1" ht="24.6" customHeight="1" x14ac:dyDescent="0.2">
      <c r="A33" s="676"/>
      <c r="B33" s="1019" t="s">
        <v>2303</v>
      </c>
      <c r="C33" s="1019"/>
      <c r="D33" s="1019"/>
      <c r="E33" s="1019"/>
      <c r="F33" s="1019"/>
      <c r="G33" s="1019"/>
      <c r="H33" s="1019"/>
      <c r="I33" s="1019"/>
      <c r="J33" s="1019"/>
      <c r="K33" s="1019"/>
      <c r="L33" s="1004" t="str">
        <f>SUVAHAVUJ!$D$175</f>
        <v>Výsledok hospodárenia z hospodárskej činnosti (+/-) (r. 02 - r. 10)</v>
      </c>
      <c r="M33" s="1004"/>
      <c r="N33" s="1004"/>
      <c r="O33" s="1004"/>
      <c r="P33" s="1004"/>
      <c r="Q33" s="1004"/>
      <c r="R33" s="1004"/>
      <c r="S33" s="1004"/>
      <c r="T33" s="1004"/>
      <c r="U33" s="1004"/>
      <c r="V33" s="1004"/>
      <c r="W33" s="1004"/>
      <c r="X33" s="1004"/>
      <c r="Y33" s="1004"/>
      <c r="Z33" s="1004"/>
      <c r="AA33" s="1004"/>
      <c r="AB33" s="1004"/>
      <c r="AC33" s="1004"/>
      <c r="AD33" s="1004"/>
      <c r="AE33" s="1004"/>
      <c r="AF33" s="1004"/>
      <c r="AG33" s="1004"/>
      <c r="AH33" s="1004"/>
      <c r="AI33" s="1004"/>
      <c r="AJ33" s="1004"/>
      <c r="AK33" s="1004"/>
      <c r="AL33" s="1004"/>
      <c r="AM33" s="1004"/>
      <c r="AN33" s="1004"/>
      <c r="AO33" s="1004"/>
      <c r="AP33" s="1004"/>
      <c r="AQ33" s="1004"/>
      <c r="AR33" s="1004"/>
      <c r="AS33" s="1004"/>
      <c r="AT33" s="1004"/>
      <c r="AU33" s="1004"/>
      <c r="AV33" s="1004"/>
      <c r="AW33" s="1004"/>
      <c r="AX33" s="1004"/>
      <c r="AY33" s="1004"/>
      <c r="AZ33" s="1004"/>
      <c r="BA33" s="1004"/>
      <c r="BB33" s="1004"/>
      <c r="BC33" s="1004"/>
      <c r="BD33" s="1004"/>
      <c r="BE33" s="1004"/>
      <c r="BF33" s="1004"/>
      <c r="BG33" s="1004"/>
      <c r="BH33" s="1004"/>
      <c r="BI33" s="1004"/>
      <c r="BJ33" s="1004"/>
      <c r="BK33" s="1004"/>
      <c r="BL33" s="1004"/>
      <c r="BM33" s="1004"/>
      <c r="BN33" s="1004"/>
      <c r="BO33" s="1004"/>
      <c r="BP33" s="1004"/>
      <c r="BQ33" s="1004"/>
      <c r="BR33" s="1004"/>
      <c r="BS33" s="1004"/>
      <c r="BT33" s="1004"/>
      <c r="BU33" s="1004"/>
      <c r="BV33" s="1004"/>
      <c r="BW33" s="975" t="s">
        <v>1230</v>
      </c>
      <c r="BX33" s="975"/>
      <c r="BY33" s="975"/>
      <c r="BZ33" s="975"/>
      <c r="CA33" s="975"/>
      <c r="CB33" s="975"/>
      <c r="CC33" s="975" t="e">
        <v>#NAME?</v>
      </c>
      <c r="CD33" s="975"/>
      <c r="CE33" s="976" t="str">
        <f>MID(SUVAHAVUJ!AF175,1,1)</f>
        <v xml:space="preserve"> </v>
      </c>
      <c r="CF33" s="976"/>
      <c r="CG33" s="976"/>
      <c r="CH33" s="976"/>
      <c r="CI33" s="976"/>
      <c r="CJ33" s="976" t="str">
        <f>MID(SUVAHAVUJ!AF175,2,1)</f>
        <v xml:space="preserve"> </v>
      </c>
      <c r="CK33" s="976"/>
      <c r="CL33" s="976"/>
      <c r="CM33" s="976"/>
      <c r="CN33" s="976"/>
      <c r="CO33" s="976"/>
      <c r="CP33" s="976" t="str">
        <f>MID(SUVAHAVUJ!AF175,3,1)</f>
        <v xml:space="preserve"> </v>
      </c>
      <c r="CQ33" s="976"/>
      <c r="CR33" s="976"/>
      <c r="CS33" s="976"/>
      <c r="CT33" s="976"/>
      <c r="CU33" s="976" t="str">
        <f>MID(SUVAHAVUJ!AF175,4,1)</f>
        <v xml:space="preserve"> </v>
      </c>
      <c r="CV33" s="976"/>
      <c r="CW33" s="976"/>
      <c r="CX33" s="976"/>
      <c r="CY33" s="976"/>
      <c r="CZ33" s="976"/>
      <c r="DA33" s="976" t="str">
        <f>MID(SUVAHAVUJ!AF175,5,1)</f>
        <v xml:space="preserve"> </v>
      </c>
      <c r="DB33" s="976"/>
      <c r="DC33" s="976"/>
      <c r="DD33" s="976"/>
      <c r="DE33" s="976"/>
      <c r="DF33" s="976" t="str">
        <f>MID(SUVAHAVUJ!AF175,6,1)</f>
        <v xml:space="preserve"> </v>
      </c>
      <c r="DG33" s="976"/>
      <c r="DH33" s="976"/>
      <c r="DI33" s="976"/>
      <c r="DJ33" s="976"/>
      <c r="DK33" s="976"/>
      <c r="DL33" s="976" t="str">
        <f>MID(SUVAHAVUJ!AF175,7,1)</f>
        <v>-</v>
      </c>
      <c r="DM33" s="976"/>
      <c r="DN33" s="976"/>
      <c r="DO33" s="976"/>
      <c r="DP33" s="976"/>
      <c r="DQ33" s="976"/>
      <c r="DR33" s="976" t="str">
        <f>MID(SUVAHAVUJ!AF175,8,1)</f>
        <v>6</v>
      </c>
      <c r="DS33" s="976"/>
      <c r="DT33" s="976"/>
      <c r="DU33" s="976"/>
      <c r="DV33" s="976"/>
      <c r="DW33" s="982" t="str">
        <f>MID(SUVAHAVUJ!AF175,9,1)</f>
        <v>4</v>
      </c>
      <c r="DX33" s="982"/>
      <c r="DY33" s="982"/>
      <c r="DZ33" s="982"/>
      <c r="EA33" s="982"/>
      <c r="EB33" s="982"/>
      <c r="EC33" s="982" t="str">
        <f>MID(SUVAHAVUJ!AF175,10,1)</f>
        <v>2</v>
      </c>
      <c r="ED33" s="982"/>
      <c r="EE33" s="982"/>
      <c r="EF33" s="982"/>
      <c r="EG33" s="982"/>
      <c r="EH33" s="977" t="str">
        <f>MID(SUVAHAVUJ!AF175,11,1)</f>
        <v>5</v>
      </c>
      <c r="EI33" s="977"/>
      <c r="EJ33" s="977"/>
      <c r="EK33" s="977"/>
      <c r="EL33" s="977"/>
      <c r="EM33" s="977"/>
      <c r="EN33" s="665"/>
      <c r="EO33" s="666"/>
      <c r="EP33" s="976" t="str">
        <f>MID(SUVAHAVUJ!AG175,1,1)</f>
        <v xml:space="preserve"> </v>
      </c>
      <c r="EQ33" s="976"/>
      <c r="ER33" s="976"/>
      <c r="ES33" s="976"/>
      <c r="ET33" s="976"/>
      <c r="EU33" s="976"/>
      <c r="EV33" s="976" t="str">
        <f>MID(SUVAHAVUJ!AG175,2,1)</f>
        <v xml:space="preserve"> </v>
      </c>
      <c r="EW33" s="976"/>
      <c r="EX33" s="976"/>
      <c r="EY33" s="976"/>
      <c r="EZ33" s="976"/>
      <c r="FA33" s="976" t="str">
        <f>MID(SUVAHAVUJ!AG175,3,1)</f>
        <v xml:space="preserve"> </v>
      </c>
      <c r="FB33" s="976"/>
      <c r="FC33" s="976"/>
      <c r="FD33" s="976"/>
      <c r="FE33" s="976"/>
      <c r="FF33" s="976"/>
      <c r="FG33" s="976" t="str">
        <f>MID(SUVAHAVUJ!AG175,4,1)</f>
        <v xml:space="preserve"> </v>
      </c>
      <c r="FH33" s="976"/>
      <c r="FI33" s="976"/>
      <c r="FJ33" s="976"/>
      <c r="FK33" s="976"/>
      <c r="FL33" s="982" t="str">
        <f>MID(SUVAHAVUJ!AG175,5,1)</f>
        <v xml:space="preserve"> </v>
      </c>
      <c r="FM33" s="982"/>
      <c r="FN33" s="982"/>
      <c r="FO33" s="982"/>
      <c r="FP33" s="982"/>
      <c r="FQ33" s="982"/>
      <c r="FR33" s="982" t="str">
        <f>MID(SUVAHAVUJ!AG175,6,1)</f>
        <v xml:space="preserve"> </v>
      </c>
      <c r="FS33" s="982"/>
      <c r="FT33" s="982"/>
      <c r="FU33" s="982"/>
      <c r="FV33" s="982"/>
      <c r="FW33" s="982" t="str">
        <f>MID(SUVAHAVUJ!AG175,7,1)</f>
        <v>2</v>
      </c>
      <c r="FX33" s="982"/>
      <c r="FY33" s="982"/>
      <c r="FZ33" s="982"/>
      <c r="GA33" s="982"/>
      <c r="GB33" s="982"/>
      <c r="GC33" s="982" t="str">
        <f>MID(SUVAHAVUJ!AG175,8,1)</f>
        <v>7</v>
      </c>
      <c r="GD33" s="982"/>
      <c r="GE33" s="982"/>
      <c r="GF33" s="982"/>
      <c r="GG33" s="982"/>
      <c r="GH33" s="982" t="str">
        <f>MID(SUVAHAVUJ!AG175,9,1)</f>
        <v>1</v>
      </c>
      <c r="GI33" s="982"/>
      <c r="GJ33" s="982"/>
      <c r="GK33" s="982"/>
      <c r="GL33" s="982"/>
      <c r="GM33" s="982"/>
      <c r="GN33" s="982" t="str">
        <f>MID(SUVAHAVUJ!AG175,10,1)</f>
        <v>5</v>
      </c>
      <c r="GO33" s="982"/>
      <c r="GP33" s="982"/>
      <c r="GQ33" s="982"/>
      <c r="GR33" s="982"/>
      <c r="GS33" s="978" t="str">
        <f>MID(SUVAHAVUJ!AG175,11,1)</f>
        <v>0</v>
      </c>
      <c r="GT33" s="978"/>
      <c r="GU33" s="978"/>
      <c r="GV33" s="978"/>
      <c r="GW33" s="978"/>
    </row>
    <row r="34" spans="1:205" ht="12.75" customHeight="1" x14ac:dyDescent="0.25">
      <c r="A34" s="650"/>
      <c r="B34" s="667"/>
      <c r="C34" s="668"/>
      <c r="D34" s="668"/>
      <c r="E34" s="668"/>
      <c r="F34" s="668"/>
      <c r="G34" s="668"/>
      <c r="H34" s="668"/>
      <c r="I34" s="668"/>
      <c r="J34" s="668"/>
      <c r="K34" s="668"/>
      <c r="L34" s="650"/>
      <c r="M34" s="650"/>
      <c r="N34" s="650"/>
      <c r="O34" s="650"/>
      <c r="P34" s="650"/>
      <c r="Q34" s="650"/>
      <c r="R34" s="650"/>
      <c r="S34" s="650"/>
      <c r="T34" s="650"/>
      <c r="U34" s="650"/>
      <c r="V34" s="650"/>
      <c r="W34" s="650"/>
      <c r="X34" s="650"/>
      <c r="Y34" s="650"/>
      <c r="Z34" s="650"/>
      <c r="AA34" s="650"/>
      <c r="AB34" s="650"/>
      <c r="AC34" s="650"/>
      <c r="AD34" s="650"/>
      <c r="AE34" s="650"/>
      <c r="AF34" s="650"/>
      <c r="AG34" s="650"/>
      <c r="AH34" s="650"/>
      <c r="AI34" s="650"/>
      <c r="AJ34" s="650"/>
      <c r="AK34" s="650"/>
      <c r="AL34" s="650"/>
      <c r="AM34" s="650"/>
      <c r="AN34" s="650"/>
      <c r="AO34" s="650"/>
      <c r="AP34" s="650"/>
      <c r="AQ34" s="650"/>
      <c r="AR34" s="650"/>
      <c r="AS34" s="650"/>
      <c r="AT34" s="650"/>
      <c r="AU34" s="650"/>
      <c r="AV34" s="650"/>
      <c r="AW34" s="650"/>
      <c r="AX34" s="650"/>
      <c r="AY34" s="650"/>
      <c r="AZ34" s="650"/>
      <c r="BA34" s="650"/>
      <c r="BB34" s="650"/>
      <c r="BC34" s="650"/>
      <c r="BD34" s="650"/>
      <c r="BE34" s="650"/>
      <c r="BF34" s="650"/>
      <c r="BG34" s="650"/>
      <c r="BH34" s="650"/>
      <c r="BI34" s="650"/>
      <c r="BJ34" s="650"/>
      <c r="BK34" s="650"/>
      <c r="BL34" s="650"/>
      <c r="BM34" s="650"/>
      <c r="BN34" s="650"/>
      <c r="BO34" s="650"/>
      <c r="BP34" s="650"/>
      <c r="BQ34" s="650"/>
      <c r="BR34" s="650"/>
      <c r="BS34" s="650"/>
      <c r="BT34" s="650"/>
      <c r="BU34" s="650"/>
      <c r="BV34" s="650"/>
      <c r="BW34" s="650"/>
      <c r="BX34" s="650"/>
      <c r="BY34" s="650"/>
      <c r="BZ34" s="650"/>
      <c r="CA34" s="650"/>
      <c r="CB34" s="650"/>
      <c r="CC34" s="650"/>
      <c r="CD34" s="650"/>
      <c r="CE34" s="650"/>
      <c r="CF34" s="650"/>
      <c r="CG34" s="650"/>
      <c r="CH34" s="650"/>
      <c r="CI34" s="650"/>
      <c r="CJ34" s="650"/>
      <c r="CK34" s="650"/>
      <c r="CL34" s="650"/>
      <c r="CM34" s="650"/>
      <c r="CN34" s="650"/>
      <c r="CO34" s="650"/>
      <c r="CP34" s="650"/>
      <c r="CQ34" s="650"/>
      <c r="CR34" s="650"/>
      <c r="CS34" s="650"/>
      <c r="CT34" s="650"/>
      <c r="CU34" s="650"/>
      <c r="CV34" s="650"/>
      <c r="CW34" s="650"/>
      <c r="CX34" s="650"/>
      <c r="CY34" s="650"/>
      <c r="CZ34" s="650"/>
      <c r="DA34" s="650"/>
      <c r="DB34" s="650"/>
      <c r="DC34" s="650"/>
      <c r="DD34" s="650"/>
      <c r="DE34" s="650"/>
      <c r="DF34" s="650"/>
      <c r="DG34" s="650"/>
      <c r="DH34" s="650"/>
      <c r="DI34" s="650"/>
      <c r="DJ34" s="650"/>
      <c r="DK34" s="650"/>
      <c r="DL34" s="650"/>
      <c r="DM34" s="650"/>
      <c r="DN34" s="650"/>
      <c r="DO34" s="650"/>
      <c r="DP34" s="650"/>
      <c r="DQ34" s="650"/>
      <c r="DR34" s="650"/>
      <c r="DS34" s="650"/>
      <c r="DT34" s="650"/>
      <c r="DU34" s="650"/>
      <c r="DV34" s="650"/>
      <c r="DW34" s="650"/>
      <c r="DX34" s="650"/>
      <c r="DY34" s="650"/>
      <c r="DZ34" s="650"/>
      <c r="EA34" s="650"/>
      <c r="EB34" s="650"/>
      <c r="EC34" s="650"/>
      <c r="ED34" s="650"/>
      <c r="EE34" s="650"/>
      <c r="EF34" s="650"/>
      <c r="EG34" s="650"/>
      <c r="EH34" s="650"/>
      <c r="EI34" s="650"/>
      <c r="EJ34" s="650"/>
      <c r="EK34" s="650"/>
      <c r="EL34" s="650"/>
      <c r="EM34" s="650"/>
      <c r="EN34" s="650"/>
      <c r="EO34" s="650"/>
      <c r="EP34" s="650"/>
      <c r="EQ34" s="650"/>
      <c r="ER34" s="650"/>
      <c r="ES34" s="650"/>
      <c r="ET34" s="650"/>
      <c r="EU34" s="650"/>
      <c r="EV34" s="650"/>
      <c r="EW34" s="650"/>
      <c r="EX34" s="650"/>
      <c r="EY34" s="650"/>
      <c r="EZ34" s="650"/>
      <c r="FA34" s="650"/>
      <c r="FB34" s="650"/>
      <c r="FC34" s="650"/>
      <c r="FD34" s="650"/>
      <c r="FE34" s="650"/>
      <c r="FF34" s="650"/>
      <c r="FG34" s="650"/>
      <c r="FH34" s="650"/>
      <c r="FI34" s="650"/>
      <c r="FJ34" s="650"/>
      <c r="FK34" s="650"/>
      <c r="FL34" s="650"/>
      <c r="FM34" s="650"/>
      <c r="FN34" s="650"/>
      <c r="FO34" s="650"/>
      <c r="FP34" s="650"/>
      <c r="FQ34" s="650"/>
      <c r="FR34" s="650"/>
      <c r="FS34" s="650"/>
      <c r="FT34" s="650"/>
      <c r="FU34" s="650"/>
      <c r="FV34" s="650"/>
      <c r="FW34" s="650"/>
      <c r="FX34" s="650"/>
      <c r="FY34" s="650"/>
      <c r="FZ34" s="650"/>
      <c r="GA34" s="650"/>
      <c r="GB34" s="650"/>
      <c r="GC34" s="650"/>
      <c r="GD34" s="650"/>
      <c r="GE34" s="650"/>
      <c r="GF34" s="650"/>
      <c r="GG34" s="650"/>
      <c r="GH34" s="650"/>
      <c r="GI34" s="650"/>
      <c r="GJ34" s="650"/>
      <c r="GK34" s="650"/>
      <c r="GL34" s="650"/>
      <c r="GM34" s="650"/>
      <c r="GN34" s="650"/>
      <c r="GO34" s="650"/>
      <c r="GP34" s="668"/>
      <c r="GQ34" s="668"/>
      <c r="GR34" s="668"/>
      <c r="GS34" s="668"/>
      <c r="GT34" s="668"/>
      <c r="GU34" s="668"/>
      <c r="GV34" s="668"/>
      <c r="GW34" s="669"/>
    </row>
    <row r="35" spans="1:205" ht="9" customHeight="1" x14ac:dyDescent="0.25">
      <c r="B35" s="650"/>
      <c r="C35" s="650"/>
      <c r="D35" s="650"/>
      <c r="E35" s="650"/>
      <c r="F35" s="650"/>
      <c r="G35" s="650"/>
      <c r="H35" s="650"/>
      <c r="I35" s="650"/>
      <c r="J35" s="650"/>
      <c r="K35" s="650"/>
      <c r="L35" s="650"/>
      <c r="M35" s="650"/>
      <c r="N35" s="650"/>
      <c r="O35" s="650"/>
      <c r="P35" s="650"/>
      <c r="Q35" s="650"/>
      <c r="R35" s="650"/>
      <c r="S35" s="650"/>
      <c r="T35" s="650"/>
      <c r="U35" s="650"/>
      <c r="V35" s="650"/>
      <c r="W35" s="650"/>
      <c r="X35" s="650"/>
      <c r="Y35" s="650"/>
      <c r="Z35" s="650"/>
      <c r="AA35" s="650"/>
      <c r="AB35" s="650"/>
      <c r="AC35" s="650"/>
      <c r="AD35" s="650"/>
      <c r="AE35" s="650"/>
      <c r="AF35" s="650"/>
      <c r="AG35" s="650"/>
      <c r="AH35" s="650"/>
      <c r="AI35" s="650"/>
      <c r="AJ35" s="650"/>
      <c r="AK35" s="650"/>
      <c r="AL35" s="650"/>
      <c r="AM35" s="650"/>
      <c r="AN35" s="650"/>
      <c r="AO35" s="650"/>
      <c r="AP35" s="650"/>
      <c r="AQ35" s="650"/>
      <c r="AR35" s="650"/>
      <c r="AS35" s="650"/>
      <c r="AT35" s="650"/>
      <c r="AU35" s="650"/>
      <c r="AV35" s="650"/>
      <c r="AW35" s="650"/>
      <c r="AX35" s="650"/>
      <c r="AY35" s="650"/>
      <c r="AZ35" s="650"/>
      <c r="BA35" s="650"/>
      <c r="BB35" s="650"/>
      <c r="BC35" s="650"/>
      <c r="BD35" s="650"/>
      <c r="BE35" s="650"/>
      <c r="BF35" s="650"/>
      <c r="BG35" s="650"/>
      <c r="BH35" s="650"/>
      <c r="BI35" s="650"/>
      <c r="BJ35" s="650"/>
      <c r="BK35" s="650"/>
      <c r="BL35" s="650"/>
      <c r="BM35" s="650"/>
      <c r="BN35" s="650"/>
      <c r="BO35" s="650"/>
      <c r="BP35" s="650"/>
      <c r="BQ35" s="650"/>
      <c r="BR35" s="650"/>
      <c r="BS35" s="650"/>
      <c r="BT35" s="650"/>
      <c r="BU35" s="650"/>
      <c r="BV35" s="650"/>
      <c r="BW35" s="650"/>
      <c r="BX35" s="650"/>
      <c r="BY35" s="650"/>
      <c r="BZ35" s="650"/>
      <c r="CA35" s="650"/>
      <c r="CB35" s="650"/>
      <c r="CC35" s="650"/>
      <c r="CD35" s="650"/>
      <c r="CE35" s="650"/>
      <c r="CF35" s="650"/>
      <c r="CG35" s="650"/>
      <c r="CH35" s="650"/>
      <c r="CI35" s="650"/>
      <c r="CJ35" s="650"/>
      <c r="CK35" s="650"/>
      <c r="CL35" s="650"/>
      <c r="CM35" s="650"/>
      <c r="CN35" s="650"/>
      <c r="CO35" s="650"/>
      <c r="CP35" s="650"/>
      <c r="CQ35" s="650"/>
      <c r="CR35" s="650"/>
      <c r="CS35" s="650"/>
      <c r="CT35" s="650"/>
      <c r="CU35" s="650"/>
      <c r="CV35" s="650"/>
      <c r="CW35" s="650"/>
      <c r="CX35" s="650"/>
      <c r="CY35" s="650"/>
      <c r="CZ35" s="650"/>
      <c r="DA35" s="650"/>
      <c r="DB35" s="650"/>
      <c r="DC35" s="650"/>
      <c r="DD35" s="650"/>
      <c r="DE35" s="650"/>
      <c r="DF35" s="650"/>
      <c r="DG35" s="650"/>
      <c r="DH35" s="650"/>
      <c r="DI35" s="650"/>
      <c r="DJ35" s="650"/>
      <c r="DK35" s="650"/>
      <c r="DL35" s="650"/>
      <c r="DM35" s="650"/>
      <c r="DN35" s="650"/>
      <c r="DO35" s="650"/>
      <c r="DP35" s="650"/>
      <c r="DQ35" s="650"/>
      <c r="DR35" s="650"/>
      <c r="DS35" s="650"/>
      <c r="DT35" s="650"/>
      <c r="DU35" s="650"/>
      <c r="DV35" s="650"/>
      <c r="DW35" s="650"/>
      <c r="DX35" s="650"/>
      <c r="DY35" s="650"/>
      <c r="DZ35" s="650"/>
      <c r="EA35" s="650"/>
      <c r="EB35" s="650"/>
      <c r="EC35" s="650"/>
      <c r="ED35" s="650"/>
      <c r="EE35" s="650"/>
      <c r="EF35" s="650"/>
      <c r="EG35" s="650"/>
      <c r="EH35" s="650"/>
      <c r="EI35" s="650"/>
      <c r="EJ35" s="650"/>
      <c r="EK35" s="650"/>
      <c r="EL35" s="650"/>
      <c r="EM35" s="650"/>
      <c r="EN35" s="650"/>
      <c r="EO35" s="650"/>
      <c r="EP35" s="650"/>
      <c r="EQ35" s="650"/>
      <c r="ER35" s="650"/>
      <c r="ES35" s="650"/>
      <c r="ET35" s="650"/>
      <c r="EU35" s="650"/>
      <c r="EV35" s="650"/>
      <c r="EW35" s="650"/>
      <c r="EX35" s="650"/>
      <c r="EY35" s="650"/>
      <c r="EZ35" s="650"/>
      <c r="FA35" s="650"/>
      <c r="FB35" s="650"/>
      <c r="FC35" s="650"/>
      <c r="FD35" s="650"/>
      <c r="FE35" s="650"/>
      <c r="FF35" s="650"/>
      <c r="FG35" s="650"/>
      <c r="FH35" s="650"/>
      <c r="FI35" s="650"/>
      <c r="FJ35" s="650"/>
      <c r="FK35" s="650"/>
      <c r="FL35" s="650"/>
      <c r="FM35" s="650"/>
      <c r="FN35" s="650"/>
      <c r="FO35" s="650"/>
      <c r="FP35" s="650"/>
      <c r="FQ35" s="650"/>
      <c r="FR35" s="650"/>
      <c r="FS35" s="650"/>
      <c r="FT35" s="650"/>
      <c r="FU35" s="650"/>
      <c r="FV35" s="650"/>
      <c r="FW35" s="650"/>
      <c r="FX35" s="650"/>
      <c r="FY35" s="650"/>
      <c r="FZ35" s="650"/>
      <c r="GA35" s="650"/>
      <c r="GB35" s="650"/>
      <c r="GC35" s="650"/>
      <c r="GD35" s="650"/>
      <c r="GE35" s="650"/>
      <c r="GF35" s="650"/>
      <c r="GG35" s="650"/>
      <c r="GH35" s="650"/>
      <c r="GI35" s="650"/>
      <c r="GJ35" s="650"/>
      <c r="GK35" s="650"/>
      <c r="GL35" s="650"/>
      <c r="GM35" s="650"/>
      <c r="GN35" s="650"/>
      <c r="GO35" s="650"/>
      <c r="GP35" s="650"/>
      <c r="GQ35" s="650"/>
      <c r="GR35" s="650"/>
      <c r="GS35" s="650"/>
      <c r="GT35" s="650"/>
      <c r="GU35" s="650"/>
    </row>
    <row r="36" spans="1:205" ht="3.75" customHeight="1" x14ac:dyDescent="0.25">
      <c r="B36" s="650"/>
      <c r="C36" s="650"/>
      <c r="D36" s="650"/>
      <c r="E36" s="650"/>
      <c r="F36" s="650"/>
      <c r="G36" s="650"/>
      <c r="H36" s="650"/>
      <c r="I36" s="650"/>
      <c r="J36" s="650"/>
      <c r="K36" s="650"/>
      <c r="L36" s="650"/>
      <c r="M36" s="650"/>
      <c r="N36" s="650"/>
      <c r="O36" s="650"/>
      <c r="P36" s="650"/>
      <c r="Q36" s="650"/>
      <c r="R36" s="650"/>
      <c r="S36" s="650"/>
      <c r="T36" s="650"/>
      <c r="U36" s="650"/>
      <c r="V36" s="650"/>
      <c r="W36" s="650"/>
      <c r="X36" s="650"/>
      <c r="Y36" s="650"/>
      <c r="Z36" s="650"/>
      <c r="AA36" s="650"/>
      <c r="AB36" s="650"/>
      <c r="AC36" s="650"/>
      <c r="AD36" s="650"/>
      <c r="AE36" s="650"/>
      <c r="AF36" s="650"/>
      <c r="AG36" s="650"/>
      <c r="AH36" s="650"/>
      <c r="AI36" s="650"/>
      <c r="AJ36" s="650"/>
      <c r="AK36" s="650"/>
      <c r="AL36" s="650"/>
      <c r="AM36" s="650"/>
      <c r="AN36" s="650"/>
      <c r="AO36" s="650"/>
      <c r="AP36" s="650"/>
      <c r="AQ36" s="650"/>
      <c r="AR36" s="650"/>
      <c r="AS36" s="650"/>
      <c r="AT36" s="650"/>
      <c r="AU36" s="650"/>
      <c r="AV36" s="650"/>
      <c r="AW36" s="650"/>
      <c r="AX36" s="650"/>
      <c r="AY36" s="650"/>
      <c r="AZ36" s="650"/>
      <c r="BA36" s="650"/>
      <c r="BB36" s="650"/>
      <c r="BC36" s="650"/>
      <c r="BD36" s="650"/>
      <c r="BE36" s="650"/>
      <c r="BF36" s="650"/>
      <c r="BG36" s="650"/>
      <c r="BH36" s="650"/>
      <c r="BI36" s="650"/>
      <c r="BJ36" s="650"/>
      <c r="BK36" s="650"/>
      <c r="BL36" s="650"/>
      <c r="BM36" s="650"/>
      <c r="BN36" s="650"/>
      <c r="BO36" s="650"/>
      <c r="BP36" s="650"/>
      <c r="BQ36" s="650"/>
      <c r="BR36" s="650"/>
      <c r="BS36" s="650"/>
      <c r="BT36" s="650"/>
      <c r="BU36" s="650"/>
      <c r="BV36" s="650"/>
      <c r="BW36" s="650"/>
      <c r="BX36" s="650"/>
      <c r="BY36" s="650"/>
      <c r="BZ36" s="650"/>
      <c r="CA36" s="650"/>
      <c r="CB36" s="650"/>
      <c r="CC36" s="650"/>
      <c r="CD36" s="650"/>
      <c r="CE36" s="650"/>
      <c r="CF36" s="650"/>
      <c r="CG36" s="650"/>
      <c r="CH36" s="650"/>
      <c r="CI36" s="650"/>
      <c r="CJ36" s="650"/>
      <c r="CK36" s="650"/>
      <c r="CL36" s="650"/>
      <c r="CM36" s="650"/>
      <c r="CN36" s="650"/>
      <c r="CO36" s="650"/>
      <c r="CP36" s="650"/>
      <c r="CQ36" s="650"/>
      <c r="CR36" s="650"/>
      <c r="CS36" s="650"/>
      <c r="CT36" s="650"/>
      <c r="CU36" s="650"/>
      <c r="CV36" s="650"/>
      <c r="CW36" s="650"/>
      <c r="CX36" s="650"/>
      <c r="CY36" s="650"/>
      <c r="CZ36" s="650"/>
      <c r="DA36" s="650"/>
      <c r="DB36" s="650"/>
      <c r="DC36" s="650"/>
      <c r="DD36" s="650"/>
      <c r="DE36" s="650"/>
      <c r="DF36" s="650"/>
      <c r="DG36" s="650"/>
      <c r="DH36" s="650"/>
      <c r="DI36" s="650"/>
      <c r="DJ36" s="650"/>
      <c r="DK36" s="650"/>
      <c r="DL36" s="650"/>
      <c r="DM36" s="650"/>
      <c r="DN36" s="650"/>
      <c r="DO36" s="650"/>
      <c r="DP36" s="650"/>
      <c r="DQ36" s="650"/>
      <c r="DR36" s="650"/>
      <c r="DS36" s="650"/>
      <c r="DT36" s="650"/>
      <c r="DU36" s="650"/>
      <c r="DV36" s="650"/>
      <c r="DW36" s="650"/>
      <c r="DX36" s="650"/>
      <c r="DY36" s="650"/>
      <c r="DZ36" s="650"/>
      <c r="EA36" s="650"/>
      <c r="EB36" s="650"/>
      <c r="EC36" s="650"/>
      <c r="ED36" s="650"/>
      <c r="EE36" s="650"/>
      <c r="EF36" s="650"/>
      <c r="EG36" s="650"/>
      <c r="EH36" s="650"/>
      <c r="EI36" s="650"/>
      <c r="EJ36" s="650"/>
      <c r="EK36" s="650"/>
      <c r="EL36" s="650"/>
      <c r="EM36" s="650"/>
      <c r="EN36" s="650"/>
      <c r="EO36" s="650"/>
      <c r="EP36" s="650"/>
      <c r="EQ36" s="650"/>
      <c r="ER36" s="650"/>
      <c r="ES36" s="650"/>
      <c r="ET36" s="650"/>
      <c r="EU36" s="650"/>
      <c r="EV36" s="650"/>
      <c r="EW36" s="650"/>
      <c r="EX36" s="650"/>
      <c r="EY36" s="650"/>
      <c r="EZ36" s="650"/>
      <c r="FA36" s="650"/>
      <c r="FB36" s="650"/>
      <c r="FC36" s="650"/>
      <c r="FD36" s="650"/>
      <c r="FE36" s="650"/>
      <c r="FF36" s="650"/>
      <c r="FG36" s="650"/>
      <c r="FH36" s="650"/>
      <c r="FI36" s="650"/>
      <c r="FJ36" s="650"/>
      <c r="FK36" s="650"/>
      <c r="FL36" s="650"/>
      <c r="FM36" s="650"/>
      <c r="FN36" s="650"/>
      <c r="FO36" s="650"/>
      <c r="FP36" s="650"/>
      <c r="FQ36" s="650"/>
      <c r="FR36" s="650"/>
      <c r="FS36" s="650"/>
      <c r="FT36" s="650"/>
      <c r="FU36" s="650"/>
      <c r="FV36" s="650"/>
      <c r="FW36" s="650"/>
      <c r="FX36" s="650"/>
      <c r="FY36" s="650"/>
      <c r="FZ36" s="650"/>
      <c r="GA36" s="650"/>
      <c r="GB36" s="650"/>
      <c r="GC36" s="650"/>
      <c r="GD36" s="650"/>
      <c r="GE36" s="650"/>
      <c r="GF36" s="650"/>
      <c r="GG36" s="650"/>
      <c r="GH36" s="650"/>
      <c r="GI36" s="650"/>
      <c r="GJ36" s="650"/>
      <c r="GK36" s="650"/>
      <c r="GL36" s="650"/>
      <c r="GM36" s="650"/>
      <c r="GN36" s="650"/>
      <c r="GO36" s="650"/>
      <c r="GP36" s="650"/>
      <c r="GQ36" s="650"/>
      <c r="GR36" s="650"/>
      <c r="GS36" s="650"/>
      <c r="GT36" s="650"/>
      <c r="GU36" s="650"/>
    </row>
    <row r="37" spans="1:205" ht="3.75" customHeight="1" x14ac:dyDescent="0.25"/>
    <row r="38" spans="1:205" ht="3.75" customHeight="1" x14ac:dyDescent="0.25"/>
    <row r="39" spans="1:205" ht="3.75" customHeight="1" x14ac:dyDescent="0.25"/>
    <row r="40" spans="1:205" ht="3.75" customHeight="1" x14ac:dyDescent="0.25"/>
    <row r="41" spans="1:205" ht="3.75" customHeight="1" x14ac:dyDescent="0.25"/>
    <row r="42" spans="1:205" ht="3.75" customHeight="1" x14ac:dyDescent="0.25"/>
    <row r="43" spans="1:205" ht="3.75" customHeight="1" x14ac:dyDescent="0.25"/>
    <row r="44" spans="1:205" ht="3.75" customHeight="1" x14ac:dyDescent="0.25"/>
    <row r="45" spans="1:205" ht="3.75" customHeight="1" x14ac:dyDescent="0.25"/>
    <row r="46" spans="1:205" ht="3.75" customHeight="1" x14ac:dyDescent="0.25"/>
    <row r="47" spans="1:205" ht="3.75" customHeight="1" x14ac:dyDescent="0.25"/>
    <row r="48" spans="1:205" ht="3.75" customHeight="1" x14ac:dyDescent="0.25"/>
    <row r="49" spans="43:43" ht="3.75" customHeight="1" x14ac:dyDescent="0.25"/>
    <row r="50" spans="43:43" ht="3.75" customHeight="1" x14ac:dyDescent="0.25"/>
    <row r="51" spans="43:43" ht="3.75" customHeight="1" x14ac:dyDescent="0.25"/>
    <row r="52" spans="43:43" ht="3.75" customHeight="1" x14ac:dyDescent="0.25">
      <c r="AQ52" s="659">
        <v>57</v>
      </c>
    </row>
    <row r="53" spans="43:43" ht="3.75" customHeight="1" x14ac:dyDescent="0.25"/>
    <row r="54" spans="43:43" ht="3.75" customHeight="1" x14ac:dyDescent="0.25"/>
    <row r="55" spans="43:43" ht="3.75" customHeight="1" x14ac:dyDescent="0.25"/>
    <row r="56" spans="43:43" ht="3.75" customHeight="1" x14ac:dyDescent="0.25"/>
    <row r="57" spans="43:43" ht="3.75" customHeight="1" x14ac:dyDescent="0.25"/>
    <row r="58" spans="43:43" ht="3.75" customHeight="1" x14ac:dyDescent="0.25"/>
    <row r="59" spans="43:43" ht="3.75" customHeight="1" x14ac:dyDescent="0.25"/>
    <row r="60" spans="43:43" ht="3.75" customHeight="1" x14ac:dyDescent="0.25"/>
    <row r="61" spans="43:43" ht="3.75" customHeight="1" x14ac:dyDescent="0.25"/>
    <row r="62" spans="43:43" ht="3.75" customHeight="1" x14ac:dyDescent="0.25"/>
    <row r="63" spans="43:43" ht="3.75" customHeight="1" x14ac:dyDescent="0.25"/>
    <row r="64" spans="43:43" ht="3.75" customHeight="1" x14ac:dyDescent="0.25"/>
    <row r="65" ht="3.75" customHeight="1" x14ac:dyDescent="0.25"/>
    <row r="66" ht="3.75" customHeight="1" x14ac:dyDescent="0.25"/>
    <row r="67" ht="3.75" customHeight="1" x14ac:dyDescent="0.25"/>
    <row r="68" ht="3.75" customHeight="1" x14ac:dyDescent="0.25"/>
    <row r="69" ht="3.75" customHeight="1" x14ac:dyDescent="0.25"/>
    <row r="70" ht="3.75" customHeight="1" x14ac:dyDescent="0.25"/>
    <row r="71" ht="3.75" customHeight="1" x14ac:dyDescent="0.25"/>
    <row r="72" ht="3.75" customHeight="1" x14ac:dyDescent="0.25"/>
    <row r="73" ht="3.75" customHeight="1" x14ac:dyDescent="0.25"/>
    <row r="74" ht="3.75" customHeight="1" x14ac:dyDescent="0.25"/>
    <row r="75" ht="3.75" customHeight="1" x14ac:dyDescent="0.25"/>
    <row r="76" ht="3.75" customHeight="1" x14ac:dyDescent="0.25"/>
    <row r="77" ht="3.75" customHeight="1" x14ac:dyDescent="0.25"/>
    <row r="78" ht="3.75" customHeight="1" x14ac:dyDescent="0.25"/>
    <row r="79" ht="3.75" customHeight="1" x14ac:dyDescent="0.25"/>
    <row r="80" ht="3.75" customHeight="1" x14ac:dyDescent="0.25"/>
    <row r="81" ht="3.75" customHeight="1" x14ac:dyDescent="0.25"/>
    <row r="82" ht="3.75" customHeight="1" x14ac:dyDescent="0.25"/>
    <row r="83" ht="3.75" customHeight="1" x14ac:dyDescent="0.25"/>
    <row r="84" ht="3.75" customHeight="1" x14ac:dyDescent="0.25"/>
    <row r="85" ht="3.75" customHeight="1" x14ac:dyDescent="0.25"/>
    <row r="86" ht="3.75" customHeight="1" x14ac:dyDescent="0.25"/>
    <row r="87" ht="3.75" customHeight="1" x14ac:dyDescent="0.25"/>
    <row r="88" ht="3.75" customHeight="1" x14ac:dyDescent="0.25"/>
    <row r="89" ht="3.75" customHeight="1" x14ac:dyDescent="0.25"/>
    <row r="90" ht="3.75" customHeight="1" x14ac:dyDescent="0.25"/>
    <row r="91" ht="3.75" customHeight="1" x14ac:dyDescent="0.25"/>
    <row r="92" ht="3.75" customHeight="1" x14ac:dyDescent="0.25"/>
    <row r="93" ht="3.75" customHeight="1" x14ac:dyDescent="0.25"/>
    <row r="94" ht="3.75" customHeight="1" x14ac:dyDescent="0.25"/>
    <row r="95" ht="3.75" customHeight="1" x14ac:dyDescent="0.25"/>
    <row r="96" ht="3.75" customHeight="1" x14ac:dyDescent="0.25"/>
    <row r="97" ht="3.75" customHeight="1" x14ac:dyDescent="0.25"/>
    <row r="98" ht="3.75" customHeight="1" x14ac:dyDescent="0.25"/>
    <row r="99" ht="3.75" customHeight="1" x14ac:dyDescent="0.25"/>
    <row r="100" ht="3.75" customHeight="1" x14ac:dyDescent="0.25"/>
    <row r="101" ht="3.75" customHeight="1" x14ac:dyDescent="0.25"/>
    <row r="102" ht="3.75" customHeight="1" x14ac:dyDescent="0.25"/>
    <row r="103" ht="3.75" customHeight="1" x14ac:dyDescent="0.25"/>
    <row r="104" ht="3.75" customHeight="1" x14ac:dyDescent="0.25"/>
    <row r="105" ht="3.75" customHeight="1" x14ac:dyDescent="0.25"/>
    <row r="106" ht="3.75" customHeight="1" x14ac:dyDescent="0.25"/>
    <row r="107" ht="3.75" customHeight="1" x14ac:dyDescent="0.25"/>
    <row r="108" ht="3.75" customHeight="1" x14ac:dyDescent="0.25"/>
    <row r="109" ht="3.75" customHeight="1" x14ac:dyDescent="0.25"/>
    <row r="110" ht="3.75" customHeight="1" x14ac:dyDescent="0.25"/>
    <row r="111" ht="3.75" customHeight="1" x14ac:dyDescent="0.25"/>
    <row r="112" ht="3.75" customHeight="1" x14ac:dyDescent="0.25"/>
    <row r="113" ht="3.75" customHeight="1" x14ac:dyDescent="0.25"/>
    <row r="114" ht="3.75" customHeight="1" x14ac:dyDescent="0.25"/>
    <row r="115" ht="3.75" customHeight="1" x14ac:dyDescent="0.25"/>
    <row r="116" ht="3.75" customHeight="1" x14ac:dyDescent="0.25"/>
    <row r="117" ht="3.75" customHeight="1" x14ac:dyDescent="0.25"/>
    <row r="118" ht="3.75" customHeight="1" x14ac:dyDescent="0.25"/>
    <row r="119" ht="3.75" customHeight="1" x14ac:dyDescent="0.25"/>
    <row r="120" ht="3.75" customHeight="1" x14ac:dyDescent="0.25"/>
    <row r="121" ht="3.75" customHeight="1" x14ac:dyDescent="0.25"/>
    <row r="122" ht="3.75" customHeight="1" x14ac:dyDescent="0.25"/>
    <row r="123" ht="3.75" customHeight="1" x14ac:dyDescent="0.25"/>
    <row r="124" ht="3.75" customHeight="1" x14ac:dyDescent="0.25"/>
    <row r="125" ht="3.75" customHeight="1" x14ac:dyDescent="0.25"/>
    <row r="126" ht="3.75" customHeight="1" x14ac:dyDescent="0.25"/>
    <row r="127" ht="3.75" customHeight="1" x14ac:dyDescent="0.25"/>
    <row r="128" ht="3.75" customHeight="1" x14ac:dyDescent="0.25"/>
    <row r="129" ht="3.75" customHeight="1" x14ac:dyDescent="0.25"/>
    <row r="130" ht="3.75" customHeight="1" x14ac:dyDescent="0.25"/>
    <row r="131" ht="3.75" customHeight="1" x14ac:dyDescent="0.25"/>
    <row r="132" ht="3.75" customHeight="1" x14ac:dyDescent="0.25"/>
    <row r="133" ht="3.75" customHeight="1" x14ac:dyDescent="0.25"/>
    <row r="134" ht="3.75" customHeight="1" x14ac:dyDescent="0.25"/>
    <row r="135" ht="3.75" customHeight="1" x14ac:dyDescent="0.25"/>
    <row r="136" ht="3.75" customHeight="1" x14ac:dyDescent="0.25"/>
    <row r="137" ht="3.75" customHeight="1" x14ac:dyDescent="0.25"/>
    <row r="138" ht="3.75" customHeight="1" x14ac:dyDescent="0.25"/>
    <row r="139" ht="3.75" customHeight="1" x14ac:dyDescent="0.25"/>
    <row r="140" ht="3.75" customHeight="1" x14ac:dyDescent="0.25"/>
    <row r="141" ht="3.75" customHeight="1" x14ac:dyDescent="0.25"/>
    <row r="142" ht="3.75" customHeight="1" x14ac:dyDescent="0.25"/>
    <row r="143" ht="3.75" customHeight="1" x14ac:dyDescent="0.25"/>
    <row r="144" ht="3.75" customHeight="1" x14ac:dyDescent="0.25"/>
    <row r="145" spans="10:10" ht="3.75" customHeight="1" x14ac:dyDescent="0.25"/>
    <row r="146" spans="10:10" ht="3.75" customHeight="1" x14ac:dyDescent="0.25"/>
    <row r="147" spans="10:10" ht="3.75" customHeight="1" x14ac:dyDescent="0.25">
      <c r="J147" s="659">
        <v>33</v>
      </c>
    </row>
  </sheetData>
  <mergeCells count="709">
    <mergeCell ref="FA33:FF33"/>
    <mergeCell ref="FG33:FK33"/>
    <mergeCell ref="FL33:FQ33"/>
    <mergeCell ref="FR33:FV33"/>
    <mergeCell ref="FW33:GB33"/>
    <mergeCell ref="GC33:GG33"/>
    <mergeCell ref="GH33:GM33"/>
    <mergeCell ref="GN33:GR33"/>
    <mergeCell ref="GS33:GW33"/>
    <mergeCell ref="FG32:FK32"/>
    <mergeCell ref="FL32:FQ32"/>
    <mergeCell ref="FR32:FV32"/>
    <mergeCell ref="FW32:GB32"/>
    <mergeCell ref="GC32:GG32"/>
    <mergeCell ref="GH32:GM32"/>
    <mergeCell ref="GN32:GR32"/>
    <mergeCell ref="GS32:GW32"/>
    <mergeCell ref="B33:K33"/>
    <mergeCell ref="L33:BV33"/>
    <mergeCell ref="BW33:CD33"/>
    <mergeCell ref="CE33:CI33"/>
    <mergeCell ref="CJ33:CO33"/>
    <mergeCell ref="CP33:CT33"/>
    <mergeCell ref="CU33:CZ33"/>
    <mergeCell ref="DA33:DE33"/>
    <mergeCell ref="DF33:DK33"/>
    <mergeCell ref="DL33:DQ33"/>
    <mergeCell ref="DR33:DV33"/>
    <mergeCell ref="DW33:EB33"/>
    <mergeCell ref="EC33:EG33"/>
    <mergeCell ref="EH33:EM33"/>
    <mergeCell ref="EP33:EU33"/>
    <mergeCell ref="EV33:EZ33"/>
    <mergeCell ref="FL31:FQ31"/>
    <mergeCell ref="FR31:FV31"/>
    <mergeCell ref="FW31:GB31"/>
    <mergeCell ref="GC31:GG31"/>
    <mergeCell ref="GH31:GM31"/>
    <mergeCell ref="GN31:GR31"/>
    <mergeCell ref="GS31:GW31"/>
    <mergeCell ref="B32:K32"/>
    <mergeCell ref="L32:BV32"/>
    <mergeCell ref="BW32:CD32"/>
    <mergeCell ref="CE32:CI32"/>
    <mergeCell ref="CJ32:CO32"/>
    <mergeCell ref="CP32:CT32"/>
    <mergeCell ref="CU32:CZ32"/>
    <mergeCell ref="DA32:DE32"/>
    <mergeCell ref="DF32:DK32"/>
    <mergeCell ref="DL32:DQ32"/>
    <mergeCell ref="DR32:DV32"/>
    <mergeCell ref="DW32:EB32"/>
    <mergeCell ref="EC32:EG32"/>
    <mergeCell ref="EH32:EM32"/>
    <mergeCell ref="EP32:EU32"/>
    <mergeCell ref="EV32:EZ32"/>
    <mergeCell ref="FA32:FF32"/>
    <mergeCell ref="DL31:DQ31"/>
    <mergeCell ref="DR31:DV31"/>
    <mergeCell ref="DW31:EB31"/>
    <mergeCell ref="EC31:EG31"/>
    <mergeCell ref="EH31:EM31"/>
    <mergeCell ref="EP31:EU31"/>
    <mergeCell ref="EV31:EZ31"/>
    <mergeCell ref="FA31:FF31"/>
    <mergeCell ref="FG31:FK31"/>
    <mergeCell ref="B31:K31"/>
    <mergeCell ref="L31:BV31"/>
    <mergeCell ref="BW31:CD31"/>
    <mergeCell ref="CE31:CI31"/>
    <mergeCell ref="CJ31:CO31"/>
    <mergeCell ref="CP31:CT31"/>
    <mergeCell ref="CU31:CZ31"/>
    <mergeCell ref="DA31:DE31"/>
    <mergeCell ref="DF31:DK31"/>
    <mergeCell ref="FA30:FF30"/>
    <mergeCell ref="FG30:FK30"/>
    <mergeCell ref="FL30:FQ30"/>
    <mergeCell ref="FR30:FV30"/>
    <mergeCell ref="FW30:GB30"/>
    <mergeCell ref="GC30:GG30"/>
    <mergeCell ref="GH30:GM30"/>
    <mergeCell ref="GN30:GR30"/>
    <mergeCell ref="GS30:GW30"/>
    <mergeCell ref="FG29:FK29"/>
    <mergeCell ref="FL29:FQ29"/>
    <mergeCell ref="FR29:FV29"/>
    <mergeCell ref="FW29:GB29"/>
    <mergeCell ref="GC29:GG29"/>
    <mergeCell ref="GH29:GM29"/>
    <mergeCell ref="GN29:GR29"/>
    <mergeCell ref="GS29:GW29"/>
    <mergeCell ref="B30:K30"/>
    <mergeCell ref="L30:BV30"/>
    <mergeCell ref="BW30:CD30"/>
    <mergeCell ref="CE30:CI30"/>
    <mergeCell ref="CJ30:CO30"/>
    <mergeCell ref="CP30:CT30"/>
    <mergeCell ref="CU30:CZ30"/>
    <mergeCell ref="DA30:DE30"/>
    <mergeCell ref="DF30:DK30"/>
    <mergeCell ref="DL30:DQ30"/>
    <mergeCell ref="DR30:DV30"/>
    <mergeCell ref="DW30:EB30"/>
    <mergeCell ref="EC30:EG30"/>
    <mergeCell ref="EH30:EM30"/>
    <mergeCell ref="EP30:EU30"/>
    <mergeCell ref="EV30:EZ30"/>
    <mergeCell ref="FL28:FQ28"/>
    <mergeCell ref="FR28:FV28"/>
    <mergeCell ref="FW28:GB28"/>
    <mergeCell ref="GC28:GG28"/>
    <mergeCell ref="GH28:GM28"/>
    <mergeCell ref="GN28:GR28"/>
    <mergeCell ref="GS28:GW28"/>
    <mergeCell ref="B29:K29"/>
    <mergeCell ref="L29:BV29"/>
    <mergeCell ref="BW29:CD29"/>
    <mergeCell ref="CE29:CI29"/>
    <mergeCell ref="CJ29:CO29"/>
    <mergeCell ref="CP29:CT29"/>
    <mergeCell ref="CU29:CZ29"/>
    <mergeCell ref="DA29:DE29"/>
    <mergeCell ref="DF29:DK29"/>
    <mergeCell ref="DL29:DQ29"/>
    <mergeCell ref="DR29:DV29"/>
    <mergeCell ref="DW29:EB29"/>
    <mergeCell ref="EC29:EG29"/>
    <mergeCell ref="EH29:EM29"/>
    <mergeCell ref="EP29:EU29"/>
    <mergeCell ref="EV29:EZ29"/>
    <mergeCell ref="FA29:FF29"/>
    <mergeCell ref="DL28:DQ28"/>
    <mergeCell ref="DR28:DV28"/>
    <mergeCell ref="DW28:EB28"/>
    <mergeCell ref="EC28:EG28"/>
    <mergeCell ref="EH28:EM28"/>
    <mergeCell ref="EP28:EU28"/>
    <mergeCell ref="EV28:EZ28"/>
    <mergeCell ref="FA28:FF28"/>
    <mergeCell ref="FG28:FK28"/>
    <mergeCell ref="B28:K28"/>
    <mergeCell ref="L28:BV28"/>
    <mergeCell ref="BW28:CD28"/>
    <mergeCell ref="CE28:CI28"/>
    <mergeCell ref="CJ28:CO28"/>
    <mergeCell ref="CP28:CT28"/>
    <mergeCell ref="CU28:CZ28"/>
    <mergeCell ref="DA28:DE28"/>
    <mergeCell ref="DF28:DK28"/>
    <mergeCell ref="FA27:FF27"/>
    <mergeCell ref="FG27:FK27"/>
    <mergeCell ref="FL27:FQ27"/>
    <mergeCell ref="FR27:FV27"/>
    <mergeCell ref="FW27:GB27"/>
    <mergeCell ref="GC27:GG27"/>
    <mergeCell ref="GH27:GM27"/>
    <mergeCell ref="GN27:GR27"/>
    <mergeCell ref="GS27:GW27"/>
    <mergeCell ref="FG26:FK26"/>
    <mergeCell ref="FL26:FQ26"/>
    <mergeCell ref="FR26:FV26"/>
    <mergeCell ref="FW26:GB26"/>
    <mergeCell ref="GC26:GG26"/>
    <mergeCell ref="GH26:GM26"/>
    <mergeCell ref="GN26:GR26"/>
    <mergeCell ref="GS26:GW26"/>
    <mergeCell ref="B27:K27"/>
    <mergeCell ref="L27:BV27"/>
    <mergeCell ref="BW27:CD27"/>
    <mergeCell ref="CE27:CI27"/>
    <mergeCell ref="CJ27:CO27"/>
    <mergeCell ref="CP27:CT27"/>
    <mergeCell ref="CU27:CZ27"/>
    <mergeCell ref="DA27:DE27"/>
    <mergeCell ref="DF27:DK27"/>
    <mergeCell ref="DL27:DQ27"/>
    <mergeCell ref="DR27:DV27"/>
    <mergeCell ref="DW27:EB27"/>
    <mergeCell ref="EC27:EG27"/>
    <mergeCell ref="EH27:EM27"/>
    <mergeCell ref="EP27:EU27"/>
    <mergeCell ref="EV27:EZ27"/>
    <mergeCell ref="FL25:FQ25"/>
    <mergeCell ref="FR25:FV25"/>
    <mergeCell ref="FW25:GB25"/>
    <mergeCell ref="GC25:GG25"/>
    <mergeCell ref="GH25:GM25"/>
    <mergeCell ref="GN25:GR25"/>
    <mergeCell ref="GS25:GW25"/>
    <mergeCell ref="B26:K26"/>
    <mergeCell ref="L26:BV26"/>
    <mergeCell ref="BW26:CD26"/>
    <mergeCell ref="CE26:CI26"/>
    <mergeCell ref="CJ26:CO26"/>
    <mergeCell ref="CP26:CT26"/>
    <mergeCell ref="CU26:CZ26"/>
    <mergeCell ref="DA26:DE26"/>
    <mergeCell ref="DF26:DK26"/>
    <mergeCell ref="DL26:DQ26"/>
    <mergeCell ref="DR26:DV26"/>
    <mergeCell ref="DW26:EB26"/>
    <mergeCell ref="EC26:EG26"/>
    <mergeCell ref="EH26:EM26"/>
    <mergeCell ref="EP26:EU26"/>
    <mergeCell ref="EV26:EZ26"/>
    <mergeCell ref="FA26:FF26"/>
    <mergeCell ref="DL25:DQ25"/>
    <mergeCell ref="DR25:DV25"/>
    <mergeCell ref="DW25:EB25"/>
    <mergeCell ref="EC25:EG25"/>
    <mergeCell ref="EH25:EM25"/>
    <mergeCell ref="EP25:EU25"/>
    <mergeCell ref="EV25:EZ25"/>
    <mergeCell ref="FA25:FF25"/>
    <mergeCell ref="FG25:FK25"/>
    <mergeCell ref="B25:K25"/>
    <mergeCell ref="L25:BV25"/>
    <mergeCell ref="BW25:CD25"/>
    <mergeCell ref="CE25:CI25"/>
    <mergeCell ref="CJ25:CO25"/>
    <mergeCell ref="CP25:CT25"/>
    <mergeCell ref="CU25:CZ25"/>
    <mergeCell ref="DA25:DE25"/>
    <mergeCell ref="DF25:DK25"/>
    <mergeCell ref="FA24:FF24"/>
    <mergeCell ref="FG24:FK24"/>
    <mergeCell ref="FL24:FQ24"/>
    <mergeCell ref="FR24:FV24"/>
    <mergeCell ref="FW24:GB24"/>
    <mergeCell ref="GC24:GG24"/>
    <mergeCell ref="GH24:GM24"/>
    <mergeCell ref="GN24:GR24"/>
    <mergeCell ref="GS24:GW24"/>
    <mergeCell ref="FG23:FK23"/>
    <mergeCell ref="FL23:FQ23"/>
    <mergeCell ref="FR23:FV23"/>
    <mergeCell ref="FW23:GB23"/>
    <mergeCell ref="GC23:GG23"/>
    <mergeCell ref="GH23:GM23"/>
    <mergeCell ref="GN23:GR23"/>
    <mergeCell ref="GS23:GW23"/>
    <mergeCell ref="B24:K24"/>
    <mergeCell ref="L24:BV24"/>
    <mergeCell ref="BW24:CD24"/>
    <mergeCell ref="CE24:CI24"/>
    <mergeCell ref="CJ24:CO24"/>
    <mergeCell ref="CP24:CT24"/>
    <mergeCell ref="CU24:CZ24"/>
    <mergeCell ref="DA24:DE24"/>
    <mergeCell ref="DF24:DK24"/>
    <mergeCell ref="DL24:DQ24"/>
    <mergeCell ref="DR24:DV24"/>
    <mergeCell ref="DW24:EB24"/>
    <mergeCell ref="EC24:EG24"/>
    <mergeCell ref="EH24:EM24"/>
    <mergeCell ref="EP24:EU24"/>
    <mergeCell ref="EV24:EZ24"/>
    <mergeCell ref="FL22:FQ22"/>
    <mergeCell ref="FR22:FV22"/>
    <mergeCell ref="FW22:GB22"/>
    <mergeCell ref="GC22:GG22"/>
    <mergeCell ref="GH22:GM22"/>
    <mergeCell ref="GN22:GR22"/>
    <mergeCell ref="GS22:GW22"/>
    <mergeCell ref="B23:K23"/>
    <mergeCell ref="L23:BV23"/>
    <mergeCell ref="BW23:CD23"/>
    <mergeCell ref="CE23:CI23"/>
    <mergeCell ref="CJ23:CO23"/>
    <mergeCell ref="CP23:CT23"/>
    <mergeCell ref="CU23:CZ23"/>
    <mergeCell ref="DA23:DE23"/>
    <mergeCell ref="DF23:DK23"/>
    <mergeCell ref="DL23:DQ23"/>
    <mergeCell ref="DR23:DV23"/>
    <mergeCell ref="DW23:EB23"/>
    <mergeCell ref="EC23:EG23"/>
    <mergeCell ref="EH23:EM23"/>
    <mergeCell ref="EP23:EU23"/>
    <mergeCell ref="EV23:EZ23"/>
    <mergeCell ref="FA23:FF23"/>
    <mergeCell ref="DL22:DQ22"/>
    <mergeCell ref="DR22:DV22"/>
    <mergeCell ref="DW22:EB22"/>
    <mergeCell ref="EC22:EG22"/>
    <mergeCell ref="EH22:EM22"/>
    <mergeCell ref="EP22:EU22"/>
    <mergeCell ref="EV22:EZ22"/>
    <mergeCell ref="FA22:FF22"/>
    <mergeCell ref="FG22:FK22"/>
    <mergeCell ref="B22:K22"/>
    <mergeCell ref="L22:BV22"/>
    <mergeCell ref="BW22:CD22"/>
    <mergeCell ref="CE22:CI22"/>
    <mergeCell ref="CJ22:CO22"/>
    <mergeCell ref="CP22:CT22"/>
    <mergeCell ref="CU22:CZ22"/>
    <mergeCell ref="DA22:DE22"/>
    <mergeCell ref="DF22:DK22"/>
    <mergeCell ref="FA21:FF21"/>
    <mergeCell ref="FG21:FK21"/>
    <mergeCell ref="FL21:FQ21"/>
    <mergeCell ref="FR21:FV21"/>
    <mergeCell ref="FW21:GB21"/>
    <mergeCell ref="GC21:GG21"/>
    <mergeCell ref="GH21:GM21"/>
    <mergeCell ref="GN21:GR21"/>
    <mergeCell ref="GS21:GW21"/>
    <mergeCell ref="FG20:FK20"/>
    <mergeCell ref="FL20:FQ20"/>
    <mergeCell ref="FR20:FV20"/>
    <mergeCell ref="FW20:GB20"/>
    <mergeCell ref="GC20:GG20"/>
    <mergeCell ref="GH20:GM20"/>
    <mergeCell ref="GN20:GR20"/>
    <mergeCell ref="GS20:GW20"/>
    <mergeCell ref="B21:K21"/>
    <mergeCell ref="L21:BV21"/>
    <mergeCell ref="BW21:CD21"/>
    <mergeCell ref="CE21:CI21"/>
    <mergeCell ref="CJ21:CO21"/>
    <mergeCell ref="CP21:CT21"/>
    <mergeCell ref="CU21:CZ21"/>
    <mergeCell ref="DA21:DE21"/>
    <mergeCell ref="DF21:DK21"/>
    <mergeCell ref="DL21:DQ21"/>
    <mergeCell ref="DR21:DV21"/>
    <mergeCell ref="DW21:EB21"/>
    <mergeCell ref="EC21:EG21"/>
    <mergeCell ref="EH21:EM21"/>
    <mergeCell ref="EP21:EU21"/>
    <mergeCell ref="EV21:EZ21"/>
    <mergeCell ref="FL19:FQ19"/>
    <mergeCell ref="FR19:FV19"/>
    <mergeCell ref="FW19:GB19"/>
    <mergeCell ref="GC19:GG19"/>
    <mergeCell ref="GH19:GM19"/>
    <mergeCell ref="GN19:GR19"/>
    <mergeCell ref="GS19:GW19"/>
    <mergeCell ref="B20:K20"/>
    <mergeCell ref="L20:BV20"/>
    <mergeCell ref="BW20:CD20"/>
    <mergeCell ref="CE20:CI20"/>
    <mergeCell ref="CJ20:CO20"/>
    <mergeCell ref="CP20:CT20"/>
    <mergeCell ref="CU20:CZ20"/>
    <mergeCell ref="DA20:DE20"/>
    <mergeCell ref="DF20:DK20"/>
    <mergeCell ref="DL20:DQ20"/>
    <mergeCell ref="DR20:DV20"/>
    <mergeCell ref="DW20:EB20"/>
    <mergeCell ref="EC20:EG20"/>
    <mergeCell ref="EH20:EM20"/>
    <mergeCell ref="EP20:EU20"/>
    <mergeCell ref="EV20:EZ20"/>
    <mergeCell ref="FA20:FF20"/>
    <mergeCell ref="DL19:DQ19"/>
    <mergeCell ref="DR19:DV19"/>
    <mergeCell ref="DW19:EB19"/>
    <mergeCell ref="EC19:EG19"/>
    <mergeCell ref="EH19:EM19"/>
    <mergeCell ref="EP19:EU19"/>
    <mergeCell ref="EV19:EZ19"/>
    <mergeCell ref="FA19:FF19"/>
    <mergeCell ref="FG19:FK19"/>
    <mergeCell ref="B19:K19"/>
    <mergeCell ref="L19:BV19"/>
    <mergeCell ref="BW19:CD19"/>
    <mergeCell ref="CE19:CI19"/>
    <mergeCell ref="CJ19:CO19"/>
    <mergeCell ref="CP19:CT19"/>
    <mergeCell ref="CU19:CZ19"/>
    <mergeCell ref="DA19:DE19"/>
    <mergeCell ref="DF19:DK19"/>
    <mergeCell ref="FA18:FF18"/>
    <mergeCell ref="FG18:FK18"/>
    <mergeCell ref="FL18:FQ18"/>
    <mergeCell ref="FR18:FV18"/>
    <mergeCell ref="FW18:GB18"/>
    <mergeCell ref="GC18:GG18"/>
    <mergeCell ref="GH18:GM18"/>
    <mergeCell ref="GN18:GR18"/>
    <mergeCell ref="GS18:GW18"/>
    <mergeCell ref="FG17:FK17"/>
    <mergeCell ref="FL17:FQ17"/>
    <mergeCell ref="FR17:FV17"/>
    <mergeCell ref="FW17:GB17"/>
    <mergeCell ref="GC17:GG17"/>
    <mergeCell ref="GH17:GM17"/>
    <mergeCell ref="GN17:GR17"/>
    <mergeCell ref="GS17:GW17"/>
    <mergeCell ref="B18:K18"/>
    <mergeCell ref="L18:BV18"/>
    <mergeCell ref="BW18:CD18"/>
    <mergeCell ref="CE18:CI18"/>
    <mergeCell ref="CJ18:CO18"/>
    <mergeCell ref="CP18:CT18"/>
    <mergeCell ref="CU18:CZ18"/>
    <mergeCell ref="DA18:DE18"/>
    <mergeCell ref="DF18:DK18"/>
    <mergeCell ref="DL18:DQ18"/>
    <mergeCell ref="DR18:DV18"/>
    <mergeCell ref="DW18:EB18"/>
    <mergeCell ref="EC18:EG18"/>
    <mergeCell ref="EH18:EM18"/>
    <mergeCell ref="EP18:EU18"/>
    <mergeCell ref="EV18:EZ18"/>
    <mergeCell ref="FL16:FQ16"/>
    <mergeCell ref="FR16:FV16"/>
    <mergeCell ref="FW16:GB16"/>
    <mergeCell ref="GC16:GG16"/>
    <mergeCell ref="GH16:GM16"/>
    <mergeCell ref="GN16:GR16"/>
    <mergeCell ref="GS16:GW16"/>
    <mergeCell ref="B17:K17"/>
    <mergeCell ref="L17:BV17"/>
    <mergeCell ref="BW17:CD17"/>
    <mergeCell ref="CE17:CI17"/>
    <mergeCell ref="CJ17:CO17"/>
    <mergeCell ref="CP17:CT17"/>
    <mergeCell ref="CU17:CZ17"/>
    <mergeCell ref="DA17:DE17"/>
    <mergeCell ref="DF17:DK17"/>
    <mergeCell ref="DL17:DQ17"/>
    <mergeCell ref="DR17:DV17"/>
    <mergeCell ref="DW17:EB17"/>
    <mergeCell ref="EC17:EG17"/>
    <mergeCell ref="EH17:EM17"/>
    <mergeCell ref="EP17:EU17"/>
    <mergeCell ref="EV17:EZ17"/>
    <mergeCell ref="FA17:FF17"/>
    <mergeCell ref="DL16:DQ16"/>
    <mergeCell ref="DR16:DV16"/>
    <mergeCell ref="DW16:EB16"/>
    <mergeCell ref="EC16:EG16"/>
    <mergeCell ref="EH16:EM16"/>
    <mergeCell ref="EP16:EU16"/>
    <mergeCell ref="EV16:EZ16"/>
    <mergeCell ref="FA16:FF16"/>
    <mergeCell ref="FG16:FK16"/>
    <mergeCell ref="B16:K16"/>
    <mergeCell ref="L16:BV16"/>
    <mergeCell ref="BW16:CD16"/>
    <mergeCell ref="CE16:CI16"/>
    <mergeCell ref="CJ16:CO16"/>
    <mergeCell ref="CP16:CT16"/>
    <mergeCell ref="CU16:CZ16"/>
    <mergeCell ref="DA16:DE16"/>
    <mergeCell ref="DF16:DK16"/>
    <mergeCell ref="FA15:FF15"/>
    <mergeCell ref="FG15:FK15"/>
    <mergeCell ref="FL15:FQ15"/>
    <mergeCell ref="FR15:FV15"/>
    <mergeCell ref="FW15:GB15"/>
    <mergeCell ref="GC15:GG15"/>
    <mergeCell ref="GH15:GM15"/>
    <mergeCell ref="GN15:GR15"/>
    <mergeCell ref="GS15:GW15"/>
    <mergeCell ref="FG14:FK14"/>
    <mergeCell ref="FL14:FQ14"/>
    <mergeCell ref="FR14:FV14"/>
    <mergeCell ref="FW14:GB14"/>
    <mergeCell ref="GC14:GG14"/>
    <mergeCell ref="GH14:GM14"/>
    <mergeCell ref="GN14:GR14"/>
    <mergeCell ref="GS14:GW14"/>
    <mergeCell ref="B15:K15"/>
    <mergeCell ref="L15:BV15"/>
    <mergeCell ref="BW15:CD15"/>
    <mergeCell ref="CE15:CI15"/>
    <mergeCell ref="CJ15:CO15"/>
    <mergeCell ref="CP15:CT15"/>
    <mergeCell ref="CU15:CZ15"/>
    <mergeCell ref="DA15:DE15"/>
    <mergeCell ref="DF15:DK15"/>
    <mergeCell ref="DL15:DQ15"/>
    <mergeCell ref="DR15:DV15"/>
    <mergeCell ref="DW15:EB15"/>
    <mergeCell ref="EC15:EG15"/>
    <mergeCell ref="EH15:EM15"/>
    <mergeCell ref="EP15:EU15"/>
    <mergeCell ref="EV15:EZ15"/>
    <mergeCell ref="FL13:FQ13"/>
    <mergeCell ref="FR13:FV13"/>
    <mergeCell ref="FW13:GB13"/>
    <mergeCell ref="GC13:GG13"/>
    <mergeCell ref="GH13:GM13"/>
    <mergeCell ref="GN13:GR13"/>
    <mergeCell ref="GS13:GW13"/>
    <mergeCell ref="B14:K14"/>
    <mergeCell ref="L14:BV14"/>
    <mergeCell ref="BW14:CD14"/>
    <mergeCell ref="CE14:CI14"/>
    <mergeCell ref="CJ14:CO14"/>
    <mergeCell ref="CP14:CT14"/>
    <mergeCell ref="CU14:CZ14"/>
    <mergeCell ref="DA14:DE14"/>
    <mergeCell ref="DF14:DK14"/>
    <mergeCell ref="DL14:DQ14"/>
    <mergeCell ref="DR14:DV14"/>
    <mergeCell ref="DW14:EB14"/>
    <mergeCell ref="EC14:EG14"/>
    <mergeCell ref="EH14:EM14"/>
    <mergeCell ref="EP14:EU14"/>
    <mergeCell ref="EV14:EZ14"/>
    <mergeCell ref="FA14:FF14"/>
    <mergeCell ref="DL13:DQ13"/>
    <mergeCell ref="DR13:DV13"/>
    <mergeCell ref="DW13:EB13"/>
    <mergeCell ref="EC13:EG13"/>
    <mergeCell ref="EH13:EM13"/>
    <mergeCell ref="EP13:EU13"/>
    <mergeCell ref="EV13:EZ13"/>
    <mergeCell ref="FA13:FF13"/>
    <mergeCell ref="FG13:FK13"/>
    <mergeCell ref="B13:K13"/>
    <mergeCell ref="L13:BV13"/>
    <mergeCell ref="BW13:CD13"/>
    <mergeCell ref="CE13:CI13"/>
    <mergeCell ref="CJ13:CO13"/>
    <mergeCell ref="CP13:CT13"/>
    <mergeCell ref="CU13:CZ13"/>
    <mergeCell ref="DA13:DE13"/>
    <mergeCell ref="DF13:DK13"/>
    <mergeCell ref="FA12:FF12"/>
    <mergeCell ref="FG12:FK12"/>
    <mergeCell ref="FL12:FQ12"/>
    <mergeCell ref="FR12:FV12"/>
    <mergeCell ref="FW12:GB12"/>
    <mergeCell ref="GC12:GG12"/>
    <mergeCell ref="GH12:GM12"/>
    <mergeCell ref="GN12:GR12"/>
    <mergeCell ref="GS12:GW12"/>
    <mergeCell ref="FG11:FK11"/>
    <mergeCell ref="FL11:FQ11"/>
    <mergeCell ref="FR11:FV11"/>
    <mergeCell ref="FW11:GB11"/>
    <mergeCell ref="GC11:GG11"/>
    <mergeCell ref="GH11:GM11"/>
    <mergeCell ref="GN11:GR11"/>
    <mergeCell ref="GS11:GW11"/>
    <mergeCell ref="B12:K12"/>
    <mergeCell ref="L12:BV12"/>
    <mergeCell ref="BW12:CD12"/>
    <mergeCell ref="CE12:CI12"/>
    <mergeCell ref="CJ12:CO12"/>
    <mergeCell ref="CP12:CT12"/>
    <mergeCell ref="CU12:CZ12"/>
    <mergeCell ref="DA12:DE12"/>
    <mergeCell ref="DF12:DK12"/>
    <mergeCell ref="DL12:DQ12"/>
    <mergeCell ref="DR12:DV12"/>
    <mergeCell ref="DW12:EB12"/>
    <mergeCell ref="EC12:EG12"/>
    <mergeCell ref="EH12:EM12"/>
    <mergeCell ref="EP12:EU12"/>
    <mergeCell ref="EV12:EZ12"/>
    <mergeCell ref="FL10:FQ10"/>
    <mergeCell ref="FR10:FV10"/>
    <mergeCell ref="FW10:GB10"/>
    <mergeCell ref="GC10:GG10"/>
    <mergeCell ref="GH10:GM10"/>
    <mergeCell ref="GN10:GR10"/>
    <mergeCell ref="GS10:GW10"/>
    <mergeCell ref="B11:K11"/>
    <mergeCell ref="L11:BV11"/>
    <mergeCell ref="BW11:CD11"/>
    <mergeCell ref="CE11:CI11"/>
    <mergeCell ref="CJ11:CO11"/>
    <mergeCell ref="CP11:CT11"/>
    <mergeCell ref="CU11:CZ11"/>
    <mergeCell ref="DA11:DE11"/>
    <mergeCell ref="DF11:DK11"/>
    <mergeCell ref="DL11:DQ11"/>
    <mergeCell ref="DR11:DV11"/>
    <mergeCell ref="DW11:EB11"/>
    <mergeCell ref="EC11:EG11"/>
    <mergeCell ref="EH11:EM11"/>
    <mergeCell ref="EP11:EU11"/>
    <mergeCell ref="EV11:EZ11"/>
    <mergeCell ref="FA11:FF11"/>
    <mergeCell ref="DL10:DQ10"/>
    <mergeCell ref="DR10:DV10"/>
    <mergeCell ref="DW10:EB10"/>
    <mergeCell ref="EC10:EG10"/>
    <mergeCell ref="EH10:EM10"/>
    <mergeCell ref="EP10:EU10"/>
    <mergeCell ref="EV10:EZ10"/>
    <mergeCell ref="FA10:FF10"/>
    <mergeCell ref="FG10:FK10"/>
    <mergeCell ref="B10:K10"/>
    <mergeCell ref="L10:BV10"/>
    <mergeCell ref="BW10:CD10"/>
    <mergeCell ref="CE10:CI10"/>
    <mergeCell ref="CJ10:CO10"/>
    <mergeCell ref="CP10:CT10"/>
    <mergeCell ref="CU10:CZ10"/>
    <mergeCell ref="DA10:DE10"/>
    <mergeCell ref="DF10:DK10"/>
    <mergeCell ref="FA9:FF9"/>
    <mergeCell ref="FG9:FK9"/>
    <mergeCell ref="FL9:FQ9"/>
    <mergeCell ref="FR9:FV9"/>
    <mergeCell ref="FW9:GB9"/>
    <mergeCell ref="GC9:GG9"/>
    <mergeCell ref="GH9:GM9"/>
    <mergeCell ref="GN9:GR9"/>
    <mergeCell ref="GS9:GW9"/>
    <mergeCell ref="FG8:FK8"/>
    <mergeCell ref="FL8:FQ8"/>
    <mergeCell ref="FR8:FV8"/>
    <mergeCell ref="FW8:GB8"/>
    <mergeCell ref="GC8:GG8"/>
    <mergeCell ref="GH8:GM8"/>
    <mergeCell ref="GN8:GR8"/>
    <mergeCell ref="GS8:GW8"/>
    <mergeCell ref="B9:K9"/>
    <mergeCell ref="L9:BV9"/>
    <mergeCell ref="BW9:CD9"/>
    <mergeCell ref="CE9:CI9"/>
    <mergeCell ref="CJ9:CO9"/>
    <mergeCell ref="CP9:CT9"/>
    <mergeCell ref="CU9:CZ9"/>
    <mergeCell ref="DA9:DE9"/>
    <mergeCell ref="DF9:DK9"/>
    <mergeCell ref="DL9:DQ9"/>
    <mergeCell ref="DR9:DV9"/>
    <mergeCell ref="DW9:EB9"/>
    <mergeCell ref="EC9:EG9"/>
    <mergeCell ref="EH9:EM9"/>
    <mergeCell ref="EP9:EU9"/>
    <mergeCell ref="EV9:EZ9"/>
    <mergeCell ref="FL7:FQ7"/>
    <mergeCell ref="FR7:FV7"/>
    <mergeCell ref="FW7:GB7"/>
    <mergeCell ref="GC7:GG7"/>
    <mergeCell ref="GH7:GM7"/>
    <mergeCell ref="GN7:GR7"/>
    <mergeCell ref="GS7:GW7"/>
    <mergeCell ref="B8:K8"/>
    <mergeCell ref="L8:BV8"/>
    <mergeCell ref="BW8:CD8"/>
    <mergeCell ref="CE8:CI8"/>
    <mergeCell ref="CJ8:CO8"/>
    <mergeCell ref="CP8:CT8"/>
    <mergeCell ref="CU8:CZ8"/>
    <mergeCell ref="DA8:DE8"/>
    <mergeCell ref="DF8:DK8"/>
    <mergeCell ref="DL8:DQ8"/>
    <mergeCell ref="DR8:DV8"/>
    <mergeCell ref="DW8:EB8"/>
    <mergeCell ref="EC8:EG8"/>
    <mergeCell ref="EH8:EM8"/>
    <mergeCell ref="EP8:EU8"/>
    <mergeCell ref="EV8:EZ8"/>
    <mergeCell ref="FA8:FF8"/>
    <mergeCell ref="DL7:DQ7"/>
    <mergeCell ref="DR7:DV7"/>
    <mergeCell ref="DW7:EB7"/>
    <mergeCell ref="EC7:EG7"/>
    <mergeCell ref="EH7:EM7"/>
    <mergeCell ref="EP7:EU7"/>
    <mergeCell ref="EV7:EZ7"/>
    <mergeCell ref="FA7:FF7"/>
    <mergeCell ref="FG7:FK7"/>
    <mergeCell ref="B7:K7"/>
    <mergeCell ref="L7:BV7"/>
    <mergeCell ref="BW7:CD7"/>
    <mergeCell ref="CE7:CI7"/>
    <mergeCell ref="CJ7:CO7"/>
    <mergeCell ref="CP7:CT7"/>
    <mergeCell ref="CU7:CZ7"/>
    <mergeCell ref="DA7:DE7"/>
    <mergeCell ref="DF7:DK7"/>
    <mergeCell ref="EY4:FC4"/>
    <mergeCell ref="FD4:FI4"/>
    <mergeCell ref="FJ4:FN4"/>
    <mergeCell ref="FO4:FS4"/>
    <mergeCell ref="FT4:GW4"/>
    <mergeCell ref="B5:K6"/>
    <mergeCell ref="L5:BV6"/>
    <mergeCell ref="BW5:CD6"/>
    <mergeCell ref="CE5:GW5"/>
    <mergeCell ref="CE6:EM6"/>
    <mergeCell ref="EN6:GW6"/>
    <mergeCell ref="J2:AJ2"/>
    <mergeCell ref="AK2:AR2"/>
    <mergeCell ref="AT2:CS2"/>
    <mergeCell ref="CW2:DC2"/>
    <mergeCell ref="DE2:EU2"/>
    <mergeCell ref="BA4:BF4"/>
    <mergeCell ref="BG4:BK4"/>
    <mergeCell ref="BL4:BQ4"/>
    <mergeCell ref="BR4:BV4"/>
    <mergeCell ref="BW4:CB4"/>
    <mergeCell ref="CC4:CG4"/>
    <mergeCell ref="CH4:CM4"/>
    <mergeCell ref="CN4:CR4"/>
    <mergeCell ref="CS4:CX4"/>
    <mergeCell ref="CY4:DC4"/>
    <mergeCell ref="DD4:DI4"/>
    <mergeCell ref="DL4:DQ4"/>
    <mergeCell ref="DR4:DV4"/>
    <mergeCell ref="DW4:EB4"/>
    <mergeCell ref="EC4:EG4"/>
    <mergeCell ref="EH4:EM4"/>
    <mergeCell ref="EN4:ER4"/>
    <mergeCell ref="ES4:EX4"/>
  </mergeCells>
  <pageMargins left="0.70833333333333304" right="0.70833333333333304" top="0.78749999999999998" bottom="0.78749999999999998" header="0.51180555555555496" footer="0.51180555555555496"/>
  <pageSetup paperSize="9" firstPageNumber="0" orientation="portrait" horizontalDpi="300" verticalDpi="300"/>
  <rowBreaks count="1" manualBreakCount="1">
    <brk id="34" max="16383" man="1"/>
  </rowBreaks>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Normal="100" workbookViewId="0"/>
  </sheetViews>
  <sheetFormatPr defaultRowHeight="15" x14ac:dyDescent="0.25"/>
  <cols>
    <col min="1" max="1025" width="0.42578125" customWidth="1"/>
  </cols>
  <sheetData>
    <row r="1" spans="1:205" ht="3.75" customHeight="1" x14ac:dyDescent="0.25">
      <c r="A1" s="642"/>
    </row>
    <row r="2" spans="1:205" ht="25.5" customHeight="1" x14ac:dyDescent="0.25">
      <c r="B2" s="643"/>
      <c r="C2" s="644"/>
      <c r="D2" s="644"/>
      <c r="E2" s="644"/>
      <c r="F2" s="644"/>
      <c r="G2" s="644"/>
      <c r="H2" s="644"/>
      <c r="J2" s="957" t="s">
        <v>5356</v>
      </c>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J2" s="957"/>
      <c r="AK2" s="958" t="s">
        <v>2327</v>
      </c>
      <c r="AL2" s="958"/>
      <c r="AM2" s="958"/>
      <c r="AN2" s="958"/>
      <c r="AO2" s="958"/>
      <c r="AP2" s="958"/>
      <c r="AQ2" s="958"/>
      <c r="AR2" s="958"/>
      <c r="AS2" s="645"/>
      <c r="AT2" s="986" t="str">
        <f>'S 002'!$AT$2</f>
        <v>2020473411</v>
      </c>
      <c r="AU2" s="986"/>
      <c r="AV2" s="986"/>
      <c r="AW2" s="986"/>
      <c r="AX2" s="986"/>
      <c r="AY2" s="986"/>
      <c r="AZ2" s="986"/>
      <c r="BA2" s="986"/>
      <c r="BB2" s="986"/>
      <c r="BC2" s="986"/>
      <c r="BD2" s="986"/>
      <c r="BE2" s="986"/>
      <c r="BF2" s="986"/>
      <c r="BG2" s="986"/>
      <c r="BH2" s="986"/>
      <c r="BI2" s="986"/>
      <c r="BJ2" s="986"/>
      <c r="BK2" s="986"/>
      <c r="BL2" s="986"/>
      <c r="BM2" s="986"/>
      <c r="BN2" s="986"/>
      <c r="BO2" s="986"/>
      <c r="BP2" s="986"/>
      <c r="BQ2" s="986"/>
      <c r="BR2" s="986"/>
      <c r="BS2" s="986"/>
      <c r="BT2" s="986"/>
      <c r="BU2" s="986"/>
      <c r="BV2" s="986"/>
      <c r="BW2" s="986"/>
      <c r="BX2" s="986"/>
      <c r="BY2" s="986"/>
      <c r="BZ2" s="986"/>
      <c r="CA2" s="986"/>
      <c r="CB2" s="986"/>
      <c r="CC2" s="986"/>
      <c r="CD2" s="986"/>
      <c r="CE2" s="986"/>
      <c r="CF2" s="986"/>
      <c r="CG2" s="986"/>
      <c r="CH2" s="986"/>
      <c r="CI2" s="986"/>
      <c r="CJ2" s="986"/>
      <c r="CK2" s="986"/>
      <c r="CL2" s="986"/>
      <c r="CM2" s="986"/>
      <c r="CN2" s="986"/>
      <c r="CO2" s="986"/>
      <c r="CP2" s="986"/>
      <c r="CQ2" s="986"/>
      <c r="CR2" s="986"/>
      <c r="CS2" s="986"/>
      <c r="CT2" s="645"/>
      <c r="CU2" s="646"/>
      <c r="CW2" s="958" t="s">
        <v>5</v>
      </c>
      <c r="CX2" s="958"/>
      <c r="CY2" s="958"/>
      <c r="CZ2" s="958"/>
      <c r="DA2" s="958"/>
      <c r="DB2" s="958"/>
      <c r="DC2" s="958"/>
      <c r="DD2" s="645"/>
      <c r="DE2" s="986" t="str">
        <f>'S 002'!$DE$2</f>
        <v>00651052</v>
      </c>
      <c r="DF2" s="986"/>
      <c r="DG2" s="986"/>
      <c r="DH2" s="986"/>
      <c r="DI2" s="986"/>
      <c r="DJ2" s="986"/>
      <c r="DK2" s="986"/>
      <c r="DL2" s="986"/>
      <c r="DM2" s="986"/>
      <c r="DN2" s="986"/>
      <c r="DO2" s="986"/>
      <c r="DP2" s="986"/>
      <c r="DQ2" s="986"/>
      <c r="DR2" s="986"/>
      <c r="DS2" s="986"/>
      <c r="DT2" s="986"/>
      <c r="DU2" s="986"/>
      <c r="DV2" s="986"/>
      <c r="DW2" s="986"/>
      <c r="DX2" s="986"/>
      <c r="DY2" s="986"/>
      <c r="DZ2" s="986"/>
      <c r="EA2" s="986"/>
      <c r="EB2" s="986"/>
      <c r="EC2" s="986"/>
      <c r="ED2" s="986"/>
      <c r="EE2" s="986"/>
      <c r="EF2" s="986"/>
      <c r="EG2" s="986"/>
      <c r="EH2" s="986"/>
      <c r="EI2" s="986"/>
      <c r="EJ2" s="986"/>
      <c r="EK2" s="986"/>
      <c r="EL2" s="986"/>
      <c r="EM2" s="986"/>
      <c r="EN2" s="986"/>
      <c r="EO2" s="986"/>
      <c r="EP2" s="986"/>
      <c r="EQ2" s="986"/>
      <c r="ER2" s="986"/>
      <c r="ES2" s="986"/>
      <c r="ET2" s="986"/>
      <c r="EU2" s="986"/>
      <c r="EV2" s="645"/>
      <c r="EW2" s="646"/>
      <c r="GQ2" s="644"/>
      <c r="GR2" s="644"/>
      <c r="GS2" s="644"/>
      <c r="GT2" s="644"/>
      <c r="GU2" s="644"/>
      <c r="GV2" s="644"/>
      <c r="GW2" s="647"/>
    </row>
    <row r="3" spans="1:205" ht="3" customHeight="1" x14ac:dyDescent="0.25"/>
    <row r="4" spans="1:205" s="650" customFormat="1" ht="2.25" customHeight="1" x14ac:dyDescent="0.3">
      <c r="B4" s="670"/>
      <c r="C4" s="670"/>
      <c r="D4" s="670"/>
      <c r="E4" s="670"/>
      <c r="F4" s="670"/>
      <c r="G4" s="670"/>
      <c r="H4" s="670"/>
      <c r="I4" s="670"/>
      <c r="J4" s="670"/>
      <c r="K4" s="670"/>
      <c r="L4" s="671"/>
      <c r="M4" s="672"/>
      <c r="N4" s="672"/>
      <c r="O4" s="672"/>
      <c r="P4" s="672"/>
      <c r="Q4" s="672"/>
      <c r="R4" s="672"/>
      <c r="S4" s="672"/>
      <c r="T4" s="672"/>
      <c r="U4" s="672"/>
      <c r="V4" s="672"/>
      <c r="W4" s="672"/>
      <c r="X4" s="672"/>
      <c r="Y4" s="672"/>
      <c r="Z4" s="672"/>
      <c r="AA4" s="672"/>
      <c r="AB4" s="672"/>
      <c r="AC4" s="672"/>
      <c r="AD4" s="672"/>
      <c r="AE4" s="672"/>
      <c r="AF4" s="672"/>
      <c r="AG4" s="672"/>
      <c r="AH4" s="672"/>
      <c r="AI4" s="672"/>
      <c r="AJ4" s="672"/>
      <c r="AK4" s="672"/>
      <c r="AL4" s="672"/>
      <c r="AM4" s="672"/>
      <c r="AN4" s="672"/>
      <c r="AO4" s="672"/>
      <c r="AP4" s="672"/>
      <c r="AQ4" s="673"/>
      <c r="AR4" s="673"/>
      <c r="AS4" s="673"/>
      <c r="AT4" s="673"/>
      <c r="AU4" s="673"/>
      <c r="AV4" s="673"/>
      <c r="AW4" s="673"/>
      <c r="AX4" s="673"/>
      <c r="AY4" s="674"/>
      <c r="AZ4" s="664"/>
      <c r="BA4" s="995"/>
      <c r="BB4" s="995"/>
      <c r="BC4" s="995"/>
      <c r="BD4" s="995"/>
      <c r="BE4" s="995"/>
      <c r="BF4" s="995"/>
      <c r="BG4" s="995"/>
      <c r="BH4" s="995"/>
      <c r="BI4" s="995"/>
      <c r="BJ4" s="995"/>
      <c r="BK4" s="995"/>
      <c r="BL4" s="995"/>
      <c r="BM4" s="995"/>
      <c r="BN4" s="995"/>
      <c r="BO4" s="995"/>
      <c r="BP4" s="995"/>
      <c r="BQ4" s="995"/>
      <c r="BR4" s="995"/>
      <c r="BS4" s="995"/>
      <c r="BT4" s="995"/>
      <c r="BU4" s="995"/>
      <c r="BV4" s="995"/>
      <c r="BW4" s="995"/>
      <c r="BX4" s="995"/>
      <c r="BY4" s="995"/>
      <c r="BZ4" s="995"/>
      <c r="CA4" s="995"/>
      <c r="CB4" s="995"/>
      <c r="CC4" s="995"/>
      <c r="CD4" s="995"/>
      <c r="CE4" s="995"/>
      <c r="CF4" s="995"/>
      <c r="CG4" s="995"/>
      <c r="CH4" s="995"/>
      <c r="CI4" s="995"/>
      <c r="CJ4" s="995"/>
      <c r="CK4" s="995"/>
      <c r="CL4" s="995"/>
      <c r="CM4" s="995"/>
      <c r="CN4" s="995"/>
      <c r="CO4" s="995"/>
      <c r="CP4" s="995"/>
      <c r="CQ4" s="995"/>
      <c r="CR4" s="995"/>
      <c r="CS4" s="995"/>
      <c r="CT4" s="995"/>
      <c r="CU4" s="995"/>
      <c r="CV4" s="995"/>
      <c r="CW4" s="995"/>
      <c r="CX4" s="995"/>
      <c r="CY4" s="995"/>
      <c r="CZ4" s="995"/>
      <c r="DA4" s="995"/>
      <c r="DB4" s="995"/>
      <c r="DC4" s="995"/>
      <c r="DD4" s="1006"/>
      <c r="DE4" s="1006"/>
      <c r="DF4" s="1006"/>
      <c r="DG4" s="1006"/>
      <c r="DH4" s="1006"/>
      <c r="DI4" s="1006"/>
      <c r="DJ4" s="674"/>
      <c r="DK4" s="664"/>
      <c r="DL4" s="995"/>
      <c r="DM4" s="995"/>
      <c r="DN4" s="995"/>
      <c r="DO4" s="995"/>
      <c r="DP4" s="995"/>
      <c r="DQ4" s="995"/>
      <c r="DR4" s="995"/>
      <c r="DS4" s="995"/>
      <c r="DT4" s="995"/>
      <c r="DU4" s="995"/>
      <c r="DV4" s="995"/>
      <c r="DW4" s="995"/>
      <c r="DX4" s="995"/>
      <c r="DY4" s="995"/>
      <c r="DZ4" s="995"/>
      <c r="EA4" s="995"/>
      <c r="EB4" s="995"/>
      <c r="EC4" s="995"/>
      <c r="ED4" s="995"/>
      <c r="EE4" s="995"/>
      <c r="EF4" s="995"/>
      <c r="EG4" s="995"/>
      <c r="EH4" s="995"/>
      <c r="EI4" s="995"/>
      <c r="EJ4" s="995"/>
      <c r="EK4" s="995"/>
      <c r="EL4" s="995"/>
      <c r="EM4" s="995"/>
      <c r="EN4" s="995"/>
      <c r="EO4" s="995"/>
      <c r="EP4" s="995"/>
      <c r="EQ4" s="995"/>
      <c r="ER4" s="995"/>
      <c r="ES4" s="995"/>
      <c r="ET4" s="995"/>
      <c r="EU4" s="995"/>
      <c r="EV4" s="995"/>
      <c r="EW4" s="995"/>
      <c r="EX4" s="995"/>
      <c r="EY4" s="995"/>
      <c r="EZ4" s="995"/>
      <c r="FA4" s="995"/>
      <c r="FB4" s="995"/>
      <c r="FC4" s="995"/>
      <c r="FD4" s="995"/>
      <c r="FE4" s="995"/>
      <c r="FF4" s="995"/>
      <c r="FG4" s="995"/>
      <c r="FH4" s="995"/>
      <c r="FI4" s="995"/>
      <c r="FJ4" s="995"/>
      <c r="FK4" s="995"/>
      <c r="FL4" s="995"/>
      <c r="FM4" s="995"/>
      <c r="FN4" s="995"/>
      <c r="FO4" s="1007"/>
      <c r="FP4" s="1007"/>
      <c r="FQ4" s="1007"/>
      <c r="FR4" s="1007"/>
      <c r="FS4" s="1007"/>
      <c r="FT4" s="1008"/>
      <c r="FU4" s="1008"/>
      <c r="FV4" s="1008"/>
      <c r="FW4" s="1008"/>
      <c r="FX4" s="1008"/>
      <c r="FY4" s="1008"/>
      <c r="FZ4" s="1008"/>
      <c r="GA4" s="1008"/>
      <c r="GB4" s="1008"/>
      <c r="GC4" s="1008"/>
      <c r="GD4" s="1008"/>
      <c r="GE4" s="1008"/>
      <c r="GF4" s="1008"/>
      <c r="GG4" s="1008"/>
      <c r="GH4" s="1008"/>
      <c r="GI4" s="1008"/>
      <c r="GJ4" s="1008"/>
      <c r="GK4" s="1008"/>
      <c r="GL4" s="1008"/>
      <c r="GM4" s="1008"/>
      <c r="GN4" s="1008"/>
      <c r="GO4" s="1008"/>
      <c r="GP4" s="1008"/>
      <c r="GQ4" s="1008"/>
      <c r="GR4" s="1008"/>
      <c r="GS4" s="1008"/>
      <c r="GT4" s="1008"/>
      <c r="GU4" s="1008"/>
      <c r="GV4" s="1008"/>
      <c r="GW4" s="1008"/>
    </row>
    <row r="5" spans="1:205" ht="11.25" customHeight="1" x14ac:dyDescent="0.25">
      <c r="A5" s="650"/>
      <c r="B5" s="998" t="s">
        <v>5349</v>
      </c>
      <c r="C5" s="998"/>
      <c r="D5" s="998"/>
      <c r="E5" s="998"/>
      <c r="F5" s="998"/>
      <c r="G5" s="998"/>
      <c r="H5" s="998"/>
      <c r="I5" s="998"/>
      <c r="J5" s="998"/>
      <c r="K5" s="998"/>
      <c r="L5" s="999" t="s">
        <v>5354</v>
      </c>
      <c r="M5" s="999"/>
      <c r="N5" s="999"/>
      <c r="O5" s="999"/>
      <c r="P5" s="999"/>
      <c r="Q5" s="999"/>
      <c r="R5" s="999"/>
      <c r="S5" s="999"/>
      <c r="T5" s="999"/>
      <c r="U5" s="999"/>
      <c r="V5" s="999"/>
      <c r="W5" s="999"/>
      <c r="X5" s="999"/>
      <c r="Y5" s="999"/>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999"/>
      <c r="BI5" s="999"/>
      <c r="BJ5" s="999"/>
      <c r="BK5" s="999"/>
      <c r="BL5" s="999"/>
      <c r="BM5" s="999"/>
      <c r="BN5" s="999"/>
      <c r="BO5" s="999"/>
      <c r="BP5" s="999"/>
      <c r="BQ5" s="999"/>
      <c r="BR5" s="999"/>
      <c r="BS5" s="999"/>
      <c r="BT5" s="999"/>
      <c r="BU5" s="999"/>
      <c r="BV5" s="999"/>
      <c r="BW5" s="1000" t="str">
        <f>'S 008'!$BW$5</f>
        <v>Číslo riadku</v>
      </c>
      <c r="BX5" s="1000"/>
      <c r="BY5" s="1000"/>
      <c r="BZ5" s="1000"/>
      <c r="CA5" s="1000"/>
      <c r="CB5" s="1000"/>
      <c r="CC5" s="1000"/>
      <c r="CD5" s="1000"/>
      <c r="CE5" s="1001" t="s">
        <v>5154</v>
      </c>
      <c r="CF5" s="1001"/>
      <c r="CG5" s="1001"/>
      <c r="CH5" s="1001"/>
      <c r="CI5" s="1001"/>
      <c r="CJ5" s="1001"/>
      <c r="CK5" s="1001"/>
      <c r="CL5" s="1001"/>
      <c r="CM5" s="1001"/>
      <c r="CN5" s="1001"/>
      <c r="CO5" s="1001"/>
      <c r="CP5" s="1001"/>
      <c r="CQ5" s="1001"/>
      <c r="CR5" s="1001"/>
      <c r="CS5" s="1001"/>
      <c r="CT5" s="1001"/>
      <c r="CU5" s="1001"/>
      <c r="CV5" s="1001"/>
      <c r="CW5" s="1001"/>
      <c r="CX5" s="1001"/>
      <c r="CY5" s="1001"/>
      <c r="CZ5" s="1001"/>
      <c r="DA5" s="1001"/>
      <c r="DB5" s="1001"/>
      <c r="DC5" s="1001"/>
      <c r="DD5" s="1001"/>
      <c r="DE5" s="1001"/>
      <c r="DF5" s="1001"/>
      <c r="DG5" s="1001"/>
      <c r="DH5" s="1001"/>
      <c r="DI5" s="1001"/>
      <c r="DJ5" s="1001"/>
      <c r="DK5" s="1001"/>
      <c r="DL5" s="1001"/>
      <c r="DM5" s="1001"/>
      <c r="DN5" s="1001"/>
      <c r="DO5" s="1001"/>
      <c r="DP5" s="1001"/>
      <c r="DQ5" s="1001"/>
      <c r="DR5" s="1001"/>
      <c r="DS5" s="1001"/>
      <c r="DT5" s="1001"/>
      <c r="DU5" s="1001"/>
      <c r="DV5" s="1001"/>
      <c r="DW5" s="1001"/>
      <c r="DX5" s="1001"/>
      <c r="DY5" s="1001"/>
      <c r="DZ5" s="1001"/>
      <c r="EA5" s="1001"/>
      <c r="EB5" s="1001"/>
      <c r="EC5" s="1001"/>
      <c r="ED5" s="1001"/>
      <c r="EE5" s="1001"/>
      <c r="EF5" s="1001"/>
      <c r="EG5" s="1001"/>
      <c r="EH5" s="1001"/>
      <c r="EI5" s="1001"/>
      <c r="EJ5" s="1001"/>
      <c r="EK5" s="1001"/>
      <c r="EL5" s="1001"/>
      <c r="EM5" s="1001"/>
      <c r="EN5" s="1001"/>
      <c r="EO5" s="1001"/>
      <c r="EP5" s="1001"/>
      <c r="EQ5" s="1001"/>
      <c r="ER5" s="1001"/>
      <c r="ES5" s="1001"/>
      <c r="ET5" s="1001"/>
      <c r="EU5" s="1001"/>
      <c r="EV5" s="1001"/>
      <c r="EW5" s="1001"/>
      <c r="EX5" s="1001"/>
      <c r="EY5" s="1001"/>
      <c r="EZ5" s="1001"/>
      <c r="FA5" s="1001"/>
      <c r="FB5" s="1001"/>
      <c r="FC5" s="1001"/>
      <c r="FD5" s="1001"/>
      <c r="FE5" s="1001"/>
      <c r="FF5" s="1001"/>
      <c r="FG5" s="1001"/>
      <c r="FH5" s="1001"/>
      <c r="FI5" s="1001"/>
      <c r="FJ5" s="1001"/>
      <c r="FK5" s="1001"/>
      <c r="FL5" s="1001"/>
      <c r="FM5" s="1001"/>
      <c r="FN5" s="1001"/>
      <c r="FO5" s="1001"/>
      <c r="FP5" s="1001"/>
      <c r="FQ5" s="1001"/>
      <c r="FR5" s="1001"/>
      <c r="FS5" s="1001"/>
      <c r="FT5" s="1001"/>
      <c r="FU5" s="1001"/>
      <c r="FV5" s="1001"/>
      <c r="FW5" s="1001"/>
      <c r="FX5" s="1001"/>
      <c r="FY5" s="1001"/>
      <c r="FZ5" s="1001"/>
      <c r="GA5" s="1001"/>
      <c r="GB5" s="1001"/>
      <c r="GC5" s="1001"/>
      <c r="GD5" s="1001"/>
      <c r="GE5" s="1001"/>
      <c r="GF5" s="1001"/>
      <c r="GG5" s="1001"/>
      <c r="GH5" s="1001"/>
      <c r="GI5" s="1001"/>
      <c r="GJ5" s="1001"/>
      <c r="GK5" s="1001"/>
      <c r="GL5" s="1001"/>
      <c r="GM5" s="1001"/>
      <c r="GN5" s="1001"/>
      <c r="GO5" s="1001"/>
      <c r="GP5" s="1001"/>
      <c r="GQ5" s="1001"/>
      <c r="GR5" s="1001"/>
      <c r="GS5" s="1001"/>
      <c r="GT5" s="1001"/>
      <c r="GU5" s="1001"/>
      <c r="GV5" s="1001"/>
      <c r="GW5" s="1001"/>
    </row>
    <row r="6" spans="1:205" ht="25.5" customHeight="1" x14ac:dyDescent="0.25">
      <c r="B6" s="998"/>
      <c r="C6" s="998"/>
      <c r="D6" s="998"/>
      <c r="E6" s="998"/>
      <c r="F6" s="998"/>
      <c r="G6" s="998"/>
      <c r="H6" s="998"/>
      <c r="I6" s="998"/>
      <c r="J6" s="998"/>
      <c r="K6" s="998"/>
      <c r="L6" s="999"/>
      <c r="M6" s="999"/>
      <c r="N6" s="999"/>
      <c r="O6" s="999"/>
      <c r="P6" s="999"/>
      <c r="Q6" s="999"/>
      <c r="R6" s="999"/>
      <c r="S6" s="999"/>
      <c r="T6" s="999"/>
      <c r="U6" s="999"/>
      <c r="V6" s="999"/>
      <c r="W6" s="999"/>
      <c r="X6" s="999"/>
      <c r="Y6" s="999"/>
      <c r="Z6" s="999"/>
      <c r="AA6" s="999"/>
      <c r="AB6" s="999"/>
      <c r="AC6" s="999"/>
      <c r="AD6" s="999"/>
      <c r="AE6" s="999"/>
      <c r="AF6" s="999"/>
      <c r="AG6" s="999"/>
      <c r="AH6" s="999"/>
      <c r="AI6" s="999"/>
      <c r="AJ6" s="999"/>
      <c r="AK6" s="999"/>
      <c r="AL6" s="999"/>
      <c r="AM6" s="999"/>
      <c r="AN6" s="999"/>
      <c r="AO6" s="999"/>
      <c r="AP6" s="999"/>
      <c r="AQ6" s="999"/>
      <c r="AR6" s="999"/>
      <c r="AS6" s="999"/>
      <c r="AT6" s="999"/>
      <c r="AU6" s="999"/>
      <c r="AV6" s="999"/>
      <c r="AW6" s="999"/>
      <c r="AX6" s="999"/>
      <c r="AY6" s="999"/>
      <c r="AZ6" s="999"/>
      <c r="BA6" s="999"/>
      <c r="BB6" s="999"/>
      <c r="BC6" s="999"/>
      <c r="BD6" s="999"/>
      <c r="BE6" s="999"/>
      <c r="BF6" s="999"/>
      <c r="BG6" s="999"/>
      <c r="BH6" s="999"/>
      <c r="BI6" s="999"/>
      <c r="BJ6" s="999"/>
      <c r="BK6" s="999"/>
      <c r="BL6" s="999"/>
      <c r="BM6" s="999"/>
      <c r="BN6" s="999"/>
      <c r="BO6" s="999"/>
      <c r="BP6" s="999"/>
      <c r="BQ6" s="999"/>
      <c r="BR6" s="999"/>
      <c r="BS6" s="999"/>
      <c r="BT6" s="999"/>
      <c r="BU6" s="999"/>
      <c r="BV6" s="999"/>
      <c r="BW6" s="1000"/>
      <c r="BX6" s="1000"/>
      <c r="BY6" s="1000"/>
      <c r="BZ6" s="1000"/>
      <c r="CA6" s="1000"/>
      <c r="CB6" s="1000"/>
      <c r="CC6" s="1000"/>
      <c r="CD6" s="1000"/>
      <c r="CE6" s="1015" t="str">
        <f>'VZS 010'!CE6</f>
        <v>Bežné účtovné obdobie</v>
      </c>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6">
        <f>'VZS 010'!EN6</f>
        <v>0</v>
      </c>
      <c r="EO6" s="1016"/>
      <c r="EP6" s="1016"/>
      <c r="EQ6" s="1016"/>
      <c r="ER6" s="1016"/>
      <c r="ES6" s="1016"/>
      <c r="ET6" s="1016"/>
      <c r="EU6" s="1016"/>
      <c r="EV6" s="1016"/>
      <c r="EW6" s="1016"/>
      <c r="EX6" s="1016"/>
      <c r="EY6" s="1016"/>
      <c r="EZ6" s="1016"/>
      <c r="FA6" s="1016"/>
      <c r="FB6" s="1016"/>
      <c r="FC6" s="1016"/>
      <c r="FD6" s="1016"/>
      <c r="FE6" s="1016"/>
      <c r="FF6" s="1016"/>
      <c r="FG6" s="1016"/>
      <c r="FH6" s="1016"/>
      <c r="FI6" s="1016"/>
      <c r="FJ6" s="1016"/>
      <c r="FK6" s="1016"/>
      <c r="FL6" s="1016"/>
      <c r="FM6" s="1016"/>
      <c r="FN6" s="1016"/>
      <c r="FO6" s="1016"/>
      <c r="FP6" s="1016"/>
      <c r="FQ6" s="1016"/>
      <c r="FR6" s="1016"/>
      <c r="FS6" s="1016"/>
      <c r="FT6" s="1016"/>
      <c r="FU6" s="1016"/>
      <c r="FV6" s="1016"/>
      <c r="FW6" s="1016"/>
      <c r="FX6" s="1016"/>
      <c r="FY6" s="1016"/>
      <c r="FZ6" s="1016"/>
      <c r="GA6" s="1016"/>
      <c r="GB6" s="1016"/>
      <c r="GC6" s="1016"/>
      <c r="GD6" s="1016"/>
      <c r="GE6" s="1016"/>
      <c r="GF6" s="1016"/>
      <c r="GG6" s="1016"/>
      <c r="GH6" s="1016"/>
      <c r="GI6" s="1016"/>
      <c r="GJ6" s="1016"/>
      <c r="GK6" s="1016"/>
      <c r="GL6" s="1016"/>
      <c r="GM6" s="1016"/>
      <c r="GN6" s="1016"/>
      <c r="GO6" s="1016"/>
      <c r="GP6" s="1016"/>
      <c r="GQ6" s="1016"/>
      <c r="GR6" s="1016"/>
      <c r="GS6" s="1016"/>
      <c r="GT6" s="1016"/>
      <c r="GU6" s="1016"/>
      <c r="GV6" s="1016"/>
      <c r="GW6" s="1016"/>
    </row>
    <row r="7" spans="1:205" s="650" customFormat="1" ht="24.6" customHeight="1" x14ac:dyDescent="0.2">
      <c r="B7" s="1013" t="s">
        <v>2286</v>
      </c>
      <c r="C7" s="1013"/>
      <c r="D7" s="1013"/>
      <c r="E7" s="1013"/>
      <c r="F7" s="1013"/>
      <c r="G7" s="1013"/>
      <c r="H7" s="1013"/>
      <c r="I7" s="1013"/>
      <c r="J7" s="1013"/>
      <c r="K7" s="1013"/>
      <c r="L7" s="1005" t="str">
        <f>SUVAHAVUJ!$D$176</f>
        <v>Pridaná hodnota (r. 03 + r. 04 + r. 05 + r. 06 + r. 07)
- (r. 11 + r. 12 + r. 13 + r. 14)</v>
      </c>
      <c r="M7" s="1005"/>
      <c r="N7" s="1005"/>
      <c r="O7" s="1005"/>
      <c r="P7" s="1005"/>
      <c r="Q7" s="1005"/>
      <c r="R7" s="1005"/>
      <c r="S7" s="1005"/>
      <c r="T7" s="1005"/>
      <c r="U7" s="1005"/>
      <c r="V7" s="1005"/>
      <c r="W7" s="1005"/>
      <c r="X7" s="1005"/>
      <c r="Y7" s="1005"/>
      <c r="Z7" s="1005"/>
      <c r="AA7" s="1005"/>
      <c r="AB7" s="1005"/>
      <c r="AC7" s="1005"/>
      <c r="AD7" s="1005"/>
      <c r="AE7" s="1005"/>
      <c r="AF7" s="1005"/>
      <c r="AG7" s="1005"/>
      <c r="AH7" s="1005"/>
      <c r="AI7" s="1005"/>
      <c r="AJ7" s="1005"/>
      <c r="AK7" s="1005"/>
      <c r="AL7" s="1005"/>
      <c r="AM7" s="1005"/>
      <c r="AN7" s="1005"/>
      <c r="AO7" s="1005"/>
      <c r="AP7" s="1005"/>
      <c r="AQ7" s="1005"/>
      <c r="AR7" s="1005"/>
      <c r="AS7" s="1005"/>
      <c r="AT7" s="1005"/>
      <c r="AU7" s="1005"/>
      <c r="AV7" s="1005"/>
      <c r="AW7" s="1005"/>
      <c r="AX7" s="1005"/>
      <c r="AY7" s="1005"/>
      <c r="AZ7" s="1005"/>
      <c r="BA7" s="1005"/>
      <c r="BB7" s="1005"/>
      <c r="BC7" s="1005"/>
      <c r="BD7" s="1005"/>
      <c r="BE7" s="1005"/>
      <c r="BF7" s="1005"/>
      <c r="BG7" s="1005"/>
      <c r="BH7" s="1005"/>
      <c r="BI7" s="1005"/>
      <c r="BJ7" s="1005"/>
      <c r="BK7" s="1005"/>
      <c r="BL7" s="1005"/>
      <c r="BM7" s="1005"/>
      <c r="BN7" s="1005"/>
      <c r="BO7" s="1005"/>
      <c r="BP7" s="1005"/>
      <c r="BQ7" s="1005"/>
      <c r="BR7" s="1005"/>
      <c r="BS7" s="1005"/>
      <c r="BT7" s="1005"/>
      <c r="BU7" s="1005"/>
      <c r="BV7" s="1005"/>
      <c r="BW7" s="975" t="s">
        <v>1231</v>
      </c>
      <c r="BX7" s="975"/>
      <c r="BY7" s="975"/>
      <c r="BZ7" s="975"/>
      <c r="CA7" s="975"/>
      <c r="CB7" s="975"/>
      <c r="CC7" s="975"/>
      <c r="CD7" s="975"/>
      <c r="CE7" s="976" t="str">
        <f>MID(SUVAHAVUJ!AF176,1,1)</f>
        <v xml:space="preserve"> </v>
      </c>
      <c r="CF7" s="976"/>
      <c r="CG7" s="976"/>
      <c r="CH7" s="976"/>
      <c r="CI7" s="976"/>
      <c r="CJ7" s="976" t="str">
        <f>MID(SUVAHAVUJ!AF176,2,1)</f>
        <v xml:space="preserve"> </v>
      </c>
      <c r="CK7" s="976"/>
      <c r="CL7" s="976"/>
      <c r="CM7" s="976"/>
      <c r="CN7" s="976"/>
      <c r="CO7" s="976"/>
      <c r="CP7" s="976" t="str">
        <f>MID(SUVAHAVUJ!AF176,3,1)</f>
        <v xml:space="preserve"> </v>
      </c>
      <c r="CQ7" s="976"/>
      <c r="CR7" s="976"/>
      <c r="CS7" s="976"/>
      <c r="CT7" s="976"/>
      <c r="CU7" s="976" t="str">
        <f>MID(SUVAHAVUJ!AF176,4,1)</f>
        <v xml:space="preserve"> </v>
      </c>
      <c r="CV7" s="976"/>
      <c r="CW7" s="976"/>
      <c r="CX7" s="976"/>
      <c r="CY7" s="976"/>
      <c r="CZ7" s="976"/>
      <c r="DA7" s="976" t="str">
        <f>MID(SUVAHAVUJ!AF176,5,1)</f>
        <v xml:space="preserve"> </v>
      </c>
      <c r="DB7" s="976"/>
      <c r="DC7" s="976"/>
      <c r="DD7" s="976"/>
      <c r="DE7" s="976"/>
      <c r="DF7" s="976" t="str">
        <f>MID(SUVAHAVUJ!AF176,6,1)</f>
        <v>-</v>
      </c>
      <c r="DG7" s="976"/>
      <c r="DH7" s="976"/>
      <c r="DI7" s="976"/>
      <c r="DJ7" s="976"/>
      <c r="DK7" s="976"/>
      <c r="DL7" s="976" t="str">
        <f>MID(SUVAHAVUJ!AF176,7,1)</f>
        <v>5</v>
      </c>
      <c r="DM7" s="976"/>
      <c r="DN7" s="976"/>
      <c r="DO7" s="976"/>
      <c r="DP7" s="976"/>
      <c r="DQ7" s="976"/>
      <c r="DR7" s="976" t="str">
        <f>MID(SUVAHAVUJ!AF176,8,1)</f>
        <v>8</v>
      </c>
      <c r="DS7" s="976"/>
      <c r="DT7" s="976"/>
      <c r="DU7" s="976"/>
      <c r="DV7" s="976"/>
      <c r="DW7" s="982" t="str">
        <f>MID(SUVAHAVUJ!AF176,9,1)</f>
        <v>6</v>
      </c>
      <c r="DX7" s="982"/>
      <c r="DY7" s="982"/>
      <c r="DZ7" s="982"/>
      <c r="EA7" s="982"/>
      <c r="EB7" s="982"/>
      <c r="EC7" s="982" t="str">
        <f>MID(SUVAHAVUJ!AF176,10,1)</f>
        <v>0</v>
      </c>
      <c r="ED7" s="982"/>
      <c r="EE7" s="982"/>
      <c r="EF7" s="982"/>
      <c r="EG7" s="982"/>
      <c r="EH7" s="977" t="str">
        <f>MID(SUVAHAVUJ!AF176,11,1)</f>
        <v>2</v>
      </c>
      <c r="EI7" s="977"/>
      <c r="EJ7" s="977"/>
      <c r="EK7" s="977"/>
      <c r="EL7" s="977"/>
      <c r="EM7" s="977"/>
      <c r="EN7" s="665"/>
      <c r="EO7" s="666"/>
      <c r="EP7" s="976" t="str">
        <f>MID(SUVAHAVUJ!AG176,1,1)</f>
        <v xml:space="preserve"> </v>
      </c>
      <c r="EQ7" s="976"/>
      <c r="ER7" s="976"/>
      <c r="ES7" s="976"/>
      <c r="ET7" s="976"/>
      <c r="EU7" s="976"/>
      <c r="EV7" s="976" t="str">
        <f>MID(SUVAHAVUJ!AG176,2,1)</f>
        <v xml:space="preserve"> </v>
      </c>
      <c r="EW7" s="976"/>
      <c r="EX7" s="976"/>
      <c r="EY7" s="976"/>
      <c r="EZ7" s="976"/>
      <c r="FA7" s="976" t="str">
        <f>MID(SUVAHAVUJ!AG176,3,1)</f>
        <v xml:space="preserve"> </v>
      </c>
      <c r="FB7" s="976"/>
      <c r="FC7" s="976"/>
      <c r="FD7" s="976"/>
      <c r="FE7" s="976"/>
      <c r="FF7" s="976"/>
      <c r="FG7" s="976" t="str">
        <f>MID(SUVAHAVUJ!AG176,4,1)</f>
        <v xml:space="preserve"> </v>
      </c>
      <c r="FH7" s="976"/>
      <c r="FI7" s="976"/>
      <c r="FJ7" s="976"/>
      <c r="FK7" s="976"/>
      <c r="FL7" s="982" t="str">
        <f>MID(SUVAHAVUJ!AG176,5,1)</f>
        <v xml:space="preserve"> </v>
      </c>
      <c r="FM7" s="982"/>
      <c r="FN7" s="982"/>
      <c r="FO7" s="982"/>
      <c r="FP7" s="982"/>
      <c r="FQ7" s="982"/>
      <c r="FR7" s="982" t="str">
        <f>MID(SUVAHAVUJ!AG176,6,1)</f>
        <v>-</v>
      </c>
      <c r="FS7" s="982"/>
      <c r="FT7" s="982"/>
      <c r="FU7" s="982"/>
      <c r="FV7" s="982"/>
      <c r="FW7" s="982" t="str">
        <f>MID(SUVAHAVUJ!AG176,7,1)</f>
        <v>6</v>
      </c>
      <c r="FX7" s="982"/>
      <c r="FY7" s="982"/>
      <c r="FZ7" s="982"/>
      <c r="GA7" s="982"/>
      <c r="GB7" s="982"/>
      <c r="GC7" s="982" t="str">
        <f>MID(SUVAHAVUJ!AG176,8,1)</f>
        <v>0</v>
      </c>
      <c r="GD7" s="982"/>
      <c r="GE7" s="982"/>
      <c r="GF7" s="982"/>
      <c r="GG7" s="982"/>
      <c r="GH7" s="982" t="str">
        <f>MID(SUVAHAVUJ!AG176,9,1)</f>
        <v>3</v>
      </c>
      <c r="GI7" s="982"/>
      <c r="GJ7" s="982"/>
      <c r="GK7" s="982"/>
      <c r="GL7" s="982"/>
      <c r="GM7" s="982"/>
      <c r="GN7" s="982" t="str">
        <f>MID(SUVAHAVUJ!AG176,10,1)</f>
        <v>2</v>
      </c>
      <c r="GO7" s="982"/>
      <c r="GP7" s="982"/>
      <c r="GQ7" s="982"/>
      <c r="GR7" s="982"/>
      <c r="GS7" s="978" t="str">
        <f>MID(SUVAHAVUJ!AG176,11,1)</f>
        <v>0</v>
      </c>
      <c r="GT7" s="978"/>
      <c r="GU7" s="978"/>
      <c r="GV7" s="978"/>
      <c r="GW7" s="978"/>
    </row>
    <row r="8" spans="1:205" ht="24.6" customHeight="1" x14ac:dyDescent="0.25">
      <c r="B8" s="1013" t="s">
        <v>2287</v>
      </c>
      <c r="C8" s="1013"/>
      <c r="D8" s="1013"/>
      <c r="E8" s="1013"/>
      <c r="F8" s="1013"/>
      <c r="G8" s="1013"/>
      <c r="H8" s="1013"/>
      <c r="I8" s="1013"/>
      <c r="J8" s="1013"/>
      <c r="K8" s="1013"/>
      <c r="L8" s="1005" t="str">
        <f>SUVAHAVUJ!$D$177</f>
        <v>Výnosy z finančnej činnosti spolu r. 30 + r. 31 + r. 35
+ r. 39 + r. 42 + r. 43 + r. 44</v>
      </c>
      <c r="M8" s="1005"/>
      <c r="N8" s="1005"/>
      <c r="O8" s="1005"/>
      <c r="P8" s="1005"/>
      <c r="Q8" s="1005"/>
      <c r="R8" s="1005"/>
      <c r="S8" s="1005"/>
      <c r="T8" s="1005"/>
      <c r="U8" s="1005"/>
      <c r="V8" s="1005"/>
      <c r="W8" s="1005"/>
      <c r="X8" s="1005"/>
      <c r="Y8" s="1005"/>
      <c r="Z8" s="1005"/>
      <c r="AA8" s="1005"/>
      <c r="AB8" s="1005"/>
      <c r="AC8" s="1005"/>
      <c r="AD8" s="1005"/>
      <c r="AE8" s="1005"/>
      <c r="AF8" s="1005"/>
      <c r="AG8" s="1005"/>
      <c r="AH8" s="1005"/>
      <c r="AI8" s="1005"/>
      <c r="AJ8" s="1005"/>
      <c r="AK8" s="1005"/>
      <c r="AL8" s="1005"/>
      <c r="AM8" s="1005"/>
      <c r="AN8" s="1005"/>
      <c r="AO8" s="1005"/>
      <c r="AP8" s="1005"/>
      <c r="AQ8" s="1005"/>
      <c r="AR8" s="1005"/>
      <c r="AS8" s="1005"/>
      <c r="AT8" s="1005"/>
      <c r="AU8" s="1005"/>
      <c r="AV8" s="1005"/>
      <c r="AW8" s="1005"/>
      <c r="AX8" s="1005"/>
      <c r="AY8" s="1005"/>
      <c r="AZ8" s="1005"/>
      <c r="BA8" s="1005"/>
      <c r="BB8" s="1005"/>
      <c r="BC8" s="1005"/>
      <c r="BD8" s="1005"/>
      <c r="BE8" s="1005"/>
      <c r="BF8" s="1005"/>
      <c r="BG8" s="1005"/>
      <c r="BH8" s="1005"/>
      <c r="BI8" s="1005"/>
      <c r="BJ8" s="1005"/>
      <c r="BK8" s="1005"/>
      <c r="BL8" s="1005"/>
      <c r="BM8" s="1005"/>
      <c r="BN8" s="1005"/>
      <c r="BO8" s="1005"/>
      <c r="BP8" s="1005"/>
      <c r="BQ8" s="1005"/>
      <c r="BR8" s="1005"/>
      <c r="BS8" s="1005"/>
      <c r="BT8" s="1005"/>
      <c r="BU8" s="1005"/>
      <c r="BV8" s="1005"/>
      <c r="BW8" s="975" t="s">
        <v>1227</v>
      </c>
      <c r="BX8" s="975"/>
      <c r="BY8" s="975"/>
      <c r="BZ8" s="975"/>
      <c r="CA8" s="975"/>
      <c r="CB8" s="975"/>
      <c r="CC8" s="975"/>
      <c r="CD8" s="975"/>
      <c r="CE8" s="976" t="str">
        <f>MID(SUVAHAVUJ!AF177,1,1)</f>
        <v xml:space="preserve"> </v>
      </c>
      <c r="CF8" s="976"/>
      <c r="CG8" s="976"/>
      <c r="CH8" s="976"/>
      <c r="CI8" s="976"/>
      <c r="CJ8" s="976" t="str">
        <f>MID(SUVAHAVUJ!AF177,2,1)</f>
        <v xml:space="preserve"> </v>
      </c>
      <c r="CK8" s="976"/>
      <c r="CL8" s="976"/>
      <c r="CM8" s="976"/>
      <c r="CN8" s="976"/>
      <c r="CO8" s="976"/>
      <c r="CP8" s="976" t="str">
        <f>MID(SUVAHAVUJ!AF177,3,1)</f>
        <v xml:space="preserve"> </v>
      </c>
      <c r="CQ8" s="976"/>
      <c r="CR8" s="976"/>
      <c r="CS8" s="976"/>
      <c r="CT8" s="976"/>
      <c r="CU8" s="976" t="str">
        <f>MID(SUVAHAVUJ!AF177,4,1)</f>
        <v xml:space="preserve"> </v>
      </c>
      <c r="CV8" s="976"/>
      <c r="CW8" s="976"/>
      <c r="CX8" s="976"/>
      <c r="CY8" s="976"/>
      <c r="CZ8" s="976"/>
      <c r="DA8" s="976" t="str">
        <f>MID(SUVAHAVUJ!AF177,5,1)</f>
        <v xml:space="preserve"> </v>
      </c>
      <c r="DB8" s="976"/>
      <c r="DC8" s="976"/>
      <c r="DD8" s="976"/>
      <c r="DE8" s="976"/>
      <c r="DF8" s="976" t="str">
        <f>MID(SUVAHAVUJ!AF177,6,1)</f>
        <v xml:space="preserve"> </v>
      </c>
      <c r="DG8" s="976"/>
      <c r="DH8" s="976"/>
      <c r="DI8" s="976"/>
      <c r="DJ8" s="976"/>
      <c r="DK8" s="976"/>
      <c r="DL8" s="976" t="str">
        <f>MID(SUVAHAVUJ!AF177,7,1)</f>
        <v xml:space="preserve"> </v>
      </c>
      <c r="DM8" s="976"/>
      <c r="DN8" s="976"/>
      <c r="DO8" s="976"/>
      <c r="DP8" s="976"/>
      <c r="DQ8" s="976"/>
      <c r="DR8" s="976" t="str">
        <f>MID(SUVAHAVUJ!AF177,8,1)</f>
        <v xml:space="preserve"> </v>
      </c>
      <c r="DS8" s="976"/>
      <c r="DT8" s="976"/>
      <c r="DU8" s="976"/>
      <c r="DV8" s="976"/>
      <c r="DW8" s="982" t="str">
        <f>MID(SUVAHAVUJ!AF177,9,1)</f>
        <v xml:space="preserve"> </v>
      </c>
      <c r="DX8" s="982"/>
      <c r="DY8" s="982"/>
      <c r="DZ8" s="982"/>
      <c r="EA8" s="982"/>
      <c r="EB8" s="982"/>
      <c r="EC8" s="982" t="str">
        <f>MID(SUVAHAVUJ!AF177,10,1)</f>
        <v xml:space="preserve"> </v>
      </c>
      <c r="ED8" s="982"/>
      <c r="EE8" s="982"/>
      <c r="EF8" s="982"/>
      <c r="EG8" s="982"/>
      <c r="EH8" s="977" t="str">
        <f>MID(SUVAHAVUJ!AF177,11,1)</f>
        <v>0</v>
      </c>
      <c r="EI8" s="977"/>
      <c r="EJ8" s="977"/>
      <c r="EK8" s="977"/>
      <c r="EL8" s="977"/>
      <c r="EM8" s="977"/>
      <c r="EN8" s="665"/>
      <c r="EO8" s="666"/>
      <c r="EP8" s="976" t="str">
        <f>MID(SUVAHAVUJ!AG177,1,1)</f>
        <v xml:space="preserve"> </v>
      </c>
      <c r="EQ8" s="976"/>
      <c r="ER8" s="976"/>
      <c r="ES8" s="976"/>
      <c r="ET8" s="976"/>
      <c r="EU8" s="976"/>
      <c r="EV8" s="976" t="str">
        <f>MID(SUVAHAVUJ!AG177,2,1)</f>
        <v xml:space="preserve"> </v>
      </c>
      <c r="EW8" s="976"/>
      <c r="EX8" s="976"/>
      <c r="EY8" s="976"/>
      <c r="EZ8" s="976"/>
      <c r="FA8" s="976" t="str">
        <f>MID(SUVAHAVUJ!AG177,3,1)</f>
        <v xml:space="preserve"> </v>
      </c>
      <c r="FB8" s="976"/>
      <c r="FC8" s="976"/>
      <c r="FD8" s="976"/>
      <c r="FE8" s="976"/>
      <c r="FF8" s="976"/>
      <c r="FG8" s="976" t="str">
        <f>MID(SUVAHAVUJ!AG177,4,1)</f>
        <v xml:space="preserve"> </v>
      </c>
      <c r="FH8" s="976"/>
      <c r="FI8" s="976"/>
      <c r="FJ8" s="976"/>
      <c r="FK8" s="976"/>
      <c r="FL8" s="982" t="str">
        <f>MID(SUVAHAVUJ!AG177,5,1)</f>
        <v xml:space="preserve"> </v>
      </c>
      <c r="FM8" s="982"/>
      <c r="FN8" s="982"/>
      <c r="FO8" s="982"/>
      <c r="FP8" s="982"/>
      <c r="FQ8" s="982"/>
      <c r="FR8" s="982" t="str">
        <f>MID(SUVAHAVUJ!AG177,6,1)</f>
        <v xml:space="preserve"> </v>
      </c>
      <c r="FS8" s="982"/>
      <c r="FT8" s="982"/>
      <c r="FU8" s="982"/>
      <c r="FV8" s="982"/>
      <c r="FW8" s="982" t="str">
        <f>MID(SUVAHAVUJ!AG177,7,1)</f>
        <v xml:space="preserve"> </v>
      </c>
      <c r="FX8" s="982"/>
      <c r="FY8" s="982"/>
      <c r="FZ8" s="982"/>
      <c r="GA8" s="982"/>
      <c r="GB8" s="982"/>
      <c r="GC8" s="982" t="str">
        <f>MID(SUVAHAVUJ!AG177,8,1)</f>
        <v xml:space="preserve"> </v>
      </c>
      <c r="GD8" s="982"/>
      <c r="GE8" s="982"/>
      <c r="GF8" s="982"/>
      <c r="GG8" s="982"/>
      <c r="GH8" s="982" t="str">
        <f>MID(SUVAHAVUJ!AG177,9,1)</f>
        <v xml:space="preserve"> </v>
      </c>
      <c r="GI8" s="982"/>
      <c r="GJ8" s="982"/>
      <c r="GK8" s="982"/>
      <c r="GL8" s="982"/>
      <c r="GM8" s="982"/>
      <c r="GN8" s="982" t="str">
        <f>MID(SUVAHAVUJ!AG177,10,1)</f>
        <v xml:space="preserve"> </v>
      </c>
      <c r="GO8" s="982"/>
      <c r="GP8" s="982"/>
      <c r="GQ8" s="982"/>
      <c r="GR8" s="982"/>
      <c r="GS8" s="978" t="str">
        <f>MID(SUVAHAVUJ!AG177,11,1)</f>
        <v>0</v>
      </c>
      <c r="GT8" s="978"/>
      <c r="GU8" s="978"/>
      <c r="GV8" s="978"/>
      <c r="GW8" s="978"/>
    </row>
    <row r="9" spans="1:205" ht="24.6" customHeight="1" x14ac:dyDescent="0.25">
      <c r="B9" s="1017" t="s">
        <v>2304</v>
      </c>
      <c r="C9" s="1017"/>
      <c r="D9" s="1017"/>
      <c r="E9" s="1017"/>
      <c r="F9" s="1017"/>
      <c r="G9" s="1017"/>
      <c r="H9" s="1017"/>
      <c r="I9" s="1017"/>
      <c r="J9" s="1017"/>
      <c r="K9" s="1017"/>
      <c r="L9" s="1005" t="str">
        <f>SUVAHAVUJ!$D$178</f>
        <v>Tržby z predaja cenných papierov a podielov (661)</v>
      </c>
      <c r="M9" s="1005"/>
      <c r="N9" s="1005"/>
      <c r="O9" s="1005"/>
      <c r="P9" s="1005"/>
      <c r="Q9" s="1005"/>
      <c r="R9" s="1005"/>
      <c r="S9" s="1005"/>
      <c r="T9" s="1005"/>
      <c r="U9" s="1005"/>
      <c r="V9" s="1005"/>
      <c r="W9" s="1005"/>
      <c r="X9" s="1005"/>
      <c r="Y9" s="1005"/>
      <c r="Z9" s="1005"/>
      <c r="AA9" s="1005"/>
      <c r="AB9" s="1005"/>
      <c r="AC9" s="1005"/>
      <c r="AD9" s="1005"/>
      <c r="AE9" s="1005"/>
      <c r="AF9" s="1005"/>
      <c r="AG9" s="1005"/>
      <c r="AH9" s="1005"/>
      <c r="AI9" s="1005"/>
      <c r="AJ9" s="1005"/>
      <c r="AK9" s="1005"/>
      <c r="AL9" s="1005"/>
      <c r="AM9" s="1005"/>
      <c r="AN9" s="1005"/>
      <c r="AO9" s="1005"/>
      <c r="AP9" s="1005"/>
      <c r="AQ9" s="1005"/>
      <c r="AR9" s="1005"/>
      <c r="AS9" s="1005"/>
      <c r="AT9" s="1005"/>
      <c r="AU9" s="1005"/>
      <c r="AV9" s="1005"/>
      <c r="AW9" s="1005"/>
      <c r="AX9" s="1005"/>
      <c r="AY9" s="1005"/>
      <c r="AZ9" s="1005"/>
      <c r="BA9" s="1005"/>
      <c r="BB9" s="1005"/>
      <c r="BC9" s="1005"/>
      <c r="BD9" s="1005"/>
      <c r="BE9" s="1005"/>
      <c r="BF9" s="1005"/>
      <c r="BG9" s="1005"/>
      <c r="BH9" s="1005"/>
      <c r="BI9" s="1005"/>
      <c r="BJ9" s="1005"/>
      <c r="BK9" s="1005"/>
      <c r="BL9" s="1005"/>
      <c r="BM9" s="1005"/>
      <c r="BN9" s="1005"/>
      <c r="BO9" s="1005"/>
      <c r="BP9" s="1005"/>
      <c r="BQ9" s="1005"/>
      <c r="BR9" s="1005"/>
      <c r="BS9" s="1005"/>
      <c r="BT9" s="1005"/>
      <c r="BU9" s="1005"/>
      <c r="BV9" s="1005"/>
      <c r="BW9" s="975" t="s">
        <v>1260</v>
      </c>
      <c r="BX9" s="975"/>
      <c r="BY9" s="975"/>
      <c r="BZ9" s="975"/>
      <c r="CA9" s="975"/>
      <c r="CB9" s="975"/>
      <c r="CC9" s="975"/>
      <c r="CD9" s="975"/>
      <c r="CE9" s="976" t="str">
        <f>MID(SUVAHAVUJ!AF178,1,1)</f>
        <v xml:space="preserve"> </v>
      </c>
      <c r="CF9" s="976"/>
      <c r="CG9" s="976"/>
      <c r="CH9" s="976"/>
      <c r="CI9" s="976"/>
      <c r="CJ9" s="976" t="str">
        <f>MID(SUVAHAVUJ!AF178,2,1)</f>
        <v xml:space="preserve"> </v>
      </c>
      <c r="CK9" s="976"/>
      <c r="CL9" s="976"/>
      <c r="CM9" s="976"/>
      <c r="CN9" s="976"/>
      <c r="CO9" s="976"/>
      <c r="CP9" s="976" t="str">
        <f>MID(SUVAHAVUJ!AF178,3,1)</f>
        <v xml:space="preserve"> </v>
      </c>
      <c r="CQ9" s="976"/>
      <c r="CR9" s="976"/>
      <c r="CS9" s="976"/>
      <c r="CT9" s="976"/>
      <c r="CU9" s="976" t="str">
        <f>MID(SUVAHAVUJ!AF178,4,1)</f>
        <v xml:space="preserve"> </v>
      </c>
      <c r="CV9" s="976"/>
      <c r="CW9" s="976"/>
      <c r="CX9" s="976"/>
      <c r="CY9" s="976"/>
      <c r="CZ9" s="976"/>
      <c r="DA9" s="976" t="str">
        <f>MID(SUVAHAVUJ!AF178,5,1)</f>
        <v xml:space="preserve"> </v>
      </c>
      <c r="DB9" s="976"/>
      <c r="DC9" s="976"/>
      <c r="DD9" s="976"/>
      <c r="DE9" s="976"/>
      <c r="DF9" s="976" t="str">
        <f>MID(SUVAHAVUJ!AF178,6,1)</f>
        <v xml:space="preserve"> </v>
      </c>
      <c r="DG9" s="976"/>
      <c r="DH9" s="976"/>
      <c r="DI9" s="976"/>
      <c r="DJ9" s="976"/>
      <c r="DK9" s="976"/>
      <c r="DL9" s="976" t="str">
        <f>MID(SUVAHAVUJ!AF178,7,1)</f>
        <v xml:space="preserve"> </v>
      </c>
      <c r="DM9" s="976"/>
      <c r="DN9" s="976"/>
      <c r="DO9" s="976"/>
      <c r="DP9" s="976"/>
      <c r="DQ9" s="976"/>
      <c r="DR9" s="976" t="str">
        <f>MID(SUVAHAVUJ!AF178,8,1)</f>
        <v xml:space="preserve"> </v>
      </c>
      <c r="DS9" s="976"/>
      <c r="DT9" s="976"/>
      <c r="DU9" s="976"/>
      <c r="DV9" s="976"/>
      <c r="DW9" s="982" t="str">
        <f>MID(SUVAHAVUJ!AF178,9,1)</f>
        <v xml:space="preserve"> </v>
      </c>
      <c r="DX9" s="982"/>
      <c r="DY9" s="982"/>
      <c r="DZ9" s="982"/>
      <c r="EA9" s="982"/>
      <c r="EB9" s="982"/>
      <c r="EC9" s="982" t="str">
        <f>MID(SUVAHAVUJ!AF178,10,1)</f>
        <v xml:space="preserve"> </v>
      </c>
      <c r="ED9" s="982"/>
      <c r="EE9" s="982"/>
      <c r="EF9" s="982"/>
      <c r="EG9" s="982"/>
      <c r="EH9" s="977" t="str">
        <f>MID(SUVAHAVUJ!AF178,11,1)</f>
        <v>0</v>
      </c>
      <c r="EI9" s="977"/>
      <c r="EJ9" s="977"/>
      <c r="EK9" s="977"/>
      <c r="EL9" s="977"/>
      <c r="EM9" s="977"/>
      <c r="EN9" s="665"/>
      <c r="EO9" s="666"/>
      <c r="EP9" s="976" t="str">
        <f>MID(SUVAHAVUJ!AG178,1,1)</f>
        <v xml:space="preserve"> </v>
      </c>
      <c r="EQ9" s="976"/>
      <c r="ER9" s="976"/>
      <c r="ES9" s="976"/>
      <c r="ET9" s="976"/>
      <c r="EU9" s="976"/>
      <c r="EV9" s="976" t="str">
        <f>MID(SUVAHAVUJ!AG178,2,1)</f>
        <v xml:space="preserve"> </v>
      </c>
      <c r="EW9" s="976"/>
      <c r="EX9" s="976"/>
      <c r="EY9" s="976"/>
      <c r="EZ9" s="976"/>
      <c r="FA9" s="976" t="str">
        <f>MID(SUVAHAVUJ!AG178,3,1)</f>
        <v xml:space="preserve"> </v>
      </c>
      <c r="FB9" s="976"/>
      <c r="FC9" s="976"/>
      <c r="FD9" s="976"/>
      <c r="FE9" s="976"/>
      <c r="FF9" s="976"/>
      <c r="FG9" s="976" t="str">
        <f>MID(SUVAHAVUJ!AG178,4,1)</f>
        <v xml:space="preserve"> </v>
      </c>
      <c r="FH9" s="976"/>
      <c r="FI9" s="976"/>
      <c r="FJ9" s="976"/>
      <c r="FK9" s="976"/>
      <c r="FL9" s="982" t="str">
        <f>MID(SUVAHAVUJ!AG178,5,1)</f>
        <v xml:space="preserve"> </v>
      </c>
      <c r="FM9" s="982"/>
      <c r="FN9" s="982"/>
      <c r="FO9" s="982"/>
      <c r="FP9" s="982"/>
      <c r="FQ9" s="982"/>
      <c r="FR9" s="982" t="str">
        <f>MID(SUVAHAVUJ!AG178,6,1)</f>
        <v xml:space="preserve"> </v>
      </c>
      <c r="FS9" s="982"/>
      <c r="FT9" s="982"/>
      <c r="FU9" s="982"/>
      <c r="FV9" s="982"/>
      <c r="FW9" s="982" t="str">
        <f>MID(SUVAHAVUJ!AG178,7,1)</f>
        <v xml:space="preserve"> </v>
      </c>
      <c r="FX9" s="982"/>
      <c r="FY9" s="982"/>
      <c r="FZ9" s="982"/>
      <c r="GA9" s="982"/>
      <c r="GB9" s="982"/>
      <c r="GC9" s="982" t="str">
        <f>MID(SUVAHAVUJ!AG178,8,1)</f>
        <v xml:space="preserve"> </v>
      </c>
      <c r="GD9" s="982"/>
      <c r="GE9" s="982"/>
      <c r="GF9" s="982"/>
      <c r="GG9" s="982"/>
      <c r="GH9" s="982" t="str">
        <f>MID(SUVAHAVUJ!AG178,9,1)</f>
        <v xml:space="preserve"> </v>
      </c>
      <c r="GI9" s="982"/>
      <c r="GJ9" s="982"/>
      <c r="GK9" s="982"/>
      <c r="GL9" s="982"/>
      <c r="GM9" s="982"/>
      <c r="GN9" s="982" t="str">
        <f>MID(SUVAHAVUJ!AG178,10,1)</f>
        <v xml:space="preserve"> </v>
      </c>
      <c r="GO9" s="982"/>
      <c r="GP9" s="982"/>
      <c r="GQ9" s="982"/>
      <c r="GR9" s="982"/>
      <c r="GS9" s="978" t="str">
        <f>MID(SUVAHAVUJ!AG178,11,1)</f>
        <v>0</v>
      </c>
      <c r="GT9" s="978"/>
      <c r="GU9" s="978"/>
      <c r="GV9" s="978"/>
      <c r="GW9" s="978"/>
    </row>
    <row r="10" spans="1:205" ht="24.6" customHeight="1" x14ac:dyDescent="0.25">
      <c r="B10" s="1017" t="s">
        <v>2305</v>
      </c>
      <c r="C10" s="1017"/>
      <c r="D10" s="1017"/>
      <c r="E10" s="1017"/>
      <c r="F10" s="1017"/>
      <c r="G10" s="1017"/>
      <c r="H10" s="1017"/>
      <c r="I10" s="1017"/>
      <c r="J10" s="1017"/>
      <c r="K10" s="1017"/>
      <c r="L10" s="1005" t="str">
        <f>SUVAHAVUJ!$D$179</f>
        <v>Výnosy z dlhodobého finančného majetku súčet
(r. 32 až r. 34)</v>
      </c>
      <c r="M10" s="1005"/>
      <c r="N10" s="1005"/>
      <c r="O10" s="1005"/>
      <c r="P10" s="1005"/>
      <c r="Q10" s="1005"/>
      <c r="R10" s="1005"/>
      <c r="S10" s="1005"/>
      <c r="T10" s="1005"/>
      <c r="U10" s="1005"/>
      <c r="V10" s="1005"/>
      <c r="W10" s="1005"/>
      <c r="X10" s="1005"/>
      <c r="Y10" s="1005"/>
      <c r="Z10" s="1005"/>
      <c r="AA10" s="1005"/>
      <c r="AB10" s="1005"/>
      <c r="AC10" s="1005"/>
      <c r="AD10" s="1005"/>
      <c r="AE10" s="1005"/>
      <c r="AF10" s="1005"/>
      <c r="AG10" s="1005"/>
      <c r="AH10" s="1005"/>
      <c r="AI10" s="1005"/>
      <c r="AJ10" s="1005"/>
      <c r="AK10" s="1005"/>
      <c r="AL10" s="1005"/>
      <c r="AM10" s="1005"/>
      <c r="AN10" s="1005"/>
      <c r="AO10" s="1005"/>
      <c r="AP10" s="1005"/>
      <c r="AQ10" s="1005"/>
      <c r="AR10" s="1005"/>
      <c r="AS10" s="1005"/>
      <c r="AT10" s="1005"/>
      <c r="AU10" s="1005"/>
      <c r="AV10" s="1005"/>
      <c r="AW10" s="1005"/>
      <c r="AX10" s="1005"/>
      <c r="AY10" s="1005"/>
      <c r="AZ10" s="1005"/>
      <c r="BA10" s="1005"/>
      <c r="BB10" s="1005"/>
      <c r="BC10" s="1005"/>
      <c r="BD10" s="1005"/>
      <c r="BE10" s="1005"/>
      <c r="BF10" s="1005"/>
      <c r="BG10" s="1005"/>
      <c r="BH10" s="1005"/>
      <c r="BI10" s="1005"/>
      <c r="BJ10" s="1005"/>
      <c r="BK10" s="1005"/>
      <c r="BL10" s="1005"/>
      <c r="BM10" s="1005"/>
      <c r="BN10" s="1005"/>
      <c r="BO10" s="1005"/>
      <c r="BP10" s="1005"/>
      <c r="BQ10" s="1005"/>
      <c r="BR10" s="1005"/>
      <c r="BS10" s="1005"/>
      <c r="BT10" s="1005"/>
      <c r="BU10" s="1005"/>
      <c r="BV10" s="1005"/>
      <c r="BW10" s="975" t="s">
        <v>1248</v>
      </c>
      <c r="BX10" s="975"/>
      <c r="BY10" s="975"/>
      <c r="BZ10" s="975"/>
      <c r="CA10" s="975"/>
      <c r="CB10" s="975"/>
      <c r="CC10" s="975"/>
      <c r="CD10" s="975"/>
      <c r="CE10" s="976" t="str">
        <f>MID(SUVAHAVUJ!AF179,1,1)</f>
        <v xml:space="preserve"> </v>
      </c>
      <c r="CF10" s="976"/>
      <c r="CG10" s="976"/>
      <c r="CH10" s="976"/>
      <c r="CI10" s="976"/>
      <c r="CJ10" s="976" t="str">
        <f>MID(SUVAHAVUJ!AF179,2,1)</f>
        <v xml:space="preserve"> </v>
      </c>
      <c r="CK10" s="976"/>
      <c r="CL10" s="976"/>
      <c r="CM10" s="976"/>
      <c r="CN10" s="976"/>
      <c r="CO10" s="976"/>
      <c r="CP10" s="976" t="str">
        <f>MID(SUVAHAVUJ!AF179,3,1)</f>
        <v xml:space="preserve"> </v>
      </c>
      <c r="CQ10" s="976"/>
      <c r="CR10" s="976"/>
      <c r="CS10" s="976"/>
      <c r="CT10" s="976"/>
      <c r="CU10" s="976" t="str">
        <f>MID(SUVAHAVUJ!AF179,4,1)</f>
        <v xml:space="preserve"> </v>
      </c>
      <c r="CV10" s="976"/>
      <c r="CW10" s="976"/>
      <c r="CX10" s="976"/>
      <c r="CY10" s="976"/>
      <c r="CZ10" s="976"/>
      <c r="DA10" s="976" t="str">
        <f>MID(SUVAHAVUJ!AF179,5,1)</f>
        <v xml:space="preserve"> </v>
      </c>
      <c r="DB10" s="976"/>
      <c r="DC10" s="976"/>
      <c r="DD10" s="976"/>
      <c r="DE10" s="976"/>
      <c r="DF10" s="976" t="str">
        <f>MID(SUVAHAVUJ!AF179,6,1)</f>
        <v xml:space="preserve"> </v>
      </c>
      <c r="DG10" s="976"/>
      <c r="DH10" s="976"/>
      <c r="DI10" s="976"/>
      <c r="DJ10" s="976"/>
      <c r="DK10" s="976"/>
      <c r="DL10" s="976" t="str">
        <f>MID(SUVAHAVUJ!AF179,7,1)</f>
        <v xml:space="preserve"> </v>
      </c>
      <c r="DM10" s="976"/>
      <c r="DN10" s="976"/>
      <c r="DO10" s="976"/>
      <c r="DP10" s="976"/>
      <c r="DQ10" s="976"/>
      <c r="DR10" s="976" t="str">
        <f>MID(SUVAHAVUJ!AF179,8,1)</f>
        <v xml:space="preserve"> </v>
      </c>
      <c r="DS10" s="976"/>
      <c r="DT10" s="976"/>
      <c r="DU10" s="976"/>
      <c r="DV10" s="976"/>
      <c r="DW10" s="982" t="str">
        <f>MID(SUVAHAVUJ!AF179,9,1)</f>
        <v xml:space="preserve"> </v>
      </c>
      <c r="DX10" s="982"/>
      <c r="DY10" s="982"/>
      <c r="DZ10" s="982"/>
      <c r="EA10" s="982"/>
      <c r="EB10" s="982"/>
      <c r="EC10" s="982" t="str">
        <f>MID(SUVAHAVUJ!AF179,10,1)</f>
        <v xml:space="preserve"> </v>
      </c>
      <c r="ED10" s="982"/>
      <c r="EE10" s="982"/>
      <c r="EF10" s="982"/>
      <c r="EG10" s="982"/>
      <c r="EH10" s="977" t="str">
        <f>MID(SUVAHAVUJ!AF179,11,1)</f>
        <v>0</v>
      </c>
      <c r="EI10" s="977"/>
      <c r="EJ10" s="977"/>
      <c r="EK10" s="977"/>
      <c r="EL10" s="977"/>
      <c r="EM10" s="977"/>
      <c r="EN10" s="665"/>
      <c r="EO10" s="666"/>
      <c r="EP10" s="976" t="str">
        <f>MID(SUVAHAVUJ!AG179,1,1)</f>
        <v xml:space="preserve"> </v>
      </c>
      <c r="EQ10" s="976"/>
      <c r="ER10" s="976"/>
      <c r="ES10" s="976"/>
      <c r="ET10" s="976"/>
      <c r="EU10" s="976"/>
      <c r="EV10" s="976" t="str">
        <f>MID(SUVAHAVUJ!AG179,2,1)</f>
        <v xml:space="preserve"> </v>
      </c>
      <c r="EW10" s="976"/>
      <c r="EX10" s="976"/>
      <c r="EY10" s="976"/>
      <c r="EZ10" s="976"/>
      <c r="FA10" s="976" t="str">
        <f>MID(SUVAHAVUJ!AG179,3,1)</f>
        <v xml:space="preserve"> </v>
      </c>
      <c r="FB10" s="976"/>
      <c r="FC10" s="976"/>
      <c r="FD10" s="976"/>
      <c r="FE10" s="976"/>
      <c r="FF10" s="976"/>
      <c r="FG10" s="976" t="str">
        <f>MID(SUVAHAVUJ!AG179,4,1)</f>
        <v xml:space="preserve"> </v>
      </c>
      <c r="FH10" s="976"/>
      <c r="FI10" s="976"/>
      <c r="FJ10" s="976"/>
      <c r="FK10" s="976"/>
      <c r="FL10" s="982" t="str">
        <f>MID(SUVAHAVUJ!AG179,5,1)</f>
        <v xml:space="preserve"> </v>
      </c>
      <c r="FM10" s="982"/>
      <c r="FN10" s="982"/>
      <c r="FO10" s="982"/>
      <c r="FP10" s="982"/>
      <c r="FQ10" s="982"/>
      <c r="FR10" s="982" t="str">
        <f>MID(SUVAHAVUJ!AG179,6,1)</f>
        <v xml:space="preserve"> </v>
      </c>
      <c r="FS10" s="982"/>
      <c r="FT10" s="982"/>
      <c r="FU10" s="982"/>
      <c r="FV10" s="982"/>
      <c r="FW10" s="982" t="str">
        <f>MID(SUVAHAVUJ!AG179,7,1)</f>
        <v xml:space="preserve"> </v>
      </c>
      <c r="FX10" s="982"/>
      <c r="FY10" s="982"/>
      <c r="FZ10" s="982"/>
      <c r="GA10" s="982"/>
      <c r="GB10" s="982"/>
      <c r="GC10" s="982" t="str">
        <f>MID(SUVAHAVUJ!AG179,8,1)</f>
        <v xml:space="preserve"> </v>
      </c>
      <c r="GD10" s="982"/>
      <c r="GE10" s="982"/>
      <c r="GF10" s="982"/>
      <c r="GG10" s="982"/>
      <c r="GH10" s="982" t="str">
        <f>MID(SUVAHAVUJ!AG179,9,1)</f>
        <v xml:space="preserve"> </v>
      </c>
      <c r="GI10" s="982"/>
      <c r="GJ10" s="982"/>
      <c r="GK10" s="982"/>
      <c r="GL10" s="982"/>
      <c r="GM10" s="982"/>
      <c r="GN10" s="982" t="str">
        <f>MID(SUVAHAVUJ!AG179,10,1)</f>
        <v xml:space="preserve"> </v>
      </c>
      <c r="GO10" s="982"/>
      <c r="GP10" s="982"/>
      <c r="GQ10" s="982"/>
      <c r="GR10" s="982"/>
      <c r="GS10" s="978" t="str">
        <f>MID(SUVAHAVUJ!AG179,11,1)</f>
        <v>0</v>
      </c>
      <c r="GT10" s="978"/>
      <c r="GU10" s="978"/>
      <c r="GV10" s="978"/>
      <c r="GW10" s="978"/>
    </row>
    <row r="11" spans="1:205" ht="24.6" customHeight="1" x14ac:dyDescent="0.25">
      <c r="B11" s="1017" t="s">
        <v>2306</v>
      </c>
      <c r="C11" s="1017"/>
      <c r="D11" s="1017"/>
      <c r="E11" s="1017"/>
      <c r="F11" s="1017"/>
      <c r="G11" s="1017"/>
      <c r="H11" s="1017"/>
      <c r="I11" s="1017"/>
      <c r="J11" s="1017"/>
      <c r="K11" s="1017"/>
      <c r="L11" s="1005" t="str">
        <f>SUVAHAVUJ!$D$180</f>
        <v>Výnosy z cenných papierov a podielov od prepojených účtovných jednotiek (665A)</v>
      </c>
      <c r="M11" s="1005"/>
      <c r="N11" s="1005"/>
      <c r="O11" s="1005"/>
      <c r="P11" s="1005"/>
      <c r="Q11" s="1005"/>
      <c r="R11" s="1005"/>
      <c r="S11" s="1005"/>
      <c r="T11" s="1005"/>
      <c r="U11" s="1005"/>
      <c r="V11" s="1005"/>
      <c r="W11" s="1005"/>
      <c r="X11" s="1005"/>
      <c r="Y11" s="1005"/>
      <c r="Z11" s="1005"/>
      <c r="AA11" s="1005"/>
      <c r="AB11" s="1005"/>
      <c r="AC11" s="1005"/>
      <c r="AD11" s="1005"/>
      <c r="AE11" s="1005"/>
      <c r="AF11" s="1005"/>
      <c r="AG11" s="1005"/>
      <c r="AH11" s="1005"/>
      <c r="AI11" s="1005"/>
      <c r="AJ11" s="1005"/>
      <c r="AK11" s="1005"/>
      <c r="AL11" s="1005"/>
      <c r="AM11" s="1005"/>
      <c r="AN11" s="1005"/>
      <c r="AO11" s="1005"/>
      <c r="AP11" s="1005"/>
      <c r="AQ11" s="1005"/>
      <c r="AR11" s="1005"/>
      <c r="AS11" s="1005"/>
      <c r="AT11" s="1005"/>
      <c r="AU11" s="1005"/>
      <c r="AV11" s="1005"/>
      <c r="AW11" s="1005"/>
      <c r="AX11" s="1005"/>
      <c r="AY11" s="1005"/>
      <c r="AZ11" s="1005"/>
      <c r="BA11" s="1005"/>
      <c r="BB11" s="1005"/>
      <c r="BC11" s="1005"/>
      <c r="BD11" s="1005"/>
      <c r="BE11" s="1005"/>
      <c r="BF11" s="1005"/>
      <c r="BG11" s="1005"/>
      <c r="BH11" s="1005"/>
      <c r="BI11" s="1005"/>
      <c r="BJ11" s="1005"/>
      <c r="BK11" s="1005"/>
      <c r="BL11" s="1005"/>
      <c r="BM11" s="1005"/>
      <c r="BN11" s="1005"/>
      <c r="BO11" s="1005"/>
      <c r="BP11" s="1005"/>
      <c r="BQ11" s="1005"/>
      <c r="BR11" s="1005"/>
      <c r="BS11" s="1005"/>
      <c r="BT11" s="1005"/>
      <c r="BU11" s="1005"/>
      <c r="BV11" s="1005"/>
      <c r="BW11" s="975" t="s">
        <v>1247</v>
      </c>
      <c r="BX11" s="975"/>
      <c r="BY11" s="975"/>
      <c r="BZ11" s="975"/>
      <c r="CA11" s="975"/>
      <c r="CB11" s="975"/>
      <c r="CC11" s="975"/>
      <c r="CD11" s="975"/>
      <c r="CE11" s="976" t="str">
        <f>MID(SUVAHAVUJ!AF180,1,1)</f>
        <v xml:space="preserve"> </v>
      </c>
      <c r="CF11" s="976"/>
      <c r="CG11" s="976"/>
      <c r="CH11" s="976"/>
      <c r="CI11" s="976"/>
      <c r="CJ11" s="976" t="str">
        <f>MID(SUVAHAVUJ!AF180,2,1)</f>
        <v xml:space="preserve"> </v>
      </c>
      <c r="CK11" s="976"/>
      <c r="CL11" s="976"/>
      <c r="CM11" s="976"/>
      <c r="CN11" s="976"/>
      <c r="CO11" s="976"/>
      <c r="CP11" s="976" t="str">
        <f>MID(SUVAHAVUJ!AF180,3,1)</f>
        <v xml:space="preserve"> </v>
      </c>
      <c r="CQ11" s="976"/>
      <c r="CR11" s="976"/>
      <c r="CS11" s="976"/>
      <c r="CT11" s="976"/>
      <c r="CU11" s="976" t="str">
        <f>MID(SUVAHAVUJ!AF180,4,1)</f>
        <v xml:space="preserve"> </v>
      </c>
      <c r="CV11" s="976"/>
      <c r="CW11" s="976"/>
      <c r="CX11" s="976"/>
      <c r="CY11" s="976"/>
      <c r="CZ11" s="976"/>
      <c r="DA11" s="976" t="str">
        <f>MID(SUVAHAVUJ!AF180,5,1)</f>
        <v xml:space="preserve"> </v>
      </c>
      <c r="DB11" s="976"/>
      <c r="DC11" s="976"/>
      <c r="DD11" s="976"/>
      <c r="DE11" s="976"/>
      <c r="DF11" s="976" t="str">
        <f>MID(SUVAHAVUJ!AF180,6,1)</f>
        <v xml:space="preserve"> </v>
      </c>
      <c r="DG11" s="976"/>
      <c r="DH11" s="976"/>
      <c r="DI11" s="976"/>
      <c r="DJ11" s="976"/>
      <c r="DK11" s="976"/>
      <c r="DL11" s="976" t="str">
        <f>MID(SUVAHAVUJ!AF180,7,1)</f>
        <v xml:space="preserve"> </v>
      </c>
      <c r="DM11" s="976"/>
      <c r="DN11" s="976"/>
      <c r="DO11" s="976"/>
      <c r="DP11" s="976"/>
      <c r="DQ11" s="976"/>
      <c r="DR11" s="976" t="str">
        <f>MID(SUVAHAVUJ!AF180,8,1)</f>
        <v xml:space="preserve"> </v>
      </c>
      <c r="DS11" s="976"/>
      <c r="DT11" s="976"/>
      <c r="DU11" s="976"/>
      <c r="DV11" s="976"/>
      <c r="DW11" s="982" t="str">
        <f>MID(SUVAHAVUJ!AF180,9,1)</f>
        <v xml:space="preserve"> </v>
      </c>
      <c r="DX11" s="982"/>
      <c r="DY11" s="982"/>
      <c r="DZ11" s="982"/>
      <c r="EA11" s="982"/>
      <c r="EB11" s="982"/>
      <c r="EC11" s="982" t="str">
        <f>MID(SUVAHAVUJ!AF180,10,1)</f>
        <v xml:space="preserve"> </v>
      </c>
      <c r="ED11" s="982"/>
      <c r="EE11" s="982"/>
      <c r="EF11" s="982"/>
      <c r="EG11" s="982"/>
      <c r="EH11" s="977" t="str">
        <f>MID(SUVAHAVUJ!AF180,11,1)</f>
        <v>0</v>
      </c>
      <c r="EI11" s="977"/>
      <c r="EJ11" s="977"/>
      <c r="EK11" s="977"/>
      <c r="EL11" s="977"/>
      <c r="EM11" s="977"/>
      <c r="EN11" s="665"/>
      <c r="EO11" s="666"/>
      <c r="EP11" s="976" t="str">
        <f>MID(SUVAHAVUJ!AG180,1,1)</f>
        <v xml:space="preserve"> </v>
      </c>
      <c r="EQ11" s="976"/>
      <c r="ER11" s="976"/>
      <c r="ES11" s="976"/>
      <c r="ET11" s="976"/>
      <c r="EU11" s="976"/>
      <c r="EV11" s="976" t="str">
        <f>MID(SUVAHAVUJ!AG180,2,1)</f>
        <v xml:space="preserve"> </v>
      </c>
      <c r="EW11" s="976"/>
      <c r="EX11" s="976"/>
      <c r="EY11" s="976"/>
      <c r="EZ11" s="976"/>
      <c r="FA11" s="976" t="str">
        <f>MID(SUVAHAVUJ!AG180,3,1)</f>
        <v xml:space="preserve"> </v>
      </c>
      <c r="FB11" s="976"/>
      <c r="FC11" s="976"/>
      <c r="FD11" s="976"/>
      <c r="FE11" s="976"/>
      <c r="FF11" s="976"/>
      <c r="FG11" s="976" t="str">
        <f>MID(SUVAHAVUJ!AG180,4,1)</f>
        <v xml:space="preserve"> </v>
      </c>
      <c r="FH11" s="976"/>
      <c r="FI11" s="976"/>
      <c r="FJ11" s="976"/>
      <c r="FK11" s="976"/>
      <c r="FL11" s="982" t="str">
        <f>MID(SUVAHAVUJ!AG180,5,1)</f>
        <v xml:space="preserve"> </v>
      </c>
      <c r="FM11" s="982"/>
      <c r="FN11" s="982"/>
      <c r="FO11" s="982"/>
      <c r="FP11" s="982"/>
      <c r="FQ11" s="982"/>
      <c r="FR11" s="982" t="str">
        <f>MID(SUVAHAVUJ!AG180,6,1)</f>
        <v xml:space="preserve"> </v>
      </c>
      <c r="FS11" s="982"/>
      <c r="FT11" s="982"/>
      <c r="FU11" s="982"/>
      <c r="FV11" s="982"/>
      <c r="FW11" s="982" t="str">
        <f>MID(SUVAHAVUJ!AG180,7,1)</f>
        <v xml:space="preserve"> </v>
      </c>
      <c r="FX11" s="982"/>
      <c r="FY11" s="982"/>
      <c r="FZ11" s="982"/>
      <c r="GA11" s="982"/>
      <c r="GB11" s="982"/>
      <c r="GC11" s="982" t="str">
        <f>MID(SUVAHAVUJ!AG180,8,1)</f>
        <v xml:space="preserve"> </v>
      </c>
      <c r="GD11" s="982"/>
      <c r="GE11" s="982"/>
      <c r="GF11" s="982"/>
      <c r="GG11" s="982"/>
      <c r="GH11" s="982" t="str">
        <f>MID(SUVAHAVUJ!AG180,9,1)</f>
        <v xml:space="preserve"> </v>
      </c>
      <c r="GI11" s="982"/>
      <c r="GJ11" s="982"/>
      <c r="GK11" s="982"/>
      <c r="GL11" s="982"/>
      <c r="GM11" s="982"/>
      <c r="GN11" s="982" t="str">
        <f>MID(SUVAHAVUJ!AG180,10,1)</f>
        <v xml:space="preserve"> </v>
      </c>
      <c r="GO11" s="982"/>
      <c r="GP11" s="982"/>
      <c r="GQ11" s="982"/>
      <c r="GR11" s="982"/>
      <c r="GS11" s="978" t="str">
        <f>MID(SUVAHAVUJ!AG180,11,1)</f>
        <v>0</v>
      </c>
      <c r="GT11" s="978"/>
      <c r="GU11" s="978"/>
      <c r="GV11" s="978"/>
      <c r="GW11" s="978"/>
    </row>
    <row r="12" spans="1:205" ht="24.6" customHeight="1" x14ac:dyDescent="0.25">
      <c r="B12" s="1017" t="s">
        <v>2166</v>
      </c>
      <c r="C12" s="1017"/>
      <c r="D12" s="1017"/>
      <c r="E12" s="1017"/>
      <c r="F12" s="1017"/>
      <c r="G12" s="1017"/>
      <c r="H12" s="1017"/>
      <c r="I12" s="1017"/>
      <c r="J12" s="1017"/>
      <c r="K12" s="1017"/>
      <c r="L12" s="1005" t="str">
        <f>SUVAHAVUJ!$D$181</f>
        <v>Výnosy z cenných papierov a podielov v podielovej účasti okrem výnosov prepojených účtovných jednotiek (665A)</v>
      </c>
      <c r="M12" s="1005"/>
      <c r="N12" s="1005"/>
      <c r="O12" s="1005"/>
      <c r="P12" s="1005"/>
      <c r="Q12" s="1005"/>
      <c r="R12" s="1005"/>
      <c r="S12" s="1005"/>
      <c r="T12" s="1005"/>
      <c r="U12" s="1005"/>
      <c r="V12" s="1005"/>
      <c r="W12" s="1005"/>
      <c r="X12" s="1005"/>
      <c r="Y12" s="1005"/>
      <c r="Z12" s="1005"/>
      <c r="AA12" s="1005"/>
      <c r="AB12" s="1005"/>
      <c r="AC12" s="1005"/>
      <c r="AD12" s="1005"/>
      <c r="AE12" s="1005"/>
      <c r="AF12" s="1005"/>
      <c r="AG12" s="1005"/>
      <c r="AH12" s="1005"/>
      <c r="AI12" s="1005"/>
      <c r="AJ12" s="1005"/>
      <c r="AK12" s="1005"/>
      <c r="AL12" s="1005"/>
      <c r="AM12" s="1005"/>
      <c r="AN12" s="1005"/>
      <c r="AO12" s="1005"/>
      <c r="AP12" s="1005"/>
      <c r="AQ12" s="1005"/>
      <c r="AR12" s="1005"/>
      <c r="AS12" s="1005"/>
      <c r="AT12" s="1005"/>
      <c r="AU12" s="1005"/>
      <c r="AV12" s="1005"/>
      <c r="AW12" s="1005"/>
      <c r="AX12" s="1005"/>
      <c r="AY12" s="1005"/>
      <c r="AZ12" s="1005"/>
      <c r="BA12" s="1005"/>
      <c r="BB12" s="1005"/>
      <c r="BC12" s="1005"/>
      <c r="BD12" s="1005"/>
      <c r="BE12" s="1005"/>
      <c r="BF12" s="1005"/>
      <c r="BG12" s="1005"/>
      <c r="BH12" s="1005"/>
      <c r="BI12" s="1005"/>
      <c r="BJ12" s="1005"/>
      <c r="BK12" s="1005"/>
      <c r="BL12" s="1005"/>
      <c r="BM12" s="1005"/>
      <c r="BN12" s="1005"/>
      <c r="BO12" s="1005"/>
      <c r="BP12" s="1005"/>
      <c r="BQ12" s="1005"/>
      <c r="BR12" s="1005"/>
      <c r="BS12" s="1005"/>
      <c r="BT12" s="1005"/>
      <c r="BU12" s="1005"/>
      <c r="BV12" s="1005"/>
      <c r="BW12" s="975" t="s">
        <v>2185</v>
      </c>
      <c r="BX12" s="975"/>
      <c r="BY12" s="975"/>
      <c r="BZ12" s="975"/>
      <c r="CA12" s="975"/>
      <c r="CB12" s="975"/>
      <c r="CC12" s="975"/>
      <c r="CD12" s="975"/>
      <c r="CE12" s="976" t="str">
        <f>MID(SUVAHAVUJ!AF181,1,1)</f>
        <v xml:space="preserve"> </v>
      </c>
      <c r="CF12" s="976"/>
      <c r="CG12" s="976"/>
      <c r="CH12" s="976"/>
      <c r="CI12" s="976"/>
      <c r="CJ12" s="976" t="str">
        <f>MID(SUVAHAVUJ!AF181,2,1)</f>
        <v xml:space="preserve"> </v>
      </c>
      <c r="CK12" s="976"/>
      <c r="CL12" s="976"/>
      <c r="CM12" s="976"/>
      <c r="CN12" s="976"/>
      <c r="CO12" s="976"/>
      <c r="CP12" s="976" t="str">
        <f>MID(SUVAHAVUJ!AF181,3,1)</f>
        <v xml:space="preserve"> </v>
      </c>
      <c r="CQ12" s="976"/>
      <c r="CR12" s="976"/>
      <c r="CS12" s="976"/>
      <c r="CT12" s="976"/>
      <c r="CU12" s="976" t="str">
        <f>MID(SUVAHAVUJ!AF181,4,1)</f>
        <v xml:space="preserve"> </v>
      </c>
      <c r="CV12" s="976"/>
      <c r="CW12" s="976"/>
      <c r="CX12" s="976"/>
      <c r="CY12" s="976"/>
      <c r="CZ12" s="976"/>
      <c r="DA12" s="976" t="str">
        <f>MID(SUVAHAVUJ!AF181,5,1)</f>
        <v xml:space="preserve"> </v>
      </c>
      <c r="DB12" s="976"/>
      <c r="DC12" s="976"/>
      <c r="DD12" s="976"/>
      <c r="DE12" s="976"/>
      <c r="DF12" s="976" t="str">
        <f>MID(SUVAHAVUJ!AF181,6,1)</f>
        <v xml:space="preserve"> </v>
      </c>
      <c r="DG12" s="976"/>
      <c r="DH12" s="976"/>
      <c r="DI12" s="976"/>
      <c r="DJ12" s="976"/>
      <c r="DK12" s="976"/>
      <c r="DL12" s="976" t="str">
        <f>MID(SUVAHAVUJ!AF181,7,1)</f>
        <v xml:space="preserve"> </v>
      </c>
      <c r="DM12" s="976"/>
      <c r="DN12" s="976"/>
      <c r="DO12" s="976"/>
      <c r="DP12" s="976"/>
      <c r="DQ12" s="976"/>
      <c r="DR12" s="976" t="str">
        <f>MID(SUVAHAVUJ!AF181,8,1)</f>
        <v xml:space="preserve"> </v>
      </c>
      <c r="DS12" s="976"/>
      <c r="DT12" s="976"/>
      <c r="DU12" s="976"/>
      <c r="DV12" s="976"/>
      <c r="DW12" s="982" t="str">
        <f>MID(SUVAHAVUJ!AF181,9,1)</f>
        <v xml:space="preserve"> </v>
      </c>
      <c r="DX12" s="982"/>
      <c r="DY12" s="982"/>
      <c r="DZ12" s="982"/>
      <c r="EA12" s="982"/>
      <c r="EB12" s="982"/>
      <c r="EC12" s="982" t="str">
        <f>MID(SUVAHAVUJ!AF181,10,1)</f>
        <v xml:space="preserve"> </v>
      </c>
      <c r="ED12" s="982"/>
      <c r="EE12" s="982"/>
      <c r="EF12" s="982"/>
      <c r="EG12" s="982"/>
      <c r="EH12" s="977" t="str">
        <f>MID(SUVAHAVUJ!AF181,11,1)</f>
        <v>0</v>
      </c>
      <c r="EI12" s="977"/>
      <c r="EJ12" s="977"/>
      <c r="EK12" s="977"/>
      <c r="EL12" s="977"/>
      <c r="EM12" s="977"/>
      <c r="EN12" s="665"/>
      <c r="EO12" s="666"/>
      <c r="EP12" s="976" t="str">
        <f>MID(SUVAHAVUJ!AG181,1,1)</f>
        <v xml:space="preserve"> </v>
      </c>
      <c r="EQ12" s="976"/>
      <c r="ER12" s="976"/>
      <c r="ES12" s="976"/>
      <c r="ET12" s="976"/>
      <c r="EU12" s="976"/>
      <c r="EV12" s="976" t="str">
        <f>MID(SUVAHAVUJ!AG181,2,1)</f>
        <v xml:space="preserve"> </v>
      </c>
      <c r="EW12" s="976"/>
      <c r="EX12" s="976"/>
      <c r="EY12" s="976"/>
      <c r="EZ12" s="976"/>
      <c r="FA12" s="976" t="str">
        <f>MID(SUVAHAVUJ!AG181,3,1)</f>
        <v xml:space="preserve"> </v>
      </c>
      <c r="FB12" s="976"/>
      <c r="FC12" s="976"/>
      <c r="FD12" s="976"/>
      <c r="FE12" s="976"/>
      <c r="FF12" s="976"/>
      <c r="FG12" s="976" t="str">
        <f>MID(SUVAHAVUJ!AG181,4,1)</f>
        <v xml:space="preserve"> </v>
      </c>
      <c r="FH12" s="976"/>
      <c r="FI12" s="976"/>
      <c r="FJ12" s="976"/>
      <c r="FK12" s="976"/>
      <c r="FL12" s="982" t="str">
        <f>MID(SUVAHAVUJ!AG181,5,1)</f>
        <v xml:space="preserve"> </v>
      </c>
      <c r="FM12" s="982"/>
      <c r="FN12" s="982"/>
      <c r="FO12" s="982"/>
      <c r="FP12" s="982"/>
      <c r="FQ12" s="982"/>
      <c r="FR12" s="982" t="str">
        <f>MID(SUVAHAVUJ!AG181,6,1)</f>
        <v xml:space="preserve"> </v>
      </c>
      <c r="FS12" s="982"/>
      <c r="FT12" s="982"/>
      <c r="FU12" s="982"/>
      <c r="FV12" s="982"/>
      <c r="FW12" s="982" t="str">
        <f>MID(SUVAHAVUJ!AG181,7,1)</f>
        <v xml:space="preserve"> </v>
      </c>
      <c r="FX12" s="982"/>
      <c r="FY12" s="982"/>
      <c r="FZ12" s="982"/>
      <c r="GA12" s="982"/>
      <c r="GB12" s="982"/>
      <c r="GC12" s="982" t="str">
        <f>MID(SUVAHAVUJ!AG181,8,1)</f>
        <v xml:space="preserve"> </v>
      </c>
      <c r="GD12" s="982"/>
      <c r="GE12" s="982"/>
      <c r="GF12" s="982"/>
      <c r="GG12" s="982"/>
      <c r="GH12" s="982" t="str">
        <f>MID(SUVAHAVUJ!AG181,9,1)</f>
        <v xml:space="preserve"> </v>
      </c>
      <c r="GI12" s="982"/>
      <c r="GJ12" s="982"/>
      <c r="GK12" s="982"/>
      <c r="GL12" s="982"/>
      <c r="GM12" s="982"/>
      <c r="GN12" s="982" t="str">
        <f>MID(SUVAHAVUJ!AG181,10,1)</f>
        <v xml:space="preserve"> </v>
      </c>
      <c r="GO12" s="982"/>
      <c r="GP12" s="982"/>
      <c r="GQ12" s="982"/>
      <c r="GR12" s="982"/>
      <c r="GS12" s="978" t="str">
        <f>MID(SUVAHAVUJ!AG181,11,1)</f>
        <v>0</v>
      </c>
      <c r="GT12" s="978"/>
      <c r="GU12" s="978"/>
      <c r="GV12" s="978"/>
      <c r="GW12" s="978"/>
    </row>
    <row r="13" spans="1:205" ht="24.6" customHeight="1" x14ac:dyDescent="0.25">
      <c r="B13" s="1017" t="s">
        <v>2167</v>
      </c>
      <c r="C13" s="1017"/>
      <c r="D13" s="1017"/>
      <c r="E13" s="1017"/>
      <c r="F13" s="1017"/>
      <c r="G13" s="1017"/>
      <c r="H13" s="1017"/>
      <c r="I13" s="1017"/>
      <c r="J13" s="1017"/>
      <c r="K13" s="1017"/>
      <c r="L13" s="1005" t="str">
        <f>SUVAHAVUJ!$D$182</f>
        <v>Ostatné výnosy z cenných papierov a podielov (665A)</v>
      </c>
      <c r="M13" s="1005"/>
      <c r="N13" s="1005"/>
      <c r="O13" s="1005"/>
      <c r="P13" s="1005"/>
      <c r="Q13" s="1005"/>
      <c r="R13" s="1005"/>
      <c r="S13" s="1005"/>
      <c r="T13" s="1005"/>
      <c r="U13" s="1005"/>
      <c r="V13" s="1005"/>
      <c r="W13" s="1005"/>
      <c r="X13" s="1005"/>
      <c r="Y13" s="1005"/>
      <c r="Z13" s="1005"/>
      <c r="AA13" s="1005"/>
      <c r="AB13" s="1005"/>
      <c r="AC13" s="1005"/>
      <c r="AD13" s="1005"/>
      <c r="AE13" s="1005"/>
      <c r="AF13" s="1005"/>
      <c r="AG13" s="1005"/>
      <c r="AH13" s="1005"/>
      <c r="AI13" s="1005"/>
      <c r="AJ13" s="1005"/>
      <c r="AK13" s="1005"/>
      <c r="AL13" s="1005"/>
      <c r="AM13" s="1005"/>
      <c r="AN13" s="1005"/>
      <c r="AO13" s="1005"/>
      <c r="AP13" s="1005"/>
      <c r="AQ13" s="1005"/>
      <c r="AR13" s="1005"/>
      <c r="AS13" s="1005"/>
      <c r="AT13" s="1005"/>
      <c r="AU13" s="1005"/>
      <c r="AV13" s="1005"/>
      <c r="AW13" s="1005"/>
      <c r="AX13" s="1005"/>
      <c r="AY13" s="1005"/>
      <c r="AZ13" s="1005"/>
      <c r="BA13" s="1005"/>
      <c r="BB13" s="1005"/>
      <c r="BC13" s="1005"/>
      <c r="BD13" s="1005"/>
      <c r="BE13" s="1005"/>
      <c r="BF13" s="1005"/>
      <c r="BG13" s="1005"/>
      <c r="BH13" s="1005"/>
      <c r="BI13" s="1005"/>
      <c r="BJ13" s="1005"/>
      <c r="BK13" s="1005"/>
      <c r="BL13" s="1005"/>
      <c r="BM13" s="1005"/>
      <c r="BN13" s="1005"/>
      <c r="BO13" s="1005"/>
      <c r="BP13" s="1005"/>
      <c r="BQ13" s="1005"/>
      <c r="BR13" s="1005"/>
      <c r="BS13" s="1005"/>
      <c r="BT13" s="1005"/>
      <c r="BU13" s="1005"/>
      <c r="BV13" s="1005"/>
      <c r="BW13" s="975" t="s">
        <v>2187</v>
      </c>
      <c r="BX13" s="975"/>
      <c r="BY13" s="975"/>
      <c r="BZ13" s="975"/>
      <c r="CA13" s="975"/>
      <c r="CB13" s="975"/>
      <c r="CC13" s="975"/>
      <c r="CD13" s="975"/>
      <c r="CE13" s="976" t="str">
        <f>MID(SUVAHAVUJ!AF182,1,1)</f>
        <v xml:space="preserve"> </v>
      </c>
      <c r="CF13" s="976"/>
      <c r="CG13" s="976"/>
      <c r="CH13" s="976"/>
      <c r="CI13" s="976"/>
      <c r="CJ13" s="976" t="str">
        <f>MID(SUVAHAVUJ!AF182,2,1)</f>
        <v xml:space="preserve"> </v>
      </c>
      <c r="CK13" s="976"/>
      <c r="CL13" s="976"/>
      <c r="CM13" s="976"/>
      <c r="CN13" s="976"/>
      <c r="CO13" s="976"/>
      <c r="CP13" s="976" t="str">
        <f>MID(SUVAHAVUJ!AF182,3,1)</f>
        <v xml:space="preserve"> </v>
      </c>
      <c r="CQ13" s="976"/>
      <c r="CR13" s="976"/>
      <c r="CS13" s="976"/>
      <c r="CT13" s="976"/>
      <c r="CU13" s="976" t="str">
        <f>MID(SUVAHAVUJ!AF182,4,1)</f>
        <v xml:space="preserve"> </v>
      </c>
      <c r="CV13" s="976"/>
      <c r="CW13" s="976"/>
      <c r="CX13" s="976"/>
      <c r="CY13" s="976"/>
      <c r="CZ13" s="976"/>
      <c r="DA13" s="976" t="str">
        <f>MID(SUVAHAVUJ!AF182,5,1)</f>
        <v xml:space="preserve"> </v>
      </c>
      <c r="DB13" s="976"/>
      <c r="DC13" s="976"/>
      <c r="DD13" s="976"/>
      <c r="DE13" s="976"/>
      <c r="DF13" s="976" t="str">
        <f>MID(SUVAHAVUJ!AF182,6,1)</f>
        <v xml:space="preserve"> </v>
      </c>
      <c r="DG13" s="976"/>
      <c r="DH13" s="976"/>
      <c r="DI13" s="976"/>
      <c r="DJ13" s="976"/>
      <c r="DK13" s="976"/>
      <c r="DL13" s="976" t="str">
        <f>MID(SUVAHAVUJ!AF182,7,1)</f>
        <v xml:space="preserve"> </v>
      </c>
      <c r="DM13" s="976"/>
      <c r="DN13" s="976"/>
      <c r="DO13" s="976"/>
      <c r="DP13" s="976"/>
      <c r="DQ13" s="976"/>
      <c r="DR13" s="976" t="str">
        <f>MID(SUVAHAVUJ!AF182,8,1)</f>
        <v xml:space="preserve"> </v>
      </c>
      <c r="DS13" s="976"/>
      <c r="DT13" s="976"/>
      <c r="DU13" s="976"/>
      <c r="DV13" s="976"/>
      <c r="DW13" s="982" t="str">
        <f>MID(SUVAHAVUJ!AF182,9,1)</f>
        <v xml:space="preserve"> </v>
      </c>
      <c r="DX13" s="982"/>
      <c r="DY13" s="982"/>
      <c r="DZ13" s="982"/>
      <c r="EA13" s="982"/>
      <c r="EB13" s="982"/>
      <c r="EC13" s="982" t="str">
        <f>MID(SUVAHAVUJ!AF182,10,1)</f>
        <v xml:space="preserve"> </v>
      </c>
      <c r="ED13" s="982"/>
      <c r="EE13" s="982"/>
      <c r="EF13" s="982"/>
      <c r="EG13" s="982"/>
      <c r="EH13" s="977" t="str">
        <f>MID(SUVAHAVUJ!AF182,11,1)</f>
        <v>0</v>
      </c>
      <c r="EI13" s="977"/>
      <c r="EJ13" s="977"/>
      <c r="EK13" s="977"/>
      <c r="EL13" s="977"/>
      <c r="EM13" s="977"/>
      <c r="EN13" s="665"/>
      <c r="EO13" s="666"/>
      <c r="EP13" s="976" t="str">
        <f>MID(SUVAHAVUJ!AG182,1,1)</f>
        <v xml:space="preserve"> </v>
      </c>
      <c r="EQ13" s="976"/>
      <c r="ER13" s="976"/>
      <c r="ES13" s="976"/>
      <c r="ET13" s="976"/>
      <c r="EU13" s="976"/>
      <c r="EV13" s="976" t="str">
        <f>MID(SUVAHAVUJ!AG182,2,1)</f>
        <v xml:space="preserve"> </v>
      </c>
      <c r="EW13" s="976"/>
      <c r="EX13" s="976"/>
      <c r="EY13" s="976"/>
      <c r="EZ13" s="976"/>
      <c r="FA13" s="976" t="str">
        <f>MID(SUVAHAVUJ!AG182,3,1)</f>
        <v xml:space="preserve"> </v>
      </c>
      <c r="FB13" s="976"/>
      <c r="FC13" s="976"/>
      <c r="FD13" s="976"/>
      <c r="FE13" s="976"/>
      <c r="FF13" s="976"/>
      <c r="FG13" s="976" t="str">
        <f>MID(SUVAHAVUJ!AG182,4,1)</f>
        <v xml:space="preserve"> </v>
      </c>
      <c r="FH13" s="976"/>
      <c r="FI13" s="976"/>
      <c r="FJ13" s="976"/>
      <c r="FK13" s="976"/>
      <c r="FL13" s="982" t="str">
        <f>MID(SUVAHAVUJ!AG182,5,1)</f>
        <v xml:space="preserve"> </v>
      </c>
      <c r="FM13" s="982"/>
      <c r="FN13" s="982"/>
      <c r="FO13" s="982"/>
      <c r="FP13" s="982"/>
      <c r="FQ13" s="982"/>
      <c r="FR13" s="982" t="str">
        <f>MID(SUVAHAVUJ!AG182,6,1)</f>
        <v xml:space="preserve"> </v>
      </c>
      <c r="FS13" s="982"/>
      <c r="FT13" s="982"/>
      <c r="FU13" s="982"/>
      <c r="FV13" s="982"/>
      <c r="FW13" s="982" t="str">
        <f>MID(SUVAHAVUJ!AG182,7,1)</f>
        <v xml:space="preserve"> </v>
      </c>
      <c r="FX13" s="982"/>
      <c r="FY13" s="982"/>
      <c r="FZ13" s="982"/>
      <c r="GA13" s="982"/>
      <c r="GB13" s="982"/>
      <c r="GC13" s="982" t="str">
        <f>MID(SUVAHAVUJ!AG182,8,1)</f>
        <v xml:space="preserve"> </v>
      </c>
      <c r="GD13" s="982"/>
      <c r="GE13" s="982"/>
      <c r="GF13" s="982"/>
      <c r="GG13" s="982"/>
      <c r="GH13" s="982" t="str">
        <f>MID(SUVAHAVUJ!AG182,9,1)</f>
        <v xml:space="preserve"> </v>
      </c>
      <c r="GI13" s="982"/>
      <c r="GJ13" s="982"/>
      <c r="GK13" s="982"/>
      <c r="GL13" s="982"/>
      <c r="GM13" s="982"/>
      <c r="GN13" s="982" t="str">
        <f>MID(SUVAHAVUJ!AG182,10,1)</f>
        <v xml:space="preserve"> </v>
      </c>
      <c r="GO13" s="982"/>
      <c r="GP13" s="982"/>
      <c r="GQ13" s="982"/>
      <c r="GR13" s="982"/>
      <c r="GS13" s="978" t="str">
        <f>MID(SUVAHAVUJ!AG182,11,1)</f>
        <v>0</v>
      </c>
      <c r="GT13" s="978"/>
      <c r="GU13" s="978"/>
      <c r="GV13" s="978"/>
      <c r="GW13" s="978"/>
    </row>
    <row r="14" spans="1:205" ht="24.6" customHeight="1" x14ac:dyDescent="0.25">
      <c r="B14" s="1019" t="s">
        <v>2307</v>
      </c>
      <c r="C14" s="1019"/>
      <c r="D14" s="1019"/>
      <c r="E14" s="1019"/>
      <c r="F14" s="1019"/>
      <c r="G14" s="1019"/>
      <c r="H14" s="1019"/>
      <c r="I14" s="1019"/>
      <c r="J14" s="1019"/>
      <c r="K14" s="1019"/>
      <c r="L14" s="1004" t="str">
        <f>SUVAHAVUJ!$D$183</f>
        <v>Výnosy z krátkodobého finančného majetku súčet
(r. 36 až r. 38)</v>
      </c>
      <c r="M14" s="1004"/>
      <c r="N14" s="1004"/>
      <c r="O14" s="1004"/>
      <c r="P14" s="1004"/>
      <c r="Q14" s="1004"/>
      <c r="R14" s="1004"/>
      <c r="S14" s="1004"/>
      <c r="T14" s="1004"/>
      <c r="U14" s="1004"/>
      <c r="V14" s="1004"/>
      <c r="W14" s="1004"/>
      <c r="X14" s="1004"/>
      <c r="Y14" s="1004"/>
      <c r="Z14" s="1004"/>
      <c r="AA14" s="1004"/>
      <c r="AB14" s="1004"/>
      <c r="AC14" s="1004"/>
      <c r="AD14" s="1004"/>
      <c r="AE14" s="1004"/>
      <c r="AF14" s="1004"/>
      <c r="AG14" s="1004"/>
      <c r="AH14" s="1004"/>
      <c r="AI14" s="1004"/>
      <c r="AJ14" s="1004"/>
      <c r="AK14" s="1004"/>
      <c r="AL14" s="1004"/>
      <c r="AM14" s="1004"/>
      <c r="AN14" s="1004"/>
      <c r="AO14" s="1004"/>
      <c r="AP14" s="1004"/>
      <c r="AQ14" s="1004"/>
      <c r="AR14" s="1004"/>
      <c r="AS14" s="1004"/>
      <c r="AT14" s="1004"/>
      <c r="AU14" s="1004"/>
      <c r="AV14" s="1004"/>
      <c r="AW14" s="1004"/>
      <c r="AX14" s="1004"/>
      <c r="AY14" s="1004"/>
      <c r="AZ14" s="1004"/>
      <c r="BA14" s="1004"/>
      <c r="BB14" s="1004"/>
      <c r="BC14" s="1004"/>
      <c r="BD14" s="1004"/>
      <c r="BE14" s="1004"/>
      <c r="BF14" s="1004"/>
      <c r="BG14" s="1004"/>
      <c r="BH14" s="1004"/>
      <c r="BI14" s="1004"/>
      <c r="BJ14" s="1004"/>
      <c r="BK14" s="1004"/>
      <c r="BL14" s="1004"/>
      <c r="BM14" s="1004"/>
      <c r="BN14" s="1004"/>
      <c r="BO14" s="1004"/>
      <c r="BP14" s="1004"/>
      <c r="BQ14" s="1004"/>
      <c r="BR14" s="1004"/>
      <c r="BS14" s="1004"/>
      <c r="BT14" s="1004"/>
      <c r="BU14" s="1004"/>
      <c r="BV14" s="1004"/>
      <c r="BW14" s="975" t="s">
        <v>2189</v>
      </c>
      <c r="BX14" s="975"/>
      <c r="BY14" s="975"/>
      <c r="BZ14" s="975"/>
      <c r="CA14" s="975"/>
      <c r="CB14" s="975"/>
      <c r="CC14" s="975"/>
      <c r="CD14" s="975"/>
      <c r="CE14" s="976" t="str">
        <f>MID(SUVAHAVUJ!AF183,1,1)</f>
        <v xml:space="preserve"> </v>
      </c>
      <c r="CF14" s="976"/>
      <c r="CG14" s="976"/>
      <c r="CH14" s="976"/>
      <c r="CI14" s="976"/>
      <c r="CJ14" s="976" t="str">
        <f>MID(SUVAHAVUJ!AF183,2,1)</f>
        <v xml:space="preserve"> </v>
      </c>
      <c r="CK14" s="976"/>
      <c r="CL14" s="976"/>
      <c r="CM14" s="976"/>
      <c r="CN14" s="976"/>
      <c r="CO14" s="976"/>
      <c r="CP14" s="976" t="str">
        <f>MID(SUVAHAVUJ!AF183,3,1)</f>
        <v xml:space="preserve"> </v>
      </c>
      <c r="CQ14" s="976"/>
      <c r="CR14" s="976"/>
      <c r="CS14" s="976"/>
      <c r="CT14" s="976"/>
      <c r="CU14" s="976" t="str">
        <f>MID(SUVAHAVUJ!AF183,4,1)</f>
        <v xml:space="preserve"> </v>
      </c>
      <c r="CV14" s="976"/>
      <c r="CW14" s="976"/>
      <c r="CX14" s="976"/>
      <c r="CY14" s="976"/>
      <c r="CZ14" s="976"/>
      <c r="DA14" s="976" t="str">
        <f>MID(SUVAHAVUJ!AF183,5,1)</f>
        <v xml:space="preserve"> </v>
      </c>
      <c r="DB14" s="976"/>
      <c r="DC14" s="976"/>
      <c r="DD14" s="976"/>
      <c r="DE14" s="976"/>
      <c r="DF14" s="976" t="str">
        <f>MID(SUVAHAVUJ!AF183,6,1)</f>
        <v xml:space="preserve"> </v>
      </c>
      <c r="DG14" s="976"/>
      <c r="DH14" s="976"/>
      <c r="DI14" s="976"/>
      <c r="DJ14" s="976"/>
      <c r="DK14" s="976"/>
      <c r="DL14" s="976" t="str">
        <f>MID(SUVAHAVUJ!AF183,7,1)</f>
        <v xml:space="preserve"> </v>
      </c>
      <c r="DM14" s="976"/>
      <c r="DN14" s="976"/>
      <c r="DO14" s="976"/>
      <c r="DP14" s="976"/>
      <c r="DQ14" s="976"/>
      <c r="DR14" s="976" t="str">
        <f>MID(SUVAHAVUJ!AF183,8,1)</f>
        <v xml:space="preserve"> </v>
      </c>
      <c r="DS14" s="976"/>
      <c r="DT14" s="976"/>
      <c r="DU14" s="976"/>
      <c r="DV14" s="976"/>
      <c r="DW14" s="982" t="str">
        <f>MID(SUVAHAVUJ!AF183,9,1)</f>
        <v xml:space="preserve"> </v>
      </c>
      <c r="DX14" s="982"/>
      <c r="DY14" s="982"/>
      <c r="DZ14" s="982"/>
      <c r="EA14" s="982"/>
      <c r="EB14" s="982"/>
      <c r="EC14" s="982" t="str">
        <f>MID(SUVAHAVUJ!AF183,10,1)</f>
        <v xml:space="preserve"> </v>
      </c>
      <c r="ED14" s="982"/>
      <c r="EE14" s="982"/>
      <c r="EF14" s="982"/>
      <c r="EG14" s="982"/>
      <c r="EH14" s="977" t="str">
        <f>MID(SUVAHAVUJ!AF183,11,1)</f>
        <v>0</v>
      </c>
      <c r="EI14" s="977"/>
      <c r="EJ14" s="977"/>
      <c r="EK14" s="977"/>
      <c r="EL14" s="977"/>
      <c r="EM14" s="977"/>
      <c r="EN14" s="665"/>
      <c r="EO14" s="666"/>
      <c r="EP14" s="976" t="str">
        <f>MID(SUVAHAVUJ!AG183,1,1)</f>
        <v xml:space="preserve"> </v>
      </c>
      <c r="EQ14" s="976"/>
      <c r="ER14" s="976"/>
      <c r="ES14" s="976"/>
      <c r="ET14" s="976"/>
      <c r="EU14" s="976"/>
      <c r="EV14" s="976" t="str">
        <f>MID(SUVAHAVUJ!AG183,2,1)</f>
        <v xml:space="preserve"> </v>
      </c>
      <c r="EW14" s="976"/>
      <c r="EX14" s="976"/>
      <c r="EY14" s="976"/>
      <c r="EZ14" s="976"/>
      <c r="FA14" s="976" t="str">
        <f>MID(SUVAHAVUJ!AG183,3,1)</f>
        <v xml:space="preserve"> </v>
      </c>
      <c r="FB14" s="976"/>
      <c r="FC14" s="976"/>
      <c r="FD14" s="976"/>
      <c r="FE14" s="976"/>
      <c r="FF14" s="976"/>
      <c r="FG14" s="976" t="str">
        <f>MID(SUVAHAVUJ!AG183,4,1)</f>
        <v xml:space="preserve"> </v>
      </c>
      <c r="FH14" s="976"/>
      <c r="FI14" s="976"/>
      <c r="FJ14" s="976"/>
      <c r="FK14" s="976"/>
      <c r="FL14" s="982" t="str">
        <f>MID(SUVAHAVUJ!AG183,5,1)</f>
        <v xml:space="preserve"> </v>
      </c>
      <c r="FM14" s="982"/>
      <c r="FN14" s="982"/>
      <c r="FO14" s="982"/>
      <c r="FP14" s="982"/>
      <c r="FQ14" s="982"/>
      <c r="FR14" s="982" t="str">
        <f>MID(SUVAHAVUJ!AG183,6,1)</f>
        <v xml:space="preserve"> </v>
      </c>
      <c r="FS14" s="982"/>
      <c r="FT14" s="982"/>
      <c r="FU14" s="982"/>
      <c r="FV14" s="982"/>
      <c r="FW14" s="982" t="str">
        <f>MID(SUVAHAVUJ!AG183,7,1)</f>
        <v xml:space="preserve"> </v>
      </c>
      <c r="FX14" s="982"/>
      <c r="FY14" s="982"/>
      <c r="FZ14" s="982"/>
      <c r="GA14" s="982"/>
      <c r="GB14" s="982"/>
      <c r="GC14" s="982" t="str">
        <f>MID(SUVAHAVUJ!AG183,8,1)</f>
        <v xml:space="preserve"> </v>
      </c>
      <c r="GD14" s="982"/>
      <c r="GE14" s="982"/>
      <c r="GF14" s="982"/>
      <c r="GG14" s="982"/>
      <c r="GH14" s="982" t="str">
        <f>MID(SUVAHAVUJ!AG183,9,1)</f>
        <v xml:space="preserve"> </v>
      </c>
      <c r="GI14" s="982"/>
      <c r="GJ14" s="982"/>
      <c r="GK14" s="982"/>
      <c r="GL14" s="982"/>
      <c r="GM14" s="982"/>
      <c r="GN14" s="982" t="str">
        <f>MID(SUVAHAVUJ!AG183,10,1)</f>
        <v xml:space="preserve"> </v>
      </c>
      <c r="GO14" s="982"/>
      <c r="GP14" s="982"/>
      <c r="GQ14" s="982"/>
      <c r="GR14" s="982"/>
      <c r="GS14" s="978" t="str">
        <f>MID(SUVAHAVUJ!AG183,11,1)</f>
        <v>0</v>
      </c>
      <c r="GT14" s="978"/>
      <c r="GU14" s="978"/>
      <c r="GV14" s="978"/>
      <c r="GW14" s="978"/>
    </row>
    <row r="15" spans="1:205" ht="24.6" customHeight="1" x14ac:dyDescent="0.25">
      <c r="B15" s="1018" t="s">
        <v>2308</v>
      </c>
      <c r="C15" s="1018"/>
      <c r="D15" s="1018"/>
      <c r="E15" s="1018"/>
      <c r="F15" s="1018"/>
      <c r="G15" s="1018"/>
      <c r="H15" s="1018"/>
      <c r="I15" s="1018"/>
      <c r="J15" s="1018"/>
      <c r="K15" s="1018"/>
      <c r="L15" s="1005" t="str">
        <f>SUVAHAVUJ!$D$184</f>
        <v>Výnosy z krátkodobého finančného majetku od prepojených účtovných jednotiek (666A)</v>
      </c>
      <c r="M15" s="1005"/>
      <c r="N15" s="1005"/>
      <c r="O15" s="1005"/>
      <c r="P15" s="1005"/>
      <c r="Q15" s="1005"/>
      <c r="R15" s="1005"/>
      <c r="S15" s="1005"/>
      <c r="T15" s="1005"/>
      <c r="U15" s="1005"/>
      <c r="V15" s="1005"/>
      <c r="W15" s="1005"/>
      <c r="X15" s="1005"/>
      <c r="Y15" s="1005"/>
      <c r="Z15" s="1005"/>
      <c r="AA15" s="1005"/>
      <c r="AB15" s="1005"/>
      <c r="AC15" s="1005"/>
      <c r="AD15" s="1005"/>
      <c r="AE15" s="1005"/>
      <c r="AF15" s="1005"/>
      <c r="AG15" s="1005"/>
      <c r="AH15" s="1005"/>
      <c r="AI15" s="1005"/>
      <c r="AJ15" s="1005"/>
      <c r="AK15" s="1005"/>
      <c r="AL15" s="1005"/>
      <c r="AM15" s="1005"/>
      <c r="AN15" s="1005"/>
      <c r="AO15" s="1005"/>
      <c r="AP15" s="1005"/>
      <c r="AQ15" s="1005"/>
      <c r="AR15" s="1005"/>
      <c r="AS15" s="1005"/>
      <c r="AT15" s="1005"/>
      <c r="AU15" s="1005"/>
      <c r="AV15" s="1005"/>
      <c r="AW15" s="1005"/>
      <c r="AX15" s="1005"/>
      <c r="AY15" s="1005"/>
      <c r="AZ15" s="1005"/>
      <c r="BA15" s="1005"/>
      <c r="BB15" s="1005"/>
      <c r="BC15" s="1005"/>
      <c r="BD15" s="1005"/>
      <c r="BE15" s="1005"/>
      <c r="BF15" s="1005"/>
      <c r="BG15" s="1005"/>
      <c r="BH15" s="1005"/>
      <c r="BI15" s="1005"/>
      <c r="BJ15" s="1005"/>
      <c r="BK15" s="1005"/>
      <c r="BL15" s="1005"/>
      <c r="BM15" s="1005"/>
      <c r="BN15" s="1005"/>
      <c r="BO15" s="1005"/>
      <c r="BP15" s="1005"/>
      <c r="BQ15" s="1005"/>
      <c r="BR15" s="1005"/>
      <c r="BS15" s="1005"/>
      <c r="BT15" s="1005"/>
      <c r="BU15" s="1005"/>
      <c r="BV15" s="1005"/>
      <c r="BW15" s="975" t="s">
        <v>2191</v>
      </c>
      <c r="BX15" s="975"/>
      <c r="BY15" s="975"/>
      <c r="BZ15" s="975"/>
      <c r="CA15" s="975"/>
      <c r="CB15" s="975"/>
      <c r="CC15" s="975"/>
      <c r="CD15" s="975"/>
      <c r="CE15" s="976" t="str">
        <f>MID(SUVAHAVUJ!AF184,1,1)</f>
        <v xml:space="preserve"> </v>
      </c>
      <c r="CF15" s="976"/>
      <c r="CG15" s="976"/>
      <c r="CH15" s="976"/>
      <c r="CI15" s="976"/>
      <c r="CJ15" s="976" t="str">
        <f>MID(SUVAHAVUJ!AF184,2,1)</f>
        <v xml:space="preserve"> </v>
      </c>
      <c r="CK15" s="976"/>
      <c r="CL15" s="976"/>
      <c r="CM15" s="976"/>
      <c r="CN15" s="976"/>
      <c r="CO15" s="976"/>
      <c r="CP15" s="976" t="str">
        <f>MID(SUVAHAVUJ!AF184,3,1)</f>
        <v xml:space="preserve"> </v>
      </c>
      <c r="CQ15" s="976"/>
      <c r="CR15" s="976"/>
      <c r="CS15" s="976"/>
      <c r="CT15" s="976"/>
      <c r="CU15" s="976" t="str">
        <f>MID(SUVAHAVUJ!AF184,4,1)</f>
        <v xml:space="preserve"> </v>
      </c>
      <c r="CV15" s="976"/>
      <c r="CW15" s="976"/>
      <c r="CX15" s="976"/>
      <c r="CY15" s="976"/>
      <c r="CZ15" s="976"/>
      <c r="DA15" s="976" t="str">
        <f>MID(SUVAHAVUJ!AF184,5,1)</f>
        <v xml:space="preserve"> </v>
      </c>
      <c r="DB15" s="976"/>
      <c r="DC15" s="976"/>
      <c r="DD15" s="976"/>
      <c r="DE15" s="976"/>
      <c r="DF15" s="976" t="str">
        <f>MID(SUVAHAVUJ!AF184,6,1)</f>
        <v xml:space="preserve"> </v>
      </c>
      <c r="DG15" s="976"/>
      <c r="DH15" s="976"/>
      <c r="DI15" s="976"/>
      <c r="DJ15" s="976"/>
      <c r="DK15" s="976"/>
      <c r="DL15" s="976" t="str">
        <f>MID(SUVAHAVUJ!AF184,7,1)</f>
        <v xml:space="preserve"> </v>
      </c>
      <c r="DM15" s="976"/>
      <c r="DN15" s="976"/>
      <c r="DO15" s="976"/>
      <c r="DP15" s="976"/>
      <c r="DQ15" s="976"/>
      <c r="DR15" s="976" t="str">
        <f>MID(SUVAHAVUJ!AF184,8,1)</f>
        <v xml:space="preserve"> </v>
      </c>
      <c r="DS15" s="976"/>
      <c r="DT15" s="976"/>
      <c r="DU15" s="976"/>
      <c r="DV15" s="976"/>
      <c r="DW15" s="982" t="str">
        <f>MID(SUVAHAVUJ!AF184,9,1)</f>
        <v xml:space="preserve"> </v>
      </c>
      <c r="DX15" s="982"/>
      <c r="DY15" s="982"/>
      <c r="DZ15" s="982"/>
      <c r="EA15" s="982"/>
      <c r="EB15" s="982"/>
      <c r="EC15" s="982" t="str">
        <f>MID(SUVAHAVUJ!AF184,10,1)</f>
        <v xml:space="preserve"> </v>
      </c>
      <c r="ED15" s="982"/>
      <c r="EE15" s="982"/>
      <c r="EF15" s="982"/>
      <c r="EG15" s="982"/>
      <c r="EH15" s="977" t="str">
        <f>MID(SUVAHAVUJ!AF184,11,1)</f>
        <v>0</v>
      </c>
      <c r="EI15" s="977"/>
      <c r="EJ15" s="977"/>
      <c r="EK15" s="977"/>
      <c r="EL15" s="977"/>
      <c r="EM15" s="977"/>
      <c r="EN15" s="665"/>
      <c r="EO15" s="666"/>
      <c r="EP15" s="976" t="str">
        <f>MID(SUVAHAVUJ!AG184,1,1)</f>
        <v xml:space="preserve"> </v>
      </c>
      <c r="EQ15" s="976"/>
      <c r="ER15" s="976"/>
      <c r="ES15" s="976"/>
      <c r="ET15" s="976"/>
      <c r="EU15" s="976"/>
      <c r="EV15" s="976" t="str">
        <f>MID(SUVAHAVUJ!AG184,2,1)</f>
        <v xml:space="preserve"> </v>
      </c>
      <c r="EW15" s="976"/>
      <c r="EX15" s="976"/>
      <c r="EY15" s="976"/>
      <c r="EZ15" s="976"/>
      <c r="FA15" s="976" t="str">
        <f>MID(SUVAHAVUJ!AG184,3,1)</f>
        <v xml:space="preserve"> </v>
      </c>
      <c r="FB15" s="976"/>
      <c r="FC15" s="976"/>
      <c r="FD15" s="976"/>
      <c r="FE15" s="976"/>
      <c r="FF15" s="976"/>
      <c r="FG15" s="976" t="str">
        <f>MID(SUVAHAVUJ!AG184,4,1)</f>
        <v xml:space="preserve"> </v>
      </c>
      <c r="FH15" s="976"/>
      <c r="FI15" s="976"/>
      <c r="FJ15" s="976"/>
      <c r="FK15" s="976"/>
      <c r="FL15" s="982" t="str">
        <f>MID(SUVAHAVUJ!AG184,5,1)</f>
        <v xml:space="preserve"> </v>
      </c>
      <c r="FM15" s="982"/>
      <c r="FN15" s="982"/>
      <c r="FO15" s="982"/>
      <c r="FP15" s="982"/>
      <c r="FQ15" s="982"/>
      <c r="FR15" s="982" t="str">
        <f>MID(SUVAHAVUJ!AG184,6,1)</f>
        <v xml:space="preserve"> </v>
      </c>
      <c r="FS15" s="982"/>
      <c r="FT15" s="982"/>
      <c r="FU15" s="982"/>
      <c r="FV15" s="982"/>
      <c r="FW15" s="982" t="str">
        <f>MID(SUVAHAVUJ!AG184,7,1)</f>
        <v xml:space="preserve"> </v>
      </c>
      <c r="FX15" s="982"/>
      <c r="FY15" s="982"/>
      <c r="FZ15" s="982"/>
      <c r="GA15" s="982"/>
      <c r="GB15" s="982"/>
      <c r="GC15" s="982" t="str">
        <f>MID(SUVAHAVUJ!AG184,8,1)</f>
        <v xml:space="preserve"> </v>
      </c>
      <c r="GD15" s="982"/>
      <c r="GE15" s="982"/>
      <c r="GF15" s="982"/>
      <c r="GG15" s="982"/>
      <c r="GH15" s="982" t="str">
        <f>MID(SUVAHAVUJ!AG184,9,1)</f>
        <v xml:space="preserve"> </v>
      </c>
      <c r="GI15" s="982"/>
      <c r="GJ15" s="982"/>
      <c r="GK15" s="982"/>
      <c r="GL15" s="982"/>
      <c r="GM15" s="982"/>
      <c r="GN15" s="982" t="str">
        <f>MID(SUVAHAVUJ!AG184,10,1)</f>
        <v xml:space="preserve"> </v>
      </c>
      <c r="GO15" s="982"/>
      <c r="GP15" s="982"/>
      <c r="GQ15" s="982"/>
      <c r="GR15" s="982"/>
      <c r="GS15" s="978" t="str">
        <f>MID(SUVAHAVUJ!AG184,11,1)</f>
        <v>0</v>
      </c>
      <c r="GT15" s="978"/>
      <c r="GU15" s="978"/>
      <c r="GV15" s="978"/>
      <c r="GW15" s="978"/>
    </row>
    <row r="16" spans="1:205" ht="24.6" customHeight="1" x14ac:dyDescent="0.25">
      <c r="B16" s="1020" t="s">
        <v>2166</v>
      </c>
      <c r="C16" s="1020"/>
      <c r="D16" s="1020"/>
      <c r="E16" s="1020"/>
      <c r="F16" s="1020"/>
      <c r="G16" s="1020"/>
      <c r="H16" s="1020"/>
      <c r="I16" s="1020"/>
      <c r="J16" s="1020"/>
      <c r="K16" s="1020"/>
      <c r="L16" s="1005" t="str">
        <f>SUVAHAVUJ!$D$185</f>
        <v>Výnosy z krátkodobého finančného majetku v podielovej účasti okrem výnosov prepojených účtovných jednotiek (666A)</v>
      </c>
      <c r="M16" s="1005"/>
      <c r="N16" s="1005"/>
      <c r="O16" s="1005"/>
      <c r="P16" s="1005"/>
      <c r="Q16" s="1005"/>
      <c r="R16" s="1005"/>
      <c r="S16" s="1005"/>
      <c r="T16" s="1005"/>
      <c r="U16" s="1005"/>
      <c r="V16" s="1005"/>
      <c r="W16" s="1005"/>
      <c r="X16" s="1005"/>
      <c r="Y16" s="1005"/>
      <c r="Z16" s="1005"/>
      <c r="AA16" s="1005"/>
      <c r="AB16" s="1005"/>
      <c r="AC16" s="1005"/>
      <c r="AD16" s="1005"/>
      <c r="AE16" s="1005"/>
      <c r="AF16" s="1005"/>
      <c r="AG16" s="1005"/>
      <c r="AH16" s="1005"/>
      <c r="AI16" s="1005"/>
      <c r="AJ16" s="1005"/>
      <c r="AK16" s="1005"/>
      <c r="AL16" s="1005"/>
      <c r="AM16" s="1005"/>
      <c r="AN16" s="1005"/>
      <c r="AO16" s="1005"/>
      <c r="AP16" s="1005"/>
      <c r="AQ16" s="1005"/>
      <c r="AR16" s="1005"/>
      <c r="AS16" s="1005"/>
      <c r="AT16" s="1005"/>
      <c r="AU16" s="1005"/>
      <c r="AV16" s="1005"/>
      <c r="AW16" s="1005"/>
      <c r="AX16" s="1005"/>
      <c r="AY16" s="1005"/>
      <c r="AZ16" s="1005"/>
      <c r="BA16" s="1005"/>
      <c r="BB16" s="1005"/>
      <c r="BC16" s="1005"/>
      <c r="BD16" s="1005"/>
      <c r="BE16" s="1005"/>
      <c r="BF16" s="1005"/>
      <c r="BG16" s="1005"/>
      <c r="BH16" s="1005"/>
      <c r="BI16" s="1005"/>
      <c r="BJ16" s="1005"/>
      <c r="BK16" s="1005"/>
      <c r="BL16" s="1005"/>
      <c r="BM16" s="1005"/>
      <c r="BN16" s="1005"/>
      <c r="BO16" s="1005"/>
      <c r="BP16" s="1005"/>
      <c r="BQ16" s="1005"/>
      <c r="BR16" s="1005"/>
      <c r="BS16" s="1005"/>
      <c r="BT16" s="1005"/>
      <c r="BU16" s="1005"/>
      <c r="BV16" s="1005"/>
      <c r="BW16" s="975" t="s">
        <v>2192</v>
      </c>
      <c r="BX16" s="975"/>
      <c r="BY16" s="975"/>
      <c r="BZ16" s="975"/>
      <c r="CA16" s="975"/>
      <c r="CB16" s="975"/>
      <c r="CC16" s="975"/>
      <c r="CD16" s="975"/>
      <c r="CE16" s="976" t="str">
        <f>MID(SUVAHAVUJ!AF185,1,1)</f>
        <v xml:space="preserve"> </v>
      </c>
      <c r="CF16" s="976"/>
      <c r="CG16" s="976"/>
      <c r="CH16" s="976"/>
      <c r="CI16" s="976"/>
      <c r="CJ16" s="976" t="str">
        <f>MID(SUVAHAVUJ!AF185,2,1)</f>
        <v xml:space="preserve"> </v>
      </c>
      <c r="CK16" s="976"/>
      <c r="CL16" s="976"/>
      <c r="CM16" s="976"/>
      <c r="CN16" s="976"/>
      <c r="CO16" s="976"/>
      <c r="CP16" s="976" t="str">
        <f>MID(SUVAHAVUJ!AF185,3,1)</f>
        <v xml:space="preserve"> </v>
      </c>
      <c r="CQ16" s="976"/>
      <c r="CR16" s="976"/>
      <c r="CS16" s="976"/>
      <c r="CT16" s="976"/>
      <c r="CU16" s="976" t="str">
        <f>MID(SUVAHAVUJ!AF185,4,1)</f>
        <v xml:space="preserve"> </v>
      </c>
      <c r="CV16" s="976"/>
      <c r="CW16" s="976"/>
      <c r="CX16" s="976"/>
      <c r="CY16" s="976"/>
      <c r="CZ16" s="976"/>
      <c r="DA16" s="976" t="str">
        <f>MID(SUVAHAVUJ!AF185,5,1)</f>
        <v xml:space="preserve"> </v>
      </c>
      <c r="DB16" s="976"/>
      <c r="DC16" s="976"/>
      <c r="DD16" s="976"/>
      <c r="DE16" s="976"/>
      <c r="DF16" s="976" t="str">
        <f>MID(SUVAHAVUJ!AF185,6,1)</f>
        <v xml:space="preserve"> </v>
      </c>
      <c r="DG16" s="976"/>
      <c r="DH16" s="976"/>
      <c r="DI16" s="976"/>
      <c r="DJ16" s="976"/>
      <c r="DK16" s="976"/>
      <c r="DL16" s="976" t="str">
        <f>MID(SUVAHAVUJ!AF185,7,1)</f>
        <v xml:space="preserve"> </v>
      </c>
      <c r="DM16" s="976"/>
      <c r="DN16" s="976"/>
      <c r="DO16" s="976"/>
      <c r="DP16" s="976"/>
      <c r="DQ16" s="976"/>
      <c r="DR16" s="976" t="str">
        <f>MID(SUVAHAVUJ!AF185,8,1)</f>
        <v xml:space="preserve"> </v>
      </c>
      <c r="DS16" s="976"/>
      <c r="DT16" s="976"/>
      <c r="DU16" s="976"/>
      <c r="DV16" s="976"/>
      <c r="DW16" s="982" t="str">
        <f>MID(SUVAHAVUJ!AF185,9,1)</f>
        <v xml:space="preserve"> </v>
      </c>
      <c r="DX16" s="982"/>
      <c r="DY16" s="982"/>
      <c r="DZ16" s="982"/>
      <c r="EA16" s="982"/>
      <c r="EB16" s="982"/>
      <c r="EC16" s="982" t="str">
        <f>MID(SUVAHAVUJ!AF185,10,1)</f>
        <v xml:space="preserve"> </v>
      </c>
      <c r="ED16" s="982"/>
      <c r="EE16" s="982"/>
      <c r="EF16" s="982"/>
      <c r="EG16" s="982"/>
      <c r="EH16" s="977" t="str">
        <f>MID(SUVAHAVUJ!AF185,11,1)</f>
        <v>0</v>
      </c>
      <c r="EI16" s="977"/>
      <c r="EJ16" s="977"/>
      <c r="EK16" s="977"/>
      <c r="EL16" s="977"/>
      <c r="EM16" s="977"/>
      <c r="EN16" s="665"/>
      <c r="EO16" s="666"/>
      <c r="EP16" s="976" t="str">
        <f>MID(SUVAHAVUJ!AG185,1,1)</f>
        <v xml:space="preserve"> </v>
      </c>
      <c r="EQ16" s="976"/>
      <c r="ER16" s="976"/>
      <c r="ES16" s="976"/>
      <c r="ET16" s="976"/>
      <c r="EU16" s="976"/>
      <c r="EV16" s="976" t="str">
        <f>MID(SUVAHAVUJ!AG185,2,1)</f>
        <v xml:space="preserve"> </v>
      </c>
      <c r="EW16" s="976"/>
      <c r="EX16" s="976"/>
      <c r="EY16" s="976"/>
      <c r="EZ16" s="976"/>
      <c r="FA16" s="976" t="str">
        <f>MID(SUVAHAVUJ!AG185,3,1)</f>
        <v xml:space="preserve"> </v>
      </c>
      <c r="FB16" s="976"/>
      <c r="FC16" s="976"/>
      <c r="FD16" s="976"/>
      <c r="FE16" s="976"/>
      <c r="FF16" s="976"/>
      <c r="FG16" s="976" t="str">
        <f>MID(SUVAHAVUJ!AG185,4,1)</f>
        <v xml:space="preserve"> </v>
      </c>
      <c r="FH16" s="976"/>
      <c r="FI16" s="976"/>
      <c r="FJ16" s="976"/>
      <c r="FK16" s="976"/>
      <c r="FL16" s="982" t="str">
        <f>MID(SUVAHAVUJ!AG185,5,1)</f>
        <v xml:space="preserve"> </v>
      </c>
      <c r="FM16" s="982"/>
      <c r="FN16" s="982"/>
      <c r="FO16" s="982"/>
      <c r="FP16" s="982"/>
      <c r="FQ16" s="982"/>
      <c r="FR16" s="982" t="str">
        <f>MID(SUVAHAVUJ!AG185,6,1)</f>
        <v xml:space="preserve"> </v>
      </c>
      <c r="FS16" s="982"/>
      <c r="FT16" s="982"/>
      <c r="FU16" s="982"/>
      <c r="FV16" s="982"/>
      <c r="FW16" s="982" t="str">
        <f>MID(SUVAHAVUJ!AG185,7,1)</f>
        <v xml:space="preserve"> </v>
      </c>
      <c r="FX16" s="982"/>
      <c r="FY16" s="982"/>
      <c r="FZ16" s="982"/>
      <c r="GA16" s="982"/>
      <c r="GB16" s="982"/>
      <c r="GC16" s="982" t="str">
        <f>MID(SUVAHAVUJ!AG185,8,1)</f>
        <v xml:space="preserve"> </v>
      </c>
      <c r="GD16" s="982"/>
      <c r="GE16" s="982"/>
      <c r="GF16" s="982"/>
      <c r="GG16" s="982"/>
      <c r="GH16" s="982" t="str">
        <f>MID(SUVAHAVUJ!AG185,9,1)</f>
        <v xml:space="preserve"> </v>
      </c>
      <c r="GI16" s="982"/>
      <c r="GJ16" s="982"/>
      <c r="GK16" s="982"/>
      <c r="GL16" s="982"/>
      <c r="GM16" s="982"/>
      <c r="GN16" s="982" t="str">
        <f>MID(SUVAHAVUJ!AG185,10,1)</f>
        <v xml:space="preserve"> </v>
      </c>
      <c r="GO16" s="982"/>
      <c r="GP16" s="982"/>
      <c r="GQ16" s="982"/>
      <c r="GR16" s="982"/>
      <c r="GS16" s="978" t="str">
        <f>MID(SUVAHAVUJ!AG185,11,1)</f>
        <v>0</v>
      </c>
      <c r="GT16" s="978"/>
      <c r="GU16" s="978"/>
      <c r="GV16" s="978"/>
      <c r="GW16" s="978"/>
    </row>
    <row r="17" spans="1:205" ht="24.6" customHeight="1" x14ac:dyDescent="0.25">
      <c r="B17" s="1018" t="s">
        <v>2167</v>
      </c>
      <c r="C17" s="1018"/>
      <c r="D17" s="1018"/>
      <c r="E17" s="1018"/>
      <c r="F17" s="1018"/>
      <c r="G17" s="1018"/>
      <c r="H17" s="1018"/>
      <c r="I17" s="1018"/>
      <c r="J17" s="1018"/>
      <c r="K17" s="1018"/>
      <c r="L17" s="1005" t="str">
        <f>SUVAHAVUJ!$D$186</f>
        <v>Ostatné výnosy z krátkodobého finančného majetku (666A)</v>
      </c>
      <c r="M17" s="1005"/>
      <c r="N17" s="1005"/>
      <c r="O17" s="1005"/>
      <c r="P17" s="1005"/>
      <c r="Q17" s="1005"/>
      <c r="R17" s="1005"/>
      <c r="S17" s="1005"/>
      <c r="T17" s="1005"/>
      <c r="U17" s="1005"/>
      <c r="V17" s="1005"/>
      <c r="W17" s="1005"/>
      <c r="X17" s="1005"/>
      <c r="Y17" s="1005"/>
      <c r="Z17" s="1005"/>
      <c r="AA17" s="1005"/>
      <c r="AB17" s="1005"/>
      <c r="AC17" s="1005"/>
      <c r="AD17" s="1005"/>
      <c r="AE17" s="1005"/>
      <c r="AF17" s="1005"/>
      <c r="AG17" s="1005"/>
      <c r="AH17" s="1005"/>
      <c r="AI17" s="1005"/>
      <c r="AJ17" s="1005"/>
      <c r="AK17" s="1005"/>
      <c r="AL17" s="1005"/>
      <c r="AM17" s="1005"/>
      <c r="AN17" s="1005"/>
      <c r="AO17" s="1005"/>
      <c r="AP17" s="1005"/>
      <c r="AQ17" s="1005"/>
      <c r="AR17" s="1005"/>
      <c r="AS17" s="1005"/>
      <c r="AT17" s="1005"/>
      <c r="AU17" s="1005"/>
      <c r="AV17" s="1005"/>
      <c r="AW17" s="1005"/>
      <c r="AX17" s="1005"/>
      <c r="AY17" s="1005"/>
      <c r="AZ17" s="1005"/>
      <c r="BA17" s="1005"/>
      <c r="BB17" s="1005"/>
      <c r="BC17" s="1005"/>
      <c r="BD17" s="1005"/>
      <c r="BE17" s="1005"/>
      <c r="BF17" s="1005"/>
      <c r="BG17" s="1005"/>
      <c r="BH17" s="1005"/>
      <c r="BI17" s="1005"/>
      <c r="BJ17" s="1005"/>
      <c r="BK17" s="1005"/>
      <c r="BL17" s="1005"/>
      <c r="BM17" s="1005"/>
      <c r="BN17" s="1005"/>
      <c r="BO17" s="1005"/>
      <c r="BP17" s="1005"/>
      <c r="BQ17" s="1005"/>
      <c r="BR17" s="1005"/>
      <c r="BS17" s="1005"/>
      <c r="BT17" s="1005"/>
      <c r="BU17" s="1005"/>
      <c r="BV17" s="1005"/>
      <c r="BW17" s="975" t="s">
        <v>2193</v>
      </c>
      <c r="BX17" s="975"/>
      <c r="BY17" s="975"/>
      <c r="BZ17" s="975"/>
      <c r="CA17" s="975"/>
      <c r="CB17" s="975"/>
      <c r="CC17" s="975"/>
      <c r="CD17" s="975"/>
      <c r="CE17" s="976" t="str">
        <f>MID(SUVAHAVUJ!AF186,1,1)</f>
        <v xml:space="preserve"> </v>
      </c>
      <c r="CF17" s="976"/>
      <c r="CG17" s="976"/>
      <c r="CH17" s="976"/>
      <c r="CI17" s="976"/>
      <c r="CJ17" s="976" t="str">
        <f>MID(SUVAHAVUJ!AF186,2,1)</f>
        <v xml:space="preserve"> </v>
      </c>
      <c r="CK17" s="976"/>
      <c r="CL17" s="976"/>
      <c r="CM17" s="976"/>
      <c r="CN17" s="976"/>
      <c r="CO17" s="976"/>
      <c r="CP17" s="976" t="str">
        <f>MID(SUVAHAVUJ!AF186,3,1)</f>
        <v xml:space="preserve"> </v>
      </c>
      <c r="CQ17" s="976"/>
      <c r="CR17" s="976"/>
      <c r="CS17" s="976"/>
      <c r="CT17" s="976"/>
      <c r="CU17" s="976" t="str">
        <f>MID(SUVAHAVUJ!AF186,4,1)</f>
        <v xml:space="preserve"> </v>
      </c>
      <c r="CV17" s="976"/>
      <c r="CW17" s="976"/>
      <c r="CX17" s="976"/>
      <c r="CY17" s="976"/>
      <c r="CZ17" s="976"/>
      <c r="DA17" s="976" t="str">
        <f>MID(SUVAHAVUJ!AF186,5,1)</f>
        <v xml:space="preserve"> </v>
      </c>
      <c r="DB17" s="976"/>
      <c r="DC17" s="976"/>
      <c r="DD17" s="976"/>
      <c r="DE17" s="976"/>
      <c r="DF17" s="976" t="str">
        <f>MID(SUVAHAVUJ!AF186,6,1)</f>
        <v xml:space="preserve"> </v>
      </c>
      <c r="DG17" s="976"/>
      <c r="DH17" s="976"/>
      <c r="DI17" s="976"/>
      <c r="DJ17" s="976"/>
      <c r="DK17" s="976"/>
      <c r="DL17" s="976" t="str">
        <f>MID(SUVAHAVUJ!AF186,7,1)</f>
        <v xml:space="preserve"> </v>
      </c>
      <c r="DM17" s="976"/>
      <c r="DN17" s="976"/>
      <c r="DO17" s="976"/>
      <c r="DP17" s="976"/>
      <c r="DQ17" s="976"/>
      <c r="DR17" s="976" t="str">
        <f>MID(SUVAHAVUJ!AF186,8,1)</f>
        <v xml:space="preserve"> </v>
      </c>
      <c r="DS17" s="976"/>
      <c r="DT17" s="976"/>
      <c r="DU17" s="976"/>
      <c r="DV17" s="976"/>
      <c r="DW17" s="982" t="str">
        <f>MID(SUVAHAVUJ!AF186,9,1)</f>
        <v xml:space="preserve"> </v>
      </c>
      <c r="DX17" s="982"/>
      <c r="DY17" s="982"/>
      <c r="DZ17" s="982"/>
      <c r="EA17" s="982"/>
      <c r="EB17" s="982"/>
      <c r="EC17" s="982" t="str">
        <f>MID(SUVAHAVUJ!AF186,10,1)</f>
        <v xml:space="preserve"> </v>
      </c>
      <c r="ED17" s="982"/>
      <c r="EE17" s="982"/>
      <c r="EF17" s="982"/>
      <c r="EG17" s="982"/>
      <c r="EH17" s="977" t="str">
        <f>MID(SUVAHAVUJ!AF186,11,1)</f>
        <v>0</v>
      </c>
      <c r="EI17" s="977"/>
      <c r="EJ17" s="977"/>
      <c r="EK17" s="977"/>
      <c r="EL17" s="977"/>
      <c r="EM17" s="977"/>
      <c r="EN17" s="665"/>
      <c r="EO17" s="666"/>
      <c r="EP17" s="976" t="str">
        <f>MID(SUVAHAVUJ!AG186,1,1)</f>
        <v xml:space="preserve"> </v>
      </c>
      <c r="EQ17" s="976"/>
      <c r="ER17" s="976"/>
      <c r="ES17" s="976"/>
      <c r="ET17" s="976"/>
      <c r="EU17" s="976"/>
      <c r="EV17" s="976" t="str">
        <f>MID(SUVAHAVUJ!AG186,2,1)</f>
        <v xml:space="preserve"> </v>
      </c>
      <c r="EW17" s="976"/>
      <c r="EX17" s="976"/>
      <c r="EY17" s="976"/>
      <c r="EZ17" s="976"/>
      <c r="FA17" s="976" t="str">
        <f>MID(SUVAHAVUJ!AG186,3,1)</f>
        <v xml:space="preserve"> </v>
      </c>
      <c r="FB17" s="976"/>
      <c r="FC17" s="976"/>
      <c r="FD17" s="976"/>
      <c r="FE17" s="976"/>
      <c r="FF17" s="976"/>
      <c r="FG17" s="976" t="str">
        <f>MID(SUVAHAVUJ!AG186,4,1)</f>
        <v xml:space="preserve"> </v>
      </c>
      <c r="FH17" s="976"/>
      <c r="FI17" s="976"/>
      <c r="FJ17" s="976"/>
      <c r="FK17" s="976"/>
      <c r="FL17" s="982" t="str">
        <f>MID(SUVAHAVUJ!AG186,5,1)</f>
        <v xml:space="preserve"> </v>
      </c>
      <c r="FM17" s="982"/>
      <c r="FN17" s="982"/>
      <c r="FO17" s="982"/>
      <c r="FP17" s="982"/>
      <c r="FQ17" s="982"/>
      <c r="FR17" s="982" t="str">
        <f>MID(SUVAHAVUJ!AG186,6,1)</f>
        <v xml:space="preserve"> </v>
      </c>
      <c r="FS17" s="982"/>
      <c r="FT17" s="982"/>
      <c r="FU17" s="982"/>
      <c r="FV17" s="982"/>
      <c r="FW17" s="982" t="str">
        <f>MID(SUVAHAVUJ!AG186,7,1)</f>
        <v xml:space="preserve"> </v>
      </c>
      <c r="FX17" s="982"/>
      <c r="FY17" s="982"/>
      <c r="FZ17" s="982"/>
      <c r="GA17" s="982"/>
      <c r="GB17" s="982"/>
      <c r="GC17" s="982" t="str">
        <f>MID(SUVAHAVUJ!AG186,8,1)</f>
        <v xml:space="preserve"> </v>
      </c>
      <c r="GD17" s="982"/>
      <c r="GE17" s="982"/>
      <c r="GF17" s="982"/>
      <c r="GG17" s="982"/>
      <c r="GH17" s="982" t="str">
        <f>MID(SUVAHAVUJ!AG186,9,1)</f>
        <v xml:space="preserve"> </v>
      </c>
      <c r="GI17" s="982"/>
      <c r="GJ17" s="982"/>
      <c r="GK17" s="982"/>
      <c r="GL17" s="982"/>
      <c r="GM17" s="982"/>
      <c r="GN17" s="982" t="str">
        <f>MID(SUVAHAVUJ!AG186,10,1)</f>
        <v xml:space="preserve"> </v>
      </c>
      <c r="GO17" s="982"/>
      <c r="GP17" s="982"/>
      <c r="GQ17" s="982"/>
      <c r="GR17" s="982"/>
      <c r="GS17" s="978" t="str">
        <f>MID(SUVAHAVUJ!AG186,11,1)</f>
        <v>0</v>
      </c>
      <c r="GT17" s="978"/>
      <c r="GU17" s="978"/>
      <c r="GV17" s="978"/>
      <c r="GW17" s="978"/>
    </row>
    <row r="18" spans="1:205" ht="24.6" customHeight="1" x14ac:dyDescent="0.25">
      <c r="B18" s="1019" t="s">
        <v>2309</v>
      </c>
      <c r="C18" s="1019"/>
      <c r="D18" s="1019"/>
      <c r="E18" s="1019"/>
      <c r="F18" s="1019"/>
      <c r="G18" s="1019"/>
      <c r="H18" s="1019"/>
      <c r="I18" s="1019"/>
      <c r="J18" s="1019"/>
      <c r="K18" s="1019"/>
      <c r="L18" s="1004" t="str">
        <f>SUVAHAVUJ!$D$187</f>
        <v>Výnosové úroky (r. 40 + r. 41)</v>
      </c>
      <c r="M18" s="1004"/>
      <c r="N18" s="1004"/>
      <c r="O18" s="1004"/>
      <c r="P18" s="1004"/>
      <c r="Q18" s="1004"/>
      <c r="R18" s="1004"/>
      <c r="S18" s="1004"/>
      <c r="T18" s="1004"/>
      <c r="U18" s="1004"/>
      <c r="V18" s="1004"/>
      <c r="W18" s="1004"/>
      <c r="X18" s="1004"/>
      <c r="Y18" s="1004"/>
      <c r="Z18" s="1004"/>
      <c r="AA18" s="1004"/>
      <c r="AB18" s="1004"/>
      <c r="AC18" s="1004"/>
      <c r="AD18" s="1004"/>
      <c r="AE18" s="1004"/>
      <c r="AF18" s="1004"/>
      <c r="AG18" s="1004"/>
      <c r="AH18" s="1004"/>
      <c r="AI18" s="1004"/>
      <c r="AJ18" s="1004"/>
      <c r="AK18" s="1004"/>
      <c r="AL18" s="1004"/>
      <c r="AM18" s="1004"/>
      <c r="AN18" s="1004"/>
      <c r="AO18" s="1004"/>
      <c r="AP18" s="1004"/>
      <c r="AQ18" s="1004"/>
      <c r="AR18" s="1004"/>
      <c r="AS18" s="1004"/>
      <c r="AT18" s="1004"/>
      <c r="AU18" s="1004"/>
      <c r="AV18" s="1004"/>
      <c r="AW18" s="1004"/>
      <c r="AX18" s="1004"/>
      <c r="AY18" s="1004"/>
      <c r="AZ18" s="1004"/>
      <c r="BA18" s="1004"/>
      <c r="BB18" s="1004"/>
      <c r="BC18" s="1004"/>
      <c r="BD18" s="1004"/>
      <c r="BE18" s="1004"/>
      <c r="BF18" s="1004"/>
      <c r="BG18" s="1004"/>
      <c r="BH18" s="1004"/>
      <c r="BI18" s="1004"/>
      <c r="BJ18" s="1004"/>
      <c r="BK18" s="1004"/>
      <c r="BL18" s="1004"/>
      <c r="BM18" s="1004"/>
      <c r="BN18" s="1004"/>
      <c r="BO18" s="1004"/>
      <c r="BP18" s="1004"/>
      <c r="BQ18" s="1004"/>
      <c r="BR18" s="1004"/>
      <c r="BS18" s="1004"/>
      <c r="BT18" s="1004"/>
      <c r="BU18" s="1004"/>
      <c r="BV18" s="1004"/>
      <c r="BW18" s="975" t="s">
        <v>2194</v>
      </c>
      <c r="BX18" s="975"/>
      <c r="BY18" s="975"/>
      <c r="BZ18" s="975"/>
      <c r="CA18" s="975"/>
      <c r="CB18" s="975"/>
      <c r="CC18" s="975"/>
      <c r="CD18" s="975"/>
      <c r="CE18" s="976" t="str">
        <f>MID(SUVAHAVUJ!AF187,1,1)</f>
        <v xml:space="preserve"> </v>
      </c>
      <c r="CF18" s="976"/>
      <c r="CG18" s="976"/>
      <c r="CH18" s="976"/>
      <c r="CI18" s="976"/>
      <c r="CJ18" s="976" t="str">
        <f>MID(SUVAHAVUJ!AF187,2,1)</f>
        <v xml:space="preserve"> </v>
      </c>
      <c r="CK18" s="976"/>
      <c r="CL18" s="976"/>
      <c r="CM18" s="976"/>
      <c r="CN18" s="976"/>
      <c r="CO18" s="976"/>
      <c r="CP18" s="976" t="str">
        <f>MID(SUVAHAVUJ!AF187,3,1)</f>
        <v xml:space="preserve"> </v>
      </c>
      <c r="CQ18" s="976"/>
      <c r="CR18" s="976"/>
      <c r="CS18" s="976"/>
      <c r="CT18" s="976"/>
      <c r="CU18" s="976" t="str">
        <f>MID(SUVAHAVUJ!AF187,4,1)</f>
        <v xml:space="preserve"> </v>
      </c>
      <c r="CV18" s="976"/>
      <c r="CW18" s="976"/>
      <c r="CX18" s="976"/>
      <c r="CY18" s="976"/>
      <c r="CZ18" s="976"/>
      <c r="DA18" s="976" t="str">
        <f>MID(SUVAHAVUJ!AF187,5,1)</f>
        <v xml:space="preserve"> </v>
      </c>
      <c r="DB18" s="976"/>
      <c r="DC18" s="976"/>
      <c r="DD18" s="976"/>
      <c r="DE18" s="976"/>
      <c r="DF18" s="976" t="str">
        <f>MID(SUVAHAVUJ!AF187,6,1)</f>
        <v xml:space="preserve"> </v>
      </c>
      <c r="DG18" s="976"/>
      <c r="DH18" s="976"/>
      <c r="DI18" s="976"/>
      <c r="DJ18" s="976"/>
      <c r="DK18" s="976"/>
      <c r="DL18" s="976" t="str">
        <f>MID(SUVAHAVUJ!AF187,7,1)</f>
        <v xml:space="preserve"> </v>
      </c>
      <c r="DM18" s="976"/>
      <c r="DN18" s="976"/>
      <c r="DO18" s="976"/>
      <c r="DP18" s="976"/>
      <c r="DQ18" s="976"/>
      <c r="DR18" s="976" t="str">
        <f>MID(SUVAHAVUJ!AF187,8,1)</f>
        <v xml:space="preserve"> </v>
      </c>
      <c r="DS18" s="976"/>
      <c r="DT18" s="976"/>
      <c r="DU18" s="976"/>
      <c r="DV18" s="976"/>
      <c r="DW18" s="982" t="str">
        <f>MID(SUVAHAVUJ!AF187,9,1)</f>
        <v xml:space="preserve"> </v>
      </c>
      <c r="DX18" s="982"/>
      <c r="DY18" s="982"/>
      <c r="DZ18" s="982"/>
      <c r="EA18" s="982"/>
      <c r="EB18" s="982"/>
      <c r="EC18" s="982" t="str">
        <f>MID(SUVAHAVUJ!AF187,10,1)</f>
        <v xml:space="preserve"> </v>
      </c>
      <c r="ED18" s="982"/>
      <c r="EE18" s="982"/>
      <c r="EF18" s="982"/>
      <c r="EG18" s="982"/>
      <c r="EH18" s="977" t="str">
        <f>MID(SUVAHAVUJ!AF187,11,1)</f>
        <v>0</v>
      </c>
      <c r="EI18" s="977"/>
      <c r="EJ18" s="977"/>
      <c r="EK18" s="977"/>
      <c r="EL18" s="977"/>
      <c r="EM18" s="977"/>
      <c r="EN18" s="665"/>
      <c r="EO18" s="666"/>
      <c r="EP18" s="976" t="str">
        <f>MID(SUVAHAVUJ!AG187,1,1)</f>
        <v xml:space="preserve"> </v>
      </c>
      <c r="EQ18" s="976"/>
      <c r="ER18" s="976"/>
      <c r="ES18" s="976"/>
      <c r="ET18" s="976"/>
      <c r="EU18" s="976"/>
      <c r="EV18" s="976" t="str">
        <f>MID(SUVAHAVUJ!AG187,2,1)</f>
        <v xml:space="preserve"> </v>
      </c>
      <c r="EW18" s="976"/>
      <c r="EX18" s="976"/>
      <c r="EY18" s="976"/>
      <c r="EZ18" s="976"/>
      <c r="FA18" s="976" t="str">
        <f>MID(SUVAHAVUJ!AG187,3,1)</f>
        <v xml:space="preserve"> </v>
      </c>
      <c r="FB18" s="976"/>
      <c r="FC18" s="976"/>
      <c r="FD18" s="976"/>
      <c r="FE18" s="976"/>
      <c r="FF18" s="976"/>
      <c r="FG18" s="976" t="str">
        <f>MID(SUVAHAVUJ!AG187,4,1)</f>
        <v xml:space="preserve"> </v>
      </c>
      <c r="FH18" s="976"/>
      <c r="FI18" s="976"/>
      <c r="FJ18" s="976"/>
      <c r="FK18" s="976"/>
      <c r="FL18" s="982" t="str">
        <f>MID(SUVAHAVUJ!AG187,5,1)</f>
        <v xml:space="preserve"> </v>
      </c>
      <c r="FM18" s="982"/>
      <c r="FN18" s="982"/>
      <c r="FO18" s="982"/>
      <c r="FP18" s="982"/>
      <c r="FQ18" s="982"/>
      <c r="FR18" s="982" t="str">
        <f>MID(SUVAHAVUJ!AG187,6,1)</f>
        <v xml:space="preserve"> </v>
      </c>
      <c r="FS18" s="982"/>
      <c r="FT18" s="982"/>
      <c r="FU18" s="982"/>
      <c r="FV18" s="982"/>
      <c r="FW18" s="982" t="str">
        <f>MID(SUVAHAVUJ!AG187,7,1)</f>
        <v xml:space="preserve"> </v>
      </c>
      <c r="FX18" s="982"/>
      <c r="FY18" s="982"/>
      <c r="FZ18" s="982"/>
      <c r="GA18" s="982"/>
      <c r="GB18" s="982"/>
      <c r="GC18" s="982" t="str">
        <f>MID(SUVAHAVUJ!AG187,8,1)</f>
        <v xml:space="preserve"> </v>
      </c>
      <c r="GD18" s="982"/>
      <c r="GE18" s="982"/>
      <c r="GF18" s="982"/>
      <c r="GG18" s="982"/>
      <c r="GH18" s="982" t="str">
        <f>MID(SUVAHAVUJ!AG187,9,1)</f>
        <v xml:space="preserve"> </v>
      </c>
      <c r="GI18" s="982"/>
      <c r="GJ18" s="982"/>
      <c r="GK18" s="982"/>
      <c r="GL18" s="982"/>
      <c r="GM18" s="982"/>
      <c r="GN18" s="982" t="str">
        <f>MID(SUVAHAVUJ!AG187,10,1)</f>
        <v xml:space="preserve"> </v>
      </c>
      <c r="GO18" s="982"/>
      <c r="GP18" s="982"/>
      <c r="GQ18" s="982"/>
      <c r="GR18" s="982"/>
      <c r="GS18" s="978" t="str">
        <f>MID(SUVAHAVUJ!AG187,11,1)</f>
        <v>0</v>
      </c>
      <c r="GT18" s="978"/>
      <c r="GU18" s="978"/>
      <c r="GV18" s="978"/>
      <c r="GW18" s="978"/>
    </row>
    <row r="19" spans="1:205" ht="24.6" customHeight="1" x14ac:dyDescent="0.25">
      <c r="B19" s="1017" t="s">
        <v>2310</v>
      </c>
      <c r="C19" s="1017"/>
      <c r="D19" s="1017"/>
      <c r="E19" s="1017"/>
      <c r="F19" s="1017"/>
      <c r="G19" s="1017"/>
      <c r="H19" s="1017"/>
      <c r="I19" s="1017"/>
      <c r="J19" s="1017"/>
      <c r="K19" s="1017"/>
      <c r="L19" s="1005" t="str">
        <f>SUVAHAVUJ!$D$188</f>
        <v>Výnosové úroky od prepojených účtovných jednotiek (662A)</v>
      </c>
      <c r="M19" s="1005"/>
      <c r="N19" s="1005"/>
      <c r="O19" s="1005"/>
      <c r="P19" s="1005"/>
      <c r="Q19" s="1005"/>
      <c r="R19" s="1005"/>
      <c r="S19" s="1005"/>
      <c r="T19" s="1005"/>
      <c r="U19" s="1005"/>
      <c r="V19" s="1005"/>
      <c r="W19" s="1005"/>
      <c r="X19" s="1005"/>
      <c r="Y19" s="1005"/>
      <c r="Z19" s="1005"/>
      <c r="AA19" s="1005"/>
      <c r="AB19" s="1005"/>
      <c r="AC19" s="1005"/>
      <c r="AD19" s="1005"/>
      <c r="AE19" s="1005"/>
      <c r="AF19" s="1005"/>
      <c r="AG19" s="1005"/>
      <c r="AH19" s="1005"/>
      <c r="AI19" s="1005"/>
      <c r="AJ19" s="1005"/>
      <c r="AK19" s="1005"/>
      <c r="AL19" s="1005"/>
      <c r="AM19" s="1005"/>
      <c r="AN19" s="1005"/>
      <c r="AO19" s="1005"/>
      <c r="AP19" s="1005"/>
      <c r="AQ19" s="1005"/>
      <c r="AR19" s="1005"/>
      <c r="AS19" s="1005"/>
      <c r="AT19" s="1005"/>
      <c r="AU19" s="1005"/>
      <c r="AV19" s="1005"/>
      <c r="AW19" s="1005"/>
      <c r="AX19" s="1005"/>
      <c r="AY19" s="1005"/>
      <c r="AZ19" s="1005"/>
      <c r="BA19" s="1005"/>
      <c r="BB19" s="1005"/>
      <c r="BC19" s="1005"/>
      <c r="BD19" s="1005"/>
      <c r="BE19" s="1005"/>
      <c r="BF19" s="1005"/>
      <c r="BG19" s="1005"/>
      <c r="BH19" s="1005"/>
      <c r="BI19" s="1005"/>
      <c r="BJ19" s="1005"/>
      <c r="BK19" s="1005"/>
      <c r="BL19" s="1005"/>
      <c r="BM19" s="1005"/>
      <c r="BN19" s="1005"/>
      <c r="BO19" s="1005"/>
      <c r="BP19" s="1005"/>
      <c r="BQ19" s="1005"/>
      <c r="BR19" s="1005"/>
      <c r="BS19" s="1005"/>
      <c r="BT19" s="1005"/>
      <c r="BU19" s="1005"/>
      <c r="BV19" s="1005"/>
      <c r="BW19" s="975" t="s">
        <v>1249</v>
      </c>
      <c r="BX19" s="975"/>
      <c r="BY19" s="975"/>
      <c r="BZ19" s="975"/>
      <c r="CA19" s="975"/>
      <c r="CB19" s="975"/>
      <c r="CC19" s="975"/>
      <c r="CD19" s="975"/>
      <c r="CE19" s="976" t="str">
        <f>MID(SUVAHAVUJ!AF188,1,1)</f>
        <v xml:space="preserve"> </v>
      </c>
      <c r="CF19" s="976"/>
      <c r="CG19" s="976"/>
      <c r="CH19" s="976"/>
      <c r="CI19" s="976"/>
      <c r="CJ19" s="976" t="str">
        <f>MID(SUVAHAVUJ!AF188,2,1)</f>
        <v xml:space="preserve"> </v>
      </c>
      <c r="CK19" s="976"/>
      <c r="CL19" s="976"/>
      <c r="CM19" s="976"/>
      <c r="CN19" s="976"/>
      <c r="CO19" s="976"/>
      <c r="CP19" s="976" t="str">
        <f>MID(SUVAHAVUJ!AF188,3,1)</f>
        <v xml:space="preserve"> </v>
      </c>
      <c r="CQ19" s="976"/>
      <c r="CR19" s="976"/>
      <c r="CS19" s="976"/>
      <c r="CT19" s="976"/>
      <c r="CU19" s="976" t="str">
        <f>MID(SUVAHAVUJ!AF188,4,1)</f>
        <v xml:space="preserve"> </v>
      </c>
      <c r="CV19" s="976"/>
      <c r="CW19" s="976"/>
      <c r="CX19" s="976"/>
      <c r="CY19" s="976"/>
      <c r="CZ19" s="976"/>
      <c r="DA19" s="976" t="str">
        <f>MID(SUVAHAVUJ!AF188,5,1)</f>
        <v xml:space="preserve"> </v>
      </c>
      <c r="DB19" s="976"/>
      <c r="DC19" s="976"/>
      <c r="DD19" s="976"/>
      <c r="DE19" s="976"/>
      <c r="DF19" s="976" t="str">
        <f>MID(SUVAHAVUJ!AF188,6,1)</f>
        <v xml:space="preserve"> </v>
      </c>
      <c r="DG19" s="976"/>
      <c r="DH19" s="976"/>
      <c r="DI19" s="976"/>
      <c r="DJ19" s="976"/>
      <c r="DK19" s="976"/>
      <c r="DL19" s="976" t="str">
        <f>MID(SUVAHAVUJ!AF188,7,1)</f>
        <v xml:space="preserve"> </v>
      </c>
      <c r="DM19" s="976"/>
      <c r="DN19" s="976"/>
      <c r="DO19" s="976"/>
      <c r="DP19" s="976"/>
      <c r="DQ19" s="976"/>
      <c r="DR19" s="976" t="str">
        <f>MID(SUVAHAVUJ!AF188,8,1)</f>
        <v xml:space="preserve"> </v>
      </c>
      <c r="DS19" s="976"/>
      <c r="DT19" s="976"/>
      <c r="DU19" s="976"/>
      <c r="DV19" s="976"/>
      <c r="DW19" s="982" t="str">
        <f>MID(SUVAHAVUJ!AF188,9,1)</f>
        <v xml:space="preserve"> </v>
      </c>
      <c r="DX19" s="982"/>
      <c r="DY19" s="982"/>
      <c r="DZ19" s="982"/>
      <c r="EA19" s="982"/>
      <c r="EB19" s="982"/>
      <c r="EC19" s="982" t="str">
        <f>MID(SUVAHAVUJ!AF188,10,1)</f>
        <v xml:space="preserve"> </v>
      </c>
      <c r="ED19" s="982"/>
      <c r="EE19" s="982"/>
      <c r="EF19" s="982"/>
      <c r="EG19" s="982"/>
      <c r="EH19" s="977" t="str">
        <f>MID(SUVAHAVUJ!AF188,11,1)</f>
        <v>0</v>
      </c>
      <c r="EI19" s="977"/>
      <c r="EJ19" s="977"/>
      <c r="EK19" s="977"/>
      <c r="EL19" s="977"/>
      <c r="EM19" s="977"/>
      <c r="EN19" s="665"/>
      <c r="EO19" s="666"/>
      <c r="EP19" s="976" t="str">
        <f>MID(SUVAHAVUJ!AG188,1,1)</f>
        <v xml:space="preserve"> </v>
      </c>
      <c r="EQ19" s="976"/>
      <c r="ER19" s="976"/>
      <c r="ES19" s="976"/>
      <c r="ET19" s="976"/>
      <c r="EU19" s="976"/>
      <c r="EV19" s="976" t="str">
        <f>MID(SUVAHAVUJ!AG188,2,1)</f>
        <v xml:space="preserve"> </v>
      </c>
      <c r="EW19" s="976"/>
      <c r="EX19" s="976"/>
      <c r="EY19" s="976"/>
      <c r="EZ19" s="976"/>
      <c r="FA19" s="976" t="str">
        <f>MID(SUVAHAVUJ!AG188,3,1)</f>
        <v xml:space="preserve"> </v>
      </c>
      <c r="FB19" s="976"/>
      <c r="FC19" s="976"/>
      <c r="FD19" s="976"/>
      <c r="FE19" s="976"/>
      <c r="FF19" s="976"/>
      <c r="FG19" s="976" t="str">
        <f>MID(SUVAHAVUJ!AG188,4,1)</f>
        <v xml:space="preserve"> </v>
      </c>
      <c r="FH19" s="976"/>
      <c r="FI19" s="976"/>
      <c r="FJ19" s="976"/>
      <c r="FK19" s="976"/>
      <c r="FL19" s="982" t="str">
        <f>MID(SUVAHAVUJ!AG188,5,1)</f>
        <v xml:space="preserve"> </v>
      </c>
      <c r="FM19" s="982"/>
      <c r="FN19" s="982"/>
      <c r="FO19" s="982"/>
      <c r="FP19" s="982"/>
      <c r="FQ19" s="982"/>
      <c r="FR19" s="982" t="str">
        <f>MID(SUVAHAVUJ!AG188,6,1)</f>
        <v xml:space="preserve"> </v>
      </c>
      <c r="FS19" s="982"/>
      <c r="FT19" s="982"/>
      <c r="FU19" s="982"/>
      <c r="FV19" s="982"/>
      <c r="FW19" s="982" t="str">
        <f>MID(SUVAHAVUJ!AG188,7,1)</f>
        <v xml:space="preserve"> </v>
      </c>
      <c r="FX19" s="982"/>
      <c r="FY19" s="982"/>
      <c r="FZ19" s="982"/>
      <c r="GA19" s="982"/>
      <c r="GB19" s="982"/>
      <c r="GC19" s="982" t="str">
        <f>MID(SUVAHAVUJ!AG188,8,1)</f>
        <v xml:space="preserve"> </v>
      </c>
      <c r="GD19" s="982"/>
      <c r="GE19" s="982"/>
      <c r="GF19" s="982"/>
      <c r="GG19" s="982"/>
      <c r="GH19" s="982" t="str">
        <f>MID(SUVAHAVUJ!AG188,9,1)</f>
        <v xml:space="preserve"> </v>
      </c>
      <c r="GI19" s="982"/>
      <c r="GJ19" s="982"/>
      <c r="GK19" s="982"/>
      <c r="GL19" s="982"/>
      <c r="GM19" s="982"/>
      <c r="GN19" s="982" t="str">
        <f>MID(SUVAHAVUJ!AG188,10,1)</f>
        <v xml:space="preserve"> </v>
      </c>
      <c r="GO19" s="982"/>
      <c r="GP19" s="982"/>
      <c r="GQ19" s="982"/>
      <c r="GR19" s="982"/>
      <c r="GS19" s="978" t="str">
        <f>MID(SUVAHAVUJ!AG188,11,1)</f>
        <v>0</v>
      </c>
      <c r="GT19" s="978"/>
      <c r="GU19" s="978"/>
      <c r="GV19" s="978"/>
      <c r="GW19" s="978"/>
    </row>
    <row r="20" spans="1:205" ht="24.6" customHeight="1" x14ac:dyDescent="0.25">
      <c r="B20" s="1018" t="s">
        <v>2166</v>
      </c>
      <c r="C20" s="1018"/>
      <c r="D20" s="1018"/>
      <c r="E20" s="1018"/>
      <c r="F20" s="1018"/>
      <c r="G20" s="1018"/>
      <c r="H20" s="1018"/>
      <c r="I20" s="1018"/>
      <c r="J20" s="1018"/>
      <c r="K20" s="1018"/>
      <c r="L20" s="1005" t="str">
        <f>SUVAHAVUJ!$D$189</f>
        <v>Ostatné výnosové úroky (662A)</v>
      </c>
      <c r="M20" s="1005"/>
      <c r="N20" s="1005"/>
      <c r="O20" s="1005"/>
      <c r="P20" s="1005"/>
      <c r="Q20" s="1005"/>
      <c r="R20" s="1005"/>
      <c r="S20" s="1005"/>
      <c r="T20" s="1005"/>
      <c r="U20" s="1005"/>
      <c r="V20" s="1005"/>
      <c r="W20" s="1005"/>
      <c r="X20" s="1005"/>
      <c r="Y20" s="1005"/>
      <c r="Z20" s="1005"/>
      <c r="AA20" s="1005"/>
      <c r="AB20" s="1005"/>
      <c r="AC20" s="1005"/>
      <c r="AD20" s="1005"/>
      <c r="AE20" s="1005"/>
      <c r="AF20" s="1005"/>
      <c r="AG20" s="1005"/>
      <c r="AH20" s="1005"/>
      <c r="AI20" s="1005"/>
      <c r="AJ20" s="1005"/>
      <c r="AK20" s="1005"/>
      <c r="AL20" s="1005"/>
      <c r="AM20" s="1005"/>
      <c r="AN20" s="1005"/>
      <c r="AO20" s="1005"/>
      <c r="AP20" s="1005"/>
      <c r="AQ20" s="1005"/>
      <c r="AR20" s="1005"/>
      <c r="AS20" s="1005"/>
      <c r="AT20" s="1005"/>
      <c r="AU20" s="1005"/>
      <c r="AV20" s="1005"/>
      <c r="AW20" s="1005"/>
      <c r="AX20" s="1005"/>
      <c r="AY20" s="1005"/>
      <c r="AZ20" s="1005"/>
      <c r="BA20" s="1005"/>
      <c r="BB20" s="1005"/>
      <c r="BC20" s="1005"/>
      <c r="BD20" s="1005"/>
      <c r="BE20" s="1005"/>
      <c r="BF20" s="1005"/>
      <c r="BG20" s="1005"/>
      <c r="BH20" s="1005"/>
      <c r="BI20" s="1005"/>
      <c r="BJ20" s="1005"/>
      <c r="BK20" s="1005"/>
      <c r="BL20" s="1005"/>
      <c r="BM20" s="1005"/>
      <c r="BN20" s="1005"/>
      <c r="BO20" s="1005"/>
      <c r="BP20" s="1005"/>
      <c r="BQ20" s="1005"/>
      <c r="BR20" s="1005"/>
      <c r="BS20" s="1005"/>
      <c r="BT20" s="1005"/>
      <c r="BU20" s="1005"/>
      <c r="BV20" s="1005"/>
      <c r="BW20" s="975" t="s">
        <v>2195</v>
      </c>
      <c r="BX20" s="975"/>
      <c r="BY20" s="975"/>
      <c r="BZ20" s="975"/>
      <c r="CA20" s="975"/>
      <c r="CB20" s="975"/>
      <c r="CC20" s="975"/>
      <c r="CD20" s="975"/>
      <c r="CE20" s="976" t="str">
        <f>MID(SUVAHAVUJ!AF189,1,1)</f>
        <v xml:space="preserve"> </v>
      </c>
      <c r="CF20" s="976"/>
      <c r="CG20" s="976"/>
      <c r="CH20" s="976"/>
      <c r="CI20" s="976"/>
      <c r="CJ20" s="976" t="str">
        <f>MID(SUVAHAVUJ!AF189,2,1)</f>
        <v xml:space="preserve"> </v>
      </c>
      <c r="CK20" s="976"/>
      <c r="CL20" s="976"/>
      <c r="CM20" s="976"/>
      <c r="CN20" s="976"/>
      <c r="CO20" s="976"/>
      <c r="CP20" s="976" t="str">
        <f>MID(SUVAHAVUJ!AF189,3,1)</f>
        <v xml:space="preserve"> </v>
      </c>
      <c r="CQ20" s="976"/>
      <c r="CR20" s="976"/>
      <c r="CS20" s="976"/>
      <c r="CT20" s="976"/>
      <c r="CU20" s="976" t="str">
        <f>MID(SUVAHAVUJ!AF189,4,1)</f>
        <v xml:space="preserve"> </v>
      </c>
      <c r="CV20" s="976"/>
      <c r="CW20" s="976"/>
      <c r="CX20" s="976"/>
      <c r="CY20" s="976"/>
      <c r="CZ20" s="976"/>
      <c r="DA20" s="976" t="str">
        <f>MID(SUVAHAVUJ!AF189,5,1)</f>
        <v xml:space="preserve"> </v>
      </c>
      <c r="DB20" s="976"/>
      <c r="DC20" s="976"/>
      <c r="DD20" s="976"/>
      <c r="DE20" s="976"/>
      <c r="DF20" s="976" t="str">
        <f>MID(SUVAHAVUJ!AF189,6,1)</f>
        <v xml:space="preserve"> </v>
      </c>
      <c r="DG20" s="976"/>
      <c r="DH20" s="976"/>
      <c r="DI20" s="976"/>
      <c r="DJ20" s="976"/>
      <c r="DK20" s="976"/>
      <c r="DL20" s="976" t="str">
        <f>MID(SUVAHAVUJ!AF189,7,1)</f>
        <v xml:space="preserve"> </v>
      </c>
      <c r="DM20" s="976"/>
      <c r="DN20" s="976"/>
      <c r="DO20" s="976"/>
      <c r="DP20" s="976"/>
      <c r="DQ20" s="976"/>
      <c r="DR20" s="976" t="str">
        <f>MID(SUVAHAVUJ!AF189,8,1)</f>
        <v xml:space="preserve"> </v>
      </c>
      <c r="DS20" s="976"/>
      <c r="DT20" s="976"/>
      <c r="DU20" s="976"/>
      <c r="DV20" s="976"/>
      <c r="DW20" s="982" t="str">
        <f>MID(SUVAHAVUJ!AF189,9,1)</f>
        <v xml:space="preserve"> </v>
      </c>
      <c r="DX20" s="982"/>
      <c r="DY20" s="982"/>
      <c r="DZ20" s="982"/>
      <c r="EA20" s="982"/>
      <c r="EB20" s="982"/>
      <c r="EC20" s="982" t="str">
        <f>MID(SUVAHAVUJ!AF189,10,1)</f>
        <v xml:space="preserve"> </v>
      </c>
      <c r="ED20" s="982"/>
      <c r="EE20" s="982"/>
      <c r="EF20" s="982"/>
      <c r="EG20" s="982"/>
      <c r="EH20" s="977" t="str">
        <f>MID(SUVAHAVUJ!AF189,11,1)</f>
        <v>0</v>
      </c>
      <c r="EI20" s="977"/>
      <c r="EJ20" s="977"/>
      <c r="EK20" s="977"/>
      <c r="EL20" s="977"/>
      <c r="EM20" s="977"/>
      <c r="EN20" s="665"/>
      <c r="EO20" s="666"/>
      <c r="EP20" s="976" t="str">
        <f>MID(SUVAHAVUJ!AG189,1,1)</f>
        <v xml:space="preserve"> </v>
      </c>
      <c r="EQ20" s="976"/>
      <c r="ER20" s="976"/>
      <c r="ES20" s="976"/>
      <c r="ET20" s="976"/>
      <c r="EU20" s="976"/>
      <c r="EV20" s="976" t="str">
        <f>MID(SUVAHAVUJ!AG189,2,1)</f>
        <v xml:space="preserve"> </v>
      </c>
      <c r="EW20" s="976"/>
      <c r="EX20" s="976"/>
      <c r="EY20" s="976"/>
      <c r="EZ20" s="976"/>
      <c r="FA20" s="976" t="str">
        <f>MID(SUVAHAVUJ!AG189,3,1)</f>
        <v xml:space="preserve"> </v>
      </c>
      <c r="FB20" s="976"/>
      <c r="FC20" s="976"/>
      <c r="FD20" s="976"/>
      <c r="FE20" s="976"/>
      <c r="FF20" s="976"/>
      <c r="FG20" s="976" t="str">
        <f>MID(SUVAHAVUJ!AG189,4,1)</f>
        <v xml:space="preserve"> </v>
      </c>
      <c r="FH20" s="976"/>
      <c r="FI20" s="976"/>
      <c r="FJ20" s="976"/>
      <c r="FK20" s="976"/>
      <c r="FL20" s="982" t="str">
        <f>MID(SUVAHAVUJ!AG189,5,1)</f>
        <v xml:space="preserve"> </v>
      </c>
      <c r="FM20" s="982"/>
      <c r="FN20" s="982"/>
      <c r="FO20" s="982"/>
      <c r="FP20" s="982"/>
      <c r="FQ20" s="982"/>
      <c r="FR20" s="982" t="str">
        <f>MID(SUVAHAVUJ!AG189,6,1)</f>
        <v xml:space="preserve"> </v>
      </c>
      <c r="FS20" s="982"/>
      <c r="FT20" s="982"/>
      <c r="FU20" s="982"/>
      <c r="FV20" s="982"/>
      <c r="FW20" s="982" t="str">
        <f>MID(SUVAHAVUJ!AG189,7,1)</f>
        <v xml:space="preserve"> </v>
      </c>
      <c r="FX20" s="982"/>
      <c r="FY20" s="982"/>
      <c r="FZ20" s="982"/>
      <c r="GA20" s="982"/>
      <c r="GB20" s="982"/>
      <c r="GC20" s="982" t="str">
        <f>MID(SUVAHAVUJ!AG189,8,1)</f>
        <v xml:space="preserve"> </v>
      </c>
      <c r="GD20" s="982"/>
      <c r="GE20" s="982"/>
      <c r="GF20" s="982"/>
      <c r="GG20" s="982"/>
      <c r="GH20" s="982" t="str">
        <f>MID(SUVAHAVUJ!AG189,9,1)</f>
        <v xml:space="preserve"> </v>
      </c>
      <c r="GI20" s="982"/>
      <c r="GJ20" s="982"/>
      <c r="GK20" s="982"/>
      <c r="GL20" s="982"/>
      <c r="GM20" s="982"/>
      <c r="GN20" s="982" t="str">
        <f>MID(SUVAHAVUJ!AG189,10,1)</f>
        <v xml:space="preserve"> </v>
      </c>
      <c r="GO20" s="982"/>
      <c r="GP20" s="982"/>
      <c r="GQ20" s="982"/>
      <c r="GR20" s="982"/>
      <c r="GS20" s="978" t="str">
        <f>MID(SUVAHAVUJ!AG189,11,1)</f>
        <v>0</v>
      </c>
      <c r="GT20" s="978"/>
      <c r="GU20" s="978"/>
      <c r="GV20" s="978"/>
      <c r="GW20" s="978"/>
    </row>
    <row r="21" spans="1:205" ht="24.6" customHeight="1" x14ac:dyDescent="0.25">
      <c r="B21" s="1017" t="s">
        <v>2311</v>
      </c>
      <c r="C21" s="1017"/>
      <c r="D21" s="1017"/>
      <c r="E21" s="1017"/>
      <c r="F21" s="1017"/>
      <c r="G21" s="1017"/>
      <c r="H21" s="1017"/>
      <c r="I21" s="1017"/>
      <c r="J21" s="1017"/>
      <c r="K21" s="1017"/>
      <c r="L21" s="1005" t="str">
        <f>SUVAHAVUJ!$D$190</f>
        <v>Kurzové zisky (663)</v>
      </c>
      <c r="M21" s="1005"/>
      <c r="N21" s="1005"/>
      <c r="O21" s="1005"/>
      <c r="P21" s="1005"/>
      <c r="Q21" s="1005"/>
      <c r="R21" s="1005"/>
      <c r="S21" s="1005"/>
      <c r="T21" s="1005"/>
      <c r="U21" s="1005"/>
      <c r="V21" s="1005"/>
      <c r="W21" s="1005"/>
      <c r="X21" s="1005"/>
      <c r="Y21" s="1005"/>
      <c r="Z21" s="1005"/>
      <c r="AA21" s="1005"/>
      <c r="AB21" s="1005"/>
      <c r="AC21" s="1005"/>
      <c r="AD21" s="1005"/>
      <c r="AE21" s="1005"/>
      <c r="AF21" s="1005"/>
      <c r="AG21" s="1005"/>
      <c r="AH21" s="1005"/>
      <c r="AI21" s="1005"/>
      <c r="AJ21" s="1005"/>
      <c r="AK21" s="1005"/>
      <c r="AL21" s="1005"/>
      <c r="AM21" s="1005"/>
      <c r="AN21" s="1005"/>
      <c r="AO21" s="1005"/>
      <c r="AP21" s="1005"/>
      <c r="AQ21" s="1005"/>
      <c r="AR21" s="1005"/>
      <c r="AS21" s="1005"/>
      <c r="AT21" s="1005"/>
      <c r="AU21" s="1005"/>
      <c r="AV21" s="1005"/>
      <c r="AW21" s="1005"/>
      <c r="AX21" s="1005"/>
      <c r="AY21" s="1005"/>
      <c r="AZ21" s="1005"/>
      <c r="BA21" s="1005"/>
      <c r="BB21" s="1005"/>
      <c r="BC21" s="1005"/>
      <c r="BD21" s="1005"/>
      <c r="BE21" s="1005"/>
      <c r="BF21" s="1005"/>
      <c r="BG21" s="1005"/>
      <c r="BH21" s="1005"/>
      <c r="BI21" s="1005"/>
      <c r="BJ21" s="1005"/>
      <c r="BK21" s="1005"/>
      <c r="BL21" s="1005"/>
      <c r="BM21" s="1005"/>
      <c r="BN21" s="1005"/>
      <c r="BO21" s="1005"/>
      <c r="BP21" s="1005"/>
      <c r="BQ21" s="1005"/>
      <c r="BR21" s="1005"/>
      <c r="BS21" s="1005"/>
      <c r="BT21" s="1005"/>
      <c r="BU21" s="1005"/>
      <c r="BV21" s="1005"/>
      <c r="BW21" s="975" t="s">
        <v>2197</v>
      </c>
      <c r="BX21" s="975"/>
      <c r="BY21" s="975"/>
      <c r="BZ21" s="975"/>
      <c r="CA21" s="975"/>
      <c r="CB21" s="975"/>
      <c r="CC21" s="975"/>
      <c r="CD21" s="975"/>
      <c r="CE21" s="976" t="str">
        <f>MID(SUVAHAVUJ!AF190,1,1)</f>
        <v xml:space="preserve"> </v>
      </c>
      <c r="CF21" s="976"/>
      <c r="CG21" s="976"/>
      <c r="CH21" s="976"/>
      <c r="CI21" s="976"/>
      <c r="CJ21" s="976" t="str">
        <f>MID(SUVAHAVUJ!AF190,2,1)</f>
        <v xml:space="preserve"> </v>
      </c>
      <c r="CK21" s="976"/>
      <c r="CL21" s="976"/>
      <c r="CM21" s="976"/>
      <c r="CN21" s="976"/>
      <c r="CO21" s="976"/>
      <c r="CP21" s="976" t="str">
        <f>MID(SUVAHAVUJ!AF190,3,1)</f>
        <v xml:space="preserve"> </v>
      </c>
      <c r="CQ21" s="976"/>
      <c r="CR21" s="976"/>
      <c r="CS21" s="976"/>
      <c r="CT21" s="976"/>
      <c r="CU21" s="976" t="str">
        <f>MID(SUVAHAVUJ!AF190,4,1)</f>
        <v xml:space="preserve"> </v>
      </c>
      <c r="CV21" s="976"/>
      <c r="CW21" s="976"/>
      <c r="CX21" s="976"/>
      <c r="CY21" s="976"/>
      <c r="CZ21" s="976"/>
      <c r="DA21" s="976" t="str">
        <f>MID(SUVAHAVUJ!AF190,5,1)</f>
        <v xml:space="preserve"> </v>
      </c>
      <c r="DB21" s="976"/>
      <c r="DC21" s="976"/>
      <c r="DD21" s="976"/>
      <c r="DE21" s="976"/>
      <c r="DF21" s="976" t="str">
        <f>MID(SUVAHAVUJ!AF190,6,1)</f>
        <v xml:space="preserve"> </v>
      </c>
      <c r="DG21" s="976"/>
      <c r="DH21" s="976"/>
      <c r="DI21" s="976"/>
      <c r="DJ21" s="976"/>
      <c r="DK21" s="976"/>
      <c r="DL21" s="976" t="str">
        <f>MID(SUVAHAVUJ!AF190,7,1)</f>
        <v xml:space="preserve"> </v>
      </c>
      <c r="DM21" s="976"/>
      <c r="DN21" s="976"/>
      <c r="DO21" s="976"/>
      <c r="DP21" s="976"/>
      <c r="DQ21" s="976"/>
      <c r="DR21" s="976" t="str">
        <f>MID(SUVAHAVUJ!AF190,8,1)</f>
        <v xml:space="preserve"> </v>
      </c>
      <c r="DS21" s="976"/>
      <c r="DT21" s="976"/>
      <c r="DU21" s="976"/>
      <c r="DV21" s="976"/>
      <c r="DW21" s="982" t="str">
        <f>MID(SUVAHAVUJ!AF190,9,1)</f>
        <v xml:space="preserve"> </v>
      </c>
      <c r="DX21" s="982"/>
      <c r="DY21" s="982"/>
      <c r="DZ21" s="982"/>
      <c r="EA21" s="982"/>
      <c r="EB21" s="982"/>
      <c r="EC21" s="982" t="str">
        <f>MID(SUVAHAVUJ!AF190,10,1)</f>
        <v xml:space="preserve"> </v>
      </c>
      <c r="ED21" s="982"/>
      <c r="EE21" s="982"/>
      <c r="EF21" s="982"/>
      <c r="EG21" s="982"/>
      <c r="EH21" s="977" t="str">
        <f>MID(SUVAHAVUJ!AF190,11,1)</f>
        <v>0</v>
      </c>
      <c r="EI21" s="977"/>
      <c r="EJ21" s="977"/>
      <c r="EK21" s="977"/>
      <c r="EL21" s="977"/>
      <c r="EM21" s="977"/>
      <c r="EN21" s="665"/>
      <c r="EO21" s="666"/>
      <c r="EP21" s="976" t="str">
        <f>MID(SUVAHAVUJ!AG190,1,1)</f>
        <v xml:space="preserve"> </v>
      </c>
      <c r="EQ21" s="976"/>
      <c r="ER21" s="976"/>
      <c r="ES21" s="976"/>
      <c r="ET21" s="976"/>
      <c r="EU21" s="976"/>
      <c r="EV21" s="976" t="str">
        <f>MID(SUVAHAVUJ!AG190,2,1)</f>
        <v xml:space="preserve"> </v>
      </c>
      <c r="EW21" s="976"/>
      <c r="EX21" s="976"/>
      <c r="EY21" s="976"/>
      <c r="EZ21" s="976"/>
      <c r="FA21" s="976" t="str">
        <f>MID(SUVAHAVUJ!AG190,3,1)</f>
        <v xml:space="preserve"> </v>
      </c>
      <c r="FB21" s="976"/>
      <c r="FC21" s="976"/>
      <c r="FD21" s="976"/>
      <c r="FE21" s="976"/>
      <c r="FF21" s="976"/>
      <c r="FG21" s="976" t="str">
        <f>MID(SUVAHAVUJ!AG190,4,1)</f>
        <v xml:space="preserve"> </v>
      </c>
      <c r="FH21" s="976"/>
      <c r="FI21" s="976"/>
      <c r="FJ21" s="976"/>
      <c r="FK21" s="976"/>
      <c r="FL21" s="982" t="str">
        <f>MID(SUVAHAVUJ!AG190,5,1)</f>
        <v xml:space="preserve"> </v>
      </c>
      <c r="FM21" s="982"/>
      <c r="FN21" s="982"/>
      <c r="FO21" s="982"/>
      <c r="FP21" s="982"/>
      <c r="FQ21" s="982"/>
      <c r="FR21" s="982" t="str">
        <f>MID(SUVAHAVUJ!AG190,6,1)</f>
        <v xml:space="preserve"> </v>
      </c>
      <c r="FS21" s="982"/>
      <c r="FT21" s="982"/>
      <c r="FU21" s="982"/>
      <c r="FV21" s="982"/>
      <c r="FW21" s="982" t="str">
        <f>MID(SUVAHAVUJ!AG190,7,1)</f>
        <v xml:space="preserve"> </v>
      </c>
      <c r="FX21" s="982"/>
      <c r="FY21" s="982"/>
      <c r="FZ21" s="982"/>
      <c r="GA21" s="982"/>
      <c r="GB21" s="982"/>
      <c r="GC21" s="982" t="str">
        <f>MID(SUVAHAVUJ!AG190,8,1)</f>
        <v xml:space="preserve"> </v>
      </c>
      <c r="GD21" s="982"/>
      <c r="GE21" s="982"/>
      <c r="GF21" s="982"/>
      <c r="GG21" s="982"/>
      <c r="GH21" s="982" t="str">
        <f>MID(SUVAHAVUJ!AG190,9,1)</f>
        <v xml:space="preserve"> </v>
      </c>
      <c r="GI21" s="982"/>
      <c r="GJ21" s="982"/>
      <c r="GK21" s="982"/>
      <c r="GL21" s="982"/>
      <c r="GM21" s="982"/>
      <c r="GN21" s="982" t="str">
        <f>MID(SUVAHAVUJ!AG190,10,1)</f>
        <v xml:space="preserve"> </v>
      </c>
      <c r="GO21" s="982"/>
      <c r="GP21" s="982"/>
      <c r="GQ21" s="982"/>
      <c r="GR21" s="982"/>
      <c r="GS21" s="978" t="str">
        <f>MID(SUVAHAVUJ!AG190,11,1)</f>
        <v>0</v>
      </c>
      <c r="GT21" s="978"/>
      <c r="GU21" s="978"/>
      <c r="GV21" s="978"/>
      <c r="GW21" s="978"/>
    </row>
    <row r="22" spans="1:205" ht="24.6" customHeight="1" x14ac:dyDescent="0.25">
      <c r="B22" s="1017" t="s">
        <v>2312</v>
      </c>
      <c r="C22" s="1017"/>
      <c r="D22" s="1017"/>
      <c r="E22" s="1017"/>
      <c r="F22" s="1017"/>
      <c r="G22" s="1017"/>
      <c r="H22" s="1017"/>
      <c r="I22" s="1017"/>
      <c r="J22" s="1017"/>
      <c r="K22" s="1017"/>
      <c r="L22" s="1005" t="str">
        <f>SUVAHAVUJ!$D$191</f>
        <v>Výnosy z precenenia cenných papierov a výnosy z derivátových operácií (664, 667)</v>
      </c>
      <c r="M22" s="1005"/>
      <c r="N22" s="1005"/>
      <c r="O22" s="1005"/>
      <c r="P22" s="1005"/>
      <c r="Q22" s="1005"/>
      <c r="R22" s="1005"/>
      <c r="S22" s="1005"/>
      <c r="T22" s="1005"/>
      <c r="U22" s="1005"/>
      <c r="V22" s="1005"/>
      <c r="W22" s="1005"/>
      <c r="X22" s="1005"/>
      <c r="Y22" s="1005"/>
      <c r="Z22" s="1005"/>
      <c r="AA22" s="1005"/>
      <c r="AB22" s="1005"/>
      <c r="AC22" s="1005"/>
      <c r="AD22" s="1005"/>
      <c r="AE22" s="1005"/>
      <c r="AF22" s="1005"/>
      <c r="AG22" s="1005"/>
      <c r="AH22" s="1005"/>
      <c r="AI22" s="1005"/>
      <c r="AJ22" s="1005"/>
      <c r="AK22" s="1005"/>
      <c r="AL22" s="1005"/>
      <c r="AM22" s="1005"/>
      <c r="AN22" s="1005"/>
      <c r="AO22" s="1005"/>
      <c r="AP22" s="1005"/>
      <c r="AQ22" s="1005"/>
      <c r="AR22" s="1005"/>
      <c r="AS22" s="1005"/>
      <c r="AT22" s="1005"/>
      <c r="AU22" s="1005"/>
      <c r="AV22" s="1005"/>
      <c r="AW22" s="1005"/>
      <c r="AX22" s="1005"/>
      <c r="AY22" s="1005"/>
      <c r="AZ22" s="1005"/>
      <c r="BA22" s="1005"/>
      <c r="BB22" s="1005"/>
      <c r="BC22" s="1005"/>
      <c r="BD22" s="1005"/>
      <c r="BE22" s="1005"/>
      <c r="BF22" s="1005"/>
      <c r="BG22" s="1005"/>
      <c r="BH22" s="1005"/>
      <c r="BI22" s="1005"/>
      <c r="BJ22" s="1005"/>
      <c r="BK22" s="1005"/>
      <c r="BL22" s="1005"/>
      <c r="BM22" s="1005"/>
      <c r="BN22" s="1005"/>
      <c r="BO22" s="1005"/>
      <c r="BP22" s="1005"/>
      <c r="BQ22" s="1005"/>
      <c r="BR22" s="1005"/>
      <c r="BS22" s="1005"/>
      <c r="BT22" s="1005"/>
      <c r="BU22" s="1005"/>
      <c r="BV22" s="1005"/>
      <c r="BW22" s="975" t="s">
        <v>1250</v>
      </c>
      <c r="BX22" s="975"/>
      <c r="BY22" s="975"/>
      <c r="BZ22" s="975"/>
      <c r="CA22" s="975"/>
      <c r="CB22" s="975"/>
      <c r="CC22" s="975"/>
      <c r="CD22" s="975"/>
      <c r="CE22" s="976" t="str">
        <f>MID(SUVAHAVUJ!AF191,1,1)</f>
        <v xml:space="preserve"> </v>
      </c>
      <c r="CF22" s="976"/>
      <c r="CG22" s="976"/>
      <c r="CH22" s="976"/>
      <c r="CI22" s="976"/>
      <c r="CJ22" s="976" t="str">
        <f>MID(SUVAHAVUJ!AF191,2,1)</f>
        <v xml:space="preserve"> </v>
      </c>
      <c r="CK22" s="976"/>
      <c r="CL22" s="976"/>
      <c r="CM22" s="976"/>
      <c r="CN22" s="976"/>
      <c r="CO22" s="976"/>
      <c r="CP22" s="976" t="str">
        <f>MID(SUVAHAVUJ!AF191,3,1)</f>
        <v xml:space="preserve"> </v>
      </c>
      <c r="CQ22" s="976"/>
      <c r="CR22" s="976"/>
      <c r="CS22" s="976"/>
      <c r="CT22" s="976"/>
      <c r="CU22" s="976" t="str">
        <f>MID(SUVAHAVUJ!AF191,4,1)</f>
        <v xml:space="preserve"> </v>
      </c>
      <c r="CV22" s="976"/>
      <c r="CW22" s="976"/>
      <c r="CX22" s="976"/>
      <c r="CY22" s="976"/>
      <c r="CZ22" s="976"/>
      <c r="DA22" s="976" t="str">
        <f>MID(SUVAHAVUJ!AF191,5,1)</f>
        <v xml:space="preserve"> </v>
      </c>
      <c r="DB22" s="976"/>
      <c r="DC22" s="976"/>
      <c r="DD22" s="976"/>
      <c r="DE22" s="976"/>
      <c r="DF22" s="976" t="str">
        <f>MID(SUVAHAVUJ!AF191,6,1)</f>
        <v xml:space="preserve"> </v>
      </c>
      <c r="DG22" s="976"/>
      <c r="DH22" s="976"/>
      <c r="DI22" s="976"/>
      <c r="DJ22" s="976"/>
      <c r="DK22" s="976"/>
      <c r="DL22" s="976" t="str">
        <f>MID(SUVAHAVUJ!AF191,7,1)</f>
        <v xml:space="preserve"> </v>
      </c>
      <c r="DM22" s="976"/>
      <c r="DN22" s="976"/>
      <c r="DO22" s="976"/>
      <c r="DP22" s="976"/>
      <c r="DQ22" s="976"/>
      <c r="DR22" s="976" t="str">
        <f>MID(SUVAHAVUJ!AF191,8,1)</f>
        <v xml:space="preserve"> </v>
      </c>
      <c r="DS22" s="976"/>
      <c r="DT22" s="976"/>
      <c r="DU22" s="976"/>
      <c r="DV22" s="976"/>
      <c r="DW22" s="982" t="str">
        <f>MID(SUVAHAVUJ!AF191,9,1)</f>
        <v xml:space="preserve"> </v>
      </c>
      <c r="DX22" s="982"/>
      <c r="DY22" s="982"/>
      <c r="DZ22" s="982"/>
      <c r="EA22" s="982"/>
      <c r="EB22" s="982"/>
      <c r="EC22" s="982" t="str">
        <f>MID(SUVAHAVUJ!AF191,10,1)</f>
        <v xml:space="preserve"> </v>
      </c>
      <c r="ED22" s="982"/>
      <c r="EE22" s="982"/>
      <c r="EF22" s="982"/>
      <c r="EG22" s="982"/>
      <c r="EH22" s="977" t="str">
        <f>MID(SUVAHAVUJ!AF191,11,1)</f>
        <v>0</v>
      </c>
      <c r="EI22" s="977"/>
      <c r="EJ22" s="977"/>
      <c r="EK22" s="977"/>
      <c r="EL22" s="977"/>
      <c r="EM22" s="977"/>
      <c r="EN22" s="665"/>
      <c r="EO22" s="666"/>
      <c r="EP22" s="976" t="str">
        <f>MID(SUVAHAVUJ!AG191,1,1)</f>
        <v xml:space="preserve"> </v>
      </c>
      <c r="EQ22" s="976"/>
      <c r="ER22" s="976"/>
      <c r="ES22" s="976"/>
      <c r="ET22" s="976"/>
      <c r="EU22" s="976"/>
      <c r="EV22" s="976" t="str">
        <f>MID(SUVAHAVUJ!AG191,2,1)</f>
        <v xml:space="preserve"> </v>
      </c>
      <c r="EW22" s="976"/>
      <c r="EX22" s="976"/>
      <c r="EY22" s="976"/>
      <c r="EZ22" s="976"/>
      <c r="FA22" s="976" t="str">
        <f>MID(SUVAHAVUJ!AG191,3,1)</f>
        <v xml:space="preserve"> </v>
      </c>
      <c r="FB22" s="976"/>
      <c r="FC22" s="976"/>
      <c r="FD22" s="976"/>
      <c r="FE22" s="976"/>
      <c r="FF22" s="976"/>
      <c r="FG22" s="976" t="str">
        <f>MID(SUVAHAVUJ!AG191,4,1)</f>
        <v xml:space="preserve"> </v>
      </c>
      <c r="FH22" s="976"/>
      <c r="FI22" s="976"/>
      <c r="FJ22" s="976"/>
      <c r="FK22" s="976"/>
      <c r="FL22" s="982" t="str">
        <f>MID(SUVAHAVUJ!AG191,5,1)</f>
        <v xml:space="preserve"> </v>
      </c>
      <c r="FM22" s="982"/>
      <c r="FN22" s="982"/>
      <c r="FO22" s="982"/>
      <c r="FP22" s="982"/>
      <c r="FQ22" s="982"/>
      <c r="FR22" s="982" t="str">
        <f>MID(SUVAHAVUJ!AG191,6,1)</f>
        <v xml:space="preserve"> </v>
      </c>
      <c r="FS22" s="982"/>
      <c r="FT22" s="982"/>
      <c r="FU22" s="982"/>
      <c r="FV22" s="982"/>
      <c r="FW22" s="982" t="str">
        <f>MID(SUVAHAVUJ!AG191,7,1)</f>
        <v xml:space="preserve"> </v>
      </c>
      <c r="FX22" s="982"/>
      <c r="FY22" s="982"/>
      <c r="FZ22" s="982"/>
      <c r="GA22" s="982"/>
      <c r="GB22" s="982"/>
      <c r="GC22" s="982" t="str">
        <f>MID(SUVAHAVUJ!AG191,8,1)</f>
        <v xml:space="preserve"> </v>
      </c>
      <c r="GD22" s="982"/>
      <c r="GE22" s="982"/>
      <c r="GF22" s="982"/>
      <c r="GG22" s="982"/>
      <c r="GH22" s="982" t="str">
        <f>MID(SUVAHAVUJ!AG191,9,1)</f>
        <v xml:space="preserve"> </v>
      </c>
      <c r="GI22" s="982"/>
      <c r="GJ22" s="982"/>
      <c r="GK22" s="982"/>
      <c r="GL22" s="982"/>
      <c r="GM22" s="982"/>
      <c r="GN22" s="982" t="str">
        <f>MID(SUVAHAVUJ!AG191,10,1)</f>
        <v xml:space="preserve"> </v>
      </c>
      <c r="GO22" s="982"/>
      <c r="GP22" s="982"/>
      <c r="GQ22" s="982"/>
      <c r="GR22" s="982"/>
      <c r="GS22" s="978" t="str">
        <f>MID(SUVAHAVUJ!AG191,11,1)</f>
        <v>0</v>
      </c>
      <c r="GT22" s="978"/>
      <c r="GU22" s="978"/>
      <c r="GV22" s="978"/>
      <c r="GW22" s="978"/>
    </row>
    <row r="23" spans="1:205" ht="24.6" customHeight="1" x14ac:dyDescent="0.25">
      <c r="B23" s="1017" t="s">
        <v>2313</v>
      </c>
      <c r="C23" s="1017"/>
      <c r="D23" s="1017"/>
      <c r="E23" s="1017"/>
      <c r="F23" s="1017"/>
      <c r="G23" s="1017"/>
      <c r="H23" s="1017"/>
      <c r="I23" s="1017"/>
      <c r="J23" s="1017"/>
      <c r="K23" s="1017"/>
      <c r="L23" s="1005" t="str">
        <f>SUVAHAVUJ!$D$192</f>
        <v>Ostatné výnosy z finančnej činnosti (668)</v>
      </c>
      <c r="M23" s="1005"/>
      <c r="N23" s="1005"/>
      <c r="O23" s="1005"/>
      <c r="P23" s="1005"/>
      <c r="Q23" s="1005"/>
      <c r="R23" s="1005"/>
      <c r="S23" s="1005"/>
      <c r="T23" s="1005"/>
      <c r="U23" s="1005"/>
      <c r="V23" s="1005"/>
      <c r="W23" s="1005"/>
      <c r="X23" s="1005"/>
      <c r="Y23" s="1005"/>
      <c r="Z23" s="1005"/>
      <c r="AA23" s="1005"/>
      <c r="AB23" s="1005"/>
      <c r="AC23" s="1005"/>
      <c r="AD23" s="1005"/>
      <c r="AE23" s="1005"/>
      <c r="AF23" s="1005"/>
      <c r="AG23" s="1005"/>
      <c r="AH23" s="1005"/>
      <c r="AI23" s="1005"/>
      <c r="AJ23" s="1005"/>
      <c r="AK23" s="1005"/>
      <c r="AL23" s="1005"/>
      <c r="AM23" s="1005"/>
      <c r="AN23" s="1005"/>
      <c r="AO23" s="1005"/>
      <c r="AP23" s="1005"/>
      <c r="AQ23" s="1005"/>
      <c r="AR23" s="1005"/>
      <c r="AS23" s="1005"/>
      <c r="AT23" s="1005"/>
      <c r="AU23" s="1005"/>
      <c r="AV23" s="1005"/>
      <c r="AW23" s="1005"/>
      <c r="AX23" s="1005"/>
      <c r="AY23" s="1005"/>
      <c r="AZ23" s="1005"/>
      <c r="BA23" s="1005"/>
      <c r="BB23" s="1005"/>
      <c r="BC23" s="1005"/>
      <c r="BD23" s="1005"/>
      <c r="BE23" s="1005"/>
      <c r="BF23" s="1005"/>
      <c r="BG23" s="1005"/>
      <c r="BH23" s="1005"/>
      <c r="BI23" s="1005"/>
      <c r="BJ23" s="1005"/>
      <c r="BK23" s="1005"/>
      <c r="BL23" s="1005"/>
      <c r="BM23" s="1005"/>
      <c r="BN23" s="1005"/>
      <c r="BO23" s="1005"/>
      <c r="BP23" s="1005"/>
      <c r="BQ23" s="1005"/>
      <c r="BR23" s="1005"/>
      <c r="BS23" s="1005"/>
      <c r="BT23" s="1005"/>
      <c r="BU23" s="1005"/>
      <c r="BV23" s="1005"/>
      <c r="BW23" s="975" t="s">
        <v>1251</v>
      </c>
      <c r="BX23" s="975"/>
      <c r="BY23" s="975"/>
      <c r="BZ23" s="975"/>
      <c r="CA23" s="975"/>
      <c r="CB23" s="975"/>
      <c r="CC23" s="975"/>
      <c r="CD23" s="975"/>
      <c r="CE23" s="976" t="str">
        <f>MID(SUVAHAVUJ!AF192,1,1)</f>
        <v xml:space="preserve"> </v>
      </c>
      <c r="CF23" s="976"/>
      <c r="CG23" s="976"/>
      <c r="CH23" s="976"/>
      <c r="CI23" s="976"/>
      <c r="CJ23" s="976" t="str">
        <f>MID(SUVAHAVUJ!AF192,2,1)</f>
        <v xml:space="preserve"> </v>
      </c>
      <c r="CK23" s="976"/>
      <c r="CL23" s="976"/>
      <c r="CM23" s="976"/>
      <c r="CN23" s="976"/>
      <c r="CO23" s="976"/>
      <c r="CP23" s="976" t="str">
        <f>MID(SUVAHAVUJ!AF192,3,1)</f>
        <v xml:space="preserve"> </v>
      </c>
      <c r="CQ23" s="976"/>
      <c r="CR23" s="976"/>
      <c r="CS23" s="976"/>
      <c r="CT23" s="976"/>
      <c r="CU23" s="976" t="str">
        <f>MID(SUVAHAVUJ!AF192,4,1)</f>
        <v xml:space="preserve"> </v>
      </c>
      <c r="CV23" s="976"/>
      <c r="CW23" s="976"/>
      <c r="CX23" s="976"/>
      <c r="CY23" s="976"/>
      <c r="CZ23" s="976"/>
      <c r="DA23" s="976" t="str">
        <f>MID(SUVAHAVUJ!AF192,5,1)</f>
        <v xml:space="preserve"> </v>
      </c>
      <c r="DB23" s="976"/>
      <c r="DC23" s="976"/>
      <c r="DD23" s="976"/>
      <c r="DE23" s="976"/>
      <c r="DF23" s="976" t="str">
        <f>MID(SUVAHAVUJ!AF192,6,1)</f>
        <v xml:space="preserve"> </v>
      </c>
      <c r="DG23" s="976"/>
      <c r="DH23" s="976"/>
      <c r="DI23" s="976"/>
      <c r="DJ23" s="976"/>
      <c r="DK23" s="976"/>
      <c r="DL23" s="976" t="str">
        <f>MID(SUVAHAVUJ!AF192,7,1)</f>
        <v xml:space="preserve"> </v>
      </c>
      <c r="DM23" s="976"/>
      <c r="DN23" s="976"/>
      <c r="DO23" s="976"/>
      <c r="DP23" s="976"/>
      <c r="DQ23" s="976"/>
      <c r="DR23" s="976" t="str">
        <f>MID(SUVAHAVUJ!AF192,8,1)</f>
        <v xml:space="preserve"> </v>
      </c>
      <c r="DS23" s="976"/>
      <c r="DT23" s="976"/>
      <c r="DU23" s="976"/>
      <c r="DV23" s="976"/>
      <c r="DW23" s="982" t="str">
        <f>MID(SUVAHAVUJ!AF192,9,1)</f>
        <v xml:space="preserve"> </v>
      </c>
      <c r="DX23" s="982"/>
      <c r="DY23" s="982"/>
      <c r="DZ23" s="982"/>
      <c r="EA23" s="982"/>
      <c r="EB23" s="982"/>
      <c r="EC23" s="982" t="str">
        <f>MID(SUVAHAVUJ!AF192,10,1)</f>
        <v xml:space="preserve"> </v>
      </c>
      <c r="ED23" s="982"/>
      <c r="EE23" s="982"/>
      <c r="EF23" s="982"/>
      <c r="EG23" s="982"/>
      <c r="EH23" s="977" t="str">
        <f>MID(SUVAHAVUJ!AF192,11,1)</f>
        <v>0</v>
      </c>
      <c r="EI23" s="977"/>
      <c r="EJ23" s="977"/>
      <c r="EK23" s="977"/>
      <c r="EL23" s="977"/>
      <c r="EM23" s="977"/>
      <c r="EN23" s="665"/>
      <c r="EO23" s="666"/>
      <c r="EP23" s="976" t="str">
        <f>MID(SUVAHAVUJ!AG192,1,1)</f>
        <v xml:space="preserve"> </v>
      </c>
      <c r="EQ23" s="976"/>
      <c r="ER23" s="976"/>
      <c r="ES23" s="976"/>
      <c r="ET23" s="976"/>
      <c r="EU23" s="976"/>
      <c r="EV23" s="976" t="str">
        <f>MID(SUVAHAVUJ!AG192,2,1)</f>
        <v xml:space="preserve"> </v>
      </c>
      <c r="EW23" s="976"/>
      <c r="EX23" s="976"/>
      <c r="EY23" s="976"/>
      <c r="EZ23" s="976"/>
      <c r="FA23" s="976" t="str">
        <f>MID(SUVAHAVUJ!AG192,3,1)</f>
        <v xml:space="preserve"> </v>
      </c>
      <c r="FB23" s="976"/>
      <c r="FC23" s="976"/>
      <c r="FD23" s="976"/>
      <c r="FE23" s="976"/>
      <c r="FF23" s="976"/>
      <c r="FG23" s="976" t="str">
        <f>MID(SUVAHAVUJ!AG192,4,1)</f>
        <v xml:space="preserve"> </v>
      </c>
      <c r="FH23" s="976"/>
      <c r="FI23" s="976"/>
      <c r="FJ23" s="976"/>
      <c r="FK23" s="976"/>
      <c r="FL23" s="982" t="str">
        <f>MID(SUVAHAVUJ!AG192,5,1)</f>
        <v xml:space="preserve"> </v>
      </c>
      <c r="FM23" s="982"/>
      <c r="FN23" s="982"/>
      <c r="FO23" s="982"/>
      <c r="FP23" s="982"/>
      <c r="FQ23" s="982"/>
      <c r="FR23" s="982" t="str">
        <f>MID(SUVAHAVUJ!AG192,6,1)</f>
        <v xml:space="preserve"> </v>
      </c>
      <c r="FS23" s="982"/>
      <c r="FT23" s="982"/>
      <c r="FU23" s="982"/>
      <c r="FV23" s="982"/>
      <c r="FW23" s="982" t="str">
        <f>MID(SUVAHAVUJ!AG192,7,1)</f>
        <v xml:space="preserve"> </v>
      </c>
      <c r="FX23" s="982"/>
      <c r="FY23" s="982"/>
      <c r="FZ23" s="982"/>
      <c r="GA23" s="982"/>
      <c r="GB23" s="982"/>
      <c r="GC23" s="982" t="str">
        <f>MID(SUVAHAVUJ!AG192,8,1)</f>
        <v xml:space="preserve"> </v>
      </c>
      <c r="GD23" s="982"/>
      <c r="GE23" s="982"/>
      <c r="GF23" s="982"/>
      <c r="GG23" s="982"/>
      <c r="GH23" s="982" t="str">
        <f>MID(SUVAHAVUJ!AG192,9,1)</f>
        <v xml:space="preserve"> </v>
      </c>
      <c r="GI23" s="982"/>
      <c r="GJ23" s="982"/>
      <c r="GK23" s="982"/>
      <c r="GL23" s="982"/>
      <c r="GM23" s="982"/>
      <c r="GN23" s="982" t="str">
        <f>MID(SUVAHAVUJ!AG192,10,1)</f>
        <v xml:space="preserve"> </v>
      </c>
      <c r="GO23" s="982"/>
      <c r="GP23" s="982"/>
      <c r="GQ23" s="982"/>
      <c r="GR23" s="982"/>
      <c r="GS23" s="978" t="str">
        <f>MID(SUVAHAVUJ!AG192,11,1)</f>
        <v>0</v>
      </c>
      <c r="GT23" s="978"/>
      <c r="GU23" s="978"/>
      <c r="GV23" s="978"/>
      <c r="GW23" s="978"/>
    </row>
    <row r="24" spans="1:205" ht="24.6" customHeight="1" x14ac:dyDescent="0.25">
      <c r="A24" s="675"/>
      <c r="B24" s="1017" t="s">
        <v>2287</v>
      </c>
      <c r="C24" s="1017"/>
      <c r="D24" s="1017"/>
      <c r="E24" s="1017"/>
      <c r="F24" s="1017"/>
      <c r="G24" s="1017"/>
      <c r="H24" s="1017"/>
      <c r="I24" s="1017"/>
      <c r="J24" s="1017"/>
      <c r="K24" s="1017"/>
      <c r="L24" s="1004" t="str">
        <f>SUVAHAVUJ!$D$193</f>
        <v>Náklady na finančnú činnosť spolu r. 46 + r. 47 + r. 48
+ r. 49 + r. 52 + r. 53 + r. 54</v>
      </c>
      <c r="M24" s="1004"/>
      <c r="N24" s="1004"/>
      <c r="O24" s="1004"/>
      <c r="P24" s="1004"/>
      <c r="Q24" s="1004"/>
      <c r="R24" s="1004"/>
      <c r="S24" s="1004"/>
      <c r="T24" s="1004"/>
      <c r="U24" s="1004"/>
      <c r="V24" s="1004"/>
      <c r="W24" s="1004"/>
      <c r="X24" s="1004"/>
      <c r="Y24" s="1004"/>
      <c r="Z24" s="1004"/>
      <c r="AA24" s="1004"/>
      <c r="AB24" s="1004"/>
      <c r="AC24" s="1004"/>
      <c r="AD24" s="1004"/>
      <c r="AE24" s="1004"/>
      <c r="AF24" s="1004"/>
      <c r="AG24" s="1004"/>
      <c r="AH24" s="1004"/>
      <c r="AI24" s="1004"/>
      <c r="AJ24" s="1004"/>
      <c r="AK24" s="1004"/>
      <c r="AL24" s="1004"/>
      <c r="AM24" s="1004"/>
      <c r="AN24" s="1004"/>
      <c r="AO24" s="1004"/>
      <c r="AP24" s="1004"/>
      <c r="AQ24" s="1004"/>
      <c r="AR24" s="1004"/>
      <c r="AS24" s="1004"/>
      <c r="AT24" s="1004"/>
      <c r="AU24" s="1004"/>
      <c r="AV24" s="1004"/>
      <c r="AW24" s="1004"/>
      <c r="AX24" s="1004"/>
      <c r="AY24" s="1004"/>
      <c r="AZ24" s="1004"/>
      <c r="BA24" s="1004"/>
      <c r="BB24" s="1004"/>
      <c r="BC24" s="1004"/>
      <c r="BD24" s="1004"/>
      <c r="BE24" s="1004"/>
      <c r="BF24" s="1004"/>
      <c r="BG24" s="1004"/>
      <c r="BH24" s="1004"/>
      <c r="BI24" s="1004"/>
      <c r="BJ24" s="1004"/>
      <c r="BK24" s="1004"/>
      <c r="BL24" s="1004"/>
      <c r="BM24" s="1004"/>
      <c r="BN24" s="1004"/>
      <c r="BO24" s="1004"/>
      <c r="BP24" s="1004"/>
      <c r="BQ24" s="1004"/>
      <c r="BR24" s="1004"/>
      <c r="BS24" s="1004"/>
      <c r="BT24" s="1004"/>
      <c r="BU24" s="1004"/>
      <c r="BV24" s="1004"/>
      <c r="BW24" s="975" t="s">
        <v>1252</v>
      </c>
      <c r="BX24" s="975"/>
      <c r="BY24" s="975"/>
      <c r="BZ24" s="975"/>
      <c r="CA24" s="975"/>
      <c r="CB24" s="975"/>
      <c r="CC24" s="975"/>
      <c r="CD24" s="975"/>
      <c r="CE24" s="976" t="str">
        <f>MID(SUVAHAVUJ!AF193,1,1)</f>
        <v xml:space="preserve"> </v>
      </c>
      <c r="CF24" s="976"/>
      <c r="CG24" s="976"/>
      <c r="CH24" s="976"/>
      <c r="CI24" s="976"/>
      <c r="CJ24" s="976" t="str">
        <f>MID(SUVAHAVUJ!AF193,2,1)</f>
        <v xml:space="preserve"> </v>
      </c>
      <c r="CK24" s="976"/>
      <c r="CL24" s="976"/>
      <c r="CM24" s="976"/>
      <c r="CN24" s="976"/>
      <c r="CO24" s="976"/>
      <c r="CP24" s="976" t="str">
        <f>MID(SUVAHAVUJ!AF193,3,1)</f>
        <v xml:space="preserve"> </v>
      </c>
      <c r="CQ24" s="976"/>
      <c r="CR24" s="976"/>
      <c r="CS24" s="976"/>
      <c r="CT24" s="976"/>
      <c r="CU24" s="976" t="str">
        <f>MID(SUVAHAVUJ!AF193,4,1)</f>
        <v xml:space="preserve"> </v>
      </c>
      <c r="CV24" s="976"/>
      <c r="CW24" s="976"/>
      <c r="CX24" s="976"/>
      <c r="CY24" s="976"/>
      <c r="CZ24" s="976"/>
      <c r="DA24" s="976" t="str">
        <f>MID(SUVAHAVUJ!AF193,5,1)</f>
        <v xml:space="preserve"> </v>
      </c>
      <c r="DB24" s="976"/>
      <c r="DC24" s="976"/>
      <c r="DD24" s="976"/>
      <c r="DE24" s="976"/>
      <c r="DF24" s="976" t="str">
        <f>MID(SUVAHAVUJ!AF193,6,1)</f>
        <v xml:space="preserve"> </v>
      </c>
      <c r="DG24" s="976"/>
      <c r="DH24" s="976"/>
      <c r="DI24" s="976"/>
      <c r="DJ24" s="976"/>
      <c r="DK24" s="976"/>
      <c r="DL24" s="976" t="str">
        <f>MID(SUVAHAVUJ!AF193,7,1)</f>
        <v xml:space="preserve"> </v>
      </c>
      <c r="DM24" s="976"/>
      <c r="DN24" s="976"/>
      <c r="DO24" s="976"/>
      <c r="DP24" s="976"/>
      <c r="DQ24" s="976"/>
      <c r="DR24" s="976" t="str">
        <f>MID(SUVAHAVUJ!AF193,8,1)</f>
        <v>8</v>
      </c>
      <c r="DS24" s="976"/>
      <c r="DT24" s="976"/>
      <c r="DU24" s="976"/>
      <c r="DV24" s="976"/>
      <c r="DW24" s="982" t="str">
        <f>MID(SUVAHAVUJ!AF193,9,1)</f>
        <v>6</v>
      </c>
      <c r="DX24" s="982"/>
      <c r="DY24" s="982"/>
      <c r="DZ24" s="982"/>
      <c r="EA24" s="982"/>
      <c r="EB24" s="982"/>
      <c r="EC24" s="982" t="str">
        <f>MID(SUVAHAVUJ!AF193,10,1)</f>
        <v>4</v>
      </c>
      <c r="ED24" s="982"/>
      <c r="EE24" s="982"/>
      <c r="EF24" s="982"/>
      <c r="EG24" s="982"/>
      <c r="EH24" s="977" t="str">
        <f>MID(SUVAHAVUJ!AF193,11,1)</f>
        <v>1</v>
      </c>
      <c r="EI24" s="977"/>
      <c r="EJ24" s="977"/>
      <c r="EK24" s="977"/>
      <c r="EL24" s="977"/>
      <c r="EM24" s="977"/>
      <c r="EN24" s="665"/>
      <c r="EO24" s="666"/>
      <c r="EP24" s="976" t="str">
        <f>MID(SUVAHAVUJ!AG193,1,1)</f>
        <v xml:space="preserve"> </v>
      </c>
      <c r="EQ24" s="976"/>
      <c r="ER24" s="976"/>
      <c r="ES24" s="976"/>
      <c r="ET24" s="976"/>
      <c r="EU24" s="976"/>
      <c r="EV24" s="976" t="str">
        <f>MID(SUVAHAVUJ!AG193,2,1)</f>
        <v xml:space="preserve"> </v>
      </c>
      <c r="EW24" s="976"/>
      <c r="EX24" s="976"/>
      <c r="EY24" s="976"/>
      <c r="EZ24" s="976"/>
      <c r="FA24" s="976" t="str">
        <f>MID(SUVAHAVUJ!AG193,3,1)</f>
        <v xml:space="preserve"> </v>
      </c>
      <c r="FB24" s="976"/>
      <c r="FC24" s="976"/>
      <c r="FD24" s="976"/>
      <c r="FE24" s="976"/>
      <c r="FF24" s="976"/>
      <c r="FG24" s="976" t="str">
        <f>MID(SUVAHAVUJ!AG193,4,1)</f>
        <v xml:space="preserve"> </v>
      </c>
      <c r="FH24" s="976"/>
      <c r="FI24" s="976"/>
      <c r="FJ24" s="976"/>
      <c r="FK24" s="976"/>
      <c r="FL24" s="982" t="str">
        <f>MID(SUVAHAVUJ!AG193,5,1)</f>
        <v xml:space="preserve"> </v>
      </c>
      <c r="FM24" s="982"/>
      <c r="FN24" s="982"/>
      <c r="FO24" s="982"/>
      <c r="FP24" s="982"/>
      <c r="FQ24" s="982"/>
      <c r="FR24" s="982" t="str">
        <f>MID(SUVAHAVUJ!AG193,6,1)</f>
        <v xml:space="preserve"> </v>
      </c>
      <c r="FS24" s="982"/>
      <c r="FT24" s="982"/>
      <c r="FU24" s="982"/>
      <c r="FV24" s="982"/>
      <c r="FW24" s="982" t="str">
        <f>MID(SUVAHAVUJ!AG193,7,1)</f>
        <v>1</v>
      </c>
      <c r="FX24" s="982"/>
      <c r="FY24" s="982"/>
      <c r="FZ24" s="982"/>
      <c r="GA24" s="982"/>
      <c r="GB24" s="982"/>
      <c r="GC24" s="982" t="str">
        <f>MID(SUVAHAVUJ!AG193,8,1)</f>
        <v>0</v>
      </c>
      <c r="GD24" s="982"/>
      <c r="GE24" s="982"/>
      <c r="GF24" s="982"/>
      <c r="GG24" s="982"/>
      <c r="GH24" s="982" t="str">
        <f>MID(SUVAHAVUJ!AG193,9,1)</f>
        <v>2</v>
      </c>
      <c r="GI24" s="982"/>
      <c r="GJ24" s="982"/>
      <c r="GK24" s="982"/>
      <c r="GL24" s="982"/>
      <c r="GM24" s="982"/>
      <c r="GN24" s="982" t="str">
        <f>MID(SUVAHAVUJ!AG193,10,1)</f>
        <v>4</v>
      </c>
      <c r="GO24" s="982"/>
      <c r="GP24" s="982"/>
      <c r="GQ24" s="982"/>
      <c r="GR24" s="982"/>
      <c r="GS24" s="978" t="str">
        <f>MID(SUVAHAVUJ!AG193,11,1)</f>
        <v>5</v>
      </c>
      <c r="GT24" s="978"/>
      <c r="GU24" s="978"/>
      <c r="GV24" s="978"/>
      <c r="GW24" s="978"/>
    </row>
    <row r="25" spans="1:205" ht="24.6" customHeight="1" x14ac:dyDescent="0.25">
      <c r="A25" s="675"/>
      <c r="B25" s="1017" t="s">
        <v>2314</v>
      </c>
      <c r="C25" s="1017"/>
      <c r="D25" s="1017"/>
      <c r="E25" s="1017"/>
      <c r="F25" s="1017"/>
      <c r="G25" s="1017"/>
      <c r="H25" s="1017"/>
      <c r="I25" s="1017"/>
      <c r="J25" s="1017"/>
      <c r="K25" s="1017"/>
      <c r="L25" s="1005" t="str">
        <f>SUVAHAVUJ!$D$194</f>
        <v>Predané cenné papiere a podiely (561)</v>
      </c>
      <c r="M25" s="1005"/>
      <c r="N25" s="1005"/>
      <c r="O25" s="1005"/>
      <c r="P25" s="1005"/>
      <c r="Q25" s="1005"/>
      <c r="R25" s="1005"/>
      <c r="S25" s="1005"/>
      <c r="T25" s="1005"/>
      <c r="U25" s="1005"/>
      <c r="V25" s="1005"/>
      <c r="W25" s="1005"/>
      <c r="X25" s="1005"/>
      <c r="Y25" s="1005"/>
      <c r="Z25" s="1005"/>
      <c r="AA25" s="1005"/>
      <c r="AB25" s="1005"/>
      <c r="AC25" s="1005"/>
      <c r="AD25" s="1005"/>
      <c r="AE25" s="1005"/>
      <c r="AF25" s="1005"/>
      <c r="AG25" s="1005"/>
      <c r="AH25" s="1005"/>
      <c r="AI25" s="1005"/>
      <c r="AJ25" s="1005"/>
      <c r="AK25" s="1005"/>
      <c r="AL25" s="1005"/>
      <c r="AM25" s="1005"/>
      <c r="AN25" s="1005"/>
      <c r="AO25" s="1005"/>
      <c r="AP25" s="1005"/>
      <c r="AQ25" s="1005"/>
      <c r="AR25" s="1005"/>
      <c r="AS25" s="1005"/>
      <c r="AT25" s="1005"/>
      <c r="AU25" s="1005"/>
      <c r="AV25" s="1005"/>
      <c r="AW25" s="1005"/>
      <c r="AX25" s="1005"/>
      <c r="AY25" s="1005"/>
      <c r="AZ25" s="1005"/>
      <c r="BA25" s="1005"/>
      <c r="BB25" s="1005"/>
      <c r="BC25" s="1005"/>
      <c r="BD25" s="1005"/>
      <c r="BE25" s="1005"/>
      <c r="BF25" s="1005"/>
      <c r="BG25" s="1005"/>
      <c r="BH25" s="1005"/>
      <c r="BI25" s="1005"/>
      <c r="BJ25" s="1005"/>
      <c r="BK25" s="1005"/>
      <c r="BL25" s="1005"/>
      <c r="BM25" s="1005"/>
      <c r="BN25" s="1005"/>
      <c r="BO25" s="1005"/>
      <c r="BP25" s="1005"/>
      <c r="BQ25" s="1005"/>
      <c r="BR25" s="1005"/>
      <c r="BS25" s="1005"/>
      <c r="BT25" s="1005"/>
      <c r="BU25" s="1005"/>
      <c r="BV25" s="1005"/>
      <c r="BW25" s="975" t="s">
        <v>1261</v>
      </c>
      <c r="BX25" s="975"/>
      <c r="BY25" s="975"/>
      <c r="BZ25" s="975"/>
      <c r="CA25" s="975"/>
      <c r="CB25" s="975"/>
      <c r="CC25" s="975"/>
      <c r="CD25" s="975"/>
      <c r="CE25" s="976" t="str">
        <f>MID(SUVAHAVUJ!AF194,1,1)</f>
        <v xml:space="preserve"> </v>
      </c>
      <c r="CF25" s="976"/>
      <c r="CG25" s="976"/>
      <c r="CH25" s="976"/>
      <c r="CI25" s="976"/>
      <c r="CJ25" s="976" t="str">
        <f>MID(SUVAHAVUJ!AF194,2,1)</f>
        <v xml:space="preserve"> </v>
      </c>
      <c r="CK25" s="976"/>
      <c r="CL25" s="976"/>
      <c r="CM25" s="976"/>
      <c r="CN25" s="976"/>
      <c r="CO25" s="976"/>
      <c r="CP25" s="976" t="str">
        <f>MID(SUVAHAVUJ!AF194,3,1)</f>
        <v xml:space="preserve"> </v>
      </c>
      <c r="CQ25" s="976"/>
      <c r="CR25" s="976"/>
      <c r="CS25" s="976"/>
      <c r="CT25" s="976"/>
      <c r="CU25" s="976" t="str">
        <f>MID(SUVAHAVUJ!AF194,4,1)</f>
        <v xml:space="preserve"> </v>
      </c>
      <c r="CV25" s="976"/>
      <c r="CW25" s="976"/>
      <c r="CX25" s="976"/>
      <c r="CY25" s="976"/>
      <c r="CZ25" s="976"/>
      <c r="DA25" s="976" t="str">
        <f>MID(SUVAHAVUJ!AF194,5,1)</f>
        <v xml:space="preserve"> </v>
      </c>
      <c r="DB25" s="976"/>
      <c r="DC25" s="976"/>
      <c r="DD25" s="976"/>
      <c r="DE25" s="976"/>
      <c r="DF25" s="976" t="str">
        <f>MID(SUVAHAVUJ!AF194,6,1)</f>
        <v xml:space="preserve"> </v>
      </c>
      <c r="DG25" s="976"/>
      <c r="DH25" s="976"/>
      <c r="DI25" s="976"/>
      <c r="DJ25" s="976"/>
      <c r="DK25" s="976"/>
      <c r="DL25" s="976" t="str">
        <f>MID(SUVAHAVUJ!AF194,7,1)</f>
        <v xml:space="preserve"> </v>
      </c>
      <c r="DM25" s="976"/>
      <c r="DN25" s="976"/>
      <c r="DO25" s="976"/>
      <c r="DP25" s="976"/>
      <c r="DQ25" s="976"/>
      <c r="DR25" s="976" t="str">
        <f>MID(SUVAHAVUJ!AF194,8,1)</f>
        <v xml:space="preserve"> </v>
      </c>
      <c r="DS25" s="976"/>
      <c r="DT25" s="976"/>
      <c r="DU25" s="976"/>
      <c r="DV25" s="976"/>
      <c r="DW25" s="982" t="str">
        <f>MID(SUVAHAVUJ!AF194,9,1)</f>
        <v xml:space="preserve"> </v>
      </c>
      <c r="DX25" s="982"/>
      <c r="DY25" s="982"/>
      <c r="DZ25" s="982"/>
      <c r="EA25" s="982"/>
      <c r="EB25" s="982"/>
      <c r="EC25" s="982" t="str">
        <f>MID(SUVAHAVUJ!AF194,10,1)</f>
        <v xml:space="preserve"> </v>
      </c>
      <c r="ED25" s="982"/>
      <c r="EE25" s="982"/>
      <c r="EF25" s="982"/>
      <c r="EG25" s="982"/>
      <c r="EH25" s="977" t="str">
        <f>MID(SUVAHAVUJ!AF194,11,1)</f>
        <v>0</v>
      </c>
      <c r="EI25" s="977"/>
      <c r="EJ25" s="977"/>
      <c r="EK25" s="977"/>
      <c r="EL25" s="977"/>
      <c r="EM25" s="977"/>
      <c r="EN25" s="665"/>
      <c r="EO25" s="666"/>
      <c r="EP25" s="976" t="str">
        <f>MID(SUVAHAVUJ!AG194,1,1)</f>
        <v xml:space="preserve"> </v>
      </c>
      <c r="EQ25" s="976"/>
      <c r="ER25" s="976"/>
      <c r="ES25" s="976"/>
      <c r="ET25" s="976"/>
      <c r="EU25" s="976"/>
      <c r="EV25" s="976" t="str">
        <f>MID(SUVAHAVUJ!AG194,2,1)</f>
        <v xml:space="preserve"> </v>
      </c>
      <c r="EW25" s="976"/>
      <c r="EX25" s="976"/>
      <c r="EY25" s="976"/>
      <c r="EZ25" s="976"/>
      <c r="FA25" s="976" t="str">
        <f>MID(SUVAHAVUJ!AG194,3,1)</f>
        <v xml:space="preserve"> </v>
      </c>
      <c r="FB25" s="976"/>
      <c r="FC25" s="976"/>
      <c r="FD25" s="976"/>
      <c r="FE25" s="976"/>
      <c r="FF25" s="976"/>
      <c r="FG25" s="976" t="str">
        <f>MID(SUVAHAVUJ!AG194,4,1)</f>
        <v xml:space="preserve"> </v>
      </c>
      <c r="FH25" s="976"/>
      <c r="FI25" s="976"/>
      <c r="FJ25" s="976"/>
      <c r="FK25" s="976"/>
      <c r="FL25" s="982" t="str">
        <f>MID(SUVAHAVUJ!AG194,5,1)</f>
        <v xml:space="preserve"> </v>
      </c>
      <c r="FM25" s="982"/>
      <c r="FN25" s="982"/>
      <c r="FO25" s="982"/>
      <c r="FP25" s="982"/>
      <c r="FQ25" s="982"/>
      <c r="FR25" s="982" t="str">
        <f>MID(SUVAHAVUJ!AG194,6,1)</f>
        <v xml:space="preserve"> </v>
      </c>
      <c r="FS25" s="982"/>
      <c r="FT25" s="982"/>
      <c r="FU25" s="982"/>
      <c r="FV25" s="982"/>
      <c r="FW25" s="982" t="str">
        <f>MID(SUVAHAVUJ!AG194,7,1)</f>
        <v xml:space="preserve"> </v>
      </c>
      <c r="FX25" s="982"/>
      <c r="FY25" s="982"/>
      <c r="FZ25" s="982"/>
      <c r="GA25" s="982"/>
      <c r="GB25" s="982"/>
      <c r="GC25" s="982" t="str">
        <f>MID(SUVAHAVUJ!AG194,8,1)</f>
        <v xml:space="preserve"> </v>
      </c>
      <c r="GD25" s="982"/>
      <c r="GE25" s="982"/>
      <c r="GF25" s="982"/>
      <c r="GG25" s="982"/>
      <c r="GH25" s="982" t="str">
        <f>MID(SUVAHAVUJ!AG194,9,1)</f>
        <v xml:space="preserve"> </v>
      </c>
      <c r="GI25" s="982"/>
      <c r="GJ25" s="982"/>
      <c r="GK25" s="982"/>
      <c r="GL25" s="982"/>
      <c r="GM25" s="982"/>
      <c r="GN25" s="982" t="str">
        <f>MID(SUVAHAVUJ!AG194,10,1)</f>
        <v xml:space="preserve"> </v>
      </c>
      <c r="GO25" s="982"/>
      <c r="GP25" s="982"/>
      <c r="GQ25" s="982"/>
      <c r="GR25" s="982"/>
      <c r="GS25" s="978" t="str">
        <f>MID(SUVAHAVUJ!AG194,11,1)</f>
        <v>0</v>
      </c>
      <c r="GT25" s="978"/>
      <c r="GU25" s="978"/>
      <c r="GV25" s="978"/>
      <c r="GW25" s="978"/>
    </row>
    <row r="26" spans="1:205" ht="24.6" customHeight="1" x14ac:dyDescent="0.25">
      <c r="A26" s="675"/>
      <c r="B26" s="1017" t="s">
        <v>2315</v>
      </c>
      <c r="C26" s="1017"/>
      <c r="D26" s="1017"/>
      <c r="E26" s="1017"/>
      <c r="F26" s="1017"/>
      <c r="G26" s="1017"/>
      <c r="H26" s="1017"/>
      <c r="I26" s="1017"/>
      <c r="J26" s="1017"/>
      <c r="K26" s="1017"/>
      <c r="L26" s="1005" t="str">
        <f>SUVAHAVUJ!$D$195</f>
        <v>Náklady na krátkodobý finančný majetok (566)</v>
      </c>
      <c r="M26" s="1005"/>
      <c r="N26" s="1005"/>
      <c r="O26" s="1005"/>
      <c r="P26" s="1005"/>
      <c r="Q26" s="1005"/>
      <c r="R26" s="1005"/>
      <c r="S26" s="1005"/>
      <c r="T26" s="1005"/>
      <c r="U26" s="1005"/>
      <c r="V26" s="1005"/>
      <c r="W26" s="1005"/>
      <c r="X26" s="1005"/>
      <c r="Y26" s="1005"/>
      <c r="Z26" s="1005"/>
      <c r="AA26" s="1005"/>
      <c r="AB26" s="1005"/>
      <c r="AC26" s="1005"/>
      <c r="AD26" s="1005"/>
      <c r="AE26" s="1005"/>
      <c r="AF26" s="1005"/>
      <c r="AG26" s="1005"/>
      <c r="AH26" s="1005"/>
      <c r="AI26" s="1005"/>
      <c r="AJ26" s="1005"/>
      <c r="AK26" s="1005"/>
      <c r="AL26" s="1005"/>
      <c r="AM26" s="1005"/>
      <c r="AN26" s="1005"/>
      <c r="AO26" s="1005"/>
      <c r="AP26" s="1005"/>
      <c r="AQ26" s="1005"/>
      <c r="AR26" s="1005"/>
      <c r="AS26" s="1005"/>
      <c r="AT26" s="1005"/>
      <c r="AU26" s="1005"/>
      <c r="AV26" s="1005"/>
      <c r="AW26" s="1005"/>
      <c r="AX26" s="1005"/>
      <c r="AY26" s="1005"/>
      <c r="AZ26" s="1005"/>
      <c r="BA26" s="1005"/>
      <c r="BB26" s="1005"/>
      <c r="BC26" s="1005"/>
      <c r="BD26" s="1005"/>
      <c r="BE26" s="1005"/>
      <c r="BF26" s="1005"/>
      <c r="BG26" s="1005"/>
      <c r="BH26" s="1005"/>
      <c r="BI26" s="1005"/>
      <c r="BJ26" s="1005"/>
      <c r="BK26" s="1005"/>
      <c r="BL26" s="1005"/>
      <c r="BM26" s="1005"/>
      <c r="BN26" s="1005"/>
      <c r="BO26" s="1005"/>
      <c r="BP26" s="1005"/>
      <c r="BQ26" s="1005"/>
      <c r="BR26" s="1005"/>
      <c r="BS26" s="1005"/>
      <c r="BT26" s="1005"/>
      <c r="BU26" s="1005"/>
      <c r="BV26" s="1005"/>
      <c r="BW26" s="975" t="s">
        <v>1220</v>
      </c>
      <c r="BX26" s="975"/>
      <c r="BY26" s="975"/>
      <c r="BZ26" s="975"/>
      <c r="CA26" s="975"/>
      <c r="CB26" s="975"/>
      <c r="CC26" s="975"/>
      <c r="CD26" s="975"/>
      <c r="CE26" s="976" t="str">
        <f>MID(SUVAHAVUJ!AF195,1,1)</f>
        <v xml:space="preserve"> </v>
      </c>
      <c r="CF26" s="976"/>
      <c r="CG26" s="976"/>
      <c r="CH26" s="976"/>
      <c r="CI26" s="976"/>
      <c r="CJ26" s="976" t="str">
        <f>MID(SUVAHAVUJ!AF195,2,1)</f>
        <v xml:space="preserve"> </v>
      </c>
      <c r="CK26" s="976"/>
      <c r="CL26" s="976"/>
      <c r="CM26" s="976"/>
      <c r="CN26" s="976"/>
      <c r="CO26" s="976"/>
      <c r="CP26" s="976" t="str">
        <f>MID(SUVAHAVUJ!AF195,3,1)</f>
        <v xml:space="preserve"> </v>
      </c>
      <c r="CQ26" s="976"/>
      <c r="CR26" s="976"/>
      <c r="CS26" s="976"/>
      <c r="CT26" s="976"/>
      <c r="CU26" s="976" t="str">
        <f>MID(SUVAHAVUJ!AF195,4,1)</f>
        <v xml:space="preserve"> </v>
      </c>
      <c r="CV26" s="976"/>
      <c r="CW26" s="976"/>
      <c r="CX26" s="976"/>
      <c r="CY26" s="976"/>
      <c r="CZ26" s="976"/>
      <c r="DA26" s="976" t="str">
        <f>MID(SUVAHAVUJ!AF195,5,1)</f>
        <v xml:space="preserve"> </v>
      </c>
      <c r="DB26" s="976"/>
      <c r="DC26" s="976"/>
      <c r="DD26" s="976"/>
      <c r="DE26" s="976"/>
      <c r="DF26" s="976" t="str">
        <f>MID(SUVAHAVUJ!AF195,6,1)</f>
        <v xml:space="preserve"> </v>
      </c>
      <c r="DG26" s="976"/>
      <c r="DH26" s="976"/>
      <c r="DI26" s="976"/>
      <c r="DJ26" s="976"/>
      <c r="DK26" s="976"/>
      <c r="DL26" s="976" t="str">
        <f>MID(SUVAHAVUJ!AF195,7,1)</f>
        <v xml:space="preserve"> </v>
      </c>
      <c r="DM26" s="976"/>
      <c r="DN26" s="976"/>
      <c r="DO26" s="976"/>
      <c r="DP26" s="976"/>
      <c r="DQ26" s="976"/>
      <c r="DR26" s="976" t="str">
        <f>MID(SUVAHAVUJ!AF195,8,1)</f>
        <v xml:space="preserve"> </v>
      </c>
      <c r="DS26" s="976"/>
      <c r="DT26" s="976"/>
      <c r="DU26" s="976"/>
      <c r="DV26" s="976"/>
      <c r="DW26" s="982" t="str">
        <f>MID(SUVAHAVUJ!AF195,9,1)</f>
        <v xml:space="preserve"> </v>
      </c>
      <c r="DX26" s="982"/>
      <c r="DY26" s="982"/>
      <c r="DZ26" s="982"/>
      <c r="EA26" s="982"/>
      <c r="EB26" s="982"/>
      <c r="EC26" s="982" t="str">
        <f>MID(SUVAHAVUJ!AF195,10,1)</f>
        <v xml:space="preserve"> </v>
      </c>
      <c r="ED26" s="982"/>
      <c r="EE26" s="982"/>
      <c r="EF26" s="982"/>
      <c r="EG26" s="982"/>
      <c r="EH26" s="977" t="str">
        <f>MID(SUVAHAVUJ!AF195,11,1)</f>
        <v>0</v>
      </c>
      <c r="EI26" s="977"/>
      <c r="EJ26" s="977"/>
      <c r="EK26" s="977"/>
      <c r="EL26" s="977"/>
      <c r="EM26" s="977"/>
      <c r="EN26" s="665"/>
      <c r="EO26" s="666"/>
      <c r="EP26" s="976" t="str">
        <f>MID(SUVAHAVUJ!AG195,1,1)</f>
        <v xml:space="preserve"> </v>
      </c>
      <c r="EQ26" s="976"/>
      <c r="ER26" s="976"/>
      <c r="ES26" s="976"/>
      <c r="ET26" s="976"/>
      <c r="EU26" s="976"/>
      <c r="EV26" s="976" t="str">
        <f>MID(SUVAHAVUJ!AG195,2,1)</f>
        <v xml:space="preserve"> </v>
      </c>
      <c r="EW26" s="976"/>
      <c r="EX26" s="976"/>
      <c r="EY26" s="976"/>
      <c r="EZ26" s="976"/>
      <c r="FA26" s="976" t="str">
        <f>MID(SUVAHAVUJ!AG195,3,1)</f>
        <v xml:space="preserve"> </v>
      </c>
      <c r="FB26" s="976"/>
      <c r="FC26" s="976"/>
      <c r="FD26" s="976"/>
      <c r="FE26" s="976"/>
      <c r="FF26" s="976"/>
      <c r="FG26" s="976" t="str">
        <f>MID(SUVAHAVUJ!AG195,4,1)</f>
        <v xml:space="preserve"> </v>
      </c>
      <c r="FH26" s="976"/>
      <c r="FI26" s="976"/>
      <c r="FJ26" s="976"/>
      <c r="FK26" s="976"/>
      <c r="FL26" s="982" t="str">
        <f>MID(SUVAHAVUJ!AG195,5,1)</f>
        <v xml:space="preserve"> </v>
      </c>
      <c r="FM26" s="982"/>
      <c r="FN26" s="982"/>
      <c r="FO26" s="982"/>
      <c r="FP26" s="982"/>
      <c r="FQ26" s="982"/>
      <c r="FR26" s="982" t="str">
        <f>MID(SUVAHAVUJ!AG195,6,1)</f>
        <v xml:space="preserve"> </v>
      </c>
      <c r="FS26" s="982"/>
      <c r="FT26" s="982"/>
      <c r="FU26" s="982"/>
      <c r="FV26" s="982"/>
      <c r="FW26" s="982" t="str">
        <f>MID(SUVAHAVUJ!AG195,7,1)</f>
        <v xml:space="preserve"> </v>
      </c>
      <c r="FX26" s="982"/>
      <c r="FY26" s="982"/>
      <c r="FZ26" s="982"/>
      <c r="GA26" s="982"/>
      <c r="GB26" s="982"/>
      <c r="GC26" s="982" t="str">
        <f>MID(SUVAHAVUJ!AG195,8,1)</f>
        <v xml:space="preserve"> </v>
      </c>
      <c r="GD26" s="982"/>
      <c r="GE26" s="982"/>
      <c r="GF26" s="982"/>
      <c r="GG26" s="982"/>
      <c r="GH26" s="982" t="str">
        <f>MID(SUVAHAVUJ!AG195,9,1)</f>
        <v xml:space="preserve"> </v>
      </c>
      <c r="GI26" s="982"/>
      <c r="GJ26" s="982"/>
      <c r="GK26" s="982"/>
      <c r="GL26" s="982"/>
      <c r="GM26" s="982"/>
      <c r="GN26" s="982" t="str">
        <f>MID(SUVAHAVUJ!AG195,10,1)</f>
        <v xml:space="preserve"> </v>
      </c>
      <c r="GO26" s="982"/>
      <c r="GP26" s="982"/>
      <c r="GQ26" s="982"/>
      <c r="GR26" s="982"/>
      <c r="GS26" s="978" t="str">
        <f>MID(SUVAHAVUJ!AG195,11,1)</f>
        <v>0</v>
      </c>
      <c r="GT26" s="978"/>
      <c r="GU26" s="978"/>
      <c r="GV26" s="978"/>
      <c r="GW26" s="978"/>
    </row>
    <row r="27" spans="1:205" ht="24.6" customHeight="1" x14ac:dyDescent="0.25">
      <c r="A27" s="675"/>
      <c r="B27" s="1017" t="s">
        <v>2316</v>
      </c>
      <c r="C27" s="1017"/>
      <c r="D27" s="1017"/>
      <c r="E27" s="1017"/>
      <c r="F27" s="1017"/>
      <c r="G27" s="1017"/>
      <c r="H27" s="1017"/>
      <c r="I27" s="1017"/>
      <c r="J27" s="1017"/>
      <c r="K27" s="1017"/>
      <c r="L27" s="1005" t="str">
        <f>SUVAHAVUJ!$D$196</f>
        <v>Opravné položky k finančnému majetku (+/-) (565)</v>
      </c>
      <c r="M27" s="1005"/>
      <c r="N27" s="1005"/>
      <c r="O27" s="1005"/>
      <c r="P27" s="1005"/>
      <c r="Q27" s="1005"/>
      <c r="R27" s="1005"/>
      <c r="S27" s="1005"/>
      <c r="T27" s="1005"/>
      <c r="U27" s="1005"/>
      <c r="V27" s="1005"/>
      <c r="W27" s="1005"/>
      <c r="X27" s="1005"/>
      <c r="Y27" s="1005"/>
      <c r="Z27" s="1005"/>
      <c r="AA27" s="1005"/>
      <c r="AB27" s="1005"/>
      <c r="AC27" s="1005"/>
      <c r="AD27" s="1005"/>
      <c r="AE27" s="1005"/>
      <c r="AF27" s="1005"/>
      <c r="AG27" s="1005"/>
      <c r="AH27" s="1005"/>
      <c r="AI27" s="1005"/>
      <c r="AJ27" s="1005"/>
      <c r="AK27" s="1005"/>
      <c r="AL27" s="1005"/>
      <c r="AM27" s="1005"/>
      <c r="AN27" s="1005"/>
      <c r="AO27" s="1005"/>
      <c r="AP27" s="1005"/>
      <c r="AQ27" s="1005"/>
      <c r="AR27" s="1005"/>
      <c r="AS27" s="1005"/>
      <c r="AT27" s="1005"/>
      <c r="AU27" s="1005"/>
      <c r="AV27" s="1005"/>
      <c r="AW27" s="1005"/>
      <c r="AX27" s="1005"/>
      <c r="AY27" s="1005"/>
      <c r="AZ27" s="1005"/>
      <c r="BA27" s="1005"/>
      <c r="BB27" s="1005"/>
      <c r="BC27" s="1005"/>
      <c r="BD27" s="1005"/>
      <c r="BE27" s="1005"/>
      <c r="BF27" s="1005"/>
      <c r="BG27" s="1005"/>
      <c r="BH27" s="1005"/>
      <c r="BI27" s="1005"/>
      <c r="BJ27" s="1005"/>
      <c r="BK27" s="1005"/>
      <c r="BL27" s="1005"/>
      <c r="BM27" s="1005"/>
      <c r="BN27" s="1005"/>
      <c r="BO27" s="1005"/>
      <c r="BP27" s="1005"/>
      <c r="BQ27" s="1005"/>
      <c r="BR27" s="1005"/>
      <c r="BS27" s="1005"/>
      <c r="BT27" s="1005"/>
      <c r="BU27" s="1005"/>
      <c r="BV27" s="1005"/>
      <c r="BW27" s="975" t="s">
        <v>1221</v>
      </c>
      <c r="BX27" s="975"/>
      <c r="BY27" s="975"/>
      <c r="BZ27" s="975"/>
      <c r="CA27" s="975"/>
      <c r="CB27" s="975"/>
      <c r="CC27" s="975"/>
      <c r="CD27" s="975"/>
      <c r="CE27" s="976" t="str">
        <f>MID(SUVAHAVUJ!AF196,1,1)</f>
        <v xml:space="preserve"> </v>
      </c>
      <c r="CF27" s="976"/>
      <c r="CG27" s="976"/>
      <c r="CH27" s="976"/>
      <c r="CI27" s="976"/>
      <c r="CJ27" s="976" t="str">
        <f>MID(SUVAHAVUJ!AF196,2,1)</f>
        <v xml:space="preserve"> </v>
      </c>
      <c r="CK27" s="976"/>
      <c r="CL27" s="976"/>
      <c r="CM27" s="976"/>
      <c r="CN27" s="976"/>
      <c r="CO27" s="976"/>
      <c r="CP27" s="976" t="str">
        <f>MID(SUVAHAVUJ!AF196,3,1)</f>
        <v xml:space="preserve"> </v>
      </c>
      <c r="CQ27" s="976"/>
      <c r="CR27" s="976"/>
      <c r="CS27" s="976"/>
      <c r="CT27" s="976"/>
      <c r="CU27" s="976" t="str">
        <f>MID(SUVAHAVUJ!AF196,4,1)</f>
        <v xml:space="preserve"> </v>
      </c>
      <c r="CV27" s="976"/>
      <c r="CW27" s="976"/>
      <c r="CX27" s="976"/>
      <c r="CY27" s="976"/>
      <c r="CZ27" s="976"/>
      <c r="DA27" s="976" t="str">
        <f>MID(SUVAHAVUJ!AF196,5,1)</f>
        <v xml:space="preserve"> </v>
      </c>
      <c r="DB27" s="976"/>
      <c r="DC27" s="976"/>
      <c r="DD27" s="976"/>
      <c r="DE27" s="976"/>
      <c r="DF27" s="976" t="str">
        <f>MID(SUVAHAVUJ!AF196,6,1)</f>
        <v xml:space="preserve"> </v>
      </c>
      <c r="DG27" s="976"/>
      <c r="DH27" s="976"/>
      <c r="DI27" s="976"/>
      <c r="DJ27" s="976"/>
      <c r="DK27" s="976"/>
      <c r="DL27" s="976" t="str">
        <f>MID(SUVAHAVUJ!AF196,7,1)</f>
        <v xml:space="preserve"> </v>
      </c>
      <c r="DM27" s="976"/>
      <c r="DN27" s="976"/>
      <c r="DO27" s="976"/>
      <c r="DP27" s="976"/>
      <c r="DQ27" s="976"/>
      <c r="DR27" s="976" t="str">
        <f>MID(SUVAHAVUJ!AF196,8,1)</f>
        <v xml:space="preserve"> </v>
      </c>
      <c r="DS27" s="976"/>
      <c r="DT27" s="976"/>
      <c r="DU27" s="976"/>
      <c r="DV27" s="976"/>
      <c r="DW27" s="982" t="str">
        <f>MID(SUVAHAVUJ!AF196,9,1)</f>
        <v xml:space="preserve"> </v>
      </c>
      <c r="DX27" s="982"/>
      <c r="DY27" s="982"/>
      <c r="DZ27" s="982"/>
      <c r="EA27" s="982"/>
      <c r="EB27" s="982"/>
      <c r="EC27" s="982" t="str">
        <f>MID(SUVAHAVUJ!AF196,10,1)</f>
        <v xml:space="preserve"> </v>
      </c>
      <c r="ED27" s="982"/>
      <c r="EE27" s="982"/>
      <c r="EF27" s="982"/>
      <c r="EG27" s="982"/>
      <c r="EH27" s="977" t="str">
        <f>MID(SUVAHAVUJ!AF196,11,1)</f>
        <v>0</v>
      </c>
      <c r="EI27" s="977"/>
      <c r="EJ27" s="977"/>
      <c r="EK27" s="977"/>
      <c r="EL27" s="977"/>
      <c r="EM27" s="977"/>
      <c r="EN27" s="665"/>
      <c r="EO27" s="666"/>
      <c r="EP27" s="976" t="str">
        <f>MID(SUVAHAVUJ!AG196,1,1)</f>
        <v xml:space="preserve"> </v>
      </c>
      <c r="EQ27" s="976"/>
      <c r="ER27" s="976"/>
      <c r="ES27" s="976"/>
      <c r="ET27" s="976"/>
      <c r="EU27" s="976"/>
      <c r="EV27" s="976" t="str">
        <f>MID(SUVAHAVUJ!AG196,2,1)</f>
        <v xml:space="preserve"> </v>
      </c>
      <c r="EW27" s="976"/>
      <c r="EX27" s="976"/>
      <c r="EY27" s="976"/>
      <c r="EZ27" s="976"/>
      <c r="FA27" s="976" t="str">
        <f>MID(SUVAHAVUJ!AG196,3,1)</f>
        <v xml:space="preserve"> </v>
      </c>
      <c r="FB27" s="976"/>
      <c r="FC27" s="976"/>
      <c r="FD27" s="976"/>
      <c r="FE27" s="976"/>
      <c r="FF27" s="976"/>
      <c r="FG27" s="976" t="str">
        <f>MID(SUVAHAVUJ!AG196,4,1)</f>
        <v xml:space="preserve"> </v>
      </c>
      <c r="FH27" s="976"/>
      <c r="FI27" s="976"/>
      <c r="FJ27" s="976"/>
      <c r="FK27" s="976"/>
      <c r="FL27" s="982" t="str">
        <f>MID(SUVAHAVUJ!AG196,5,1)</f>
        <v xml:space="preserve"> </v>
      </c>
      <c r="FM27" s="982"/>
      <c r="FN27" s="982"/>
      <c r="FO27" s="982"/>
      <c r="FP27" s="982"/>
      <c r="FQ27" s="982"/>
      <c r="FR27" s="982" t="str">
        <f>MID(SUVAHAVUJ!AG196,6,1)</f>
        <v xml:space="preserve"> </v>
      </c>
      <c r="FS27" s="982"/>
      <c r="FT27" s="982"/>
      <c r="FU27" s="982"/>
      <c r="FV27" s="982"/>
      <c r="FW27" s="982" t="str">
        <f>MID(SUVAHAVUJ!AG196,7,1)</f>
        <v xml:space="preserve"> </v>
      </c>
      <c r="FX27" s="982"/>
      <c r="FY27" s="982"/>
      <c r="FZ27" s="982"/>
      <c r="GA27" s="982"/>
      <c r="GB27" s="982"/>
      <c r="GC27" s="982" t="str">
        <f>MID(SUVAHAVUJ!AG196,8,1)</f>
        <v xml:space="preserve"> </v>
      </c>
      <c r="GD27" s="982"/>
      <c r="GE27" s="982"/>
      <c r="GF27" s="982"/>
      <c r="GG27" s="982"/>
      <c r="GH27" s="982" t="str">
        <f>MID(SUVAHAVUJ!AG196,9,1)</f>
        <v xml:space="preserve"> </v>
      </c>
      <c r="GI27" s="982"/>
      <c r="GJ27" s="982"/>
      <c r="GK27" s="982"/>
      <c r="GL27" s="982"/>
      <c r="GM27" s="982"/>
      <c r="GN27" s="982" t="str">
        <f>MID(SUVAHAVUJ!AG196,10,1)</f>
        <v xml:space="preserve"> </v>
      </c>
      <c r="GO27" s="982"/>
      <c r="GP27" s="982"/>
      <c r="GQ27" s="982"/>
      <c r="GR27" s="982"/>
      <c r="GS27" s="978" t="str">
        <f>MID(SUVAHAVUJ!AG196,11,1)</f>
        <v>0</v>
      </c>
      <c r="GT27" s="978"/>
      <c r="GU27" s="978"/>
      <c r="GV27" s="978"/>
      <c r="GW27" s="978"/>
    </row>
    <row r="28" spans="1:205" ht="24.6" customHeight="1" x14ac:dyDescent="0.25">
      <c r="A28" s="675"/>
      <c r="B28" s="1019" t="s">
        <v>2317</v>
      </c>
      <c r="C28" s="1019"/>
      <c r="D28" s="1019"/>
      <c r="E28" s="1019"/>
      <c r="F28" s="1019"/>
      <c r="G28" s="1019"/>
      <c r="H28" s="1019"/>
      <c r="I28" s="1019"/>
      <c r="J28" s="1019"/>
      <c r="K28" s="1019"/>
      <c r="L28" s="1004" t="str">
        <f>SUVAHAVUJ!$D$197</f>
        <v>Nákladové úroky (r. 50 + r. 51)</v>
      </c>
      <c r="M28" s="1004"/>
      <c r="N28" s="1004"/>
      <c r="O28" s="1004"/>
      <c r="P28" s="1004"/>
      <c r="Q28" s="1004"/>
      <c r="R28" s="1004"/>
      <c r="S28" s="1004"/>
      <c r="T28" s="1004"/>
      <c r="U28" s="1004"/>
      <c r="V28" s="1004"/>
      <c r="W28" s="1004"/>
      <c r="X28" s="1004"/>
      <c r="Y28" s="1004"/>
      <c r="Z28" s="1004"/>
      <c r="AA28" s="1004"/>
      <c r="AB28" s="1004"/>
      <c r="AC28" s="1004"/>
      <c r="AD28" s="1004"/>
      <c r="AE28" s="1004"/>
      <c r="AF28" s="1004"/>
      <c r="AG28" s="1004"/>
      <c r="AH28" s="1004"/>
      <c r="AI28" s="1004"/>
      <c r="AJ28" s="1004"/>
      <c r="AK28" s="1004"/>
      <c r="AL28" s="1004"/>
      <c r="AM28" s="1004"/>
      <c r="AN28" s="1004"/>
      <c r="AO28" s="1004"/>
      <c r="AP28" s="1004"/>
      <c r="AQ28" s="1004"/>
      <c r="AR28" s="1004"/>
      <c r="AS28" s="1004"/>
      <c r="AT28" s="1004"/>
      <c r="AU28" s="1004"/>
      <c r="AV28" s="1004"/>
      <c r="AW28" s="1004"/>
      <c r="AX28" s="1004"/>
      <c r="AY28" s="1004"/>
      <c r="AZ28" s="1004"/>
      <c r="BA28" s="1004"/>
      <c r="BB28" s="1004"/>
      <c r="BC28" s="1004"/>
      <c r="BD28" s="1004"/>
      <c r="BE28" s="1004"/>
      <c r="BF28" s="1004"/>
      <c r="BG28" s="1004"/>
      <c r="BH28" s="1004"/>
      <c r="BI28" s="1004"/>
      <c r="BJ28" s="1004"/>
      <c r="BK28" s="1004"/>
      <c r="BL28" s="1004"/>
      <c r="BM28" s="1004"/>
      <c r="BN28" s="1004"/>
      <c r="BO28" s="1004"/>
      <c r="BP28" s="1004"/>
      <c r="BQ28" s="1004"/>
      <c r="BR28" s="1004"/>
      <c r="BS28" s="1004"/>
      <c r="BT28" s="1004"/>
      <c r="BU28" s="1004"/>
      <c r="BV28" s="1004"/>
      <c r="BW28" s="975" t="s">
        <v>1228</v>
      </c>
      <c r="BX28" s="975"/>
      <c r="BY28" s="975"/>
      <c r="BZ28" s="975"/>
      <c r="CA28" s="975"/>
      <c r="CB28" s="975"/>
      <c r="CC28" s="975" t="e">
        <v>#NAME?</v>
      </c>
      <c r="CD28" s="975"/>
      <c r="CE28" s="976" t="str">
        <f>MID(SUVAHAVUJ!AF197,1,1)</f>
        <v xml:space="preserve"> </v>
      </c>
      <c r="CF28" s="976"/>
      <c r="CG28" s="976"/>
      <c r="CH28" s="976"/>
      <c r="CI28" s="976"/>
      <c r="CJ28" s="976" t="str">
        <f>MID(SUVAHAVUJ!AF197,2,1)</f>
        <v xml:space="preserve"> </v>
      </c>
      <c r="CK28" s="976"/>
      <c r="CL28" s="976"/>
      <c r="CM28" s="976"/>
      <c r="CN28" s="976"/>
      <c r="CO28" s="976"/>
      <c r="CP28" s="976" t="str">
        <f>MID(SUVAHAVUJ!AF197,3,1)</f>
        <v xml:space="preserve"> </v>
      </c>
      <c r="CQ28" s="976"/>
      <c r="CR28" s="976"/>
      <c r="CS28" s="976"/>
      <c r="CT28" s="976"/>
      <c r="CU28" s="976" t="str">
        <f>MID(SUVAHAVUJ!AF197,4,1)</f>
        <v xml:space="preserve"> </v>
      </c>
      <c r="CV28" s="976"/>
      <c r="CW28" s="976"/>
      <c r="CX28" s="976"/>
      <c r="CY28" s="976"/>
      <c r="CZ28" s="976"/>
      <c r="DA28" s="976" t="str">
        <f>MID(SUVAHAVUJ!AF197,5,1)</f>
        <v xml:space="preserve"> </v>
      </c>
      <c r="DB28" s="976"/>
      <c r="DC28" s="976"/>
      <c r="DD28" s="976"/>
      <c r="DE28" s="976"/>
      <c r="DF28" s="976" t="str">
        <f>MID(SUVAHAVUJ!AF197,6,1)</f>
        <v xml:space="preserve"> </v>
      </c>
      <c r="DG28" s="976"/>
      <c r="DH28" s="976"/>
      <c r="DI28" s="976"/>
      <c r="DJ28" s="976"/>
      <c r="DK28" s="976"/>
      <c r="DL28" s="976" t="str">
        <f>MID(SUVAHAVUJ!AF197,7,1)</f>
        <v xml:space="preserve"> </v>
      </c>
      <c r="DM28" s="976"/>
      <c r="DN28" s="976"/>
      <c r="DO28" s="976"/>
      <c r="DP28" s="976"/>
      <c r="DQ28" s="976"/>
      <c r="DR28" s="976" t="str">
        <f>MID(SUVAHAVUJ!AF197,8,1)</f>
        <v>6</v>
      </c>
      <c r="DS28" s="976"/>
      <c r="DT28" s="976"/>
      <c r="DU28" s="976"/>
      <c r="DV28" s="976"/>
      <c r="DW28" s="982" t="str">
        <f>MID(SUVAHAVUJ!AF197,9,1)</f>
        <v>3</v>
      </c>
      <c r="DX28" s="982"/>
      <c r="DY28" s="982"/>
      <c r="DZ28" s="982"/>
      <c r="EA28" s="982"/>
      <c r="EB28" s="982"/>
      <c r="EC28" s="982" t="str">
        <f>MID(SUVAHAVUJ!AF197,10,1)</f>
        <v>3</v>
      </c>
      <c r="ED28" s="982"/>
      <c r="EE28" s="982"/>
      <c r="EF28" s="982"/>
      <c r="EG28" s="982"/>
      <c r="EH28" s="977" t="str">
        <f>MID(SUVAHAVUJ!AF197,11,1)</f>
        <v>3</v>
      </c>
      <c r="EI28" s="977"/>
      <c r="EJ28" s="977"/>
      <c r="EK28" s="977"/>
      <c r="EL28" s="977"/>
      <c r="EM28" s="977"/>
      <c r="EN28" s="665"/>
      <c r="EO28" s="666"/>
      <c r="EP28" s="976" t="str">
        <f>MID(SUVAHAVUJ!AG197,1,1)</f>
        <v xml:space="preserve"> </v>
      </c>
      <c r="EQ28" s="976"/>
      <c r="ER28" s="976"/>
      <c r="ES28" s="976"/>
      <c r="ET28" s="976"/>
      <c r="EU28" s="976"/>
      <c r="EV28" s="976" t="str">
        <f>MID(SUVAHAVUJ!AG197,2,1)</f>
        <v xml:space="preserve"> </v>
      </c>
      <c r="EW28" s="976"/>
      <c r="EX28" s="976"/>
      <c r="EY28" s="976"/>
      <c r="EZ28" s="976"/>
      <c r="FA28" s="976" t="str">
        <f>MID(SUVAHAVUJ!AG197,3,1)</f>
        <v xml:space="preserve"> </v>
      </c>
      <c r="FB28" s="976"/>
      <c r="FC28" s="976"/>
      <c r="FD28" s="976"/>
      <c r="FE28" s="976"/>
      <c r="FF28" s="976"/>
      <c r="FG28" s="976" t="str">
        <f>MID(SUVAHAVUJ!AG197,4,1)</f>
        <v xml:space="preserve"> </v>
      </c>
      <c r="FH28" s="976"/>
      <c r="FI28" s="976"/>
      <c r="FJ28" s="976"/>
      <c r="FK28" s="976"/>
      <c r="FL28" s="982" t="str">
        <f>MID(SUVAHAVUJ!AG197,5,1)</f>
        <v xml:space="preserve"> </v>
      </c>
      <c r="FM28" s="982"/>
      <c r="FN28" s="982"/>
      <c r="FO28" s="982"/>
      <c r="FP28" s="982"/>
      <c r="FQ28" s="982"/>
      <c r="FR28" s="982" t="str">
        <f>MID(SUVAHAVUJ!AG197,6,1)</f>
        <v xml:space="preserve"> </v>
      </c>
      <c r="FS28" s="982"/>
      <c r="FT28" s="982"/>
      <c r="FU28" s="982"/>
      <c r="FV28" s="982"/>
      <c r="FW28" s="982" t="str">
        <f>MID(SUVAHAVUJ!AG197,7,1)</f>
        <v xml:space="preserve"> </v>
      </c>
      <c r="FX28" s="982"/>
      <c r="FY28" s="982"/>
      <c r="FZ28" s="982"/>
      <c r="GA28" s="982"/>
      <c r="GB28" s="982"/>
      <c r="GC28" s="982" t="str">
        <f>MID(SUVAHAVUJ!AG197,8,1)</f>
        <v>7</v>
      </c>
      <c r="GD28" s="982"/>
      <c r="GE28" s="982"/>
      <c r="GF28" s="982"/>
      <c r="GG28" s="982"/>
      <c r="GH28" s="982" t="str">
        <f>MID(SUVAHAVUJ!AG197,9,1)</f>
        <v>9</v>
      </c>
      <c r="GI28" s="982"/>
      <c r="GJ28" s="982"/>
      <c r="GK28" s="982"/>
      <c r="GL28" s="982"/>
      <c r="GM28" s="982"/>
      <c r="GN28" s="982" t="str">
        <f>MID(SUVAHAVUJ!AG197,10,1)</f>
        <v>8</v>
      </c>
      <c r="GO28" s="982"/>
      <c r="GP28" s="982"/>
      <c r="GQ28" s="982"/>
      <c r="GR28" s="982"/>
      <c r="GS28" s="978" t="str">
        <f>MID(SUVAHAVUJ!AG197,11,1)</f>
        <v>1</v>
      </c>
      <c r="GT28" s="978"/>
      <c r="GU28" s="978"/>
      <c r="GV28" s="978"/>
      <c r="GW28" s="978"/>
    </row>
    <row r="29" spans="1:205" s="650" customFormat="1" ht="24.6" customHeight="1" x14ac:dyDescent="0.2">
      <c r="A29" s="676"/>
      <c r="B29" s="1018" t="s">
        <v>2318</v>
      </c>
      <c r="C29" s="1018"/>
      <c r="D29" s="1018"/>
      <c r="E29" s="1018"/>
      <c r="F29" s="1018"/>
      <c r="G29" s="1018"/>
      <c r="H29" s="1018"/>
      <c r="I29" s="1018"/>
      <c r="J29" s="1018"/>
      <c r="K29" s="1018"/>
      <c r="L29" s="1005" t="str">
        <f>SUVAHAVUJ!$D$198</f>
        <v>Nákladové úroky pre prepojené účtovné jednotky (562A)</v>
      </c>
      <c r="M29" s="1005"/>
      <c r="N29" s="1005"/>
      <c r="O29" s="1005"/>
      <c r="P29" s="1005"/>
      <c r="Q29" s="1005"/>
      <c r="R29" s="1005"/>
      <c r="S29" s="1005"/>
      <c r="T29" s="1005"/>
      <c r="U29" s="1005"/>
      <c r="V29" s="1005"/>
      <c r="W29" s="1005"/>
      <c r="X29" s="1005"/>
      <c r="Y29" s="1005"/>
      <c r="Z29" s="1005"/>
      <c r="AA29" s="1005"/>
      <c r="AB29" s="1005"/>
      <c r="AC29" s="1005"/>
      <c r="AD29" s="1005"/>
      <c r="AE29" s="1005"/>
      <c r="AF29" s="1005"/>
      <c r="AG29" s="1005"/>
      <c r="AH29" s="1005"/>
      <c r="AI29" s="1005"/>
      <c r="AJ29" s="1005"/>
      <c r="AK29" s="1005"/>
      <c r="AL29" s="1005"/>
      <c r="AM29" s="1005"/>
      <c r="AN29" s="1005"/>
      <c r="AO29" s="1005"/>
      <c r="AP29" s="1005"/>
      <c r="AQ29" s="1005"/>
      <c r="AR29" s="1005"/>
      <c r="AS29" s="1005"/>
      <c r="AT29" s="1005"/>
      <c r="AU29" s="1005"/>
      <c r="AV29" s="1005"/>
      <c r="AW29" s="1005"/>
      <c r="AX29" s="1005"/>
      <c r="AY29" s="1005"/>
      <c r="AZ29" s="1005"/>
      <c r="BA29" s="1005"/>
      <c r="BB29" s="1005"/>
      <c r="BC29" s="1005"/>
      <c r="BD29" s="1005"/>
      <c r="BE29" s="1005"/>
      <c r="BF29" s="1005"/>
      <c r="BG29" s="1005"/>
      <c r="BH29" s="1005"/>
      <c r="BI29" s="1005"/>
      <c r="BJ29" s="1005"/>
      <c r="BK29" s="1005"/>
      <c r="BL29" s="1005"/>
      <c r="BM29" s="1005"/>
      <c r="BN29" s="1005"/>
      <c r="BO29" s="1005"/>
      <c r="BP29" s="1005"/>
      <c r="BQ29" s="1005"/>
      <c r="BR29" s="1005"/>
      <c r="BS29" s="1005"/>
      <c r="BT29" s="1005"/>
      <c r="BU29" s="1005"/>
      <c r="BV29" s="1005"/>
      <c r="BW29" s="975" t="s">
        <v>1243</v>
      </c>
      <c r="BX29" s="975"/>
      <c r="BY29" s="975"/>
      <c r="BZ29" s="975"/>
      <c r="CA29" s="975"/>
      <c r="CB29" s="975"/>
      <c r="CC29" s="975" t="e">
        <v>#NAME?</v>
      </c>
      <c r="CD29" s="975"/>
      <c r="CE29" s="976" t="str">
        <f>MID(SUVAHAVUJ!AF198,1,1)</f>
        <v xml:space="preserve"> </v>
      </c>
      <c r="CF29" s="976"/>
      <c r="CG29" s="976"/>
      <c r="CH29" s="976"/>
      <c r="CI29" s="976"/>
      <c r="CJ29" s="976" t="str">
        <f>MID(SUVAHAVUJ!AF198,2,1)</f>
        <v xml:space="preserve"> </v>
      </c>
      <c r="CK29" s="976"/>
      <c r="CL29" s="976"/>
      <c r="CM29" s="976"/>
      <c r="CN29" s="976"/>
      <c r="CO29" s="976"/>
      <c r="CP29" s="976" t="str">
        <f>MID(SUVAHAVUJ!AF198,3,1)</f>
        <v xml:space="preserve"> </v>
      </c>
      <c r="CQ29" s="976"/>
      <c r="CR29" s="976"/>
      <c r="CS29" s="976"/>
      <c r="CT29" s="976"/>
      <c r="CU29" s="976" t="str">
        <f>MID(SUVAHAVUJ!AF198,4,1)</f>
        <v xml:space="preserve"> </v>
      </c>
      <c r="CV29" s="976"/>
      <c r="CW29" s="976"/>
      <c r="CX29" s="976"/>
      <c r="CY29" s="976"/>
      <c r="CZ29" s="976"/>
      <c r="DA29" s="976" t="str">
        <f>MID(SUVAHAVUJ!AF198,5,1)</f>
        <v xml:space="preserve"> </v>
      </c>
      <c r="DB29" s="976"/>
      <c r="DC29" s="976"/>
      <c r="DD29" s="976"/>
      <c r="DE29" s="976"/>
      <c r="DF29" s="976" t="str">
        <f>MID(SUVAHAVUJ!AF198,6,1)</f>
        <v xml:space="preserve"> </v>
      </c>
      <c r="DG29" s="976"/>
      <c r="DH29" s="976"/>
      <c r="DI29" s="976"/>
      <c r="DJ29" s="976"/>
      <c r="DK29" s="976"/>
      <c r="DL29" s="976" t="str">
        <f>MID(SUVAHAVUJ!AF198,7,1)</f>
        <v xml:space="preserve"> </v>
      </c>
      <c r="DM29" s="976"/>
      <c r="DN29" s="976"/>
      <c r="DO29" s="976"/>
      <c r="DP29" s="976"/>
      <c r="DQ29" s="976"/>
      <c r="DR29" s="976" t="str">
        <f>MID(SUVAHAVUJ!AF198,8,1)</f>
        <v>6</v>
      </c>
      <c r="DS29" s="976"/>
      <c r="DT29" s="976"/>
      <c r="DU29" s="976"/>
      <c r="DV29" s="976"/>
      <c r="DW29" s="982" t="str">
        <f>MID(SUVAHAVUJ!AF198,9,1)</f>
        <v>3</v>
      </c>
      <c r="DX29" s="982"/>
      <c r="DY29" s="982"/>
      <c r="DZ29" s="982"/>
      <c r="EA29" s="982"/>
      <c r="EB29" s="982"/>
      <c r="EC29" s="982" t="str">
        <f>MID(SUVAHAVUJ!AF198,10,1)</f>
        <v>3</v>
      </c>
      <c r="ED29" s="982"/>
      <c r="EE29" s="982"/>
      <c r="EF29" s="982"/>
      <c r="EG29" s="982"/>
      <c r="EH29" s="977" t="str">
        <f>MID(SUVAHAVUJ!AF198,11,1)</f>
        <v>3</v>
      </c>
      <c r="EI29" s="977"/>
      <c r="EJ29" s="977"/>
      <c r="EK29" s="977"/>
      <c r="EL29" s="977"/>
      <c r="EM29" s="977"/>
      <c r="EN29" s="665"/>
      <c r="EO29" s="666"/>
      <c r="EP29" s="976" t="str">
        <f>MID(SUVAHAVUJ!AG198,1,1)</f>
        <v xml:space="preserve"> </v>
      </c>
      <c r="EQ29" s="976"/>
      <c r="ER29" s="976"/>
      <c r="ES29" s="976"/>
      <c r="ET29" s="976"/>
      <c r="EU29" s="976"/>
      <c r="EV29" s="976" t="str">
        <f>MID(SUVAHAVUJ!AG198,2,1)</f>
        <v xml:space="preserve"> </v>
      </c>
      <c r="EW29" s="976"/>
      <c r="EX29" s="976"/>
      <c r="EY29" s="976"/>
      <c r="EZ29" s="976"/>
      <c r="FA29" s="976" t="str">
        <f>MID(SUVAHAVUJ!AG198,3,1)</f>
        <v xml:space="preserve"> </v>
      </c>
      <c r="FB29" s="976"/>
      <c r="FC29" s="976"/>
      <c r="FD29" s="976"/>
      <c r="FE29" s="976"/>
      <c r="FF29" s="976"/>
      <c r="FG29" s="976" t="str">
        <f>MID(SUVAHAVUJ!AG198,4,1)</f>
        <v xml:space="preserve"> </v>
      </c>
      <c r="FH29" s="976"/>
      <c r="FI29" s="976"/>
      <c r="FJ29" s="976"/>
      <c r="FK29" s="976"/>
      <c r="FL29" s="982" t="str">
        <f>MID(SUVAHAVUJ!AG198,5,1)</f>
        <v xml:space="preserve"> </v>
      </c>
      <c r="FM29" s="982"/>
      <c r="FN29" s="982"/>
      <c r="FO29" s="982"/>
      <c r="FP29" s="982"/>
      <c r="FQ29" s="982"/>
      <c r="FR29" s="982" t="str">
        <f>MID(SUVAHAVUJ!AG198,6,1)</f>
        <v xml:space="preserve"> </v>
      </c>
      <c r="FS29" s="982"/>
      <c r="FT29" s="982"/>
      <c r="FU29" s="982"/>
      <c r="FV29" s="982"/>
      <c r="FW29" s="982" t="str">
        <f>MID(SUVAHAVUJ!AG198,7,1)</f>
        <v xml:space="preserve"> </v>
      </c>
      <c r="FX29" s="982"/>
      <c r="FY29" s="982"/>
      <c r="FZ29" s="982"/>
      <c r="GA29" s="982"/>
      <c r="GB29" s="982"/>
      <c r="GC29" s="982" t="str">
        <f>MID(SUVAHAVUJ!AG198,8,1)</f>
        <v>7</v>
      </c>
      <c r="GD29" s="982"/>
      <c r="GE29" s="982"/>
      <c r="GF29" s="982"/>
      <c r="GG29" s="982"/>
      <c r="GH29" s="982" t="str">
        <f>MID(SUVAHAVUJ!AG198,9,1)</f>
        <v>9</v>
      </c>
      <c r="GI29" s="982"/>
      <c r="GJ29" s="982"/>
      <c r="GK29" s="982"/>
      <c r="GL29" s="982"/>
      <c r="GM29" s="982"/>
      <c r="GN29" s="982" t="str">
        <f>MID(SUVAHAVUJ!AG198,10,1)</f>
        <v>8</v>
      </c>
      <c r="GO29" s="982"/>
      <c r="GP29" s="982"/>
      <c r="GQ29" s="982"/>
      <c r="GR29" s="982"/>
      <c r="GS29" s="978" t="str">
        <f>MID(SUVAHAVUJ!AG198,11,1)</f>
        <v>1</v>
      </c>
      <c r="GT29" s="978"/>
      <c r="GU29" s="978"/>
      <c r="GV29" s="978"/>
      <c r="GW29" s="978"/>
    </row>
    <row r="30" spans="1:205" ht="24.6" customHeight="1" x14ac:dyDescent="0.25">
      <c r="A30" s="675"/>
      <c r="B30" s="1018" t="s">
        <v>2166</v>
      </c>
      <c r="C30" s="1018"/>
      <c r="D30" s="1018"/>
      <c r="E30" s="1018"/>
      <c r="F30" s="1018"/>
      <c r="G30" s="1018"/>
      <c r="H30" s="1018"/>
      <c r="I30" s="1018"/>
      <c r="J30" s="1018"/>
      <c r="K30" s="1018"/>
      <c r="L30" s="1005" t="str">
        <f>SUVAHAVUJ!$D$199</f>
        <v>Ostatné nákladové úroky (562A)</v>
      </c>
      <c r="M30" s="1005"/>
      <c r="N30" s="1005"/>
      <c r="O30" s="1005"/>
      <c r="P30" s="1005"/>
      <c r="Q30" s="1005"/>
      <c r="R30" s="1005"/>
      <c r="S30" s="1005"/>
      <c r="T30" s="1005"/>
      <c r="U30" s="1005"/>
      <c r="V30" s="1005"/>
      <c r="W30" s="1005"/>
      <c r="X30" s="1005"/>
      <c r="Y30" s="1005"/>
      <c r="Z30" s="1005"/>
      <c r="AA30" s="1005"/>
      <c r="AB30" s="1005"/>
      <c r="AC30" s="1005"/>
      <c r="AD30" s="1005"/>
      <c r="AE30" s="1005"/>
      <c r="AF30" s="1005"/>
      <c r="AG30" s="1005"/>
      <c r="AH30" s="1005"/>
      <c r="AI30" s="1005"/>
      <c r="AJ30" s="1005"/>
      <c r="AK30" s="1005"/>
      <c r="AL30" s="1005"/>
      <c r="AM30" s="1005"/>
      <c r="AN30" s="1005"/>
      <c r="AO30" s="1005"/>
      <c r="AP30" s="1005"/>
      <c r="AQ30" s="1005"/>
      <c r="AR30" s="1005"/>
      <c r="AS30" s="1005"/>
      <c r="AT30" s="1005"/>
      <c r="AU30" s="1005"/>
      <c r="AV30" s="1005"/>
      <c r="AW30" s="1005"/>
      <c r="AX30" s="1005"/>
      <c r="AY30" s="1005"/>
      <c r="AZ30" s="1005"/>
      <c r="BA30" s="1005"/>
      <c r="BB30" s="1005"/>
      <c r="BC30" s="1005"/>
      <c r="BD30" s="1005"/>
      <c r="BE30" s="1005"/>
      <c r="BF30" s="1005"/>
      <c r="BG30" s="1005"/>
      <c r="BH30" s="1005"/>
      <c r="BI30" s="1005"/>
      <c r="BJ30" s="1005"/>
      <c r="BK30" s="1005"/>
      <c r="BL30" s="1005"/>
      <c r="BM30" s="1005"/>
      <c r="BN30" s="1005"/>
      <c r="BO30" s="1005"/>
      <c r="BP30" s="1005"/>
      <c r="BQ30" s="1005"/>
      <c r="BR30" s="1005"/>
      <c r="BS30" s="1005"/>
      <c r="BT30" s="1005"/>
      <c r="BU30" s="1005"/>
      <c r="BV30" s="1005"/>
      <c r="BW30" s="975" t="s">
        <v>1216</v>
      </c>
      <c r="BX30" s="975"/>
      <c r="BY30" s="975"/>
      <c r="BZ30" s="975"/>
      <c r="CA30" s="975"/>
      <c r="CB30" s="975"/>
      <c r="CC30" s="975" t="e">
        <v>#NAME?</v>
      </c>
      <c r="CD30" s="975"/>
      <c r="CE30" s="976" t="str">
        <f>MID(SUVAHAVUJ!AF199,1,1)</f>
        <v xml:space="preserve"> </v>
      </c>
      <c r="CF30" s="976"/>
      <c r="CG30" s="976"/>
      <c r="CH30" s="976"/>
      <c r="CI30" s="976"/>
      <c r="CJ30" s="976" t="str">
        <f>MID(SUVAHAVUJ!AF199,2,1)</f>
        <v xml:space="preserve"> </v>
      </c>
      <c r="CK30" s="976"/>
      <c r="CL30" s="976"/>
      <c r="CM30" s="976"/>
      <c r="CN30" s="976"/>
      <c r="CO30" s="976"/>
      <c r="CP30" s="976" t="str">
        <f>MID(SUVAHAVUJ!AF199,3,1)</f>
        <v xml:space="preserve"> </v>
      </c>
      <c r="CQ30" s="976"/>
      <c r="CR30" s="976"/>
      <c r="CS30" s="976"/>
      <c r="CT30" s="976"/>
      <c r="CU30" s="976" t="str">
        <f>MID(SUVAHAVUJ!AF199,4,1)</f>
        <v xml:space="preserve"> </v>
      </c>
      <c r="CV30" s="976"/>
      <c r="CW30" s="976"/>
      <c r="CX30" s="976"/>
      <c r="CY30" s="976"/>
      <c r="CZ30" s="976"/>
      <c r="DA30" s="976" t="str">
        <f>MID(SUVAHAVUJ!AF199,5,1)</f>
        <v xml:space="preserve"> </v>
      </c>
      <c r="DB30" s="976"/>
      <c r="DC30" s="976"/>
      <c r="DD30" s="976"/>
      <c r="DE30" s="976"/>
      <c r="DF30" s="976" t="str">
        <f>MID(SUVAHAVUJ!AF199,6,1)</f>
        <v xml:space="preserve"> </v>
      </c>
      <c r="DG30" s="976"/>
      <c r="DH30" s="976"/>
      <c r="DI30" s="976"/>
      <c r="DJ30" s="976"/>
      <c r="DK30" s="976"/>
      <c r="DL30" s="976" t="str">
        <f>MID(SUVAHAVUJ!AF199,7,1)</f>
        <v xml:space="preserve"> </v>
      </c>
      <c r="DM30" s="976"/>
      <c r="DN30" s="976"/>
      <c r="DO30" s="976"/>
      <c r="DP30" s="976"/>
      <c r="DQ30" s="976"/>
      <c r="DR30" s="976" t="str">
        <f>MID(SUVAHAVUJ!AF199,8,1)</f>
        <v xml:space="preserve"> </v>
      </c>
      <c r="DS30" s="976"/>
      <c r="DT30" s="976"/>
      <c r="DU30" s="976"/>
      <c r="DV30" s="976"/>
      <c r="DW30" s="982" t="str">
        <f>MID(SUVAHAVUJ!AF199,9,1)</f>
        <v xml:space="preserve"> </v>
      </c>
      <c r="DX30" s="982"/>
      <c r="DY30" s="982"/>
      <c r="DZ30" s="982"/>
      <c r="EA30" s="982"/>
      <c r="EB30" s="982"/>
      <c r="EC30" s="982" t="str">
        <f>MID(SUVAHAVUJ!AF199,10,1)</f>
        <v xml:space="preserve"> </v>
      </c>
      <c r="ED30" s="982"/>
      <c r="EE30" s="982"/>
      <c r="EF30" s="982"/>
      <c r="EG30" s="982"/>
      <c r="EH30" s="977" t="str">
        <f>MID(SUVAHAVUJ!AF199,11,1)</f>
        <v>0</v>
      </c>
      <c r="EI30" s="977"/>
      <c r="EJ30" s="977"/>
      <c r="EK30" s="977"/>
      <c r="EL30" s="977"/>
      <c r="EM30" s="977"/>
      <c r="EN30" s="665"/>
      <c r="EO30" s="666"/>
      <c r="EP30" s="976" t="str">
        <f>MID(SUVAHAVUJ!AG199,1,1)</f>
        <v xml:space="preserve"> </v>
      </c>
      <c r="EQ30" s="976"/>
      <c r="ER30" s="976"/>
      <c r="ES30" s="976"/>
      <c r="ET30" s="976"/>
      <c r="EU30" s="976"/>
      <c r="EV30" s="976" t="str">
        <f>MID(SUVAHAVUJ!AG199,2,1)</f>
        <v xml:space="preserve"> </v>
      </c>
      <c r="EW30" s="976"/>
      <c r="EX30" s="976"/>
      <c r="EY30" s="976"/>
      <c r="EZ30" s="976"/>
      <c r="FA30" s="976" t="str">
        <f>MID(SUVAHAVUJ!AG199,3,1)</f>
        <v xml:space="preserve"> </v>
      </c>
      <c r="FB30" s="976"/>
      <c r="FC30" s="976"/>
      <c r="FD30" s="976"/>
      <c r="FE30" s="976"/>
      <c r="FF30" s="976"/>
      <c r="FG30" s="976" t="str">
        <f>MID(SUVAHAVUJ!AG199,4,1)</f>
        <v xml:space="preserve"> </v>
      </c>
      <c r="FH30" s="976"/>
      <c r="FI30" s="976"/>
      <c r="FJ30" s="976"/>
      <c r="FK30" s="976"/>
      <c r="FL30" s="982" t="str">
        <f>MID(SUVAHAVUJ!AG199,5,1)</f>
        <v xml:space="preserve"> </v>
      </c>
      <c r="FM30" s="982"/>
      <c r="FN30" s="982"/>
      <c r="FO30" s="982"/>
      <c r="FP30" s="982"/>
      <c r="FQ30" s="982"/>
      <c r="FR30" s="982" t="str">
        <f>MID(SUVAHAVUJ!AG199,6,1)</f>
        <v xml:space="preserve"> </v>
      </c>
      <c r="FS30" s="982"/>
      <c r="FT30" s="982"/>
      <c r="FU30" s="982"/>
      <c r="FV30" s="982"/>
      <c r="FW30" s="982" t="str">
        <f>MID(SUVAHAVUJ!AG199,7,1)</f>
        <v xml:space="preserve"> </v>
      </c>
      <c r="FX30" s="982"/>
      <c r="FY30" s="982"/>
      <c r="FZ30" s="982"/>
      <c r="GA30" s="982"/>
      <c r="GB30" s="982"/>
      <c r="GC30" s="982" t="str">
        <f>MID(SUVAHAVUJ!AG199,8,1)</f>
        <v xml:space="preserve"> </v>
      </c>
      <c r="GD30" s="982"/>
      <c r="GE30" s="982"/>
      <c r="GF30" s="982"/>
      <c r="GG30" s="982"/>
      <c r="GH30" s="982" t="str">
        <f>MID(SUVAHAVUJ!AG199,9,1)</f>
        <v xml:space="preserve"> </v>
      </c>
      <c r="GI30" s="982"/>
      <c r="GJ30" s="982"/>
      <c r="GK30" s="982"/>
      <c r="GL30" s="982"/>
      <c r="GM30" s="982"/>
      <c r="GN30" s="982" t="str">
        <f>MID(SUVAHAVUJ!AG199,10,1)</f>
        <v xml:space="preserve"> </v>
      </c>
      <c r="GO30" s="982"/>
      <c r="GP30" s="982"/>
      <c r="GQ30" s="982"/>
      <c r="GR30" s="982"/>
      <c r="GS30" s="978" t="str">
        <f>MID(SUVAHAVUJ!AG199,11,1)</f>
        <v>0</v>
      </c>
      <c r="GT30" s="978"/>
      <c r="GU30" s="978"/>
      <c r="GV30" s="978"/>
      <c r="GW30" s="978"/>
    </row>
    <row r="31" spans="1:205" s="650" customFormat="1" ht="24.6" customHeight="1" x14ac:dyDescent="0.2">
      <c r="A31" s="676"/>
      <c r="B31" s="1017" t="s">
        <v>2319</v>
      </c>
      <c r="C31" s="1017"/>
      <c r="D31" s="1017"/>
      <c r="E31" s="1017"/>
      <c r="F31" s="1017"/>
      <c r="G31" s="1017"/>
      <c r="H31" s="1017"/>
      <c r="I31" s="1017"/>
      <c r="J31" s="1017"/>
      <c r="K31" s="1017"/>
      <c r="L31" s="1005" t="str">
        <f>SUVAHAVUJ!$D$200</f>
        <v>Kurzové straty (563)</v>
      </c>
      <c r="M31" s="1005"/>
      <c r="N31" s="1005"/>
      <c r="O31" s="1005"/>
      <c r="P31" s="1005"/>
      <c r="Q31" s="1005"/>
      <c r="R31" s="1005"/>
      <c r="S31" s="1005"/>
      <c r="T31" s="1005"/>
      <c r="U31" s="1005"/>
      <c r="V31" s="1005"/>
      <c r="W31" s="1005"/>
      <c r="X31" s="1005"/>
      <c r="Y31" s="1005"/>
      <c r="Z31" s="1005"/>
      <c r="AA31" s="1005"/>
      <c r="AB31" s="1005"/>
      <c r="AC31" s="1005"/>
      <c r="AD31" s="1005"/>
      <c r="AE31" s="1005"/>
      <c r="AF31" s="1005"/>
      <c r="AG31" s="1005"/>
      <c r="AH31" s="1005"/>
      <c r="AI31" s="1005"/>
      <c r="AJ31" s="1005"/>
      <c r="AK31" s="1005"/>
      <c r="AL31" s="1005"/>
      <c r="AM31" s="1005"/>
      <c r="AN31" s="1005"/>
      <c r="AO31" s="1005"/>
      <c r="AP31" s="1005"/>
      <c r="AQ31" s="1005"/>
      <c r="AR31" s="1005"/>
      <c r="AS31" s="1005"/>
      <c r="AT31" s="1005"/>
      <c r="AU31" s="1005"/>
      <c r="AV31" s="1005"/>
      <c r="AW31" s="1005"/>
      <c r="AX31" s="1005"/>
      <c r="AY31" s="1005"/>
      <c r="AZ31" s="1005"/>
      <c r="BA31" s="1005"/>
      <c r="BB31" s="1005"/>
      <c r="BC31" s="1005"/>
      <c r="BD31" s="1005"/>
      <c r="BE31" s="1005"/>
      <c r="BF31" s="1005"/>
      <c r="BG31" s="1005"/>
      <c r="BH31" s="1005"/>
      <c r="BI31" s="1005"/>
      <c r="BJ31" s="1005"/>
      <c r="BK31" s="1005"/>
      <c r="BL31" s="1005"/>
      <c r="BM31" s="1005"/>
      <c r="BN31" s="1005"/>
      <c r="BO31" s="1005"/>
      <c r="BP31" s="1005"/>
      <c r="BQ31" s="1005"/>
      <c r="BR31" s="1005"/>
      <c r="BS31" s="1005"/>
      <c r="BT31" s="1005"/>
      <c r="BU31" s="1005"/>
      <c r="BV31" s="1005"/>
      <c r="BW31" s="975" t="s">
        <v>1266</v>
      </c>
      <c r="BX31" s="975"/>
      <c r="BY31" s="975"/>
      <c r="BZ31" s="975"/>
      <c r="CA31" s="975"/>
      <c r="CB31" s="975"/>
      <c r="CC31" s="975" t="e">
        <v>#NAME?</v>
      </c>
      <c r="CD31" s="975"/>
      <c r="CE31" s="976" t="str">
        <f>MID(SUVAHAVUJ!AF200,1,1)</f>
        <v xml:space="preserve"> </v>
      </c>
      <c r="CF31" s="976"/>
      <c r="CG31" s="976"/>
      <c r="CH31" s="976"/>
      <c r="CI31" s="976"/>
      <c r="CJ31" s="976" t="str">
        <f>MID(SUVAHAVUJ!AF200,2,1)</f>
        <v xml:space="preserve"> </v>
      </c>
      <c r="CK31" s="976"/>
      <c r="CL31" s="976"/>
      <c r="CM31" s="976"/>
      <c r="CN31" s="976"/>
      <c r="CO31" s="976"/>
      <c r="CP31" s="976" t="str">
        <f>MID(SUVAHAVUJ!AF200,3,1)</f>
        <v xml:space="preserve"> </v>
      </c>
      <c r="CQ31" s="976"/>
      <c r="CR31" s="976"/>
      <c r="CS31" s="976"/>
      <c r="CT31" s="976"/>
      <c r="CU31" s="976" t="str">
        <f>MID(SUVAHAVUJ!AF200,4,1)</f>
        <v xml:space="preserve"> </v>
      </c>
      <c r="CV31" s="976"/>
      <c r="CW31" s="976"/>
      <c r="CX31" s="976"/>
      <c r="CY31" s="976"/>
      <c r="CZ31" s="976"/>
      <c r="DA31" s="976" t="str">
        <f>MID(SUVAHAVUJ!AF200,5,1)</f>
        <v xml:space="preserve"> </v>
      </c>
      <c r="DB31" s="976"/>
      <c r="DC31" s="976"/>
      <c r="DD31" s="976"/>
      <c r="DE31" s="976"/>
      <c r="DF31" s="976" t="str">
        <f>MID(SUVAHAVUJ!AF200,6,1)</f>
        <v xml:space="preserve"> </v>
      </c>
      <c r="DG31" s="976"/>
      <c r="DH31" s="976"/>
      <c r="DI31" s="976"/>
      <c r="DJ31" s="976"/>
      <c r="DK31" s="976"/>
      <c r="DL31" s="976" t="str">
        <f>MID(SUVAHAVUJ!AF200,7,1)</f>
        <v xml:space="preserve"> </v>
      </c>
      <c r="DM31" s="976"/>
      <c r="DN31" s="976"/>
      <c r="DO31" s="976"/>
      <c r="DP31" s="976"/>
      <c r="DQ31" s="976"/>
      <c r="DR31" s="976" t="str">
        <f>MID(SUVAHAVUJ!AF200,8,1)</f>
        <v xml:space="preserve"> </v>
      </c>
      <c r="DS31" s="976"/>
      <c r="DT31" s="976"/>
      <c r="DU31" s="976"/>
      <c r="DV31" s="976"/>
      <c r="DW31" s="982" t="str">
        <f>MID(SUVAHAVUJ!AF200,9,1)</f>
        <v xml:space="preserve"> </v>
      </c>
      <c r="DX31" s="982"/>
      <c r="DY31" s="982"/>
      <c r="DZ31" s="982"/>
      <c r="EA31" s="982"/>
      <c r="EB31" s="982"/>
      <c r="EC31" s="982" t="str">
        <f>MID(SUVAHAVUJ!AF200,10,1)</f>
        <v xml:space="preserve"> </v>
      </c>
      <c r="ED31" s="982"/>
      <c r="EE31" s="982"/>
      <c r="EF31" s="982"/>
      <c r="EG31" s="982"/>
      <c r="EH31" s="977" t="str">
        <f>MID(SUVAHAVUJ!AF200,11,1)</f>
        <v>0</v>
      </c>
      <c r="EI31" s="977"/>
      <c r="EJ31" s="977"/>
      <c r="EK31" s="977"/>
      <c r="EL31" s="977"/>
      <c r="EM31" s="977"/>
      <c r="EN31" s="665"/>
      <c r="EO31" s="666"/>
      <c r="EP31" s="976" t="str">
        <f>MID(SUVAHAVUJ!AG200,1,1)</f>
        <v xml:space="preserve"> </v>
      </c>
      <c r="EQ31" s="976"/>
      <c r="ER31" s="976"/>
      <c r="ES31" s="976"/>
      <c r="ET31" s="976"/>
      <c r="EU31" s="976"/>
      <c r="EV31" s="976" t="str">
        <f>MID(SUVAHAVUJ!AG200,2,1)</f>
        <v xml:space="preserve"> </v>
      </c>
      <c r="EW31" s="976"/>
      <c r="EX31" s="976"/>
      <c r="EY31" s="976"/>
      <c r="EZ31" s="976"/>
      <c r="FA31" s="976" t="str">
        <f>MID(SUVAHAVUJ!AG200,3,1)</f>
        <v xml:space="preserve"> </v>
      </c>
      <c r="FB31" s="976"/>
      <c r="FC31" s="976"/>
      <c r="FD31" s="976"/>
      <c r="FE31" s="976"/>
      <c r="FF31" s="976"/>
      <c r="FG31" s="976" t="str">
        <f>MID(SUVAHAVUJ!AG200,4,1)</f>
        <v xml:space="preserve"> </v>
      </c>
      <c r="FH31" s="976"/>
      <c r="FI31" s="976"/>
      <c r="FJ31" s="976"/>
      <c r="FK31" s="976"/>
      <c r="FL31" s="982" t="str">
        <f>MID(SUVAHAVUJ!AG200,5,1)</f>
        <v xml:space="preserve"> </v>
      </c>
      <c r="FM31" s="982"/>
      <c r="FN31" s="982"/>
      <c r="FO31" s="982"/>
      <c r="FP31" s="982"/>
      <c r="FQ31" s="982"/>
      <c r="FR31" s="982" t="str">
        <f>MID(SUVAHAVUJ!AG200,6,1)</f>
        <v xml:space="preserve"> </v>
      </c>
      <c r="FS31" s="982"/>
      <c r="FT31" s="982"/>
      <c r="FU31" s="982"/>
      <c r="FV31" s="982"/>
      <c r="FW31" s="982" t="str">
        <f>MID(SUVAHAVUJ!AG200,7,1)</f>
        <v xml:space="preserve"> </v>
      </c>
      <c r="FX31" s="982"/>
      <c r="FY31" s="982"/>
      <c r="FZ31" s="982"/>
      <c r="GA31" s="982"/>
      <c r="GB31" s="982"/>
      <c r="GC31" s="982" t="str">
        <f>MID(SUVAHAVUJ!AG200,8,1)</f>
        <v xml:space="preserve"> </v>
      </c>
      <c r="GD31" s="982"/>
      <c r="GE31" s="982"/>
      <c r="GF31" s="982"/>
      <c r="GG31" s="982"/>
      <c r="GH31" s="982" t="str">
        <f>MID(SUVAHAVUJ!AG200,9,1)</f>
        <v xml:space="preserve"> </v>
      </c>
      <c r="GI31" s="982"/>
      <c r="GJ31" s="982"/>
      <c r="GK31" s="982"/>
      <c r="GL31" s="982"/>
      <c r="GM31" s="982"/>
      <c r="GN31" s="982" t="str">
        <f>MID(SUVAHAVUJ!AG200,10,1)</f>
        <v xml:space="preserve"> </v>
      </c>
      <c r="GO31" s="982"/>
      <c r="GP31" s="982"/>
      <c r="GQ31" s="982"/>
      <c r="GR31" s="982"/>
      <c r="GS31" s="978" t="str">
        <f>MID(SUVAHAVUJ!AG200,11,1)</f>
        <v>0</v>
      </c>
      <c r="GT31" s="978"/>
      <c r="GU31" s="978"/>
      <c r="GV31" s="978"/>
      <c r="GW31" s="978"/>
    </row>
    <row r="32" spans="1:205" ht="24.6" customHeight="1" x14ac:dyDescent="0.25">
      <c r="A32" s="675"/>
      <c r="B32" s="1017" t="s">
        <v>2320</v>
      </c>
      <c r="C32" s="1017"/>
      <c r="D32" s="1017"/>
      <c r="E32" s="1017"/>
      <c r="F32" s="1017"/>
      <c r="G32" s="1017"/>
      <c r="H32" s="1017"/>
      <c r="I32" s="1017"/>
      <c r="J32" s="1017"/>
      <c r="K32" s="1017"/>
      <c r="L32" s="1005" t="str">
        <f>SUVAHAVUJ!$D$201</f>
        <v>Náklady na precenenie cenných papierov a náklady na derivátové operácie (564, 567)</v>
      </c>
      <c r="M32" s="1005"/>
      <c r="N32" s="1005"/>
      <c r="O32" s="1005"/>
      <c r="P32" s="1005"/>
      <c r="Q32" s="1005"/>
      <c r="R32" s="1005"/>
      <c r="S32" s="1005"/>
      <c r="T32" s="1005"/>
      <c r="U32" s="1005"/>
      <c r="V32" s="1005"/>
      <c r="W32" s="1005"/>
      <c r="X32" s="1005"/>
      <c r="Y32" s="1005"/>
      <c r="Z32" s="1005"/>
      <c r="AA32" s="1005"/>
      <c r="AB32" s="1005"/>
      <c r="AC32" s="1005"/>
      <c r="AD32" s="1005"/>
      <c r="AE32" s="1005"/>
      <c r="AF32" s="1005"/>
      <c r="AG32" s="1005"/>
      <c r="AH32" s="1005"/>
      <c r="AI32" s="1005"/>
      <c r="AJ32" s="1005"/>
      <c r="AK32" s="1005"/>
      <c r="AL32" s="1005"/>
      <c r="AM32" s="1005"/>
      <c r="AN32" s="1005"/>
      <c r="AO32" s="1005"/>
      <c r="AP32" s="1005"/>
      <c r="AQ32" s="1005"/>
      <c r="AR32" s="1005"/>
      <c r="AS32" s="1005"/>
      <c r="AT32" s="1005"/>
      <c r="AU32" s="1005"/>
      <c r="AV32" s="1005"/>
      <c r="AW32" s="1005"/>
      <c r="AX32" s="1005"/>
      <c r="AY32" s="1005"/>
      <c r="AZ32" s="1005"/>
      <c r="BA32" s="1005"/>
      <c r="BB32" s="1005"/>
      <c r="BC32" s="1005"/>
      <c r="BD32" s="1005"/>
      <c r="BE32" s="1005"/>
      <c r="BF32" s="1005"/>
      <c r="BG32" s="1005"/>
      <c r="BH32" s="1005"/>
      <c r="BI32" s="1005"/>
      <c r="BJ32" s="1005"/>
      <c r="BK32" s="1005"/>
      <c r="BL32" s="1005"/>
      <c r="BM32" s="1005"/>
      <c r="BN32" s="1005"/>
      <c r="BO32" s="1005"/>
      <c r="BP32" s="1005"/>
      <c r="BQ32" s="1005"/>
      <c r="BR32" s="1005"/>
      <c r="BS32" s="1005"/>
      <c r="BT32" s="1005"/>
      <c r="BU32" s="1005"/>
      <c r="BV32" s="1005"/>
      <c r="BW32" s="975" t="s">
        <v>2202</v>
      </c>
      <c r="BX32" s="975"/>
      <c r="BY32" s="975"/>
      <c r="BZ32" s="975"/>
      <c r="CA32" s="975"/>
      <c r="CB32" s="975"/>
      <c r="CC32" s="975" t="e">
        <v>#NAME?</v>
      </c>
      <c r="CD32" s="975"/>
      <c r="CE32" s="976" t="str">
        <f>MID(SUVAHAVUJ!AF201,1,1)</f>
        <v xml:space="preserve"> </v>
      </c>
      <c r="CF32" s="976"/>
      <c r="CG32" s="976"/>
      <c r="CH32" s="976"/>
      <c r="CI32" s="976"/>
      <c r="CJ32" s="976" t="str">
        <f>MID(SUVAHAVUJ!AF201,2,1)</f>
        <v xml:space="preserve"> </v>
      </c>
      <c r="CK32" s="976"/>
      <c r="CL32" s="976"/>
      <c r="CM32" s="976"/>
      <c r="CN32" s="976"/>
      <c r="CO32" s="976"/>
      <c r="CP32" s="976" t="str">
        <f>MID(SUVAHAVUJ!AF201,3,1)</f>
        <v xml:space="preserve"> </v>
      </c>
      <c r="CQ32" s="976"/>
      <c r="CR32" s="976"/>
      <c r="CS32" s="976"/>
      <c r="CT32" s="976"/>
      <c r="CU32" s="976" t="str">
        <f>MID(SUVAHAVUJ!AF201,4,1)</f>
        <v xml:space="preserve"> </v>
      </c>
      <c r="CV32" s="976"/>
      <c r="CW32" s="976"/>
      <c r="CX32" s="976"/>
      <c r="CY32" s="976"/>
      <c r="CZ32" s="976"/>
      <c r="DA32" s="976" t="str">
        <f>MID(SUVAHAVUJ!AF201,5,1)</f>
        <v xml:space="preserve"> </v>
      </c>
      <c r="DB32" s="976"/>
      <c r="DC32" s="976"/>
      <c r="DD32" s="976"/>
      <c r="DE32" s="976"/>
      <c r="DF32" s="976" t="str">
        <f>MID(SUVAHAVUJ!AF201,6,1)</f>
        <v xml:space="preserve"> </v>
      </c>
      <c r="DG32" s="976"/>
      <c r="DH32" s="976"/>
      <c r="DI32" s="976"/>
      <c r="DJ32" s="976"/>
      <c r="DK32" s="976"/>
      <c r="DL32" s="976" t="str">
        <f>MID(SUVAHAVUJ!AF201,7,1)</f>
        <v xml:space="preserve"> </v>
      </c>
      <c r="DM32" s="976"/>
      <c r="DN32" s="976"/>
      <c r="DO32" s="976"/>
      <c r="DP32" s="976"/>
      <c r="DQ32" s="976"/>
      <c r="DR32" s="976" t="str">
        <f>MID(SUVAHAVUJ!AF201,8,1)</f>
        <v xml:space="preserve"> </v>
      </c>
      <c r="DS32" s="976"/>
      <c r="DT32" s="976"/>
      <c r="DU32" s="976"/>
      <c r="DV32" s="976"/>
      <c r="DW32" s="982" t="str">
        <f>MID(SUVAHAVUJ!AF201,9,1)</f>
        <v xml:space="preserve"> </v>
      </c>
      <c r="DX32" s="982"/>
      <c r="DY32" s="982"/>
      <c r="DZ32" s="982"/>
      <c r="EA32" s="982"/>
      <c r="EB32" s="982"/>
      <c r="EC32" s="982" t="str">
        <f>MID(SUVAHAVUJ!AF201,10,1)</f>
        <v xml:space="preserve"> </v>
      </c>
      <c r="ED32" s="982"/>
      <c r="EE32" s="982"/>
      <c r="EF32" s="982"/>
      <c r="EG32" s="982"/>
      <c r="EH32" s="977" t="str">
        <f>MID(SUVAHAVUJ!AF201,11,1)</f>
        <v>0</v>
      </c>
      <c r="EI32" s="977"/>
      <c r="EJ32" s="977"/>
      <c r="EK32" s="977"/>
      <c r="EL32" s="977"/>
      <c r="EM32" s="977"/>
      <c r="EN32" s="665"/>
      <c r="EO32" s="666"/>
      <c r="EP32" s="976" t="str">
        <f>MID(SUVAHAVUJ!AG201,1,1)</f>
        <v xml:space="preserve"> </v>
      </c>
      <c r="EQ32" s="976"/>
      <c r="ER32" s="976"/>
      <c r="ES32" s="976"/>
      <c r="ET32" s="976"/>
      <c r="EU32" s="976"/>
      <c r="EV32" s="976" t="str">
        <f>MID(SUVAHAVUJ!AG201,2,1)</f>
        <v xml:space="preserve"> </v>
      </c>
      <c r="EW32" s="976"/>
      <c r="EX32" s="976"/>
      <c r="EY32" s="976"/>
      <c r="EZ32" s="976"/>
      <c r="FA32" s="976" t="str">
        <f>MID(SUVAHAVUJ!AG201,3,1)</f>
        <v xml:space="preserve"> </v>
      </c>
      <c r="FB32" s="976"/>
      <c r="FC32" s="976"/>
      <c r="FD32" s="976"/>
      <c r="FE32" s="976"/>
      <c r="FF32" s="976"/>
      <c r="FG32" s="976" t="str">
        <f>MID(SUVAHAVUJ!AG201,4,1)</f>
        <v xml:space="preserve"> </v>
      </c>
      <c r="FH32" s="976"/>
      <c r="FI32" s="976"/>
      <c r="FJ32" s="976"/>
      <c r="FK32" s="976"/>
      <c r="FL32" s="982" t="str">
        <f>MID(SUVAHAVUJ!AG201,5,1)</f>
        <v xml:space="preserve"> </v>
      </c>
      <c r="FM32" s="982"/>
      <c r="FN32" s="982"/>
      <c r="FO32" s="982"/>
      <c r="FP32" s="982"/>
      <c r="FQ32" s="982"/>
      <c r="FR32" s="982" t="str">
        <f>MID(SUVAHAVUJ!AG201,6,1)</f>
        <v xml:space="preserve"> </v>
      </c>
      <c r="FS32" s="982"/>
      <c r="FT32" s="982"/>
      <c r="FU32" s="982"/>
      <c r="FV32" s="982"/>
      <c r="FW32" s="982" t="str">
        <f>MID(SUVAHAVUJ!AG201,7,1)</f>
        <v xml:space="preserve"> </v>
      </c>
      <c r="FX32" s="982"/>
      <c r="FY32" s="982"/>
      <c r="FZ32" s="982"/>
      <c r="GA32" s="982"/>
      <c r="GB32" s="982"/>
      <c r="GC32" s="982" t="str">
        <f>MID(SUVAHAVUJ!AG201,8,1)</f>
        <v xml:space="preserve"> </v>
      </c>
      <c r="GD32" s="982"/>
      <c r="GE32" s="982"/>
      <c r="GF32" s="982"/>
      <c r="GG32" s="982"/>
      <c r="GH32" s="982" t="str">
        <f>MID(SUVAHAVUJ!AG201,9,1)</f>
        <v xml:space="preserve"> </v>
      </c>
      <c r="GI32" s="982"/>
      <c r="GJ32" s="982"/>
      <c r="GK32" s="982"/>
      <c r="GL32" s="982"/>
      <c r="GM32" s="982"/>
      <c r="GN32" s="982" t="str">
        <f>MID(SUVAHAVUJ!AG201,10,1)</f>
        <v xml:space="preserve"> </v>
      </c>
      <c r="GO32" s="982"/>
      <c r="GP32" s="982"/>
      <c r="GQ32" s="982"/>
      <c r="GR32" s="982"/>
      <c r="GS32" s="978" t="str">
        <f>MID(SUVAHAVUJ!AG201,11,1)</f>
        <v>0</v>
      </c>
      <c r="GT32" s="978"/>
      <c r="GU32" s="978"/>
      <c r="GV32" s="978"/>
      <c r="GW32" s="978"/>
    </row>
    <row r="33" spans="1:205" s="650" customFormat="1" ht="24.6" customHeight="1" x14ac:dyDescent="0.2">
      <c r="A33" s="676"/>
      <c r="B33" s="1017" t="s">
        <v>2321</v>
      </c>
      <c r="C33" s="1017"/>
      <c r="D33" s="1017"/>
      <c r="E33" s="1017"/>
      <c r="F33" s="1017"/>
      <c r="G33" s="1017"/>
      <c r="H33" s="1017"/>
      <c r="I33" s="1017"/>
      <c r="J33" s="1017"/>
      <c r="K33" s="1017"/>
      <c r="L33" s="1005" t="str">
        <f>SUVAHAVUJ!$D$202</f>
        <v>Ostatné náklady na finančnú činnosť (568, 569)</v>
      </c>
      <c r="M33" s="1005"/>
      <c r="N33" s="1005"/>
      <c r="O33" s="1005"/>
      <c r="P33" s="1005"/>
      <c r="Q33" s="1005"/>
      <c r="R33" s="1005"/>
      <c r="S33" s="1005"/>
      <c r="T33" s="1005"/>
      <c r="U33" s="1005"/>
      <c r="V33" s="1005"/>
      <c r="W33" s="1005"/>
      <c r="X33" s="1005"/>
      <c r="Y33" s="1005"/>
      <c r="Z33" s="1005"/>
      <c r="AA33" s="1005"/>
      <c r="AB33" s="1005"/>
      <c r="AC33" s="1005"/>
      <c r="AD33" s="1005"/>
      <c r="AE33" s="1005"/>
      <c r="AF33" s="1005"/>
      <c r="AG33" s="1005"/>
      <c r="AH33" s="1005"/>
      <c r="AI33" s="1005"/>
      <c r="AJ33" s="1005"/>
      <c r="AK33" s="1005"/>
      <c r="AL33" s="1005"/>
      <c r="AM33" s="1005"/>
      <c r="AN33" s="1005"/>
      <c r="AO33" s="1005"/>
      <c r="AP33" s="1005"/>
      <c r="AQ33" s="1005"/>
      <c r="AR33" s="1005"/>
      <c r="AS33" s="1005"/>
      <c r="AT33" s="1005"/>
      <c r="AU33" s="1005"/>
      <c r="AV33" s="1005"/>
      <c r="AW33" s="1005"/>
      <c r="AX33" s="1005"/>
      <c r="AY33" s="1005"/>
      <c r="AZ33" s="1005"/>
      <c r="BA33" s="1005"/>
      <c r="BB33" s="1005"/>
      <c r="BC33" s="1005"/>
      <c r="BD33" s="1005"/>
      <c r="BE33" s="1005"/>
      <c r="BF33" s="1005"/>
      <c r="BG33" s="1005"/>
      <c r="BH33" s="1005"/>
      <c r="BI33" s="1005"/>
      <c r="BJ33" s="1005"/>
      <c r="BK33" s="1005"/>
      <c r="BL33" s="1005"/>
      <c r="BM33" s="1005"/>
      <c r="BN33" s="1005"/>
      <c r="BO33" s="1005"/>
      <c r="BP33" s="1005"/>
      <c r="BQ33" s="1005"/>
      <c r="BR33" s="1005"/>
      <c r="BS33" s="1005"/>
      <c r="BT33" s="1005"/>
      <c r="BU33" s="1005"/>
      <c r="BV33" s="1005"/>
      <c r="BW33" s="975" t="s">
        <v>2204</v>
      </c>
      <c r="BX33" s="975"/>
      <c r="BY33" s="975"/>
      <c r="BZ33" s="975"/>
      <c r="CA33" s="975"/>
      <c r="CB33" s="975"/>
      <c r="CC33" s="975" t="e">
        <v>#NAME?</v>
      </c>
      <c r="CD33" s="975"/>
      <c r="CE33" s="976" t="str">
        <f>MID(SUVAHAVUJ!AF202,1,1)</f>
        <v xml:space="preserve"> </v>
      </c>
      <c r="CF33" s="976"/>
      <c r="CG33" s="976"/>
      <c r="CH33" s="976"/>
      <c r="CI33" s="976"/>
      <c r="CJ33" s="976" t="str">
        <f>MID(SUVAHAVUJ!AF202,2,1)</f>
        <v xml:space="preserve"> </v>
      </c>
      <c r="CK33" s="976"/>
      <c r="CL33" s="976"/>
      <c r="CM33" s="976"/>
      <c r="CN33" s="976"/>
      <c r="CO33" s="976"/>
      <c r="CP33" s="976" t="str">
        <f>MID(SUVAHAVUJ!AF202,3,1)</f>
        <v xml:space="preserve"> </v>
      </c>
      <c r="CQ33" s="976"/>
      <c r="CR33" s="976"/>
      <c r="CS33" s="976"/>
      <c r="CT33" s="976"/>
      <c r="CU33" s="976" t="str">
        <f>MID(SUVAHAVUJ!AF202,4,1)</f>
        <v xml:space="preserve"> </v>
      </c>
      <c r="CV33" s="976"/>
      <c r="CW33" s="976"/>
      <c r="CX33" s="976"/>
      <c r="CY33" s="976"/>
      <c r="CZ33" s="976"/>
      <c r="DA33" s="976" t="str">
        <f>MID(SUVAHAVUJ!AF202,5,1)</f>
        <v xml:space="preserve"> </v>
      </c>
      <c r="DB33" s="976"/>
      <c r="DC33" s="976"/>
      <c r="DD33" s="976"/>
      <c r="DE33" s="976"/>
      <c r="DF33" s="976" t="str">
        <f>MID(SUVAHAVUJ!AF202,6,1)</f>
        <v xml:space="preserve"> </v>
      </c>
      <c r="DG33" s="976"/>
      <c r="DH33" s="976"/>
      <c r="DI33" s="976"/>
      <c r="DJ33" s="976"/>
      <c r="DK33" s="976"/>
      <c r="DL33" s="976" t="str">
        <f>MID(SUVAHAVUJ!AF202,7,1)</f>
        <v xml:space="preserve"> </v>
      </c>
      <c r="DM33" s="976"/>
      <c r="DN33" s="976"/>
      <c r="DO33" s="976"/>
      <c r="DP33" s="976"/>
      <c r="DQ33" s="976"/>
      <c r="DR33" s="976" t="str">
        <f>MID(SUVAHAVUJ!AF202,8,1)</f>
        <v>2</v>
      </c>
      <c r="DS33" s="976"/>
      <c r="DT33" s="976"/>
      <c r="DU33" s="976"/>
      <c r="DV33" s="976"/>
      <c r="DW33" s="982" t="str">
        <f>MID(SUVAHAVUJ!AF202,9,1)</f>
        <v>3</v>
      </c>
      <c r="DX33" s="982"/>
      <c r="DY33" s="982"/>
      <c r="DZ33" s="982"/>
      <c r="EA33" s="982"/>
      <c r="EB33" s="982"/>
      <c r="EC33" s="982" t="str">
        <f>MID(SUVAHAVUJ!AF202,10,1)</f>
        <v>0</v>
      </c>
      <c r="ED33" s="982"/>
      <c r="EE33" s="982"/>
      <c r="EF33" s="982"/>
      <c r="EG33" s="982"/>
      <c r="EH33" s="977" t="str">
        <f>MID(SUVAHAVUJ!AF202,11,1)</f>
        <v>8</v>
      </c>
      <c r="EI33" s="977"/>
      <c r="EJ33" s="977"/>
      <c r="EK33" s="977"/>
      <c r="EL33" s="977"/>
      <c r="EM33" s="977"/>
      <c r="EN33" s="665"/>
      <c r="EO33" s="666"/>
      <c r="EP33" s="976" t="str">
        <f>MID(SUVAHAVUJ!AG202,1,1)</f>
        <v xml:space="preserve"> </v>
      </c>
      <c r="EQ33" s="976"/>
      <c r="ER33" s="976"/>
      <c r="ES33" s="976"/>
      <c r="ET33" s="976"/>
      <c r="EU33" s="976"/>
      <c r="EV33" s="976" t="str">
        <f>MID(SUVAHAVUJ!AG202,2,1)</f>
        <v xml:space="preserve"> </v>
      </c>
      <c r="EW33" s="976"/>
      <c r="EX33" s="976"/>
      <c r="EY33" s="976"/>
      <c r="EZ33" s="976"/>
      <c r="FA33" s="976" t="str">
        <f>MID(SUVAHAVUJ!AG202,3,1)</f>
        <v xml:space="preserve"> </v>
      </c>
      <c r="FB33" s="976"/>
      <c r="FC33" s="976"/>
      <c r="FD33" s="976"/>
      <c r="FE33" s="976"/>
      <c r="FF33" s="976"/>
      <c r="FG33" s="976" t="str">
        <f>MID(SUVAHAVUJ!AG202,4,1)</f>
        <v xml:space="preserve"> </v>
      </c>
      <c r="FH33" s="976"/>
      <c r="FI33" s="976"/>
      <c r="FJ33" s="976"/>
      <c r="FK33" s="976"/>
      <c r="FL33" s="982" t="str">
        <f>MID(SUVAHAVUJ!AG202,5,1)</f>
        <v xml:space="preserve"> </v>
      </c>
      <c r="FM33" s="982"/>
      <c r="FN33" s="982"/>
      <c r="FO33" s="982"/>
      <c r="FP33" s="982"/>
      <c r="FQ33" s="982"/>
      <c r="FR33" s="982" t="str">
        <f>MID(SUVAHAVUJ!AG202,6,1)</f>
        <v xml:space="preserve"> </v>
      </c>
      <c r="FS33" s="982"/>
      <c r="FT33" s="982"/>
      <c r="FU33" s="982"/>
      <c r="FV33" s="982"/>
      <c r="FW33" s="982" t="str">
        <f>MID(SUVAHAVUJ!AG202,7,1)</f>
        <v xml:space="preserve"> </v>
      </c>
      <c r="FX33" s="982"/>
      <c r="FY33" s="982"/>
      <c r="FZ33" s="982"/>
      <c r="GA33" s="982"/>
      <c r="GB33" s="982"/>
      <c r="GC33" s="982" t="str">
        <f>MID(SUVAHAVUJ!AG202,8,1)</f>
        <v>2</v>
      </c>
      <c r="GD33" s="982"/>
      <c r="GE33" s="982"/>
      <c r="GF33" s="982"/>
      <c r="GG33" s="982"/>
      <c r="GH33" s="982" t="str">
        <f>MID(SUVAHAVUJ!AG202,9,1)</f>
        <v>2</v>
      </c>
      <c r="GI33" s="982"/>
      <c r="GJ33" s="982"/>
      <c r="GK33" s="982"/>
      <c r="GL33" s="982"/>
      <c r="GM33" s="982"/>
      <c r="GN33" s="982" t="str">
        <f>MID(SUVAHAVUJ!AG202,10,1)</f>
        <v>6</v>
      </c>
      <c r="GO33" s="982"/>
      <c r="GP33" s="982"/>
      <c r="GQ33" s="982"/>
      <c r="GR33" s="982"/>
      <c r="GS33" s="978" t="str">
        <f>MID(SUVAHAVUJ!AG202,11,1)</f>
        <v>4</v>
      </c>
      <c r="GT33" s="978"/>
      <c r="GU33" s="978"/>
      <c r="GV33" s="978"/>
      <c r="GW33" s="978"/>
    </row>
    <row r="34" spans="1:205" ht="12.75" customHeight="1" x14ac:dyDescent="0.25">
      <c r="A34" s="650"/>
      <c r="B34" s="667"/>
      <c r="C34" s="668"/>
      <c r="D34" s="668"/>
      <c r="E34" s="668"/>
      <c r="F34" s="668"/>
      <c r="G34" s="668"/>
      <c r="H34" s="668"/>
      <c r="I34" s="668"/>
      <c r="J34" s="668"/>
      <c r="K34" s="668"/>
      <c r="L34" s="668"/>
      <c r="M34" s="650"/>
      <c r="N34" s="650"/>
      <c r="O34" s="650"/>
      <c r="P34" s="650"/>
      <c r="Q34" s="650"/>
      <c r="R34" s="650"/>
      <c r="S34" s="650"/>
      <c r="T34" s="650"/>
      <c r="U34" s="650"/>
      <c r="V34" s="650"/>
      <c r="W34" s="650"/>
      <c r="X34" s="650"/>
      <c r="Y34" s="650"/>
      <c r="Z34" s="650"/>
      <c r="AA34" s="650"/>
      <c r="AB34" s="650"/>
      <c r="AC34" s="650"/>
      <c r="AD34" s="650"/>
      <c r="AE34" s="650"/>
      <c r="AF34" s="650"/>
      <c r="AG34" s="650"/>
      <c r="AH34" s="650"/>
      <c r="AI34" s="650"/>
      <c r="AJ34" s="650"/>
      <c r="AK34" s="650"/>
      <c r="AL34" s="650"/>
      <c r="AM34" s="650"/>
      <c r="AN34" s="650"/>
      <c r="AO34" s="650"/>
      <c r="AP34" s="650"/>
      <c r="AQ34" s="650"/>
      <c r="AR34" s="650"/>
      <c r="AS34" s="650"/>
      <c r="AT34" s="650"/>
      <c r="AU34" s="650"/>
      <c r="AV34" s="650"/>
      <c r="AW34" s="650"/>
      <c r="AX34" s="650"/>
      <c r="AY34" s="650"/>
      <c r="AZ34" s="650"/>
      <c r="BA34" s="650"/>
      <c r="BB34" s="650"/>
      <c r="BC34" s="650"/>
      <c r="BD34" s="650"/>
      <c r="BE34" s="650"/>
      <c r="BF34" s="650"/>
      <c r="BG34" s="650"/>
      <c r="BH34" s="650"/>
      <c r="BI34" s="650"/>
      <c r="BJ34" s="650"/>
      <c r="BK34" s="650"/>
      <c r="BL34" s="650"/>
      <c r="BM34" s="650"/>
      <c r="BN34" s="650"/>
      <c r="BO34" s="650"/>
      <c r="BP34" s="650"/>
      <c r="BQ34" s="650"/>
      <c r="BR34" s="650"/>
      <c r="BS34" s="650"/>
      <c r="BT34" s="650"/>
      <c r="BU34" s="650"/>
      <c r="BV34" s="650"/>
      <c r="BW34" s="650"/>
      <c r="BX34" s="650"/>
      <c r="BY34" s="650"/>
      <c r="BZ34" s="650"/>
      <c r="CA34" s="650"/>
      <c r="CB34" s="650"/>
      <c r="CC34" s="650"/>
      <c r="CD34" s="650"/>
      <c r="CE34" s="650"/>
      <c r="CF34" s="650"/>
      <c r="CG34" s="650"/>
      <c r="CH34" s="650"/>
      <c r="CI34" s="650"/>
      <c r="CJ34" s="650"/>
      <c r="CK34" s="650"/>
      <c r="CL34" s="650"/>
      <c r="CM34" s="650"/>
      <c r="CN34" s="650"/>
      <c r="CO34" s="650"/>
      <c r="CP34" s="650"/>
      <c r="CQ34" s="650"/>
      <c r="CR34" s="650"/>
      <c r="CS34" s="650"/>
      <c r="CT34" s="650"/>
      <c r="CU34" s="650"/>
      <c r="CV34" s="650"/>
      <c r="CW34" s="650"/>
      <c r="CX34" s="650"/>
      <c r="CY34" s="650"/>
      <c r="CZ34" s="650"/>
      <c r="DA34" s="650"/>
      <c r="DB34" s="650"/>
      <c r="DC34" s="650"/>
      <c r="DD34" s="650"/>
      <c r="DE34" s="650"/>
      <c r="DF34" s="650"/>
      <c r="DG34" s="650"/>
      <c r="DH34" s="650"/>
      <c r="DI34" s="650"/>
      <c r="DJ34" s="650"/>
      <c r="DK34" s="650"/>
      <c r="DL34" s="650"/>
      <c r="DM34" s="650"/>
      <c r="DN34" s="650"/>
      <c r="DO34" s="650"/>
      <c r="DP34" s="650"/>
      <c r="DQ34" s="650"/>
      <c r="DR34" s="650"/>
      <c r="DS34" s="650"/>
      <c r="DT34" s="650"/>
      <c r="DU34" s="650"/>
      <c r="DV34" s="650"/>
      <c r="DW34" s="650"/>
      <c r="DX34" s="650"/>
      <c r="DY34" s="650"/>
      <c r="DZ34" s="650"/>
      <c r="EA34" s="650"/>
      <c r="EB34" s="650"/>
      <c r="EC34" s="650"/>
      <c r="ED34" s="650"/>
      <c r="EE34" s="650"/>
      <c r="EF34" s="650"/>
      <c r="EG34" s="650"/>
      <c r="EH34" s="650"/>
      <c r="EI34" s="650"/>
      <c r="EJ34" s="650"/>
      <c r="EK34" s="650"/>
      <c r="EL34" s="650"/>
      <c r="EM34" s="650"/>
      <c r="EN34" s="650"/>
      <c r="EO34" s="650"/>
      <c r="EP34" s="650"/>
      <c r="EQ34" s="650"/>
      <c r="ER34" s="650"/>
      <c r="ES34" s="650"/>
      <c r="ET34" s="650"/>
      <c r="EU34" s="650"/>
      <c r="EV34" s="650"/>
      <c r="EW34" s="650"/>
      <c r="EX34" s="650"/>
      <c r="EY34" s="650"/>
      <c r="EZ34" s="650"/>
      <c r="FA34" s="650"/>
      <c r="FB34" s="650"/>
      <c r="FC34" s="650"/>
      <c r="FD34" s="650"/>
      <c r="FE34" s="650"/>
      <c r="FF34" s="650"/>
      <c r="FG34" s="650"/>
      <c r="FH34" s="650"/>
      <c r="FI34" s="650"/>
      <c r="FJ34" s="650"/>
      <c r="FK34" s="650"/>
      <c r="FL34" s="650"/>
      <c r="FM34" s="650"/>
      <c r="FN34" s="650"/>
      <c r="FO34" s="650"/>
      <c r="FP34" s="650"/>
      <c r="FQ34" s="650"/>
      <c r="FR34" s="650"/>
      <c r="FS34" s="650"/>
      <c r="FT34" s="650"/>
      <c r="FU34" s="650"/>
      <c r="FV34" s="650"/>
      <c r="FW34" s="650"/>
      <c r="FX34" s="650"/>
      <c r="FY34" s="650"/>
      <c r="FZ34" s="650"/>
      <c r="GA34" s="650"/>
      <c r="GB34" s="650"/>
      <c r="GC34" s="650"/>
      <c r="GD34" s="650"/>
      <c r="GE34" s="650"/>
      <c r="GF34" s="650"/>
      <c r="GG34" s="650"/>
      <c r="GH34" s="650"/>
      <c r="GI34" s="650"/>
      <c r="GJ34" s="650"/>
      <c r="GK34" s="650"/>
      <c r="GL34" s="650"/>
      <c r="GM34" s="650"/>
      <c r="GN34" s="650"/>
      <c r="GO34" s="650"/>
      <c r="GP34" s="650"/>
      <c r="GQ34" s="668"/>
      <c r="GR34" s="668"/>
      <c r="GS34" s="668"/>
      <c r="GT34" s="668"/>
      <c r="GU34" s="668"/>
      <c r="GV34" s="668"/>
      <c r="GW34" s="669"/>
    </row>
    <row r="35" spans="1:205" ht="9" customHeight="1" x14ac:dyDescent="0.25">
      <c r="B35" s="650"/>
      <c r="C35" s="650"/>
      <c r="D35" s="650"/>
      <c r="E35" s="650"/>
      <c r="F35" s="650"/>
      <c r="G35" s="650"/>
      <c r="H35" s="650"/>
      <c r="I35" s="650"/>
      <c r="J35" s="650"/>
      <c r="K35" s="650"/>
      <c r="L35" s="650"/>
      <c r="M35" s="650"/>
      <c r="N35" s="650"/>
      <c r="O35" s="650"/>
      <c r="P35" s="650"/>
      <c r="Q35" s="650"/>
      <c r="R35" s="650"/>
      <c r="S35" s="650"/>
      <c r="T35" s="650"/>
      <c r="U35" s="650"/>
      <c r="V35" s="650"/>
      <c r="W35" s="650"/>
      <c r="X35" s="650"/>
      <c r="Y35" s="650"/>
      <c r="Z35" s="650"/>
      <c r="AA35" s="650"/>
      <c r="AB35" s="650"/>
      <c r="AC35" s="650"/>
      <c r="AD35" s="650"/>
      <c r="AE35" s="650"/>
      <c r="AF35" s="650"/>
      <c r="AG35" s="650"/>
      <c r="AH35" s="650"/>
      <c r="AI35" s="650"/>
      <c r="AJ35" s="650"/>
      <c r="AK35" s="650"/>
      <c r="AL35" s="650"/>
      <c r="AM35" s="650"/>
      <c r="AN35" s="650"/>
      <c r="AO35" s="650"/>
      <c r="AP35" s="650"/>
      <c r="AQ35" s="650"/>
      <c r="AR35" s="650"/>
      <c r="AS35" s="650"/>
      <c r="AT35" s="650"/>
      <c r="AU35" s="650"/>
      <c r="AV35" s="650"/>
      <c r="AW35" s="650"/>
      <c r="AX35" s="650"/>
      <c r="AY35" s="650"/>
      <c r="AZ35" s="650"/>
      <c r="BA35" s="650"/>
      <c r="BB35" s="650"/>
      <c r="BC35" s="650"/>
      <c r="BD35" s="650"/>
      <c r="BE35" s="650"/>
      <c r="BF35" s="650"/>
      <c r="BG35" s="650"/>
      <c r="BH35" s="650"/>
      <c r="BI35" s="650"/>
      <c r="BJ35" s="650"/>
      <c r="BK35" s="650"/>
      <c r="BL35" s="650"/>
      <c r="BM35" s="650"/>
      <c r="BN35" s="650"/>
      <c r="BO35" s="650"/>
      <c r="BP35" s="650"/>
      <c r="BQ35" s="650"/>
      <c r="BR35" s="650"/>
      <c r="BS35" s="650"/>
      <c r="BT35" s="650"/>
      <c r="BU35" s="650"/>
      <c r="BV35" s="650"/>
      <c r="BW35" s="650"/>
      <c r="BX35" s="650"/>
      <c r="BY35" s="650"/>
      <c r="BZ35" s="650"/>
      <c r="CA35" s="650"/>
      <c r="CB35" s="650"/>
      <c r="CC35" s="650"/>
      <c r="CD35" s="650"/>
      <c r="CE35" s="650"/>
      <c r="CF35" s="650"/>
      <c r="CG35" s="650"/>
      <c r="CH35" s="650"/>
      <c r="CI35" s="650"/>
      <c r="CJ35" s="650"/>
      <c r="CK35" s="650"/>
      <c r="CL35" s="650"/>
      <c r="CM35" s="650"/>
      <c r="CN35" s="650"/>
      <c r="CO35" s="650"/>
      <c r="CP35" s="650"/>
      <c r="CQ35" s="650"/>
      <c r="CR35" s="650"/>
      <c r="CS35" s="650"/>
      <c r="CT35" s="650"/>
      <c r="CU35" s="650"/>
      <c r="CV35" s="650"/>
      <c r="CW35" s="650"/>
      <c r="CX35" s="650"/>
      <c r="CY35" s="650"/>
      <c r="CZ35" s="650"/>
      <c r="DA35" s="650"/>
      <c r="DB35" s="650"/>
      <c r="DC35" s="650"/>
      <c r="DD35" s="650"/>
      <c r="DE35" s="650"/>
      <c r="DF35" s="650"/>
      <c r="DG35" s="650"/>
      <c r="DH35" s="650"/>
      <c r="DI35" s="650"/>
      <c r="DJ35" s="650"/>
      <c r="DK35" s="650"/>
      <c r="DL35" s="650"/>
      <c r="DM35" s="650"/>
      <c r="DN35" s="650"/>
      <c r="DO35" s="650"/>
      <c r="DP35" s="650"/>
      <c r="DQ35" s="650"/>
      <c r="DR35" s="650"/>
      <c r="DS35" s="650"/>
      <c r="DT35" s="650"/>
      <c r="DU35" s="650"/>
      <c r="DV35" s="650"/>
      <c r="DW35" s="650"/>
      <c r="DX35" s="650"/>
      <c r="DY35" s="650"/>
      <c r="DZ35" s="650"/>
      <c r="EA35" s="650"/>
      <c r="EB35" s="650"/>
      <c r="EC35" s="650"/>
      <c r="ED35" s="650"/>
      <c r="EE35" s="650"/>
      <c r="EF35" s="650"/>
      <c r="EG35" s="650"/>
      <c r="EH35" s="650"/>
      <c r="EI35" s="650"/>
      <c r="EJ35" s="650"/>
      <c r="EK35" s="650"/>
      <c r="EL35" s="650"/>
      <c r="EM35" s="650"/>
      <c r="EN35" s="650"/>
      <c r="EO35" s="650"/>
      <c r="EP35" s="650"/>
      <c r="EQ35" s="650"/>
      <c r="ER35" s="650"/>
      <c r="ES35" s="650"/>
      <c r="ET35" s="650"/>
      <c r="EU35" s="650"/>
      <c r="EV35" s="650"/>
      <c r="EW35" s="650"/>
      <c r="EX35" s="650"/>
      <c r="EY35" s="650"/>
      <c r="EZ35" s="650"/>
      <c r="FA35" s="650"/>
      <c r="FB35" s="650"/>
      <c r="FC35" s="650"/>
      <c r="FD35" s="650"/>
      <c r="FE35" s="650"/>
      <c r="FF35" s="650"/>
      <c r="FG35" s="650"/>
      <c r="FH35" s="650"/>
      <c r="FI35" s="650"/>
      <c r="FJ35" s="650"/>
      <c r="FK35" s="650"/>
      <c r="FL35" s="650"/>
      <c r="FM35" s="650"/>
      <c r="FN35" s="650"/>
      <c r="FO35" s="650"/>
      <c r="FP35" s="650"/>
      <c r="FQ35" s="650"/>
      <c r="FR35" s="650"/>
      <c r="FS35" s="650"/>
      <c r="FT35" s="650"/>
      <c r="FU35" s="650"/>
      <c r="FV35" s="650"/>
      <c r="FW35" s="650"/>
      <c r="FX35" s="650"/>
      <c r="FY35" s="650"/>
      <c r="FZ35" s="650"/>
      <c r="GA35" s="650"/>
      <c r="GB35" s="650"/>
      <c r="GC35" s="650"/>
      <c r="GD35" s="650"/>
      <c r="GE35" s="650"/>
      <c r="GF35" s="650"/>
      <c r="GG35" s="650"/>
      <c r="GH35" s="650"/>
      <c r="GI35" s="650"/>
      <c r="GJ35" s="650"/>
      <c r="GK35" s="650"/>
      <c r="GL35" s="650"/>
      <c r="GM35" s="650"/>
      <c r="GN35" s="650"/>
      <c r="GO35" s="650"/>
      <c r="GP35" s="650"/>
      <c r="GQ35" s="650"/>
      <c r="GR35" s="650"/>
      <c r="GS35" s="650"/>
      <c r="GT35" s="650"/>
      <c r="GU35" s="650"/>
    </row>
    <row r="36" spans="1:205" ht="3.75" customHeight="1" x14ac:dyDescent="0.25">
      <c r="B36" s="650"/>
      <c r="C36" s="650"/>
      <c r="D36" s="650"/>
      <c r="E36" s="650"/>
      <c r="F36" s="650"/>
      <c r="G36" s="650"/>
      <c r="H36" s="650"/>
      <c r="I36" s="650"/>
      <c r="J36" s="650"/>
      <c r="K36" s="650"/>
      <c r="L36" s="650"/>
      <c r="M36" s="650"/>
      <c r="N36" s="650"/>
      <c r="O36" s="650"/>
      <c r="P36" s="650"/>
      <c r="Q36" s="650"/>
      <c r="R36" s="650"/>
      <c r="S36" s="650"/>
      <c r="T36" s="650"/>
      <c r="U36" s="650"/>
      <c r="V36" s="650"/>
      <c r="W36" s="650"/>
      <c r="X36" s="650"/>
      <c r="Y36" s="650"/>
      <c r="Z36" s="650"/>
      <c r="AA36" s="650"/>
      <c r="AB36" s="650"/>
      <c r="AC36" s="650"/>
      <c r="AD36" s="650"/>
      <c r="AE36" s="650"/>
      <c r="AF36" s="650"/>
      <c r="AG36" s="650"/>
      <c r="AH36" s="650"/>
      <c r="AI36" s="650"/>
      <c r="AJ36" s="650"/>
      <c r="AK36" s="650"/>
      <c r="AL36" s="650"/>
      <c r="AM36" s="650"/>
      <c r="AN36" s="650"/>
      <c r="AO36" s="650"/>
      <c r="AP36" s="650"/>
      <c r="AQ36" s="650"/>
      <c r="AR36" s="650"/>
      <c r="AS36" s="650"/>
      <c r="AT36" s="650"/>
      <c r="AU36" s="650"/>
      <c r="AV36" s="650"/>
      <c r="AW36" s="650"/>
      <c r="AX36" s="650"/>
      <c r="AY36" s="650"/>
      <c r="AZ36" s="650"/>
      <c r="BA36" s="650"/>
      <c r="BB36" s="650"/>
      <c r="BC36" s="650"/>
      <c r="BD36" s="650"/>
      <c r="BE36" s="650"/>
      <c r="BF36" s="650"/>
      <c r="BG36" s="650"/>
      <c r="BH36" s="650"/>
      <c r="BI36" s="650"/>
      <c r="BJ36" s="650"/>
      <c r="BK36" s="650"/>
      <c r="BL36" s="650"/>
      <c r="BM36" s="650"/>
      <c r="BN36" s="650"/>
      <c r="BO36" s="650"/>
      <c r="BP36" s="650"/>
      <c r="BQ36" s="650"/>
      <c r="BR36" s="650"/>
      <c r="BS36" s="650"/>
      <c r="BT36" s="650"/>
      <c r="BU36" s="650"/>
      <c r="BV36" s="650"/>
      <c r="BW36" s="650"/>
      <c r="BX36" s="650"/>
      <c r="BY36" s="650"/>
      <c r="BZ36" s="650"/>
      <c r="CA36" s="650"/>
      <c r="CB36" s="650"/>
      <c r="CC36" s="650"/>
      <c r="CD36" s="650"/>
      <c r="CE36" s="650"/>
      <c r="CF36" s="650"/>
      <c r="CG36" s="650"/>
      <c r="CH36" s="650"/>
      <c r="CI36" s="650"/>
      <c r="CJ36" s="650"/>
      <c r="CK36" s="650"/>
      <c r="CL36" s="650"/>
      <c r="CM36" s="650"/>
      <c r="CN36" s="650"/>
      <c r="CO36" s="650"/>
      <c r="CP36" s="650"/>
      <c r="CQ36" s="650"/>
      <c r="CR36" s="650"/>
      <c r="CS36" s="650"/>
      <c r="CT36" s="650"/>
      <c r="CU36" s="650"/>
      <c r="CV36" s="650"/>
      <c r="CW36" s="650"/>
      <c r="CX36" s="650"/>
      <c r="CY36" s="650"/>
      <c r="CZ36" s="650"/>
      <c r="DA36" s="650"/>
      <c r="DB36" s="650"/>
      <c r="DC36" s="650"/>
      <c r="DD36" s="650"/>
      <c r="DE36" s="650"/>
      <c r="DF36" s="650"/>
      <c r="DG36" s="650"/>
      <c r="DH36" s="650"/>
      <c r="DI36" s="650"/>
      <c r="DJ36" s="650"/>
      <c r="DK36" s="650"/>
      <c r="DL36" s="650"/>
      <c r="DM36" s="650"/>
      <c r="DN36" s="650"/>
      <c r="DO36" s="650"/>
      <c r="DP36" s="650"/>
      <c r="DQ36" s="650"/>
      <c r="DR36" s="650"/>
      <c r="DS36" s="650"/>
      <c r="DT36" s="650"/>
      <c r="DU36" s="650"/>
      <c r="DV36" s="650"/>
      <c r="DW36" s="650"/>
      <c r="DX36" s="650"/>
      <c r="DY36" s="650"/>
      <c r="DZ36" s="650"/>
      <c r="EA36" s="650"/>
      <c r="EB36" s="650"/>
      <c r="EC36" s="650"/>
      <c r="ED36" s="650"/>
      <c r="EE36" s="650"/>
      <c r="EF36" s="650"/>
      <c r="EG36" s="650"/>
      <c r="EH36" s="650"/>
      <c r="EI36" s="650"/>
      <c r="EJ36" s="650"/>
      <c r="EK36" s="650"/>
      <c r="EL36" s="650"/>
      <c r="EM36" s="650"/>
      <c r="EN36" s="650"/>
      <c r="EO36" s="650"/>
      <c r="EP36" s="650"/>
      <c r="EQ36" s="650"/>
      <c r="ER36" s="650"/>
      <c r="ES36" s="650"/>
      <c r="ET36" s="650"/>
      <c r="EU36" s="650"/>
      <c r="EV36" s="650"/>
      <c r="EW36" s="650"/>
      <c r="EX36" s="650"/>
      <c r="EY36" s="650"/>
      <c r="EZ36" s="650"/>
      <c r="FA36" s="650"/>
      <c r="FB36" s="650"/>
      <c r="FC36" s="650"/>
      <c r="FD36" s="650"/>
      <c r="FE36" s="650"/>
      <c r="FF36" s="650"/>
      <c r="FG36" s="650"/>
      <c r="FH36" s="650"/>
      <c r="FI36" s="650"/>
      <c r="FJ36" s="650"/>
      <c r="FK36" s="650"/>
      <c r="FL36" s="650"/>
      <c r="FM36" s="650"/>
      <c r="FN36" s="650"/>
      <c r="FO36" s="650"/>
      <c r="FP36" s="650"/>
      <c r="FQ36" s="650"/>
      <c r="FR36" s="650"/>
      <c r="FS36" s="650"/>
      <c r="FT36" s="650"/>
      <c r="FU36" s="650"/>
      <c r="FV36" s="650"/>
      <c r="FW36" s="650"/>
      <c r="FX36" s="650"/>
      <c r="FY36" s="650"/>
      <c r="FZ36" s="650"/>
      <c r="GA36" s="650"/>
      <c r="GB36" s="650"/>
      <c r="GC36" s="650"/>
      <c r="GD36" s="650"/>
      <c r="GE36" s="650"/>
      <c r="GF36" s="650"/>
      <c r="GG36" s="650"/>
      <c r="GH36" s="650"/>
      <c r="GI36" s="650"/>
      <c r="GJ36" s="650"/>
      <c r="GK36" s="650"/>
      <c r="GL36" s="650"/>
      <c r="GM36" s="650"/>
      <c r="GN36" s="650"/>
      <c r="GO36" s="650"/>
      <c r="GP36" s="650"/>
      <c r="GQ36" s="650"/>
      <c r="GR36" s="650"/>
      <c r="GS36" s="650"/>
      <c r="GT36" s="650"/>
      <c r="GU36" s="650"/>
    </row>
    <row r="37" spans="1:205" ht="3.75" customHeight="1" x14ac:dyDescent="0.25"/>
    <row r="38" spans="1:205" ht="3.75" customHeight="1" x14ac:dyDescent="0.25"/>
    <row r="39" spans="1:205" ht="3.75" customHeight="1" x14ac:dyDescent="0.25"/>
    <row r="40" spans="1:205" ht="3.75" customHeight="1" x14ac:dyDescent="0.25"/>
    <row r="41" spans="1:205" ht="3.75" customHeight="1" x14ac:dyDescent="0.25"/>
    <row r="42" spans="1:205" ht="3.75" customHeight="1" x14ac:dyDescent="0.25"/>
    <row r="43" spans="1:205" ht="3.75" customHeight="1" x14ac:dyDescent="0.25"/>
    <row r="44" spans="1:205" ht="3.75" customHeight="1" x14ac:dyDescent="0.25"/>
    <row r="45" spans="1:205" ht="3.75" customHeight="1" x14ac:dyDescent="0.25"/>
    <row r="46" spans="1:205" ht="3.75" customHeight="1" x14ac:dyDescent="0.25"/>
    <row r="47" spans="1:205" ht="3.75" customHeight="1" x14ac:dyDescent="0.25"/>
    <row r="48" spans="1:205" ht="3.75" customHeight="1" x14ac:dyDescent="0.25"/>
    <row r="49" spans="43:43" ht="3.75" customHeight="1" x14ac:dyDescent="0.25"/>
    <row r="50" spans="43:43" ht="3.75" customHeight="1" x14ac:dyDescent="0.25"/>
    <row r="51" spans="43:43" ht="3.75" customHeight="1" x14ac:dyDescent="0.25"/>
    <row r="52" spans="43:43" ht="3.75" customHeight="1" x14ac:dyDescent="0.25">
      <c r="AQ52" s="659">
        <v>57</v>
      </c>
    </row>
    <row r="53" spans="43:43" ht="3.75" customHeight="1" x14ac:dyDescent="0.25"/>
    <row r="54" spans="43:43" ht="3.75" customHeight="1" x14ac:dyDescent="0.25"/>
    <row r="55" spans="43:43" ht="3.75" customHeight="1" x14ac:dyDescent="0.25"/>
    <row r="56" spans="43:43" ht="3.75" customHeight="1" x14ac:dyDescent="0.25"/>
    <row r="57" spans="43:43" ht="3.75" customHeight="1" x14ac:dyDescent="0.25"/>
    <row r="58" spans="43:43" ht="3.75" customHeight="1" x14ac:dyDescent="0.25"/>
    <row r="59" spans="43:43" ht="3.75" customHeight="1" x14ac:dyDescent="0.25"/>
    <row r="60" spans="43:43" ht="3.75" customHeight="1" x14ac:dyDescent="0.25"/>
    <row r="61" spans="43:43" ht="3.75" customHeight="1" x14ac:dyDescent="0.25"/>
    <row r="62" spans="43:43" ht="3.75" customHeight="1" x14ac:dyDescent="0.25"/>
    <row r="63" spans="43:43" ht="3.75" customHeight="1" x14ac:dyDescent="0.25"/>
    <row r="64" spans="43:43" ht="3.75" customHeight="1" x14ac:dyDescent="0.25"/>
    <row r="65" ht="3.75" customHeight="1" x14ac:dyDescent="0.25"/>
    <row r="66" ht="3.75" customHeight="1" x14ac:dyDescent="0.25"/>
    <row r="67" ht="3.75" customHeight="1" x14ac:dyDescent="0.25"/>
    <row r="68" ht="3.75" customHeight="1" x14ac:dyDescent="0.25"/>
    <row r="69" ht="3.75" customHeight="1" x14ac:dyDescent="0.25"/>
    <row r="70" ht="3.75" customHeight="1" x14ac:dyDescent="0.25"/>
    <row r="71" ht="3.75" customHeight="1" x14ac:dyDescent="0.25"/>
    <row r="72" ht="3.75" customHeight="1" x14ac:dyDescent="0.25"/>
    <row r="73" ht="3.75" customHeight="1" x14ac:dyDescent="0.25"/>
    <row r="74" ht="3.75" customHeight="1" x14ac:dyDescent="0.25"/>
    <row r="75" ht="3.75" customHeight="1" x14ac:dyDescent="0.25"/>
    <row r="76" ht="3.75" customHeight="1" x14ac:dyDescent="0.25"/>
    <row r="77" ht="3.75" customHeight="1" x14ac:dyDescent="0.25"/>
    <row r="78" ht="3.75" customHeight="1" x14ac:dyDescent="0.25"/>
    <row r="79" ht="3.75" customHeight="1" x14ac:dyDescent="0.25"/>
    <row r="80" ht="3.75" customHeight="1" x14ac:dyDescent="0.25"/>
    <row r="81" ht="3.75" customHeight="1" x14ac:dyDescent="0.25"/>
    <row r="82" ht="3.75" customHeight="1" x14ac:dyDescent="0.25"/>
    <row r="83" ht="3.75" customHeight="1" x14ac:dyDescent="0.25"/>
    <row r="84" ht="3.75" customHeight="1" x14ac:dyDescent="0.25"/>
    <row r="85" ht="3.75" customHeight="1" x14ac:dyDescent="0.25"/>
    <row r="86" ht="3.75" customHeight="1" x14ac:dyDescent="0.25"/>
    <row r="87" ht="3.75" customHeight="1" x14ac:dyDescent="0.25"/>
    <row r="88" ht="3.75" customHeight="1" x14ac:dyDescent="0.25"/>
    <row r="89" ht="3.75" customHeight="1" x14ac:dyDescent="0.25"/>
    <row r="90" ht="3.75" customHeight="1" x14ac:dyDescent="0.25"/>
    <row r="91" ht="3.75" customHeight="1" x14ac:dyDescent="0.25"/>
    <row r="92" ht="3.75" customHeight="1" x14ac:dyDescent="0.25"/>
    <row r="93" ht="3.75" customHeight="1" x14ac:dyDescent="0.25"/>
    <row r="94" ht="3.75" customHeight="1" x14ac:dyDescent="0.25"/>
    <row r="95" ht="3.75" customHeight="1" x14ac:dyDescent="0.25"/>
    <row r="96" ht="3.75" customHeight="1" x14ac:dyDescent="0.25"/>
    <row r="97" ht="3.75" customHeight="1" x14ac:dyDescent="0.25"/>
    <row r="98" ht="3.75" customHeight="1" x14ac:dyDescent="0.25"/>
    <row r="99" ht="3.75" customHeight="1" x14ac:dyDescent="0.25"/>
    <row r="100" ht="3.75" customHeight="1" x14ac:dyDescent="0.25"/>
    <row r="101" ht="3.75" customHeight="1" x14ac:dyDescent="0.25"/>
    <row r="102" ht="3.75" customHeight="1" x14ac:dyDescent="0.25"/>
    <row r="103" ht="3.75" customHeight="1" x14ac:dyDescent="0.25"/>
    <row r="104" ht="3.75" customHeight="1" x14ac:dyDescent="0.25"/>
    <row r="105" ht="3.75" customHeight="1" x14ac:dyDescent="0.25"/>
    <row r="106" ht="3.75" customHeight="1" x14ac:dyDescent="0.25"/>
    <row r="107" ht="3.75" customHeight="1" x14ac:dyDescent="0.25"/>
    <row r="108" ht="3.75" customHeight="1" x14ac:dyDescent="0.25"/>
    <row r="109" ht="3.75" customHeight="1" x14ac:dyDescent="0.25"/>
    <row r="110" ht="3.75" customHeight="1" x14ac:dyDescent="0.25"/>
    <row r="111" ht="3.75" customHeight="1" x14ac:dyDescent="0.25"/>
    <row r="112" ht="3.75" customHeight="1" x14ac:dyDescent="0.25"/>
    <row r="113" ht="3.75" customHeight="1" x14ac:dyDescent="0.25"/>
    <row r="114" ht="3.75" customHeight="1" x14ac:dyDescent="0.25"/>
    <row r="115" ht="3.75" customHeight="1" x14ac:dyDescent="0.25"/>
    <row r="116" ht="3.75" customHeight="1" x14ac:dyDescent="0.25"/>
    <row r="117" ht="3.75" customHeight="1" x14ac:dyDescent="0.25"/>
    <row r="118" ht="3.75" customHeight="1" x14ac:dyDescent="0.25"/>
    <row r="119" ht="3.75" customHeight="1" x14ac:dyDescent="0.25"/>
    <row r="120" ht="3.75" customHeight="1" x14ac:dyDescent="0.25"/>
    <row r="121" ht="3.75" customHeight="1" x14ac:dyDescent="0.25"/>
    <row r="122" ht="3.75" customHeight="1" x14ac:dyDescent="0.25"/>
    <row r="123" ht="3.75" customHeight="1" x14ac:dyDescent="0.25"/>
    <row r="124" ht="3.75" customHeight="1" x14ac:dyDescent="0.25"/>
    <row r="125" ht="3.75" customHeight="1" x14ac:dyDescent="0.25"/>
    <row r="126" ht="3.75" customHeight="1" x14ac:dyDescent="0.25"/>
    <row r="127" ht="3.75" customHeight="1" x14ac:dyDescent="0.25"/>
    <row r="128" ht="3.75" customHeight="1" x14ac:dyDescent="0.25"/>
    <row r="129" ht="3.75" customHeight="1" x14ac:dyDescent="0.25"/>
    <row r="130" ht="3.75" customHeight="1" x14ac:dyDescent="0.25"/>
    <row r="131" ht="3.75" customHeight="1" x14ac:dyDescent="0.25"/>
    <row r="132" ht="3.75" customHeight="1" x14ac:dyDescent="0.25"/>
    <row r="133" ht="3.75" customHeight="1" x14ac:dyDescent="0.25"/>
    <row r="134" ht="3.75" customHeight="1" x14ac:dyDescent="0.25"/>
    <row r="135" ht="3.75" customHeight="1" x14ac:dyDescent="0.25"/>
    <row r="136" ht="3.75" customHeight="1" x14ac:dyDescent="0.25"/>
    <row r="137" ht="3.75" customHeight="1" x14ac:dyDescent="0.25"/>
    <row r="138" ht="3.75" customHeight="1" x14ac:dyDescent="0.25"/>
    <row r="139" ht="3.75" customHeight="1" x14ac:dyDescent="0.25"/>
    <row r="140" ht="3.75" customHeight="1" x14ac:dyDescent="0.25"/>
    <row r="141" ht="3.75" customHeight="1" x14ac:dyDescent="0.25"/>
    <row r="142" ht="3.75" customHeight="1" x14ac:dyDescent="0.25"/>
    <row r="143" ht="3.75" customHeight="1" x14ac:dyDescent="0.25"/>
    <row r="144" ht="3.75" customHeight="1" x14ac:dyDescent="0.25"/>
    <row r="145" spans="10:10" ht="3.75" customHeight="1" x14ac:dyDescent="0.25"/>
    <row r="146" spans="10:10" ht="3.75" customHeight="1" x14ac:dyDescent="0.25"/>
    <row r="147" spans="10:10" ht="3.75" customHeight="1" x14ac:dyDescent="0.25">
      <c r="J147" s="659">
        <v>33</v>
      </c>
    </row>
  </sheetData>
  <mergeCells count="709">
    <mergeCell ref="FA33:FF33"/>
    <mergeCell ref="FG33:FK33"/>
    <mergeCell ref="FL33:FQ33"/>
    <mergeCell ref="FR33:FV33"/>
    <mergeCell ref="FW33:GB33"/>
    <mergeCell ref="GC33:GG33"/>
    <mergeCell ref="GH33:GM33"/>
    <mergeCell ref="GN33:GR33"/>
    <mergeCell ref="GS33:GW33"/>
    <mergeCell ref="FG32:FK32"/>
    <mergeCell ref="FL32:FQ32"/>
    <mergeCell ref="FR32:FV32"/>
    <mergeCell ref="FW32:GB32"/>
    <mergeCell ref="GC32:GG32"/>
    <mergeCell ref="GH32:GM32"/>
    <mergeCell ref="GN32:GR32"/>
    <mergeCell ref="GS32:GW32"/>
    <mergeCell ref="B33:K33"/>
    <mergeCell ref="L33:BV33"/>
    <mergeCell ref="BW33:CD33"/>
    <mergeCell ref="CE33:CI33"/>
    <mergeCell ref="CJ33:CO33"/>
    <mergeCell ref="CP33:CT33"/>
    <mergeCell ref="CU33:CZ33"/>
    <mergeCell ref="DA33:DE33"/>
    <mergeCell ref="DF33:DK33"/>
    <mergeCell ref="DL33:DQ33"/>
    <mergeCell ref="DR33:DV33"/>
    <mergeCell ref="DW33:EB33"/>
    <mergeCell ref="EC33:EG33"/>
    <mergeCell ref="EH33:EM33"/>
    <mergeCell ref="EP33:EU33"/>
    <mergeCell ref="EV33:EZ33"/>
    <mergeCell ref="FL31:FQ31"/>
    <mergeCell ref="FR31:FV31"/>
    <mergeCell ref="FW31:GB31"/>
    <mergeCell ref="GC31:GG31"/>
    <mergeCell ref="GH31:GM31"/>
    <mergeCell ref="GN31:GR31"/>
    <mergeCell ref="GS31:GW31"/>
    <mergeCell ref="B32:K32"/>
    <mergeCell ref="L32:BV32"/>
    <mergeCell ref="BW32:CD32"/>
    <mergeCell ref="CE32:CI32"/>
    <mergeCell ref="CJ32:CO32"/>
    <mergeCell ref="CP32:CT32"/>
    <mergeCell ref="CU32:CZ32"/>
    <mergeCell ref="DA32:DE32"/>
    <mergeCell ref="DF32:DK32"/>
    <mergeCell ref="DL32:DQ32"/>
    <mergeCell ref="DR32:DV32"/>
    <mergeCell ref="DW32:EB32"/>
    <mergeCell ref="EC32:EG32"/>
    <mergeCell ref="EH32:EM32"/>
    <mergeCell ref="EP32:EU32"/>
    <mergeCell ref="EV32:EZ32"/>
    <mergeCell ref="FA32:FF32"/>
    <mergeCell ref="DL31:DQ31"/>
    <mergeCell ref="DR31:DV31"/>
    <mergeCell ref="DW31:EB31"/>
    <mergeCell ref="EC31:EG31"/>
    <mergeCell ref="EH31:EM31"/>
    <mergeCell ref="EP31:EU31"/>
    <mergeCell ref="EV31:EZ31"/>
    <mergeCell ref="FA31:FF31"/>
    <mergeCell ref="FG31:FK31"/>
    <mergeCell ref="B31:K31"/>
    <mergeCell ref="L31:BV31"/>
    <mergeCell ref="BW31:CD31"/>
    <mergeCell ref="CE31:CI31"/>
    <mergeCell ref="CJ31:CO31"/>
    <mergeCell ref="CP31:CT31"/>
    <mergeCell ref="CU31:CZ31"/>
    <mergeCell ref="DA31:DE31"/>
    <mergeCell ref="DF31:DK31"/>
    <mergeCell ref="FA30:FF30"/>
    <mergeCell ref="FG30:FK30"/>
    <mergeCell ref="FL30:FQ30"/>
    <mergeCell ref="FR30:FV30"/>
    <mergeCell ref="FW30:GB30"/>
    <mergeCell ref="GC30:GG30"/>
    <mergeCell ref="GH30:GM30"/>
    <mergeCell ref="GN30:GR30"/>
    <mergeCell ref="GS30:GW30"/>
    <mergeCell ref="FG29:FK29"/>
    <mergeCell ref="FL29:FQ29"/>
    <mergeCell ref="FR29:FV29"/>
    <mergeCell ref="FW29:GB29"/>
    <mergeCell ref="GC29:GG29"/>
    <mergeCell ref="GH29:GM29"/>
    <mergeCell ref="GN29:GR29"/>
    <mergeCell ref="GS29:GW29"/>
    <mergeCell ref="B30:K30"/>
    <mergeCell ref="L30:BV30"/>
    <mergeCell ref="BW30:CD30"/>
    <mergeCell ref="CE30:CI30"/>
    <mergeCell ref="CJ30:CO30"/>
    <mergeCell ref="CP30:CT30"/>
    <mergeCell ref="CU30:CZ30"/>
    <mergeCell ref="DA30:DE30"/>
    <mergeCell ref="DF30:DK30"/>
    <mergeCell ref="DL30:DQ30"/>
    <mergeCell ref="DR30:DV30"/>
    <mergeCell ref="DW30:EB30"/>
    <mergeCell ref="EC30:EG30"/>
    <mergeCell ref="EH30:EM30"/>
    <mergeCell ref="EP30:EU30"/>
    <mergeCell ref="EV30:EZ30"/>
    <mergeCell ref="FL28:FQ28"/>
    <mergeCell ref="FR28:FV28"/>
    <mergeCell ref="FW28:GB28"/>
    <mergeCell ref="GC28:GG28"/>
    <mergeCell ref="GH28:GM28"/>
    <mergeCell ref="GN28:GR28"/>
    <mergeCell ref="GS28:GW28"/>
    <mergeCell ref="B29:K29"/>
    <mergeCell ref="L29:BV29"/>
    <mergeCell ref="BW29:CD29"/>
    <mergeCell ref="CE29:CI29"/>
    <mergeCell ref="CJ29:CO29"/>
    <mergeCell ref="CP29:CT29"/>
    <mergeCell ref="CU29:CZ29"/>
    <mergeCell ref="DA29:DE29"/>
    <mergeCell ref="DF29:DK29"/>
    <mergeCell ref="DL29:DQ29"/>
    <mergeCell ref="DR29:DV29"/>
    <mergeCell ref="DW29:EB29"/>
    <mergeCell ref="EC29:EG29"/>
    <mergeCell ref="EH29:EM29"/>
    <mergeCell ref="EP29:EU29"/>
    <mergeCell ref="EV29:EZ29"/>
    <mergeCell ref="FA29:FF29"/>
    <mergeCell ref="DL28:DQ28"/>
    <mergeCell ref="DR28:DV28"/>
    <mergeCell ref="DW28:EB28"/>
    <mergeCell ref="EC28:EG28"/>
    <mergeCell ref="EH28:EM28"/>
    <mergeCell ref="EP28:EU28"/>
    <mergeCell ref="EV28:EZ28"/>
    <mergeCell ref="FA28:FF28"/>
    <mergeCell ref="FG28:FK28"/>
    <mergeCell ref="B28:K28"/>
    <mergeCell ref="L28:BV28"/>
    <mergeCell ref="BW28:CD28"/>
    <mergeCell ref="CE28:CI28"/>
    <mergeCell ref="CJ28:CO28"/>
    <mergeCell ref="CP28:CT28"/>
    <mergeCell ref="CU28:CZ28"/>
    <mergeCell ref="DA28:DE28"/>
    <mergeCell ref="DF28:DK28"/>
    <mergeCell ref="FA27:FF27"/>
    <mergeCell ref="FG27:FK27"/>
    <mergeCell ref="FL27:FQ27"/>
    <mergeCell ref="FR27:FV27"/>
    <mergeCell ref="FW27:GB27"/>
    <mergeCell ref="GC27:GG27"/>
    <mergeCell ref="GH27:GM27"/>
    <mergeCell ref="GN27:GR27"/>
    <mergeCell ref="GS27:GW27"/>
    <mergeCell ref="FG26:FK26"/>
    <mergeCell ref="FL26:FQ26"/>
    <mergeCell ref="FR26:FV26"/>
    <mergeCell ref="FW26:GB26"/>
    <mergeCell ref="GC26:GG26"/>
    <mergeCell ref="GH26:GM26"/>
    <mergeCell ref="GN26:GR26"/>
    <mergeCell ref="GS26:GW26"/>
    <mergeCell ref="B27:K27"/>
    <mergeCell ref="L27:BV27"/>
    <mergeCell ref="BW27:CD27"/>
    <mergeCell ref="CE27:CI27"/>
    <mergeCell ref="CJ27:CO27"/>
    <mergeCell ref="CP27:CT27"/>
    <mergeCell ref="CU27:CZ27"/>
    <mergeCell ref="DA27:DE27"/>
    <mergeCell ref="DF27:DK27"/>
    <mergeCell ref="DL27:DQ27"/>
    <mergeCell ref="DR27:DV27"/>
    <mergeCell ref="DW27:EB27"/>
    <mergeCell ref="EC27:EG27"/>
    <mergeCell ref="EH27:EM27"/>
    <mergeCell ref="EP27:EU27"/>
    <mergeCell ref="EV27:EZ27"/>
    <mergeCell ref="FL25:FQ25"/>
    <mergeCell ref="FR25:FV25"/>
    <mergeCell ref="FW25:GB25"/>
    <mergeCell ref="GC25:GG25"/>
    <mergeCell ref="GH25:GM25"/>
    <mergeCell ref="GN25:GR25"/>
    <mergeCell ref="GS25:GW25"/>
    <mergeCell ref="B26:K26"/>
    <mergeCell ref="L26:BV26"/>
    <mergeCell ref="BW26:CD26"/>
    <mergeCell ref="CE26:CI26"/>
    <mergeCell ref="CJ26:CO26"/>
    <mergeCell ref="CP26:CT26"/>
    <mergeCell ref="CU26:CZ26"/>
    <mergeCell ref="DA26:DE26"/>
    <mergeCell ref="DF26:DK26"/>
    <mergeCell ref="DL26:DQ26"/>
    <mergeCell ref="DR26:DV26"/>
    <mergeCell ref="DW26:EB26"/>
    <mergeCell ref="EC26:EG26"/>
    <mergeCell ref="EH26:EM26"/>
    <mergeCell ref="EP26:EU26"/>
    <mergeCell ref="EV26:EZ26"/>
    <mergeCell ref="FA26:FF26"/>
    <mergeCell ref="DL25:DQ25"/>
    <mergeCell ref="DR25:DV25"/>
    <mergeCell ref="DW25:EB25"/>
    <mergeCell ref="EC25:EG25"/>
    <mergeCell ref="EH25:EM25"/>
    <mergeCell ref="EP25:EU25"/>
    <mergeCell ref="EV25:EZ25"/>
    <mergeCell ref="FA25:FF25"/>
    <mergeCell ref="FG25:FK25"/>
    <mergeCell ref="B25:K25"/>
    <mergeCell ref="L25:BV25"/>
    <mergeCell ref="BW25:CD25"/>
    <mergeCell ref="CE25:CI25"/>
    <mergeCell ref="CJ25:CO25"/>
    <mergeCell ref="CP25:CT25"/>
    <mergeCell ref="CU25:CZ25"/>
    <mergeCell ref="DA25:DE25"/>
    <mergeCell ref="DF25:DK25"/>
    <mergeCell ref="FA24:FF24"/>
    <mergeCell ref="FG24:FK24"/>
    <mergeCell ref="FL24:FQ24"/>
    <mergeCell ref="FR24:FV24"/>
    <mergeCell ref="FW24:GB24"/>
    <mergeCell ref="GC24:GG24"/>
    <mergeCell ref="GH24:GM24"/>
    <mergeCell ref="GN24:GR24"/>
    <mergeCell ref="GS24:GW24"/>
    <mergeCell ref="FG23:FK23"/>
    <mergeCell ref="FL23:FQ23"/>
    <mergeCell ref="FR23:FV23"/>
    <mergeCell ref="FW23:GB23"/>
    <mergeCell ref="GC23:GG23"/>
    <mergeCell ref="GH23:GM23"/>
    <mergeCell ref="GN23:GR23"/>
    <mergeCell ref="GS23:GW23"/>
    <mergeCell ref="B24:K24"/>
    <mergeCell ref="L24:BV24"/>
    <mergeCell ref="BW24:CD24"/>
    <mergeCell ref="CE24:CI24"/>
    <mergeCell ref="CJ24:CO24"/>
    <mergeCell ref="CP24:CT24"/>
    <mergeCell ref="CU24:CZ24"/>
    <mergeCell ref="DA24:DE24"/>
    <mergeCell ref="DF24:DK24"/>
    <mergeCell ref="DL24:DQ24"/>
    <mergeCell ref="DR24:DV24"/>
    <mergeCell ref="DW24:EB24"/>
    <mergeCell ref="EC24:EG24"/>
    <mergeCell ref="EH24:EM24"/>
    <mergeCell ref="EP24:EU24"/>
    <mergeCell ref="EV24:EZ24"/>
    <mergeCell ref="FL22:FQ22"/>
    <mergeCell ref="FR22:FV22"/>
    <mergeCell ref="FW22:GB22"/>
    <mergeCell ref="GC22:GG22"/>
    <mergeCell ref="GH22:GM22"/>
    <mergeCell ref="GN22:GR22"/>
    <mergeCell ref="GS22:GW22"/>
    <mergeCell ref="B23:K23"/>
    <mergeCell ref="L23:BV23"/>
    <mergeCell ref="BW23:CD23"/>
    <mergeCell ref="CE23:CI23"/>
    <mergeCell ref="CJ23:CO23"/>
    <mergeCell ref="CP23:CT23"/>
    <mergeCell ref="CU23:CZ23"/>
    <mergeCell ref="DA23:DE23"/>
    <mergeCell ref="DF23:DK23"/>
    <mergeCell ref="DL23:DQ23"/>
    <mergeCell ref="DR23:DV23"/>
    <mergeCell ref="DW23:EB23"/>
    <mergeCell ref="EC23:EG23"/>
    <mergeCell ref="EH23:EM23"/>
    <mergeCell ref="EP23:EU23"/>
    <mergeCell ref="EV23:EZ23"/>
    <mergeCell ref="FA23:FF23"/>
    <mergeCell ref="DL22:DQ22"/>
    <mergeCell ref="DR22:DV22"/>
    <mergeCell ref="DW22:EB22"/>
    <mergeCell ref="EC22:EG22"/>
    <mergeCell ref="EH22:EM22"/>
    <mergeCell ref="EP22:EU22"/>
    <mergeCell ref="EV22:EZ22"/>
    <mergeCell ref="FA22:FF22"/>
    <mergeCell ref="FG22:FK22"/>
    <mergeCell ref="B22:K22"/>
    <mergeCell ref="L22:BV22"/>
    <mergeCell ref="BW22:CD22"/>
    <mergeCell ref="CE22:CI22"/>
    <mergeCell ref="CJ22:CO22"/>
    <mergeCell ref="CP22:CT22"/>
    <mergeCell ref="CU22:CZ22"/>
    <mergeCell ref="DA22:DE22"/>
    <mergeCell ref="DF22:DK22"/>
    <mergeCell ref="FA21:FF21"/>
    <mergeCell ref="FG21:FK21"/>
    <mergeCell ref="FL21:FQ21"/>
    <mergeCell ref="FR21:FV21"/>
    <mergeCell ref="FW21:GB21"/>
    <mergeCell ref="GC21:GG21"/>
    <mergeCell ref="GH21:GM21"/>
    <mergeCell ref="GN21:GR21"/>
    <mergeCell ref="GS21:GW21"/>
    <mergeCell ref="FG20:FK20"/>
    <mergeCell ref="FL20:FQ20"/>
    <mergeCell ref="FR20:FV20"/>
    <mergeCell ref="FW20:GB20"/>
    <mergeCell ref="GC20:GG20"/>
    <mergeCell ref="GH20:GM20"/>
    <mergeCell ref="GN20:GR20"/>
    <mergeCell ref="GS20:GW20"/>
    <mergeCell ref="B21:K21"/>
    <mergeCell ref="L21:BV21"/>
    <mergeCell ref="BW21:CD21"/>
    <mergeCell ref="CE21:CI21"/>
    <mergeCell ref="CJ21:CO21"/>
    <mergeCell ref="CP21:CT21"/>
    <mergeCell ref="CU21:CZ21"/>
    <mergeCell ref="DA21:DE21"/>
    <mergeCell ref="DF21:DK21"/>
    <mergeCell ref="DL21:DQ21"/>
    <mergeCell ref="DR21:DV21"/>
    <mergeCell ref="DW21:EB21"/>
    <mergeCell ref="EC21:EG21"/>
    <mergeCell ref="EH21:EM21"/>
    <mergeCell ref="EP21:EU21"/>
    <mergeCell ref="EV21:EZ21"/>
    <mergeCell ref="FL19:FQ19"/>
    <mergeCell ref="FR19:FV19"/>
    <mergeCell ref="FW19:GB19"/>
    <mergeCell ref="GC19:GG19"/>
    <mergeCell ref="GH19:GM19"/>
    <mergeCell ref="GN19:GR19"/>
    <mergeCell ref="GS19:GW19"/>
    <mergeCell ref="B20:K20"/>
    <mergeCell ref="L20:BV20"/>
    <mergeCell ref="BW20:CD20"/>
    <mergeCell ref="CE20:CI20"/>
    <mergeCell ref="CJ20:CO20"/>
    <mergeCell ref="CP20:CT20"/>
    <mergeCell ref="CU20:CZ20"/>
    <mergeCell ref="DA20:DE20"/>
    <mergeCell ref="DF20:DK20"/>
    <mergeCell ref="DL20:DQ20"/>
    <mergeCell ref="DR20:DV20"/>
    <mergeCell ref="DW20:EB20"/>
    <mergeCell ref="EC20:EG20"/>
    <mergeCell ref="EH20:EM20"/>
    <mergeCell ref="EP20:EU20"/>
    <mergeCell ref="EV20:EZ20"/>
    <mergeCell ref="FA20:FF20"/>
    <mergeCell ref="DL19:DQ19"/>
    <mergeCell ref="DR19:DV19"/>
    <mergeCell ref="DW19:EB19"/>
    <mergeCell ref="EC19:EG19"/>
    <mergeCell ref="EH19:EM19"/>
    <mergeCell ref="EP19:EU19"/>
    <mergeCell ref="EV19:EZ19"/>
    <mergeCell ref="FA19:FF19"/>
    <mergeCell ref="FG19:FK19"/>
    <mergeCell ref="B19:K19"/>
    <mergeCell ref="L19:BV19"/>
    <mergeCell ref="BW19:CD19"/>
    <mergeCell ref="CE19:CI19"/>
    <mergeCell ref="CJ19:CO19"/>
    <mergeCell ref="CP19:CT19"/>
    <mergeCell ref="CU19:CZ19"/>
    <mergeCell ref="DA19:DE19"/>
    <mergeCell ref="DF19:DK19"/>
    <mergeCell ref="FA18:FF18"/>
    <mergeCell ref="FG18:FK18"/>
    <mergeCell ref="FL18:FQ18"/>
    <mergeCell ref="FR18:FV18"/>
    <mergeCell ref="FW18:GB18"/>
    <mergeCell ref="GC18:GG18"/>
    <mergeCell ref="GH18:GM18"/>
    <mergeCell ref="GN18:GR18"/>
    <mergeCell ref="GS18:GW18"/>
    <mergeCell ref="FG17:FK17"/>
    <mergeCell ref="FL17:FQ17"/>
    <mergeCell ref="FR17:FV17"/>
    <mergeCell ref="FW17:GB17"/>
    <mergeCell ref="GC17:GG17"/>
    <mergeCell ref="GH17:GM17"/>
    <mergeCell ref="GN17:GR17"/>
    <mergeCell ref="GS17:GW17"/>
    <mergeCell ref="B18:K18"/>
    <mergeCell ref="L18:BV18"/>
    <mergeCell ref="BW18:CD18"/>
    <mergeCell ref="CE18:CI18"/>
    <mergeCell ref="CJ18:CO18"/>
    <mergeCell ref="CP18:CT18"/>
    <mergeCell ref="CU18:CZ18"/>
    <mergeCell ref="DA18:DE18"/>
    <mergeCell ref="DF18:DK18"/>
    <mergeCell ref="DL18:DQ18"/>
    <mergeCell ref="DR18:DV18"/>
    <mergeCell ref="DW18:EB18"/>
    <mergeCell ref="EC18:EG18"/>
    <mergeCell ref="EH18:EM18"/>
    <mergeCell ref="EP18:EU18"/>
    <mergeCell ref="EV18:EZ18"/>
    <mergeCell ref="FL16:FQ16"/>
    <mergeCell ref="FR16:FV16"/>
    <mergeCell ref="FW16:GB16"/>
    <mergeCell ref="GC16:GG16"/>
    <mergeCell ref="GH16:GM16"/>
    <mergeCell ref="GN16:GR16"/>
    <mergeCell ref="GS16:GW16"/>
    <mergeCell ref="B17:K17"/>
    <mergeCell ref="L17:BV17"/>
    <mergeCell ref="BW17:CD17"/>
    <mergeCell ref="CE17:CI17"/>
    <mergeCell ref="CJ17:CO17"/>
    <mergeCell ref="CP17:CT17"/>
    <mergeCell ref="CU17:CZ17"/>
    <mergeCell ref="DA17:DE17"/>
    <mergeCell ref="DF17:DK17"/>
    <mergeCell ref="DL17:DQ17"/>
    <mergeCell ref="DR17:DV17"/>
    <mergeCell ref="DW17:EB17"/>
    <mergeCell ref="EC17:EG17"/>
    <mergeCell ref="EH17:EM17"/>
    <mergeCell ref="EP17:EU17"/>
    <mergeCell ref="EV17:EZ17"/>
    <mergeCell ref="FA17:FF17"/>
    <mergeCell ref="DL16:DQ16"/>
    <mergeCell ref="DR16:DV16"/>
    <mergeCell ref="DW16:EB16"/>
    <mergeCell ref="EC16:EG16"/>
    <mergeCell ref="EH16:EM16"/>
    <mergeCell ref="EP16:EU16"/>
    <mergeCell ref="EV16:EZ16"/>
    <mergeCell ref="FA16:FF16"/>
    <mergeCell ref="FG16:FK16"/>
    <mergeCell ref="B16:K16"/>
    <mergeCell ref="L16:BV16"/>
    <mergeCell ref="BW16:CD16"/>
    <mergeCell ref="CE16:CI16"/>
    <mergeCell ref="CJ16:CO16"/>
    <mergeCell ref="CP16:CT16"/>
    <mergeCell ref="CU16:CZ16"/>
    <mergeCell ref="DA16:DE16"/>
    <mergeCell ref="DF16:DK16"/>
    <mergeCell ref="FA15:FF15"/>
    <mergeCell ref="FG15:FK15"/>
    <mergeCell ref="FL15:FQ15"/>
    <mergeCell ref="FR15:FV15"/>
    <mergeCell ref="FW15:GB15"/>
    <mergeCell ref="GC15:GG15"/>
    <mergeCell ref="GH15:GM15"/>
    <mergeCell ref="GN15:GR15"/>
    <mergeCell ref="GS15:GW15"/>
    <mergeCell ref="FG14:FK14"/>
    <mergeCell ref="FL14:FQ14"/>
    <mergeCell ref="FR14:FV14"/>
    <mergeCell ref="FW14:GB14"/>
    <mergeCell ref="GC14:GG14"/>
    <mergeCell ref="GH14:GM14"/>
    <mergeCell ref="GN14:GR14"/>
    <mergeCell ref="GS14:GW14"/>
    <mergeCell ref="B15:K15"/>
    <mergeCell ref="L15:BV15"/>
    <mergeCell ref="BW15:CD15"/>
    <mergeCell ref="CE15:CI15"/>
    <mergeCell ref="CJ15:CO15"/>
    <mergeCell ref="CP15:CT15"/>
    <mergeCell ref="CU15:CZ15"/>
    <mergeCell ref="DA15:DE15"/>
    <mergeCell ref="DF15:DK15"/>
    <mergeCell ref="DL15:DQ15"/>
    <mergeCell ref="DR15:DV15"/>
    <mergeCell ref="DW15:EB15"/>
    <mergeCell ref="EC15:EG15"/>
    <mergeCell ref="EH15:EM15"/>
    <mergeCell ref="EP15:EU15"/>
    <mergeCell ref="EV15:EZ15"/>
    <mergeCell ref="FL13:FQ13"/>
    <mergeCell ref="FR13:FV13"/>
    <mergeCell ref="FW13:GB13"/>
    <mergeCell ref="GC13:GG13"/>
    <mergeCell ref="GH13:GM13"/>
    <mergeCell ref="GN13:GR13"/>
    <mergeCell ref="GS13:GW13"/>
    <mergeCell ref="B14:K14"/>
    <mergeCell ref="L14:BV14"/>
    <mergeCell ref="BW14:CD14"/>
    <mergeCell ref="CE14:CI14"/>
    <mergeCell ref="CJ14:CO14"/>
    <mergeCell ref="CP14:CT14"/>
    <mergeCell ref="CU14:CZ14"/>
    <mergeCell ref="DA14:DE14"/>
    <mergeCell ref="DF14:DK14"/>
    <mergeCell ref="DL14:DQ14"/>
    <mergeCell ref="DR14:DV14"/>
    <mergeCell ref="DW14:EB14"/>
    <mergeCell ref="EC14:EG14"/>
    <mergeCell ref="EH14:EM14"/>
    <mergeCell ref="EP14:EU14"/>
    <mergeCell ref="EV14:EZ14"/>
    <mergeCell ref="FA14:FF14"/>
    <mergeCell ref="DL13:DQ13"/>
    <mergeCell ref="DR13:DV13"/>
    <mergeCell ref="DW13:EB13"/>
    <mergeCell ref="EC13:EG13"/>
    <mergeCell ref="EH13:EM13"/>
    <mergeCell ref="EP13:EU13"/>
    <mergeCell ref="EV13:EZ13"/>
    <mergeCell ref="FA13:FF13"/>
    <mergeCell ref="FG13:FK13"/>
    <mergeCell ref="B13:K13"/>
    <mergeCell ref="L13:BV13"/>
    <mergeCell ref="BW13:CD13"/>
    <mergeCell ref="CE13:CI13"/>
    <mergeCell ref="CJ13:CO13"/>
    <mergeCell ref="CP13:CT13"/>
    <mergeCell ref="CU13:CZ13"/>
    <mergeCell ref="DA13:DE13"/>
    <mergeCell ref="DF13:DK13"/>
    <mergeCell ref="FA12:FF12"/>
    <mergeCell ref="FG12:FK12"/>
    <mergeCell ref="FL12:FQ12"/>
    <mergeCell ref="FR12:FV12"/>
    <mergeCell ref="FW12:GB12"/>
    <mergeCell ref="GC12:GG12"/>
    <mergeCell ref="GH12:GM12"/>
    <mergeCell ref="GN12:GR12"/>
    <mergeCell ref="GS12:GW12"/>
    <mergeCell ref="FG11:FK11"/>
    <mergeCell ref="FL11:FQ11"/>
    <mergeCell ref="FR11:FV11"/>
    <mergeCell ref="FW11:GB11"/>
    <mergeCell ref="GC11:GG11"/>
    <mergeCell ref="GH11:GM11"/>
    <mergeCell ref="GN11:GR11"/>
    <mergeCell ref="GS11:GW11"/>
    <mergeCell ref="B12:K12"/>
    <mergeCell ref="L12:BV12"/>
    <mergeCell ref="BW12:CD12"/>
    <mergeCell ref="CE12:CI12"/>
    <mergeCell ref="CJ12:CO12"/>
    <mergeCell ref="CP12:CT12"/>
    <mergeCell ref="CU12:CZ12"/>
    <mergeCell ref="DA12:DE12"/>
    <mergeCell ref="DF12:DK12"/>
    <mergeCell ref="DL12:DQ12"/>
    <mergeCell ref="DR12:DV12"/>
    <mergeCell ref="DW12:EB12"/>
    <mergeCell ref="EC12:EG12"/>
    <mergeCell ref="EH12:EM12"/>
    <mergeCell ref="EP12:EU12"/>
    <mergeCell ref="EV12:EZ12"/>
    <mergeCell ref="FL10:FQ10"/>
    <mergeCell ref="FR10:FV10"/>
    <mergeCell ref="FW10:GB10"/>
    <mergeCell ref="GC10:GG10"/>
    <mergeCell ref="GH10:GM10"/>
    <mergeCell ref="GN10:GR10"/>
    <mergeCell ref="GS10:GW10"/>
    <mergeCell ref="B11:K11"/>
    <mergeCell ref="L11:BV11"/>
    <mergeCell ref="BW11:CD11"/>
    <mergeCell ref="CE11:CI11"/>
    <mergeCell ref="CJ11:CO11"/>
    <mergeCell ref="CP11:CT11"/>
    <mergeCell ref="CU11:CZ11"/>
    <mergeCell ref="DA11:DE11"/>
    <mergeCell ref="DF11:DK11"/>
    <mergeCell ref="DL11:DQ11"/>
    <mergeCell ref="DR11:DV11"/>
    <mergeCell ref="DW11:EB11"/>
    <mergeCell ref="EC11:EG11"/>
    <mergeCell ref="EH11:EM11"/>
    <mergeCell ref="EP11:EU11"/>
    <mergeCell ref="EV11:EZ11"/>
    <mergeCell ref="FA11:FF11"/>
    <mergeCell ref="DL10:DQ10"/>
    <mergeCell ref="DR10:DV10"/>
    <mergeCell ref="DW10:EB10"/>
    <mergeCell ref="EC10:EG10"/>
    <mergeCell ref="EH10:EM10"/>
    <mergeCell ref="EP10:EU10"/>
    <mergeCell ref="EV10:EZ10"/>
    <mergeCell ref="FA10:FF10"/>
    <mergeCell ref="FG10:FK10"/>
    <mergeCell ref="B10:K10"/>
    <mergeCell ref="L10:BV10"/>
    <mergeCell ref="BW10:CD10"/>
    <mergeCell ref="CE10:CI10"/>
    <mergeCell ref="CJ10:CO10"/>
    <mergeCell ref="CP10:CT10"/>
    <mergeCell ref="CU10:CZ10"/>
    <mergeCell ref="DA10:DE10"/>
    <mergeCell ref="DF10:DK10"/>
    <mergeCell ref="FA9:FF9"/>
    <mergeCell ref="FG9:FK9"/>
    <mergeCell ref="FL9:FQ9"/>
    <mergeCell ref="FR9:FV9"/>
    <mergeCell ref="FW9:GB9"/>
    <mergeCell ref="GC9:GG9"/>
    <mergeCell ref="GH9:GM9"/>
    <mergeCell ref="GN9:GR9"/>
    <mergeCell ref="GS9:GW9"/>
    <mergeCell ref="FG8:FK8"/>
    <mergeCell ref="FL8:FQ8"/>
    <mergeCell ref="FR8:FV8"/>
    <mergeCell ref="FW8:GB8"/>
    <mergeCell ref="GC8:GG8"/>
    <mergeCell ref="GH8:GM8"/>
    <mergeCell ref="GN8:GR8"/>
    <mergeCell ref="GS8:GW8"/>
    <mergeCell ref="B9:K9"/>
    <mergeCell ref="L9:BV9"/>
    <mergeCell ref="BW9:CD9"/>
    <mergeCell ref="CE9:CI9"/>
    <mergeCell ref="CJ9:CO9"/>
    <mergeCell ref="CP9:CT9"/>
    <mergeCell ref="CU9:CZ9"/>
    <mergeCell ref="DA9:DE9"/>
    <mergeCell ref="DF9:DK9"/>
    <mergeCell ref="DL9:DQ9"/>
    <mergeCell ref="DR9:DV9"/>
    <mergeCell ref="DW9:EB9"/>
    <mergeCell ref="EC9:EG9"/>
    <mergeCell ref="EH9:EM9"/>
    <mergeCell ref="EP9:EU9"/>
    <mergeCell ref="EV9:EZ9"/>
    <mergeCell ref="FL7:FQ7"/>
    <mergeCell ref="FR7:FV7"/>
    <mergeCell ref="FW7:GB7"/>
    <mergeCell ref="GC7:GG7"/>
    <mergeCell ref="GH7:GM7"/>
    <mergeCell ref="GN7:GR7"/>
    <mergeCell ref="GS7:GW7"/>
    <mergeCell ref="B8:K8"/>
    <mergeCell ref="L8:BV8"/>
    <mergeCell ref="BW8:CD8"/>
    <mergeCell ref="CE8:CI8"/>
    <mergeCell ref="CJ8:CO8"/>
    <mergeCell ref="CP8:CT8"/>
    <mergeCell ref="CU8:CZ8"/>
    <mergeCell ref="DA8:DE8"/>
    <mergeCell ref="DF8:DK8"/>
    <mergeCell ref="DL8:DQ8"/>
    <mergeCell ref="DR8:DV8"/>
    <mergeCell ref="DW8:EB8"/>
    <mergeCell ref="EC8:EG8"/>
    <mergeCell ref="EH8:EM8"/>
    <mergeCell ref="EP8:EU8"/>
    <mergeCell ref="EV8:EZ8"/>
    <mergeCell ref="FA8:FF8"/>
    <mergeCell ref="DL7:DQ7"/>
    <mergeCell ref="DR7:DV7"/>
    <mergeCell ref="DW7:EB7"/>
    <mergeCell ref="EC7:EG7"/>
    <mergeCell ref="EH7:EM7"/>
    <mergeCell ref="EP7:EU7"/>
    <mergeCell ref="EV7:EZ7"/>
    <mergeCell ref="FA7:FF7"/>
    <mergeCell ref="FG7:FK7"/>
    <mergeCell ref="B7:K7"/>
    <mergeCell ref="L7:BV7"/>
    <mergeCell ref="BW7:CD7"/>
    <mergeCell ref="CE7:CI7"/>
    <mergeCell ref="CJ7:CO7"/>
    <mergeCell ref="CP7:CT7"/>
    <mergeCell ref="CU7:CZ7"/>
    <mergeCell ref="DA7:DE7"/>
    <mergeCell ref="DF7:DK7"/>
    <mergeCell ref="EY4:FC4"/>
    <mergeCell ref="FD4:FI4"/>
    <mergeCell ref="FJ4:FN4"/>
    <mergeCell ref="FO4:FS4"/>
    <mergeCell ref="FT4:GW4"/>
    <mergeCell ref="B5:K6"/>
    <mergeCell ref="L5:BV6"/>
    <mergeCell ref="BW5:CD6"/>
    <mergeCell ref="CE5:GW5"/>
    <mergeCell ref="CE6:EM6"/>
    <mergeCell ref="EN6:GW6"/>
    <mergeCell ref="J2:AJ2"/>
    <mergeCell ref="AK2:AR2"/>
    <mergeCell ref="AT2:CS2"/>
    <mergeCell ref="CW2:DC2"/>
    <mergeCell ref="DE2:EU2"/>
    <mergeCell ref="BA4:BF4"/>
    <mergeCell ref="BG4:BK4"/>
    <mergeCell ref="BL4:BQ4"/>
    <mergeCell ref="BR4:BV4"/>
    <mergeCell ref="BW4:CB4"/>
    <mergeCell ref="CC4:CG4"/>
    <mergeCell ref="CH4:CM4"/>
    <mergeCell ref="CN4:CR4"/>
    <mergeCell ref="CS4:CX4"/>
    <mergeCell ref="CY4:DC4"/>
    <mergeCell ref="DD4:DI4"/>
    <mergeCell ref="DL4:DQ4"/>
    <mergeCell ref="DR4:DV4"/>
    <mergeCell ref="DW4:EB4"/>
    <mergeCell ref="EC4:EG4"/>
    <mergeCell ref="EH4:EM4"/>
    <mergeCell ref="EN4:ER4"/>
    <mergeCell ref="ES4:EX4"/>
  </mergeCells>
  <pageMargins left="0.70833333333333304" right="0.70833333333333304" top="0.78749999999999998" bottom="0.78749999999999998" header="0.51180555555555496" footer="0.51180555555555496"/>
  <pageSetup paperSize="9" firstPageNumber="0" orientation="portrait" horizontalDpi="300" verticalDpi="300"/>
  <rowBreaks count="1" manualBreakCount="1">
    <brk id="34" max="16383" man="1"/>
  </rowBreaks>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1A0B7"/>
  </sheetPr>
  <dimension ref="A1:GW147"/>
  <sheetViews>
    <sheetView zoomScaleNormal="100" workbookViewId="0"/>
  </sheetViews>
  <sheetFormatPr defaultRowHeight="15" x14ac:dyDescent="0.25"/>
  <cols>
    <col min="1" max="1025" width="0.42578125" customWidth="1"/>
  </cols>
  <sheetData>
    <row r="1" spans="1:205" ht="3.75" customHeight="1" x14ac:dyDescent="0.25">
      <c r="A1" s="642"/>
    </row>
    <row r="2" spans="1:205" ht="25.5" customHeight="1" x14ac:dyDescent="0.25">
      <c r="B2" s="643"/>
      <c r="C2" s="644"/>
      <c r="D2" s="644"/>
      <c r="E2" s="644"/>
      <c r="F2" s="644"/>
      <c r="G2" s="644"/>
      <c r="H2" s="644"/>
      <c r="J2" s="957" t="s">
        <v>5357</v>
      </c>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J2" s="957"/>
      <c r="AK2" s="958" t="s">
        <v>2327</v>
      </c>
      <c r="AL2" s="958"/>
      <c r="AM2" s="958"/>
      <c r="AN2" s="958"/>
      <c r="AO2" s="958"/>
      <c r="AP2" s="958"/>
      <c r="AQ2" s="958"/>
      <c r="AR2" s="958"/>
      <c r="AS2" s="645"/>
      <c r="AT2" s="986" t="str">
        <f>'S 002'!$AT$2</f>
        <v>2020473411</v>
      </c>
      <c r="AU2" s="986"/>
      <c r="AV2" s="986"/>
      <c r="AW2" s="986"/>
      <c r="AX2" s="986"/>
      <c r="AY2" s="986"/>
      <c r="AZ2" s="986"/>
      <c r="BA2" s="986"/>
      <c r="BB2" s="986"/>
      <c r="BC2" s="986"/>
      <c r="BD2" s="986"/>
      <c r="BE2" s="986"/>
      <c r="BF2" s="986"/>
      <c r="BG2" s="986"/>
      <c r="BH2" s="986"/>
      <c r="BI2" s="986"/>
      <c r="BJ2" s="986"/>
      <c r="BK2" s="986"/>
      <c r="BL2" s="986"/>
      <c r="BM2" s="986"/>
      <c r="BN2" s="986"/>
      <c r="BO2" s="986"/>
      <c r="BP2" s="986"/>
      <c r="BQ2" s="986"/>
      <c r="BR2" s="986"/>
      <c r="BS2" s="986"/>
      <c r="BT2" s="986"/>
      <c r="BU2" s="986"/>
      <c r="BV2" s="986"/>
      <c r="BW2" s="986"/>
      <c r="BX2" s="986"/>
      <c r="BY2" s="986"/>
      <c r="BZ2" s="986"/>
      <c r="CA2" s="986"/>
      <c r="CB2" s="986"/>
      <c r="CC2" s="986"/>
      <c r="CD2" s="986"/>
      <c r="CE2" s="986"/>
      <c r="CF2" s="986"/>
      <c r="CG2" s="986"/>
      <c r="CH2" s="986"/>
      <c r="CI2" s="986"/>
      <c r="CJ2" s="986"/>
      <c r="CK2" s="986"/>
      <c r="CL2" s="986"/>
      <c r="CM2" s="986"/>
      <c r="CN2" s="986"/>
      <c r="CO2" s="986"/>
      <c r="CP2" s="986"/>
      <c r="CQ2" s="986"/>
      <c r="CR2" s="986"/>
      <c r="CS2" s="986"/>
      <c r="CT2" s="645"/>
      <c r="CU2" s="646"/>
      <c r="CW2" s="958" t="s">
        <v>5</v>
      </c>
      <c r="CX2" s="958"/>
      <c r="CY2" s="958"/>
      <c r="CZ2" s="958"/>
      <c r="DA2" s="958"/>
      <c r="DB2" s="958"/>
      <c r="DC2" s="958"/>
      <c r="DD2" s="645"/>
      <c r="DE2" s="986" t="str">
        <f>'S 002'!$DE$2</f>
        <v>00651052</v>
      </c>
      <c r="DF2" s="986"/>
      <c r="DG2" s="986"/>
      <c r="DH2" s="986"/>
      <c r="DI2" s="986"/>
      <c r="DJ2" s="986"/>
      <c r="DK2" s="986"/>
      <c r="DL2" s="986"/>
      <c r="DM2" s="986"/>
      <c r="DN2" s="986"/>
      <c r="DO2" s="986"/>
      <c r="DP2" s="986"/>
      <c r="DQ2" s="986"/>
      <c r="DR2" s="986"/>
      <c r="DS2" s="986"/>
      <c r="DT2" s="986"/>
      <c r="DU2" s="986"/>
      <c r="DV2" s="986"/>
      <c r="DW2" s="986"/>
      <c r="DX2" s="986"/>
      <c r="DY2" s="986"/>
      <c r="DZ2" s="986"/>
      <c r="EA2" s="986"/>
      <c r="EB2" s="986"/>
      <c r="EC2" s="986"/>
      <c r="ED2" s="986"/>
      <c r="EE2" s="986"/>
      <c r="EF2" s="986"/>
      <c r="EG2" s="986"/>
      <c r="EH2" s="986"/>
      <c r="EI2" s="986"/>
      <c r="EJ2" s="986"/>
      <c r="EK2" s="986"/>
      <c r="EL2" s="986"/>
      <c r="EM2" s="986"/>
      <c r="EN2" s="986"/>
      <c r="EO2" s="986"/>
      <c r="EP2" s="986"/>
      <c r="EQ2" s="986"/>
      <c r="ER2" s="986"/>
      <c r="ES2" s="986"/>
      <c r="ET2" s="986"/>
      <c r="EU2" s="986"/>
      <c r="EV2" s="645"/>
      <c r="EW2" s="646"/>
      <c r="GQ2" s="644"/>
      <c r="GR2" s="644"/>
      <c r="GS2" s="644"/>
      <c r="GT2" s="644"/>
      <c r="GU2" s="644"/>
      <c r="GV2" s="644"/>
      <c r="GW2" s="647"/>
    </row>
    <row r="3" spans="1:205" ht="3" customHeight="1" x14ac:dyDescent="0.25"/>
    <row r="4" spans="1:205" s="650" customFormat="1" ht="2.25" customHeight="1" x14ac:dyDescent="0.3">
      <c r="B4" s="670"/>
      <c r="C4" s="670"/>
      <c r="D4" s="670"/>
      <c r="E4" s="670"/>
      <c r="F4" s="670"/>
      <c r="G4" s="670"/>
      <c r="H4" s="670"/>
      <c r="I4" s="670"/>
      <c r="J4" s="670"/>
      <c r="K4" s="670"/>
      <c r="L4" s="671"/>
      <c r="M4" s="672"/>
      <c r="N4" s="672"/>
      <c r="O4" s="672"/>
      <c r="P4" s="672"/>
      <c r="Q4" s="672"/>
      <c r="R4" s="672"/>
      <c r="S4" s="672"/>
      <c r="T4" s="672"/>
      <c r="U4" s="672"/>
      <c r="V4" s="672"/>
      <c r="W4" s="672"/>
      <c r="X4" s="672"/>
      <c r="Y4" s="672"/>
      <c r="Z4" s="672"/>
      <c r="AA4" s="672"/>
      <c r="AB4" s="672"/>
      <c r="AC4" s="672"/>
      <c r="AD4" s="672"/>
      <c r="AE4" s="672"/>
      <c r="AF4" s="672"/>
      <c r="AG4" s="672"/>
      <c r="AH4" s="672"/>
      <c r="AI4" s="672"/>
      <c r="AJ4" s="672"/>
      <c r="AK4" s="672"/>
      <c r="AL4" s="672"/>
      <c r="AM4" s="672"/>
      <c r="AN4" s="672"/>
      <c r="AO4" s="672"/>
      <c r="AP4" s="672"/>
      <c r="AQ4" s="673"/>
      <c r="AR4" s="673"/>
      <c r="AS4" s="673"/>
      <c r="AT4" s="673"/>
      <c r="AU4" s="673"/>
      <c r="AV4" s="673"/>
      <c r="AW4" s="673"/>
      <c r="AX4" s="673"/>
      <c r="AY4" s="674"/>
      <c r="AZ4" s="664"/>
      <c r="BA4" s="995"/>
      <c r="BB4" s="995"/>
      <c r="BC4" s="995"/>
      <c r="BD4" s="995"/>
      <c r="BE4" s="995"/>
      <c r="BF4" s="995"/>
      <c r="BG4" s="995"/>
      <c r="BH4" s="995"/>
      <c r="BI4" s="995"/>
      <c r="BJ4" s="995"/>
      <c r="BK4" s="995"/>
      <c r="BL4" s="995"/>
      <c r="BM4" s="995"/>
      <c r="BN4" s="995"/>
      <c r="BO4" s="995"/>
      <c r="BP4" s="995"/>
      <c r="BQ4" s="995"/>
      <c r="BR4" s="995"/>
      <c r="BS4" s="995"/>
      <c r="BT4" s="995"/>
      <c r="BU4" s="995"/>
      <c r="BV4" s="995"/>
      <c r="BW4" s="995"/>
      <c r="BX4" s="995"/>
      <c r="BY4" s="995"/>
      <c r="BZ4" s="995"/>
      <c r="CA4" s="995"/>
      <c r="CB4" s="995"/>
      <c r="CC4" s="995"/>
      <c r="CD4" s="995"/>
      <c r="CE4" s="995"/>
      <c r="CF4" s="995"/>
      <c r="CG4" s="995"/>
      <c r="CH4" s="995"/>
      <c r="CI4" s="995"/>
      <c r="CJ4" s="995"/>
      <c r="CK4" s="995"/>
      <c r="CL4" s="995"/>
      <c r="CM4" s="995"/>
      <c r="CN4" s="995"/>
      <c r="CO4" s="995"/>
      <c r="CP4" s="995"/>
      <c r="CQ4" s="995"/>
      <c r="CR4" s="995"/>
      <c r="CS4" s="995"/>
      <c r="CT4" s="995"/>
      <c r="CU4" s="995"/>
      <c r="CV4" s="995"/>
      <c r="CW4" s="995"/>
      <c r="CX4" s="995"/>
      <c r="CY4" s="995"/>
      <c r="CZ4" s="995"/>
      <c r="DA4" s="995"/>
      <c r="DB4" s="995"/>
      <c r="DC4" s="995"/>
      <c r="DD4" s="1006"/>
      <c r="DE4" s="1006"/>
      <c r="DF4" s="1006"/>
      <c r="DG4" s="1006"/>
      <c r="DH4" s="1006"/>
      <c r="DI4" s="1006"/>
      <c r="DJ4" s="674"/>
      <c r="DK4" s="664"/>
      <c r="DL4" s="995"/>
      <c r="DM4" s="995"/>
      <c r="DN4" s="995"/>
      <c r="DO4" s="995"/>
      <c r="DP4" s="995"/>
      <c r="DQ4" s="995"/>
      <c r="DR4" s="995"/>
      <c r="DS4" s="995"/>
      <c r="DT4" s="995"/>
      <c r="DU4" s="995"/>
      <c r="DV4" s="995"/>
      <c r="DW4" s="995"/>
      <c r="DX4" s="995"/>
      <c r="DY4" s="995"/>
      <c r="DZ4" s="995"/>
      <c r="EA4" s="995"/>
      <c r="EB4" s="995"/>
      <c r="EC4" s="995"/>
      <c r="ED4" s="995"/>
      <c r="EE4" s="995"/>
      <c r="EF4" s="995"/>
      <c r="EG4" s="995"/>
      <c r="EH4" s="995"/>
      <c r="EI4" s="995"/>
      <c r="EJ4" s="995"/>
      <c r="EK4" s="995"/>
      <c r="EL4" s="995"/>
      <c r="EM4" s="995"/>
      <c r="EN4" s="995"/>
      <c r="EO4" s="995"/>
      <c r="EP4" s="995"/>
      <c r="EQ4" s="995"/>
      <c r="ER4" s="995"/>
      <c r="ES4" s="995"/>
      <c r="ET4" s="995"/>
      <c r="EU4" s="995"/>
      <c r="EV4" s="995"/>
      <c r="EW4" s="995"/>
      <c r="EX4" s="995"/>
      <c r="EY4" s="995"/>
      <c r="EZ4" s="995"/>
      <c r="FA4" s="995"/>
      <c r="FB4" s="995"/>
      <c r="FC4" s="995"/>
      <c r="FD4" s="995"/>
      <c r="FE4" s="995"/>
      <c r="FF4" s="995"/>
      <c r="FG4" s="995"/>
      <c r="FH4" s="995"/>
      <c r="FI4" s="995"/>
      <c r="FJ4" s="995"/>
      <c r="FK4" s="995"/>
      <c r="FL4" s="995"/>
      <c r="FM4" s="995"/>
      <c r="FN4" s="995"/>
      <c r="FO4" s="1007"/>
      <c r="FP4" s="1007"/>
      <c r="FQ4" s="1007"/>
      <c r="FR4" s="1007"/>
      <c r="FS4" s="1007"/>
      <c r="FT4" s="1008"/>
      <c r="FU4" s="1008"/>
      <c r="FV4" s="1008"/>
      <c r="FW4" s="1008"/>
      <c r="FX4" s="1008"/>
      <c r="FY4" s="1008"/>
      <c r="FZ4" s="1008"/>
      <c r="GA4" s="1008"/>
      <c r="GB4" s="1008"/>
      <c r="GC4" s="1008"/>
      <c r="GD4" s="1008"/>
      <c r="GE4" s="1008"/>
      <c r="GF4" s="1008"/>
      <c r="GG4" s="1008"/>
      <c r="GH4" s="1008"/>
      <c r="GI4" s="1008"/>
      <c r="GJ4" s="1008"/>
      <c r="GK4" s="1008"/>
      <c r="GL4" s="1008"/>
      <c r="GM4" s="1008"/>
      <c r="GN4" s="1008"/>
      <c r="GO4" s="1008"/>
      <c r="GP4" s="1008"/>
      <c r="GQ4" s="1008"/>
      <c r="GR4" s="1008"/>
      <c r="GS4" s="1008"/>
      <c r="GT4" s="1008"/>
      <c r="GU4" s="1008"/>
      <c r="GV4" s="1008"/>
      <c r="GW4" s="1008"/>
    </row>
    <row r="5" spans="1:205" ht="11.25" customHeight="1" x14ac:dyDescent="0.25">
      <c r="A5" s="650"/>
      <c r="B5" s="998" t="s">
        <v>5349</v>
      </c>
      <c r="C5" s="998"/>
      <c r="D5" s="998"/>
      <c r="E5" s="998"/>
      <c r="F5" s="998"/>
      <c r="G5" s="998"/>
      <c r="H5" s="998"/>
      <c r="I5" s="998"/>
      <c r="J5" s="998"/>
      <c r="K5" s="998"/>
      <c r="L5" s="999" t="s">
        <v>5354</v>
      </c>
      <c r="M5" s="999"/>
      <c r="N5" s="999"/>
      <c r="O5" s="999"/>
      <c r="P5" s="999"/>
      <c r="Q5" s="999"/>
      <c r="R5" s="999"/>
      <c r="S5" s="999"/>
      <c r="T5" s="999"/>
      <c r="U5" s="999"/>
      <c r="V5" s="999"/>
      <c r="W5" s="999"/>
      <c r="X5" s="999"/>
      <c r="Y5" s="999"/>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999"/>
      <c r="BI5" s="999"/>
      <c r="BJ5" s="999"/>
      <c r="BK5" s="999"/>
      <c r="BL5" s="999"/>
      <c r="BM5" s="999"/>
      <c r="BN5" s="999"/>
      <c r="BO5" s="999"/>
      <c r="BP5" s="999"/>
      <c r="BQ5" s="999"/>
      <c r="BR5" s="999"/>
      <c r="BS5" s="999"/>
      <c r="BT5" s="999"/>
      <c r="BU5" s="999"/>
      <c r="BV5" s="999"/>
      <c r="BW5" s="1000" t="str">
        <f>'S 008'!$BW$5</f>
        <v>Číslo riadku</v>
      </c>
      <c r="BX5" s="1000"/>
      <c r="BY5" s="1000"/>
      <c r="BZ5" s="1000"/>
      <c r="CA5" s="1000"/>
      <c r="CB5" s="1000"/>
      <c r="CC5" s="1000"/>
      <c r="CD5" s="1000"/>
      <c r="CE5" s="1001" t="s">
        <v>5154</v>
      </c>
      <c r="CF5" s="1001"/>
      <c r="CG5" s="1001"/>
      <c r="CH5" s="1001"/>
      <c r="CI5" s="1001"/>
      <c r="CJ5" s="1001"/>
      <c r="CK5" s="1001"/>
      <c r="CL5" s="1001"/>
      <c r="CM5" s="1001"/>
      <c r="CN5" s="1001"/>
      <c r="CO5" s="1001"/>
      <c r="CP5" s="1001"/>
      <c r="CQ5" s="1001"/>
      <c r="CR5" s="1001"/>
      <c r="CS5" s="1001"/>
      <c r="CT5" s="1001"/>
      <c r="CU5" s="1001"/>
      <c r="CV5" s="1001"/>
      <c r="CW5" s="1001"/>
      <c r="CX5" s="1001"/>
      <c r="CY5" s="1001"/>
      <c r="CZ5" s="1001"/>
      <c r="DA5" s="1001"/>
      <c r="DB5" s="1001"/>
      <c r="DC5" s="1001"/>
      <c r="DD5" s="1001"/>
      <c r="DE5" s="1001"/>
      <c r="DF5" s="1001"/>
      <c r="DG5" s="1001"/>
      <c r="DH5" s="1001"/>
      <c r="DI5" s="1001"/>
      <c r="DJ5" s="1001"/>
      <c r="DK5" s="1001"/>
      <c r="DL5" s="1001"/>
      <c r="DM5" s="1001"/>
      <c r="DN5" s="1001"/>
      <c r="DO5" s="1001"/>
      <c r="DP5" s="1001"/>
      <c r="DQ5" s="1001"/>
      <c r="DR5" s="1001"/>
      <c r="DS5" s="1001"/>
      <c r="DT5" s="1001"/>
      <c r="DU5" s="1001"/>
      <c r="DV5" s="1001"/>
      <c r="DW5" s="1001"/>
      <c r="DX5" s="1001"/>
      <c r="DY5" s="1001"/>
      <c r="DZ5" s="1001"/>
      <c r="EA5" s="1001"/>
      <c r="EB5" s="1001"/>
      <c r="EC5" s="1001"/>
      <c r="ED5" s="1001"/>
      <c r="EE5" s="1001"/>
      <c r="EF5" s="1001"/>
      <c r="EG5" s="1001"/>
      <c r="EH5" s="1001"/>
      <c r="EI5" s="1001"/>
      <c r="EJ5" s="1001"/>
      <c r="EK5" s="1001"/>
      <c r="EL5" s="1001"/>
      <c r="EM5" s="1001"/>
      <c r="EN5" s="1001"/>
      <c r="EO5" s="1001"/>
      <c r="EP5" s="1001"/>
      <c r="EQ5" s="1001"/>
      <c r="ER5" s="1001"/>
      <c r="ES5" s="1001"/>
      <c r="ET5" s="1001"/>
      <c r="EU5" s="1001"/>
      <c r="EV5" s="1001"/>
      <c r="EW5" s="1001"/>
      <c r="EX5" s="1001"/>
      <c r="EY5" s="1001"/>
      <c r="EZ5" s="1001"/>
      <c r="FA5" s="1001"/>
      <c r="FB5" s="1001"/>
      <c r="FC5" s="1001"/>
      <c r="FD5" s="1001"/>
      <c r="FE5" s="1001"/>
      <c r="FF5" s="1001"/>
      <c r="FG5" s="1001"/>
      <c r="FH5" s="1001"/>
      <c r="FI5" s="1001"/>
      <c r="FJ5" s="1001"/>
      <c r="FK5" s="1001"/>
      <c r="FL5" s="1001"/>
      <c r="FM5" s="1001"/>
      <c r="FN5" s="1001"/>
      <c r="FO5" s="1001"/>
      <c r="FP5" s="1001"/>
      <c r="FQ5" s="1001"/>
      <c r="FR5" s="1001"/>
      <c r="FS5" s="1001"/>
      <c r="FT5" s="1001"/>
      <c r="FU5" s="1001"/>
      <c r="FV5" s="1001"/>
      <c r="FW5" s="1001"/>
      <c r="FX5" s="1001"/>
      <c r="FY5" s="1001"/>
      <c r="FZ5" s="1001"/>
      <c r="GA5" s="1001"/>
      <c r="GB5" s="1001"/>
      <c r="GC5" s="1001"/>
      <c r="GD5" s="1001"/>
      <c r="GE5" s="1001"/>
      <c r="GF5" s="1001"/>
      <c r="GG5" s="1001"/>
      <c r="GH5" s="1001"/>
      <c r="GI5" s="1001"/>
      <c r="GJ5" s="1001"/>
      <c r="GK5" s="1001"/>
      <c r="GL5" s="1001"/>
      <c r="GM5" s="1001"/>
      <c r="GN5" s="1001"/>
      <c r="GO5" s="1001"/>
      <c r="GP5" s="1001"/>
      <c r="GQ5" s="1001"/>
      <c r="GR5" s="1001"/>
      <c r="GS5" s="1001"/>
      <c r="GT5" s="1001"/>
      <c r="GU5" s="1001"/>
      <c r="GV5" s="1001"/>
      <c r="GW5" s="1001"/>
    </row>
    <row r="6" spans="1:205" ht="25.5" customHeight="1" x14ac:dyDescent="0.25">
      <c r="B6" s="998"/>
      <c r="C6" s="998"/>
      <c r="D6" s="998"/>
      <c r="E6" s="998"/>
      <c r="F6" s="998"/>
      <c r="G6" s="998"/>
      <c r="H6" s="998"/>
      <c r="I6" s="998"/>
      <c r="J6" s="998"/>
      <c r="K6" s="998"/>
      <c r="L6" s="999"/>
      <c r="M6" s="999"/>
      <c r="N6" s="999"/>
      <c r="O6" s="999"/>
      <c r="P6" s="999"/>
      <c r="Q6" s="999"/>
      <c r="R6" s="999"/>
      <c r="S6" s="999"/>
      <c r="T6" s="999"/>
      <c r="U6" s="999"/>
      <c r="V6" s="999"/>
      <c r="W6" s="999"/>
      <c r="X6" s="999"/>
      <c r="Y6" s="999"/>
      <c r="Z6" s="999"/>
      <c r="AA6" s="999"/>
      <c r="AB6" s="999"/>
      <c r="AC6" s="999"/>
      <c r="AD6" s="999"/>
      <c r="AE6" s="999"/>
      <c r="AF6" s="999"/>
      <c r="AG6" s="999"/>
      <c r="AH6" s="999"/>
      <c r="AI6" s="999"/>
      <c r="AJ6" s="999"/>
      <c r="AK6" s="999"/>
      <c r="AL6" s="999"/>
      <c r="AM6" s="999"/>
      <c r="AN6" s="999"/>
      <c r="AO6" s="999"/>
      <c r="AP6" s="999"/>
      <c r="AQ6" s="999"/>
      <c r="AR6" s="999"/>
      <c r="AS6" s="999"/>
      <c r="AT6" s="999"/>
      <c r="AU6" s="999"/>
      <c r="AV6" s="999"/>
      <c r="AW6" s="999"/>
      <c r="AX6" s="999"/>
      <c r="AY6" s="999"/>
      <c r="AZ6" s="999"/>
      <c r="BA6" s="999"/>
      <c r="BB6" s="999"/>
      <c r="BC6" s="999"/>
      <c r="BD6" s="999"/>
      <c r="BE6" s="999"/>
      <c r="BF6" s="999"/>
      <c r="BG6" s="999"/>
      <c r="BH6" s="999"/>
      <c r="BI6" s="999"/>
      <c r="BJ6" s="999"/>
      <c r="BK6" s="999"/>
      <c r="BL6" s="999"/>
      <c r="BM6" s="999"/>
      <c r="BN6" s="999"/>
      <c r="BO6" s="999"/>
      <c r="BP6" s="999"/>
      <c r="BQ6" s="999"/>
      <c r="BR6" s="999"/>
      <c r="BS6" s="999"/>
      <c r="BT6" s="999"/>
      <c r="BU6" s="999"/>
      <c r="BV6" s="999"/>
      <c r="BW6" s="1000"/>
      <c r="BX6" s="1000"/>
      <c r="BY6" s="1000"/>
      <c r="BZ6" s="1000"/>
      <c r="CA6" s="1000"/>
      <c r="CB6" s="1000"/>
      <c r="CC6" s="1000"/>
      <c r="CD6" s="1000"/>
      <c r="CE6" s="1021" t="str">
        <f>'VZS 010'!CE6</f>
        <v>Bežné účtovné obdobie</v>
      </c>
      <c r="CF6" s="1021"/>
      <c r="CG6" s="1021"/>
      <c r="CH6" s="1021"/>
      <c r="CI6" s="1021"/>
      <c r="CJ6" s="1021"/>
      <c r="CK6" s="1021"/>
      <c r="CL6" s="1021"/>
      <c r="CM6" s="1021"/>
      <c r="CN6" s="1021"/>
      <c r="CO6" s="1021"/>
      <c r="CP6" s="1021"/>
      <c r="CQ6" s="1021"/>
      <c r="CR6" s="1021"/>
      <c r="CS6" s="1021"/>
      <c r="CT6" s="1021"/>
      <c r="CU6" s="1021"/>
      <c r="CV6" s="1021"/>
      <c r="CW6" s="1021"/>
      <c r="CX6" s="1021"/>
      <c r="CY6" s="1021"/>
      <c r="CZ6" s="1021"/>
      <c r="DA6" s="1021"/>
      <c r="DB6" s="1021"/>
      <c r="DC6" s="1021"/>
      <c r="DD6" s="1021"/>
      <c r="DE6" s="1021"/>
      <c r="DF6" s="1021"/>
      <c r="DG6" s="1021"/>
      <c r="DH6" s="1021"/>
      <c r="DI6" s="1021"/>
      <c r="DJ6" s="1021"/>
      <c r="DK6" s="1021"/>
      <c r="DL6" s="1021"/>
      <c r="DM6" s="1021"/>
      <c r="DN6" s="1021"/>
      <c r="DO6" s="1021"/>
      <c r="DP6" s="1021"/>
      <c r="DQ6" s="1021"/>
      <c r="DR6" s="1021"/>
      <c r="DS6" s="1021"/>
      <c r="DT6" s="1021"/>
      <c r="DU6" s="1021"/>
      <c r="DV6" s="1021"/>
      <c r="DW6" s="1021"/>
      <c r="DX6" s="1021"/>
      <c r="DY6" s="1021"/>
      <c r="DZ6" s="1021"/>
      <c r="EA6" s="1021"/>
      <c r="EB6" s="1021"/>
      <c r="EC6" s="1021"/>
      <c r="ED6" s="1021"/>
      <c r="EE6" s="1021"/>
      <c r="EF6" s="1021"/>
      <c r="EG6" s="1021"/>
      <c r="EH6" s="1021"/>
      <c r="EI6" s="1021"/>
      <c r="EJ6" s="1021"/>
      <c r="EK6" s="1021"/>
      <c r="EL6" s="1021"/>
      <c r="EM6" s="1021"/>
      <c r="EN6" s="1016">
        <f>'VZS 010'!EN6</f>
        <v>0</v>
      </c>
      <c r="EO6" s="1016"/>
      <c r="EP6" s="1016"/>
      <c r="EQ6" s="1016"/>
      <c r="ER6" s="1016"/>
      <c r="ES6" s="1016"/>
      <c r="ET6" s="1016"/>
      <c r="EU6" s="1016"/>
      <c r="EV6" s="1016"/>
      <c r="EW6" s="1016"/>
      <c r="EX6" s="1016"/>
      <c r="EY6" s="1016"/>
      <c r="EZ6" s="1016"/>
      <c r="FA6" s="1016"/>
      <c r="FB6" s="1016"/>
      <c r="FC6" s="1016"/>
      <c r="FD6" s="1016"/>
      <c r="FE6" s="1016"/>
      <c r="FF6" s="1016"/>
      <c r="FG6" s="1016"/>
      <c r="FH6" s="1016"/>
      <c r="FI6" s="1016"/>
      <c r="FJ6" s="1016"/>
      <c r="FK6" s="1016"/>
      <c r="FL6" s="1016"/>
      <c r="FM6" s="1016"/>
      <c r="FN6" s="1016"/>
      <c r="FO6" s="1016"/>
      <c r="FP6" s="1016"/>
      <c r="FQ6" s="1016"/>
      <c r="FR6" s="1016"/>
      <c r="FS6" s="1016"/>
      <c r="FT6" s="1016"/>
      <c r="FU6" s="1016"/>
      <c r="FV6" s="1016"/>
      <c r="FW6" s="1016"/>
      <c r="FX6" s="1016"/>
      <c r="FY6" s="1016"/>
      <c r="FZ6" s="1016"/>
      <c r="GA6" s="1016"/>
      <c r="GB6" s="1016"/>
      <c r="GC6" s="1016"/>
      <c r="GD6" s="1016"/>
      <c r="GE6" s="1016"/>
      <c r="GF6" s="1016"/>
      <c r="GG6" s="1016"/>
      <c r="GH6" s="1016"/>
      <c r="GI6" s="1016"/>
      <c r="GJ6" s="1016"/>
      <c r="GK6" s="1016"/>
      <c r="GL6" s="1016"/>
      <c r="GM6" s="1016"/>
      <c r="GN6" s="1016"/>
      <c r="GO6" s="1016"/>
      <c r="GP6" s="1016"/>
      <c r="GQ6" s="1016"/>
      <c r="GR6" s="1016"/>
      <c r="GS6" s="1016"/>
      <c r="GT6" s="1016"/>
      <c r="GU6" s="1016"/>
      <c r="GV6" s="1016"/>
      <c r="GW6" s="1016"/>
    </row>
    <row r="7" spans="1:205" s="650" customFormat="1" ht="24.6" customHeight="1" x14ac:dyDescent="0.2">
      <c r="B7" s="1013" t="s">
        <v>2303</v>
      </c>
      <c r="C7" s="1013"/>
      <c r="D7" s="1013"/>
      <c r="E7" s="1013"/>
      <c r="F7" s="1013"/>
      <c r="G7" s="1013"/>
      <c r="H7" s="1013"/>
      <c r="I7" s="1013"/>
      <c r="J7" s="1013"/>
      <c r="K7" s="1013"/>
      <c r="L7" s="1004" t="str">
        <f>SUVAHAVUJ!$D$203</f>
        <v>Výsledok hospodárenia z finančnej činnosti (+/-)
(r. 29 - r. 45)</v>
      </c>
      <c r="M7" s="1004"/>
      <c r="N7" s="1004"/>
      <c r="O7" s="1004"/>
      <c r="P7" s="1004"/>
      <c r="Q7" s="1004"/>
      <c r="R7" s="1004"/>
      <c r="S7" s="1004"/>
      <c r="T7" s="1004"/>
      <c r="U7" s="1004"/>
      <c r="V7" s="1004"/>
      <c r="W7" s="1004"/>
      <c r="X7" s="1004"/>
      <c r="Y7" s="1004"/>
      <c r="Z7" s="1004"/>
      <c r="AA7" s="1004"/>
      <c r="AB7" s="1004"/>
      <c r="AC7" s="1004"/>
      <c r="AD7" s="1004"/>
      <c r="AE7" s="1004"/>
      <c r="AF7" s="1004"/>
      <c r="AG7" s="1004"/>
      <c r="AH7" s="1004"/>
      <c r="AI7" s="1004"/>
      <c r="AJ7" s="1004"/>
      <c r="AK7" s="1004"/>
      <c r="AL7" s="1004"/>
      <c r="AM7" s="1004"/>
      <c r="AN7" s="1004"/>
      <c r="AO7" s="1004"/>
      <c r="AP7" s="1004"/>
      <c r="AQ7" s="1004"/>
      <c r="AR7" s="1004"/>
      <c r="AS7" s="1004"/>
      <c r="AT7" s="1004"/>
      <c r="AU7" s="1004"/>
      <c r="AV7" s="1004"/>
      <c r="AW7" s="1004"/>
      <c r="AX7" s="1004"/>
      <c r="AY7" s="1004"/>
      <c r="AZ7" s="1004"/>
      <c r="BA7" s="1004"/>
      <c r="BB7" s="1004"/>
      <c r="BC7" s="1004"/>
      <c r="BD7" s="1004"/>
      <c r="BE7" s="1004"/>
      <c r="BF7" s="1004"/>
      <c r="BG7" s="1004"/>
      <c r="BH7" s="1004"/>
      <c r="BI7" s="1004"/>
      <c r="BJ7" s="1004"/>
      <c r="BK7" s="1004"/>
      <c r="BL7" s="1004"/>
      <c r="BM7" s="1004"/>
      <c r="BN7" s="1004"/>
      <c r="BO7" s="1004"/>
      <c r="BP7" s="1004"/>
      <c r="BQ7" s="1004"/>
      <c r="BR7" s="1004"/>
      <c r="BS7" s="1004"/>
      <c r="BT7" s="1004"/>
      <c r="BU7" s="1004"/>
      <c r="BV7" s="1004"/>
      <c r="BW7" s="975" t="s">
        <v>1253</v>
      </c>
      <c r="BX7" s="975"/>
      <c r="BY7" s="975"/>
      <c r="BZ7" s="975"/>
      <c r="CA7" s="975"/>
      <c r="CB7" s="975"/>
      <c r="CC7" s="975"/>
      <c r="CD7" s="975"/>
      <c r="CE7" s="976" t="str">
        <f>MID(SUVAHAVUJ!AF203,1,1)</f>
        <v xml:space="preserve"> </v>
      </c>
      <c r="CF7" s="976"/>
      <c r="CG7" s="976"/>
      <c r="CH7" s="976"/>
      <c r="CI7" s="976"/>
      <c r="CJ7" s="976" t="str">
        <f>MID(SUVAHAVUJ!AF203,2,1)</f>
        <v xml:space="preserve"> </v>
      </c>
      <c r="CK7" s="976"/>
      <c r="CL7" s="976"/>
      <c r="CM7" s="976"/>
      <c r="CN7" s="976"/>
      <c r="CO7" s="976"/>
      <c r="CP7" s="976" t="str">
        <f>MID(SUVAHAVUJ!AF203,3,1)</f>
        <v xml:space="preserve"> </v>
      </c>
      <c r="CQ7" s="976"/>
      <c r="CR7" s="976"/>
      <c r="CS7" s="976"/>
      <c r="CT7" s="976"/>
      <c r="CU7" s="976" t="str">
        <f>MID(SUVAHAVUJ!AF203,4,1)</f>
        <v xml:space="preserve"> </v>
      </c>
      <c r="CV7" s="976"/>
      <c r="CW7" s="976"/>
      <c r="CX7" s="976"/>
      <c r="CY7" s="976"/>
      <c r="CZ7" s="976"/>
      <c r="DA7" s="976" t="str">
        <f>MID(SUVAHAVUJ!AF203,5,1)</f>
        <v xml:space="preserve"> </v>
      </c>
      <c r="DB7" s="976"/>
      <c r="DC7" s="976"/>
      <c r="DD7" s="976"/>
      <c r="DE7" s="976"/>
      <c r="DF7" s="976" t="str">
        <f>MID(SUVAHAVUJ!AF203,6,1)</f>
        <v xml:space="preserve"> </v>
      </c>
      <c r="DG7" s="976"/>
      <c r="DH7" s="976"/>
      <c r="DI7" s="976"/>
      <c r="DJ7" s="976"/>
      <c r="DK7" s="976"/>
      <c r="DL7" s="976" t="str">
        <f>MID(SUVAHAVUJ!AF203,7,1)</f>
        <v>-</v>
      </c>
      <c r="DM7" s="976"/>
      <c r="DN7" s="976"/>
      <c r="DO7" s="976"/>
      <c r="DP7" s="976"/>
      <c r="DQ7" s="976"/>
      <c r="DR7" s="976" t="str">
        <f>MID(SUVAHAVUJ!AF203,8,1)</f>
        <v>8</v>
      </c>
      <c r="DS7" s="976"/>
      <c r="DT7" s="976"/>
      <c r="DU7" s="976"/>
      <c r="DV7" s="976"/>
      <c r="DW7" s="982" t="str">
        <f>MID(SUVAHAVUJ!AF203,9,1)</f>
        <v>6</v>
      </c>
      <c r="DX7" s="982"/>
      <c r="DY7" s="982"/>
      <c r="DZ7" s="982"/>
      <c r="EA7" s="982"/>
      <c r="EB7" s="982"/>
      <c r="EC7" s="982" t="str">
        <f>MID(SUVAHAVUJ!AF203,10,1)</f>
        <v>4</v>
      </c>
      <c r="ED7" s="982"/>
      <c r="EE7" s="982"/>
      <c r="EF7" s="982"/>
      <c r="EG7" s="982"/>
      <c r="EH7" s="977" t="str">
        <f>MID(SUVAHAVUJ!AF203,11,1)</f>
        <v>1</v>
      </c>
      <c r="EI7" s="977"/>
      <c r="EJ7" s="977"/>
      <c r="EK7" s="977"/>
      <c r="EL7" s="977"/>
      <c r="EM7" s="977"/>
      <c r="EN7" s="665"/>
      <c r="EO7" s="666"/>
      <c r="EP7" s="976" t="str">
        <f>MID(SUVAHAVUJ!AG203,1,1)</f>
        <v xml:space="preserve"> </v>
      </c>
      <c r="EQ7" s="976"/>
      <c r="ER7" s="976"/>
      <c r="ES7" s="976"/>
      <c r="ET7" s="976"/>
      <c r="EU7" s="976"/>
      <c r="EV7" s="976" t="str">
        <f>MID(SUVAHAVUJ!AG203,2,1)</f>
        <v xml:space="preserve"> </v>
      </c>
      <c r="EW7" s="976"/>
      <c r="EX7" s="976"/>
      <c r="EY7" s="976"/>
      <c r="EZ7" s="976"/>
      <c r="FA7" s="976" t="str">
        <f>MID(SUVAHAVUJ!AG203,3,1)</f>
        <v xml:space="preserve"> </v>
      </c>
      <c r="FB7" s="976"/>
      <c r="FC7" s="976"/>
      <c r="FD7" s="976"/>
      <c r="FE7" s="976"/>
      <c r="FF7" s="976"/>
      <c r="FG7" s="976" t="str">
        <f>MID(SUVAHAVUJ!AG203,4,1)</f>
        <v xml:space="preserve"> </v>
      </c>
      <c r="FH7" s="976"/>
      <c r="FI7" s="976"/>
      <c r="FJ7" s="976"/>
      <c r="FK7" s="976"/>
      <c r="FL7" s="982" t="str">
        <f>MID(SUVAHAVUJ!AG203,5,1)</f>
        <v xml:space="preserve"> </v>
      </c>
      <c r="FM7" s="982"/>
      <c r="FN7" s="982"/>
      <c r="FO7" s="982"/>
      <c r="FP7" s="982"/>
      <c r="FQ7" s="982"/>
      <c r="FR7" s="982" t="str">
        <f>MID(SUVAHAVUJ!AG203,6,1)</f>
        <v>-</v>
      </c>
      <c r="FS7" s="982"/>
      <c r="FT7" s="982"/>
      <c r="FU7" s="982"/>
      <c r="FV7" s="982"/>
      <c r="FW7" s="982" t="str">
        <f>MID(SUVAHAVUJ!AG203,7,1)</f>
        <v>1</v>
      </c>
      <c r="FX7" s="982"/>
      <c r="FY7" s="982"/>
      <c r="FZ7" s="982"/>
      <c r="GA7" s="982"/>
      <c r="GB7" s="982"/>
      <c r="GC7" s="982" t="str">
        <f>MID(SUVAHAVUJ!AG203,8,1)</f>
        <v>0</v>
      </c>
      <c r="GD7" s="982"/>
      <c r="GE7" s="982"/>
      <c r="GF7" s="982"/>
      <c r="GG7" s="982"/>
      <c r="GH7" s="982" t="str">
        <f>MID(SUVAHAVUJ!AG203,9,1)</f>
        <v>2</v>
      </c>
      <c r="GI7" s="982"/>
      <c r="GJ7" s="982"/>
      <c r="GK7" s="982"/>
      <c r="GL7" s="982"/>
      <c r="GM7" s="982"/>
      <c r="GN7" s="982" t="str">
        <f>MID(SUVAHAVUJ!AG203,10,1)</f>
        <v>4</v>
      </c>
      <c r="GO7" s="982"/>
      <c r="GP7" s="982"/>
      <c r="GQ7" s="982"/>
      <c r="GR7" s="982"/>
      <c r="GS7" s="978" t="str">
        <f>MID(SUVAHAVUJ!AG203,11,1)</f>
        <v>5</v>
      </c>
      <c r="GT7" s="978"/>
      <c r="GU7" s="978"/>
      <c r="GV7" s="978"/>
      <c r="GW7" s="978"/>
    </row>
    <row r="8" spans="1:205" ht="24.6" customHeight="1" x14ac:dyDescent="0.25">
      <c r="B8" s="1013" t="s">
        <v>2322</v>
      </c>
      <c r="C8" s="1013"/>
      <c r="D8" s="1013"/>
      <c r="E8" s="1013"/>
      <c r="F8" s="1013"/>
      <c r="G8" s="1013"/>
      <c r="H8" s="1013"/>
      <c r="I8" s="1013"/>
      <c r="J8" s="1013"/>
      <c r="K8" s="1013"/>
      <c r="L8" s="1004" t="str">
        <f>SUVAHAVUJ!$D$204</f>
        <v>Výsledok hospodárenia za účtovné obdobie pred zdanením (+/-) (r. 27 + r. 55)</v>
      </c>
      <c r="M8" s="1004"/>
      <c r="N8" s="1004"/>
      <c r="O8" s="1004"/>
      <c r="P8" s="1004"/>
      <c r="Q8" s="1004"/>
      <c r="R8" s="1004"/>
      <c r="S8" s="1004"/>
      <c r="T8" s="1004"/>
      <c r="U8" s="1004"/>
      <c r="V8" s="1004"/>
      <c r="W8" s="1004"/>
      <c r="X8" s="1004"/>
      <c r="Y8" s="1004"/>
      <c r="Z8" s="1004"/>
      <c r="AA8" s="1004"/>
      <c r="AB8" s="1004"/>
      <c r="AC8" s="1004"/>
      <c r="AD8" s="1004"/>
      <c r="AE8" s="1004"/>
      <c r="AF8" s="1004"/>
      <c r="AG8" s="1004"/>
      <c r="AH8" s="1004"/>
      <c r="AI8" s="1004"/>
      <c r="AJ8" s="1004"/>
      <c r="AK8" s="1004"/>
      <c r="AL8" s="1004"/>
      <c r="AM8" s="1004"/>
      <c r="AN8" s="1004"/>
      <c r="AO8" s="1004"/>
      <c r="AP8" s="1004"/>
      <c r="AQ8" s="1004"/>
      <c r="AR8" s="1004"/>
      <c r="AS8" s="1004"/>
      <c r="AT8" s="1004"/>
      <c r="AU8" s="1004"/>
      <c r="AV8" s="1004"/>
      <c r="AW8" s="1004"/>
      <c r="AX8" s="1004"/>
      <c r="AY8" s="1004"/>
      <c r="AZ8" s="1004"/>
      <c r="BA8" s="1004"/>
      <c r="BB8" s="1004"/>
      <c r="BC8" s="1004"/>
      <c r="BD8" s="1004"/>
      <c r="BE8" s="1004"/>
      <c r="BF8" s="1004"/>
      <c r="BG8" s="1004"/>
      <c r="BH8" s="1004"/>
      <c r="BI8" s="1004"/>
      <c r="BJ8" s="1004"/>
      <c r="BK8" s="1004"/>
      <c r="BL8" s="1004"/>
      <c r="BM8" s="1004"/>
      <c r="BN8" s="1004"/>
      <c r="BO8" s="1004"/>
      <c r="BP8" s="1004"/>
      <c r="BQ8" s="1004"/>
      <c r="BR8" s="1004"/>
      <c r="BS8" s="1004"/>
      <c r="BT8" s="1004"/>
      <c r="BU8" s="1004"/>
      <c r="BV8" s="1004"/>
      <c r="BW8" s="975" t="s">
        <v>1254</v>
      </c>
      <c r="BX8" s="975"/>
      <c r="BY8" s="975"/>
      <c r="BZ8" s="975"/>
      <c r="CA8" s="975"/>
      <c r="CB8" s="975"/>
      <c r="CC8" s="975"/>
      <c r="CD8" s="975"/>
      <c r="CE8" s="976" t="str">
        <f>MID(SUVAHAVUJ!AF204,1,1)</f>
        <v xml:space="preserve"> </v>
      </c>
      <c r="CF8" s="976"/>
      <c r="CG8" s="976"/>
      <c r="CH8" s="976"/>
      <c r="CI8" s="976"/>
      <c r="CJ8" s="976" t="str">
        <f>MID(SUVAHAVUJ!AF204,2,1)</f>
        <v xml:space="preserve"> </v>
      </c>
      <c r="CK8" s="976"/>
      <c r="CL8" s="976"/>
      <c r="CM8" s="976"/>
      <c r="CN8" s="976"/>
      <c r="CO8" s="976"/>
      <c r="CP8" s="976" t="str">
        <f>MID(SUVAHAVUJ!AF204,3,1)</f>
        <v xml:space="preserve"> </v>
      </c>
      <c r="CQ8" s="976"/>
      <c r="CR8" s="976"/>
      <c r="CS8" s="976"/>
      <c r="CT8" s="976"/>
      <c r="CU8" s="976" t="str">
        <f>MID(SUVAHAVUJ!AF204,4,1)</f>
        <v xml:space="preserve"> </v>
      </c>
      <c r="CV8" s="976"/>
      <c r="CW8" s="976"/>
      <c r="CX8" s="976"/>
      <c r="CY8" s="976"/>
      <c r="CZ8" s="976"/>
      <c r="DA8" s="976" t="str">
        <f>MID(SUVAHAVUJ!AF204,5,1)</f>
        <v xml:space="preserve"> </v>
      </c>
      <c r="DB8" s="976"/>
      <c r="DC8" s="976"/>
      <c r="DD8" s="976"/>
      <c r="DE8" s="976"/>
      <c r="DF8" s="976" t="str">
        <f>MID(SUVAHAVUJ!AF204,6,1)</f>
        <v>-</v>
      </c>
      <c r="DG8" s="976"/>
      <c r="DH8" s="976"/>
      <c r="DI8" s="976"/>
      <c r="DJ8" s="976"/>
      <c r="DK8" s="976"/>
      <c r="DL8" s="976" t="str">
        <f>MID(SUVAHAVUJ!AF204,7,1)</f>
        <v>1</v>
      </c>
      <c r="DM8" s="976"/>
      <c r="DN8" s="976"/>
      <c r="DO8" s="976"/>
      <c r="DP8" s="976"/>
      <c r="DQ8" s="976"/>
      <c r="DR8" s="976" t="str">
        <f>MID(SUVAHAVUJ!AF204,8,1)</f>
        <v>5</v>
      </c>
      <c r="DS8" s="976"/>
      <c r="DT8" s="976"/>
      <c r="DU8" s="976"/>
      <c r="DV8" s="976"/>
      <c r="DW8" s="982" t="str">
        <f>MID(SUVAHAVUJ!AF204,9,1)</f>
        <v>0</v>
      </c>
      <c r="DX8" s="982"/>
      <c r="DY8" s="982"/>
      <c r="DZ8" s="982"/>
      <c r="EA8" s="982"/>
      <c r="EB8" s="982"/>
      <c r="EC8" s="982" t="str">
        <f>MID(SUVAHAVUJ!AF204,10,1)</f>
        <v>6</v>
      </c>
      <c r="ED8" s="982"/>
      <c r="EE8" s="982"/>
      <c r="EF8" s="982"/>
      <c r="EG8" s="982"/>
      <c r="EH8" s="977" t="str">
        <f>MID(SUVAHAVUJ!AF204,11,1)</f>
        <v>6</v>
      </c>
      <c r="EI8" s="977"/>
      <c r="EJ8" s="977"/>
      <c r="EK8" s="977"/>
      <c r="EL8" s="977"/>
      <c r="EM8" s="977"/>
      <c r="EN8" s="665"/>
      <c r="EO8" s="666"/>
      <c r="EP8" s="976" t="str">
        <f>MID(SUVAHAVUJ!AG204,1,1)</f>
        <v xml:space="preserve"> </v>
      </c>
      <c r="EQ8" s="976"/>
      <c r="ER8" s="976"/>
      <c r="ES8" s="976"/>
      <c r="ET8" s="976"/>
      <c r="EU8" s="976"/>
      <c r="EV8" s="976" t="str">
        <f>MID(SUVAHAVUJ!AG204,2,1)</f>
        <v xml:space="preserve"> </v>
      </c>
      <c r="EW8" s="976"/>
      <c r="EX8" s="976"/>
      <c r="EY8" s="976"/>
      <c r="EZ8" s="976"/>
      <c r="FA8" s="976" t="str">
        <f>MID(SUVAHAVUJ!AG204,3,1)</f>
        <v xml:space="preserve"> </v>
      </c>
      <c r="FB8" s="976"/>
      <c r="FC8" s="976"/>
      <c r="FD8" s="976"/>
      <c r="FE8" s="976"/>
      <c r="FF8" s="976"/>
      <c r="FG8" s="976" t="str">
        <f>MID(SUVAHAVUJ!AG204,4,1)</f>
        <v xml:space="preserve"> </v>
      </c>
      <c r="FH8" s="976"/>
      <c r="FI8" s="976"/>
      <c r="FJ8" s="976"/>
      <c r="FK8" s="976"/>
      <c r="FL8" s="982" t="str">
        <f>MID(SUVAHAVUJ!AG204,5,1)</f>
        <v xml:space="preserve"> </v>
      </c>
      <c r="FM8" s="982"/>
      <c r="FN8" s="982"/>
      <c r="FO8" s="982"/>
      <c r="FP8" s="982"/>
      <c r="FQ8" s="982"/>
      <c r="FR8" s="982" t="str">
        <f>MID(SUVAHAVUJ!AG204,6,1)</f>
        <v xml:space="preserve"> </v>
      </c>
      <c r="FS8" s="982"/>
      <c r="FT8" s="982"/>
      <c r="FU8" s="982"/>
      <c r="FV8" s="982"/>
      <c r="FW8" s="982" t="str">
        <f>MID(SUVAHAVUJ!AG204,7,1)</f>
        <v>1</v>
      </c>
      <c r="FX8" s="982"/>
      <c r="FY8" s="982"/>
      <c r="FZ8" s="982"/>
      <c r="GA8" s="982"/>
      <c r="GB8" s="982"/>
      <c r="GC8" s="982" t="str">
        <f>MID(SUVAHAVUJ!AG204,8,1)</f>
        <v>6</v>
      </c>
      <c r="GD8" s="982"/>
      <c r="GE8" s="982"/>
      <c r="GF8" s="982"/>
      <c r="GG8" s="982"/>
      <c r="GH8" s="982" t="str">
        <f>MID(SUVAHAVUJ!AG204,9,1)</f>
        <v>9</v>
      </c>
      <c r="GI8" s="982"/>
      <c r="GJ8" s="982"/>
      <c r="GK8" s="982"/>
      <c r="GL8" s="982"/>
      <c r="GM8" s="982"/>
      <c r="GN8" s="982" t="str">
        <f>MID(SUVAHAVUJ!AG204,10,1)</f>
        <v>0</v>
      </c>
      <c r="GO8" s="982"/>
      <c r="GP8" s="982"/>
      <c r="GQ8" s="982"/>
      <c r="GR8" s="982"/>
      <c r="GS8" s="978" t="str">
        <f>MID(SUVAHAVUJ!AG204,11,1)</f>
        <v>5</v>
      </c>
      <c r="GT8" s="978"/>
      <c r="GU8" s="978"/>
      <c r="GV8" s="978"/>
      <c r="GW8" s="978"/>
    </row>
    <row r="9" spans="1:205" ht="24.6" customHeight="1" x14ac:dyDescent="0.25">
      <c r="B9" s="1019" t="s">
        <v>2323</v>
      </c>
      <c r="C9" s="1019"/>
      <c r="D9" s="1019"/>
      <c r="E9" s="1019"/>
      <c r="F9" s="1019"/>
      <c r="G9" s="1019"/>
      <c r="H9" s="1019"/>
      <c r="I9" s="1019"/>
      <c r="J9" s="1019"/>
      <c r="K9" s="1019"/>
      <c r="L9" s="1004" t="str">
        <f>SUVAHAVUJ!$D$205</f>
        <v>Daň z príjmov (r. 58 + r. 59)</v>
      </c>
      <c r="M9" s="1004"/>
      <c r="N9" s="1004"/>
      <c r="O9" s="1004"/>
      <c r="P9" s="1004"/>
      <c r="Q9" s="1004"/>
      <c r="R9" s="1004"/>
      <c r="S9" s="1004"/>
      <c r="T9" s="1004"/>
      <c r="U9" s="1004"/>
      <c r="V9" s="1004"/>
      <c r="W9" s="1004"/>
      <c r="X9" s="1004"/>
      <c r="Y9" s="1004"/>
      <c r="Z9" s="1004"/>
      <c r="AA9" s="1004"/>
      <c r="AB9" s="1004"/>
      <c r="AC9" s="1004"/>
      <c r="AD9" s="1004"/>
      <c r="AE9" s="1004"/>
      <c r="AF9" s="1004"/>
      <c r="AG9" s="1004"/>
      <c r="AH9" s="1004"/>
      <c r="AI9" s="1004"/>
      <c r="AJ9" s="1004"/>
      <c r="AK9" s="1004"/>
      <c r="AL9" s="1004"/>
      <c r="AM9" s="1004"/>
      <c r="AN9" s="1004"/>
      <c r="AO9" s="1004"/>
      <c r="AP9" s="1004"/>
      <c r="AQ9" s="1004"/>
      <c r="AR9" s="1004"/>
      <c r="AS9" s="1004"/>
      <c r="AT9" s="1004"/>
      <c r="AU9" s="1004"/>
      <c r="AV9" s="1004"/>
      <c r="AW9" s="1004"/>
      <c r="AX9" s="1004"/>
      <c r="AY9" s="1004"/>
      <c r="AZ9" s="1004"/>
      <c r="BA9" s="1004"/>
      <c r="BB9" s="1004"/>
      <c r="BC9" s="1004"/>
      <c r="BD9" s="1004"/>
      <c r="BE9" s="1004"/>
      <c r="BF9" s="1004"/>
      <c r="BG9" s="1004"/>
      <c r="BH9" s="1004"/>
      <c r="BI9" s="1004"/>
      <c r="BJ9" s="1004"/>
      <c r="BK9" s="1004"/>
      <c r="BL9" s="1004"/>
      <c r="BM9" s="1004"/>
      <c r="BN9" s="1004"/>
      <c r="BO9" s="1004"/>
      <c r="BP9" s="1004"/>
      <c r="BQ9" s="1004"/>
      <c r="BR9" s="1004"/>
      <c r="BS9" s="1004"/>
      <c r="BT9" s="1004"/>
      <c r="BU9" s="1004"/>
      <c r="BV9" s="1004"/>
      <c r="BW9" s="975" t="s">
        <v>1255</v>
      </c>
      <c r="BX9" s="975"/>
      <c r="BY9" s="975"/>
      <c r="BZ9" s="975"/>
      <c r="CA9" s="975"/>
      <c r="CB9" s="975"/>
      <c r="CC9" s="975"/>
      <c r="CD9" s="975"/>
      <c r="CE9" s="976" t="str">
        <f>MID(SUVAHAVUJ!AF205,1,1)</f>
        <v xml:space="preserve"> </v>
      </c>
      <c r="CF9" s="976"/>
      <c r="CG9" s="976"/>
      <c r="CH9" s="976"/>
      <c r="CI9" s="976"/>
      <c r="CJ9" s="976" t="str">
        <f>MID(SUVAHAVUJ!AF205,2,1)</f>
        <v xml:space="preserve"> </v>
      </c>
      <c r="CK9" s="976"/>
      <c r="CL9" s="976"/>
      <c r="CM9" s="976"/>
      <c r="CN9" s="976"/>
      <c r="CO9" s="976"/>
      <c r="CP9" s="976" t="str">
        <f>MID(SUVAHAVUJ!AF205,3,1)</f>
        <v xml:space="preserve"> </v>
      </c>
      <c r="CQ9" s="976"/>
      <c r="CR9" s="976"/>
      <c r="CS9" s="976"/>
      <c r="CT9" s="976"/>
      <c r="CU9" s="976" t="str">
        <f>MID(SUVAHAVUJ!AF205,4,1)</f>
        <v xml:space="preserve"> </v>
      </c>
      <c r="CV9" s="976"/>
      <c r="CW9" s="976"/>
      <c r="CX9" s="976"/>
      <c r="CY9" s="976"/>
      <c r="CZ9" s="976"/>
      <c r="DA9" s="976" t="str">
        <f>MID(SUVAHAVUJ!AF205,5,1)</f>
        <v xml:space="preserve"> </v>
      </c>
      <c r="DB9" s="976"/>
      <c r="DC9" s="976"/>
      <c r="DD9" s="976"/>
      <c r="DE9" s="976"/>
      <c r="DF9" s="976" t="str">
        <f>MID(SUVAHAVUJ!AF205,6,1)</f>
        <v xml:space="preserve"> </v>
      </c>
      <c r="DG9" s="976"/>
      <c r="DH9" s="976"/>
      <c r="DI9" s="976"/>
      <c r="DJ9" s="976"/>
      <c r="DK9" s="976"/>
      <c r="DL9" s="976" t="str">
        <f>MID(SUVAHAVUJ!AF205,7,1)</f>
        <v xml:space="preserve"> </v>
      </c>
      <c r="DM9" s="976"/>
      <c r="DN9" s="976"/>
      <c r="DO9" s="976"/>
      <c r="DP9" s="976"/>
      <c r="DQ9" s="976"/>
      <c r="DR9" s="976" t="str">
        <f>MID(SUVAHAVUJ!AF205,8,1)</f>
        <v xml:space="preserve"> </v>
      </c>
      <c r="DS9" s="976"/>
      <c r="DT9" s="976"/>
      <c r="DU9" s="976"/>
      <c r="DV9" s="976"/>
      <c r="DW9" s="982" t="str">
        <f>MID(SUVAHAVUJ!AF205,9,1)</f>
        <v xml:space="preserve"> </v>
      </c>
      <c r="DX9" s="982"/>
      <c r="DY9" s="982"/>
      <c r="DZ9" s="982"/>
      <c r="EA9" s="982"/>
      <c r="EB9" s="982"/>
      <c r="EC9" s="982" t="str">
        <f>MID(SUVAHAVUJ!AF205,10,1)</f>
        <v xml:space="preserve"> </v>
      </c>
      <c r="ED9" s="982"/>
      <c r="EE9" s="982"/>
      <c r="EF9" s="982"/>
      <c r="EG9" s="982"/>
      <c r="EH9" s="977" t="str">
        <f>MID(SUVAHAVUJ!AF205,11,1)</f>
        <v>0</v>
      </c>
      <c r="EI9" s="977"/>
      <c r="EJ9" s="977"/>
      <c r="EK9" s="977"/>
      <c r="EL9" s="977"/>
      <c r="EM9" s="977"/>
      <c r="EN9" s="665"/>
      <c r="EO9" s="666"/>
      <c r="EP9" s="976" t="str">
        <f>MID(SUVAHAVUJ!AG205,1,1)</f>
        <v xml:space="preserve"> </v>
      </c>
      <c r="EQ9" s="976"/>
      <c r="ER9" s="976"/>
      <c r="ES9" s="976"/>
      <c r="ET9" s="976"/>
      <c r="EU9" s="976"/>
      <c r="EV9" s="976" t="str">
        <f>MID(SUVAHAVUJ!AG205,2,1)</f>
        <v xml:space="preserve"> </v>
      </c>
      <c r="EW9" s="976"/>
      <c r="EX9" s="976"/>
      <c r="EY9" s="976"/>
      <c r="EZ9" s="976"/>
      <c r="FA9" s="976" t="str">
        <f>MID(SUVAHAVUJ!AG205,3,1)</f>
        <v xml:space="preserve"> </v>
      </c>
      <c r="FB9" s="976"/>
      <c r="FC9" s="976"/>
      <c r="FD9" s="976"/>
      <c r="FE9" s="976"/>
      <c r="FF9" s="976"/>
      <c r="FG9" s="976" t="str">
        <f>MID(SUVAHAVUJ!AG205,4,1)</f>
        <v xml:space="preserve"> </v>
      </c>
      <c r="FH9" s="976"/>
      <c r="FI9" s="976"/>
      <c r="FJ9" s="976"/>
      <c r="FK9" s="976"/>
      <c r="FL9" s="982" t="str">
        <f>MID(SUVAHAVUJ!AG205,5,1)</f>
        <v xml:space="preserve"> </v>
      </c>
      <c r="FM9" s="982"/>
      <c r="FN9" s="982"/>
      <c r="FO9" s="982"/>
      <c r="FP9" s="982"/>
      <c r="FQ9" s="982"/>
      <c r="FR9" s="982" t="str">
        <f>MID(SUVAHAVUJ!AG205,6,1)</f>
        <v xml:space="preserve"> </v>
      </c>
      <c r="FS9" s="982"/>
      <c r="FT9" s="982"/>
      <c r="FU9" s="982"/>
      <c r="FV9" s="982"/>
      <c r="FW9" s="982" t="str">
        <f>MID(SUVAHAVUJ!AG205,7,1)</f>
        <v xml:space="preserve"> </v>
      </c>
      <c r="FX9" s="982"/>
      <c r="FY9" s="982"/>
      <c r="FZ9" s="982"/>
      <c r="GA9" s="982"/>
      <c r="GB9" s="982"/>
      <c r="GC9" s="982" t="str">
        <f>MID(SUVAHAVUJ!AG205,8,1)</f>
        <v xml:space="preserve"> </v>
      </c>
      <c r="GD9" s="982"/>
      <c r="GE9" s="982"/>
      <c r="GF9" s="982"/>
      <c r="GG9" s="982"/>
      <c r="GH9" s="982" t="str">
        <f>MID(SUVAHAVUJ!AG205,9,1)</f>
        <v>9</v>
      </c>
      <c r="GI9" s="982"/>
      <c r="GJ9" s="982"/>
      <c r="GK9" s="982"/>
      <c r="GL9" s="982"/>
      <c r="GM9" s="982"/>
      <c r="GN9" s="982" t="str">
        <f>MID(SUVAHAVUJ!AG205,10,1)</f>
        <v>6</v>
      </c>
      <c r="GO9" s="982"/>
      <c r="GP9" s="982"/>
      <c r="GQ9" s="982"/>
      <c r="GR9" s="982"/>
      <c r="GS9" s="978" t="str">
        <f>MID(SUVAHAVUJ!AG205,11,1)</f>
        <v>0</v>
      </c>
      <c r="GT9" s="978"/>
      <c r="GU9" s="978"/>
      <c r="GV9" s="978"/>
      <c r="GW9" s="978"/>
    </row>
    <row r="10" spans="1:205" ht="24.6" customHeight="1" x14ac:dyDescent="0.25">
      <c r="B10" s="1017" t="s">
        <v>2324</v>
      </c>
      <c r="C10" s="1017"/>
      <c r="D10" s="1017"/>
      <c r="E10" s="1017"/>
      <c r="F10" s="1017"/>
      <c r="G10" s="1017"/>
      <c r="H10" s="1017"/>
      <c r="I10" s="1017"/>
      <c r="J10" s="1017"/>
      <c r="K10" s="1017"/>
      <c r="L10" s="1005" t="str">
        <f>SUVAHAVUJ!$D$206</f>
        <v>Daň z príjmov  splatná (591, 595)</v>
      </c>
      <c r="M10" s="1005"/>
      <c r="N10" s="1005"/>
      <c r="O10" s="1005"/>
      <c r="P10" s="1005"/>
      <c r="Q10" s="1005"/>
      <c r="R10" s="1005"/>
      <c r="S10" s="1005"/>
      <c r="T10" s="1005"/>
      <c r="U10" s="1005"/>
      <c r="V10" s="1005"/>
      <c r="W10" s="1005"/>
      <c r="X10" s="1005"/>
      <c r="Y10" s="1005"/>
      <c r="Z10" s="1005"/>
      <c r="AA10" s="1005"/>
      <c r="AB10" s="1005"/>
      <c r="AC10" s="1005"/>
      <c r="AD10" s="1005"/>
      <c r="AE10" s="1005"/>
      <c r="AF10" s="1005"/>
      <c r="AG10" s="1005"/>
      <c r="AH10" s="1005"/>
      <c r="AI10" s="1005"/>
      <c r="AJ10" s="1005"/>
      <c r="AK10" s="1005"/>
      <c r="AL10" s="1005"/>
      <c r="AM10" s="1005"/>
      <c r="AN10" s="1005"/>
      <c r="AO10" s="1005"/>
      <c r="AP10" s="1005"/>
      <c r="AQ10" s="1005"/>
      <c r="AR10" s="1005"/>
      <c r="AS10" s="1005"/>
      <c r="AT10" s="1005"/>
      <c r="AU10" s="1005"/>
      <c r="AV10" s="1005"/>
      <c r="AW10" s="1005"/>
      <c r="AX10" s="1005"/>
      <c r="AY10" s="1005"/>
      <c r="AZ10" s="1005"/>
      <c r="BA10" s="1005"/>
      <c r="BB10" s="1005"/>
      <c r="BC10" s="1005"/>
      <c r="BD10" s="1005"/>
      <c r="BE10" s="1005"/>
      <c r="BF10" s="1005"/>
      <c r="BG10" s="1005"/>
      <c r="BH10" s="1005"/>
      <c r="BI10" s="1005"/>
      <c r="BJ10" s="1005"/>
      <c r="BK10" s="1005"/>
      <c r="BL10" s="1005"/>
      <c r="BM10" s="1005"/>
      <c r="BN10" s="1005"/>
      <c r="BO10" s="1005"/>
      <c r="BP10" s="1005"/>
      <c r="BQ10" s="1005"/>
      <c r="BR10" s="1005"/>
      <c r="BS10" s="1005"/>
      <c r="BT10" s="1005"/>
      <c r="BU10" s="1005"/>
      <c r="BV10" s="1005"/>
      <c r="BW10" s="975" t="s">
        <v>1262</v>
      </c>
      <c r="BX10" s="975"/>
      <c r="BY10" s="975"/>
      <c r="BZ10" s="975"/>
      <c r="CA10" s="975"/>
      <c r="CB10" s="975"/>
      <c r="CC10" s="975"/>
      <c r="CD10" s="975"/>
      <c r="CE10" s="976" t="str">
        <f>MID(SUVAHAVUJ!AF206,1,1)</f>
        <v xml:space="preserve"> </v>
      </c>
      <c r="CF10" s="976"/>
      <c r="CG10" s="976"/>
      <c r="CH10" s="976"/>
      <c r="CI10" s="976"/>
      <c r="CJ10" s="976" t="str">
        <f>MID(SUVAHAVUJ!AF206,2,1)</f>
        <v xml:space="preserve"> </v>
      </c>
      <c r="CK10" s="976"/>
      <c r="CL10" s="976"/>
      <c r="CM10" s="976"/>
      <c r="CN10" s="976"/>
      <c r="CO10" s="976"/>
      <c r="CP10" s="976" t="str">
        <f>MID(SUVAHAVUJ!AF206,3,1)</f>
        <v xml:space="preserve"> </v>
      </c>
      <c r="CQ10" s="976"/>
      <c r="CR10" s="976"/>
      <c r="CS10" s="976"/>
      <c r="CT10" s="976"/>
      <c r="CU10" s="976" t="str">
        <f>MID(SUVAHAVUJ!AF206,4,1)</f>
        <v xml:space="preserve"> </v>
      </c>
      <c r="CV10" s="976"/>
      <c r="CW10" s="976"/>
      <c r="CX10" s="976"/>
      <c r="CY10" s="976"/>
      <c r="CZ10" s="976"/>
      <c r="DA10" s="976" t="str">
        <f>MID(SUVAHAVUJ!AF206,5,1)</f>
        <v xml:space="preserve"> </v>
      </c>
      <c r="DB10" s="976"/>
      <c r="DC10" s="976"/>
      <c r="DD10" s="976"/>
      <c r="DE10" s="976"/>
      <c r="DF10" s="976" t="str">
        <f>MID(SUVAHAVUJ!AF206,6,1)</f>
        <v xml:space="preserve"> </v>
      </c>
      <c r="DG10" s="976"/>
      <c r="DH10" s="976"/>
      <c r="DI10" s="976"/>
      <c r="DJ10" s="976"/>
      <c r="DK10" s="976"/>
      <c r="DL10" s="976" t="str">
        <f>MID(SUVAHAVUJ!AF206,7,1)</f>
        <v xml:space="preserve"> </v>
      </c>
      <c r="DM10" s="976"/>
      <c r="DN10" s="976"/>
      <c r="DO10" s="976"/>
      <c r="DP10" s="976"/>
      <c r="DQ10" s="976"/>
      <c r="DR10" s="976" t="str">
        <f>MID(SUVAHAVUJ!AF206,8,1)</f>
        <v xml:space="preserve"> </v>
      </c>
      <c r="DS10" s="976"/>
      <c r="DT10" s="976"/>
      <c r="DU10" s="976"/>
      <c r="DV10" s="976"/>
      <c r="DW10" s="982" t="str">
        <f>MID(SUVAHAVUJ!AF206,9,1)</f>
        <v xml:space="preserve"> </v>
      </c>
      <c r="DX10" s="982"/>
      <c r="DY10" s="982"/>
      <c r="DZ10" s="982"/>
      <c r="EA10" s="982"/>
      <c r="EB10" s="982"/>
      <c r="EC10" s="982" t="str">
        <f>MID(SUVAHAVUJ!AF206,10,1)</f>
        <v xml:space="preserve"> </v>
      </c>
      <c r="ED10" s="982"/>
      <c r="EE10" s="982"/>
      <c r="EF10" s="982"/>
      <c r="EG10" s="982"/>
      <c r="EH10" s="977" t="str">
        <f>MID(SUVAHAVUJ!AF206,11,1)</f>
        <v>0</v>
      </c>
      <c r="EI10" s="977"/>
      <c r="EJ10" s="977"/>
      <c r="EK10" s="977"/>
      <c r="EL10" s="977"/>
      <c r="EM10" s="977"/>
      <c r="EN10" s="665"/>
      <c r="EO10" s="666"/>
      <c r="EP10" s="976" t="str">
        <f>MID(SUVAHAVUJ!AG206,1,1)</f>
        <v xml:space="preserve"> </v>
      </c>
      <c r="EQ10" s="976"/>
      <c r="ER10" s="976"/>
      <c r="ES10" s="976"/>
      <c r="ET10" s="976"/>
      <c r="EU10" s="976"/>
      <c r="EV10" s="976" t="str">
        <f>MID(SUVAHAVUJ!AG206,2,1)</f>
        <v xml:space="preserve"> </v>
      </c>
      <c r="EW10" s="976"/>
      <c r="EX10" s="976"/>
      <c r="EY10" s="976"/>
      <c r="EZ10" s="976"/>
      <c r="FA10" s="976" t="str">
        <f>MID(SUVAHAVUJ!AG206,3,1)</f>
        <v xml:space="preserve"> </v>
      </c>
      <c r="FB10" s="976"/>
      <c r="FC10" s="976"/>
      <c r="FD10" s="976"/>
      <c r="FE10" s="976"/>
      <c r="FF10" s="976"/>
      <c r="FG10" s="976" t="str">
        <f>MID(SUVAHAVUJ!AG206,4,1)</f>
        <v xml:space="preserve"> </v>
      </c>
      <c r="FH10" s="976"/>
      <c r="FI10" s="976"/>
      <c r="FJ10" s="976"/>
      <c r="FK10" s="976"/>
      <c r="FL10" s="982" t="str">
        <f>MID(SUVAHAVUJ!AG206,5,1)</f>
        <v xml:space="preserve"> </v>
      </c>
      <c r="FM10" s="982"/>
      <c r="FN10" s="982"/>
      <c r="FO10" s="982"/>
      <c r="FP10" s="982"/>
      <c r="FQ10" s="982"/>
      <c r="FR10" s="982" t="str">
        <f>MID(SUVAHAVUJ!AG206,6,1)</f>
        <v xml:space="preserve"> </v>
      </c>
      <c r="FS10" s="982"/>
      <c r="FT10" s="982"/>
      <c r="FU10" s="982"/>
      <c r="FV10" s="982"/>
      <c r="FW10" s="982" t="str">
        <f>MID(SUVAHAVUJ!AG206,7,1)</f>
        <v xml:space="preserve"> </v>
      </c>
      <c r="FX10" s="982"/>
      <c r="FY10" s="982"/>
      <c r="FZ10" s="982"/>
      <c r="GA10" s="982"/>
      <c r="GB10" s="982"/>
      <c r="GC10" s="982" t="str">
        <f>MID(SUVAHAVUJ!AG206,8,1)</f>
        <v xml:space="preserve"> </v>
      </c>
      <c r="GD10" s="982"/>
      <c r="GE10" s="982"/>
      <c r="GF10" s="982"/>
      <c r="GG10" s="982"/>
      <c r="GH10" s="982" t="str">
        <f>MID(SUVAHAVUJ!AG206,9,1)</f>
        <v>9</v>
      </c>
      <c r="GI10" s="982"/>
      <c r="GJ10" s="982"/>
      <c r="GK10" s="982"/>
      <c r="GL10" s="982"/>
      <c r="GM10" s="982"/>
      <c r="GN10" s="982" t="str">
        <f>MID(SUVAHAVUJ!AG206,10,1)</f>
        <v>6</v>
      </c>
      <c r="GO10" s="982"/>
      <c r="GP10" s="982"/>
      <c r="GQ10" s="982"/>
      <c r="GR10" s="982"/>
      <c r="GS10" s="978" t="str">
        <f>MID(SUVAHAVUJ!AG206,11,1)</f>
        <v>0</v>
      </c>
      <c r="GT10" s="978"/>
      <c r="GU10" s="978"/>
      <c r="GV10" s="978"/>
      <c r="GW10" s="978"/>
    </row>
    <row r="11" spans="1:205" ht="24.6" customHeight="1" x14ac:dyDescent="0.25">
      <c r="B11" s="1017" t="s">
        <v>2166</v>
      </c>
      <c r="C11" s="1017"/>
      <c r="D11" s="1017"/>
      <c r="E11" s="1017"/>
      <c r="F11" s="1017"/>
      <c r="G11" s="1017"/>
      <c r="H11" s="1017"/>
      <c r="I11" s="1017"/>
      <c r="J11" s="1017"/>
      <c r="K11" s="1017"/>
      <c r="L11" s="1005" t="str">
        <f>SUVAHAVUJ!$D$207</f>
        <v>Daň z príjmov odložená (+/-) (592)</v>
      </c>
      <c r="M11" s="1005"/>
      <c r="N11" s="1005"/>
      <c r="O11" s="1005"/>
      <c r="P11" s="1005"/>
      <c r="Q11" s="1005"/>
      <c r="R11" s="1005"/>
      <c r="S11" s="1005"/>
      <c r="T11" s="1005"/>
      <c r="U11" s="1005"/>
      <c r="V11" s="1005"/>
      <c r="W11" s="1005"/>
      <c r="X11" s="1005"/>
      <c r="Y11" s="1005"/>
      <c r="Z11" s="1005"/>
      <c r="AA11" s="1005"/>
      <c r="AB11" s="1005"/>
      <c r="AC11" s="1005"/>
      <c r="AD11" s="1005"/>
      <c r="AE11" s="1005"/>
      <c r="AF11" s="1005"/>
      <c r="AG11" s="1005"/>
      <c r="AH11" s="1005"/>
      <c r="AI11" s="1005"/>
      <c r="AJ11" s="1005"/>
      <c r="AK11" s="1005"/>
      <c r="AL11" s="1005"/>
      <c r="AM11" s="1005"/>
      <c r="AN11" s="1005"/>
      <c r="AO11" s="1005"/>
      <c r="AP11" s="1005"/>
      <c r="AQ11" s="1005"/>
      <c r="AR11" s="1005"/>
      <c r="AS11" s="1005"/>
      <c r="AT11" s="1005"/>
      <c r="AU11" s="1005"/>
      <c r="AV11" s="1005"/>
      <c r="AW11" s="1005"/>
      <c r="AX11" s="1005"/>
      <c r="AY11" s="1005"/>
      <c r="AZ11" s="1005"/>
      <c r="BA11" s="1005"/>
      <c r="BB11" s="1005"/>
      <c r="BC11" s="1005"/>
      <c r="BD11" s="1005"/>
      <c r="BE11" s="1005"/>
      <c r="BF11" s="1005"/>
      <c r="BG11" s="1005"/>
      <c r="BH11" s="1005"/>
      <c r="BI11" s="1005"/>
      <c r="BJ11" s="1005"/>
      <c r="BK11" s="1005"/>
      <c r="BL11" s="1005"/>
      <c r="BM11" s="1005"/>
      <c r="BN11" s="1005"/>
      <c r="BO11" s="1005"/>
      <c r="BP11" s="1005"/>
      <c r="BQ11" s="1005"/>
      <c r="BR11" s="1005"/>
      <c r="BS11" s="1005"/>
      <c r="BT11" s="1005"/>
      <c r="BU11" s="1005"/>
      <c r="BV11" s="1005"/>
      <c r="BW11" s="975" t="s">
        <v>1223</v>
      </c>
      <c r="BX11" s="975"/>
      <c r="BY11" s="975"/>
      <c r="BZ11" s="975"/>
      <c r="CA11" s="975"/>
      <c r="CB11" s="975"/>
      <c r="CC11" s="975"/>
      <c r="CD11" s="975"/>
      <c r="CE11" s="976" t="str">
        <f>MID(SUVAHAVUJ!AF207,1,1)</f>
        <v xml:space="preserve"> </v>
      </c>
      <c r="CF11" s="976"/>
      <c r="CG11" s="976"/>
      <c r="CH11" s="976"/>
      <c r="CI11" s="976"/>
      <c r="CJ11" s="976" t="str">
        <f>MID(SUVAHAVUJ!AF207,2,1)</f>
        <v xml:space="preserve"> </v>
      </c>
      <c r="CK11" s="976"/>
      <c r="CL11" s="976"/>
      <c r="CM11" s="976"/>
      <c r="CN11" s="976"/>
      <c r="CO11" s="976"/>
      <c r="CP11" s="976" t="str">
        <f>MID(SUVAHAVUJ!AF207,3,1)</f>
        <v xml:space="preserve"> </v>
      </c>
      <c r="CQ11" s="976"/>
      <c r="CR11" s="976"/>
      <c r="CS11" s="976"/>
      <c r="CT11" s="976"/>
      <c r="CU11" s="976" t="str">
        <f>MID(SUVAHAVUJ!AF207,4,1)</f>
        <v xml:space="preserve"> </v>
      </c>
      <c r="CV11" s="976"/>
      <c r="CW11" s="976"/>
      <c r="CX11" s="976"/>
      <c r="CY11" s="976"/>
      <c r="CZ11" s="976"/>
      <c r="DA11" s="976" t="str">
        <f>MID(SUVAHAVUJ!AF207,5,1)</f>
        <v xml:space="preserve"> </v>
      </c>
      <c r="DB11" s="976"/>
      <c r="DC11" s="976"/>
      <c r="DD11" s="976"/>
      <c r="DE11" s="976"/>
      <c r="DF11" s="976" t="str">
        <f>MID(SUVAHAVUJ!AF207,6,1)</f>
        <v xml:space="preserve"> </v>
      </c>
      <c r="DG11" s="976"/>
      <c r="DH11" s="976"/>
      <c r="DI11" s="976"/>
      <c r="DJ11" s="976"/>
      <c r="DK11" s="976"/>
      <c r="DL11" s="976" t="str">
        <f>MID(SUVAHAVUJ!AF207,7,1)</f>
        <v xml:space="preserve"> </v>
      </c>
      <c r="DM11" s="976"/>
      <c r="DN11" s="976"/>
      <c r="DO11" s="976"/>
      <c r="DP11" s="976"/>
      <c r="DQ11" s="976"/>
      <c r="DR11" s="976" t="str">
        <f>MID(SUVAHAVUJ!AF207,8,1)</f>
        <v xml:space="preserve"> </v>
      </c>
      <c r="DS11" s="976"/>
      <c r="DT11" s="976"/>
      <c r="DU11" s="976"/>
      <c r="DV11" s="976"/>
      <c r="DW11" s="982" t="str">
        <f>MID(SUVAHAVUJ!AF207,9,1)</f>
        <v xml:space="preserve"> </v>
      </c>
      <c r="DX11" s="982"/>
      <c r="DY11" s="982"/>
      <c r="DZ11" s="982"/>
      <c r="EA11" s="982"/>
      <c r="EB11" s="982"/>
      <c r="EC11" s="982" t="str">
        <f>MID(SUVAHAVUJ!AF207,10,1)</f>
        <v xml:space="preserve"> </v>
      </c>
      <c r="ED11" s="982"/>
      <c r="EE11" s="982"/>
      <c r="EF11" s="982"/>
      <c r="EG11" s="982"/>
      <c r="EH11" s="977" t="str">
        <f>MID(SUVAHAVUJ!AF207,11,1)</f>
        <v>0</v>
      </c>
      <c r="EI11" s="977"/>
      <c r="EJ11" s="977"/>
      <c r="EK11" s="977"/>
      <c r="EL11" s="977"/>
      <c r="EM11" s="977"/>
      <c r="EN11" s="665"/>
      <c r="EO11" s="666"/>
      <c r="EP11" s="976" t="str">
        <f>MID(SUVAHAVUJ!AG207,1,1)</f>
        <v xml:space="preserve"> </v>
      </c>
      <c r="EQ11" s="976"/>
      <c r="ER11" s="976"/>
      <c r="ES11" s="976"/>
      <c r="ET11" s="976"/>
      <c r="EU11" s="976"/>
      <c r="EV11" s="976" t="str">
        <f>MID(SUVAHAVUJ!AG207,2,1)</f>
        <v xml:space="preserve"> </v>
      </c>
      <c r="EW11" s="976"/>
      <c r="EX11" s="976"/>
      <c r="EY11" s="976"/>
      <c r="EZ11" s="976"/>
      <c r="FA11" s="976" t="str">
        <f>MID(SUVAHAVUJ!AG207,3,1)</f>
        <v xml:space="preserve"> </v>
      </c>
      <c r="FB11" s="976"/>
      <c r="FC11" s="976"/>
      <c r="FD11" s="976"/>
      <c r="FE11" s="976"/>
      <c r="FF11" s="976"/>
      <c r="FG11" s="976" t="str">
        <f>MID(SUVAHAVUJ!AG207,4,1)</f>
        <v xml:space="preserve"> </v>
      </c>
      <c r="FH11" s="976"/>
      <c r="FI11" s="976"/>
      <c r="FJ11" s="976"/>
      <c r="FK11" s="976"/>
      <c r="FL11" s="982" t="str">
        <f>MID(SUVAHAVUJ!AG207,5,1)</f>
        <v xml:space="preserve"> </v>
      </c>
      <c r="FM11" s="982"/>
      <c r="FN11" s="982"/>
      <c r="FO11" s="982"/>
      <c r="FP11" s="982"/>
      <c r="FQ11" s="982"/>
      <c r="FR11" s="982" t="str">
        <f>MID(SUVAHAVUJ!AG207,6,1)</f>
        <v xml:space="preserve"> </v>
      </c>
      <c r="FS11" s="982"/>
      <c r="FT11" s="982"/>
      <c r="FU11" s="982"/>
      <c r="FV11" s="982"/>
      <c r="FW11" s="982" t="str">
        <f>MID(SUVAHAVUJ!AG207,7,1)</f>
        <v xml:space="preserve"> </v>
      </c>
      <c r="FX11" s="982"/>
      <c r="FY11" s="982"/>
      <c r="FZ11" s="982"/>
      <c r="GA11" s="982"/>
      <c r="GB11" s="982"/>
      <c r="GC11" s="982" t="str">
        <f>MID(SUVAHAVUJ!AG207,8,1)</f>
        <v xml:space="preserve"> </v>
      </c>
      <c r="GD11" s="982"/>
      <c r="GE11" s="982"/>
      <c r="GF11" s="982"/>
      <c r="GG11" s="982"/>
      <c r="GH11" s="982" t="str">
        <f>MID(SUVAHAVUJ!AG207,9,1)</f>
        <v xml:space="preserve"> </v>
      </c>
      <c r="GI11" s="982"/>
      <c r="GJ11" s="982"/>
      <c r="GK11" s="982"/>
      <c r="GL11" s="982"/>
      <c r="GM11" s="982"/>
      <c r="GN11" s="982" t="str">
        <f>MID(SUVAHAVUJ!AG207,10,1)</f>
        <v xml:space="preserve"> </v>
      </c>
      <c r="GO11" s="982"/>
      <c r="GP11" s="982"/>
      <c r="GQ11" s="982"/>
      <c r="GR11" s="982"/>
      <c r="GS11" s="978" t="str">
        <f>MID(SUVAHAVUJ!AG207,11,1)</f>
        <v>0</v>
      </c>
      <c r="GT11" s="978"/>
      <c r="GU11" s="978"/>
      <c r="GV11" s="978"/>
      <c r="GW11" s="978"/>
    </row>
    <row r="12" spans="1:205" ht="24.6" customHeight="1" x14ac:dyDescent="0.25">
      <c r="B12" s="1017" t="s">
        <v>2325</v>
      </c>
      <c r="C12" s="1017"/>
      <c r="D12" s="1017"/>
      <c r="E12" s="1017"/>
      <c r="F12" s="1017"/>
      <c r="G12" s="1017"/>
      <c r="H12" s="1017"/>
      <c r="I12" s="1017"/>
      <c r="J12" s="1017"/>
      <c r="K12" s="1017"/>
      <c r="L12" s="1005" t="str">
        <f>SUVAHAVUJ!$D$208</f>
        <v>Prevod podielov na výsledku hospodárenia spoločníkom (+/- 596)</v>
      </c>
      <c r="M12" s="1005"/>
      <c r="N12" s="1005"/>
      <c r="O12" s="1005"/>
      <c r="P12" s="1005"/>
      <c r="Q12" s="1005"/>
      <c r="R12" s="1005"/>
      <c r="S12" s="1005"/>
      <c r="T12" s="1005"/>
      <c r="U12" s="1005"/>
      <c r="V12" s="1005"/>
      <c r="W12" s="1005"/>
      <c r="X12" s="1005"/>
      <c r="Y12" s="1005"/>
      <c r="Z12" s="1005"/>
      <c r="AA12" s="1005"/>
      <c r="AB12" s="1005"/>
      <c r="AC12" s="1005"/>
      <c r="AD12" s="1005"/>
      <c r="AE12" s="1005"/>
      <c r="AF12" s="1005"/>
      <c r="AG12" s="1005"/>
      <c r="AH12" s="1005"/>
      <c r="AI12" s="1005"/>
      <c r="AJ12" s="1005"/>
      <c r="AK12" s="1005"/>
      <c r="AL12" s="1005"/>
      <c r="AM12" s="1005"/>
      <c r="AN12" s="1005"/>
      <c r="AO12" s="1005"/>
      <c r="AP12" s="1005"/>
      <c r="AQ12" s="1005"/>
      <c r="AR12" s="1005"/>
      <c r="AS12" s="1005"/>
      <c r="AT12" s="1005"/>
      <c r="AU12" s="1005"/>
      <c r="AV12" s="1005"/>
      <c r="AW12" s="1005"/>
      <c r="AX12" s="1005"/>
      <c r="AY12" s="1005"/>
      <c r="AZ12" s="1005"/>
      <c r="BA12" s="1005"/>
      <c r="BB12" s="1005"/>
      <c r="BC12" s="1005"/>
      <c r="BD12" s="1005"/>
      <c r="BE12" s="1005"/>
      <c r="BF12" s="1005"/>
      <c r="BG12" s="1005"/>
      <c r="BH12" s="1005"/>
      <c r="BI12" s="1005"/>
      <c r="BJ12" s="1005"/>
      <c r="BK12" s="1005"/>
      <c r="BL12" s="1005"/>
      <c r="BM12" s="1005"/>
      <c r="BN12" s="1005"/>
      <c r="BO12" s="1005"/>
      <c r="BP12" s="1005"/>
      <c r="BQ12" s="1005"/>
      <c r="BR12" s="1005"/>
      <c r="BS12" s="1005"/>
      <c r="BT12" s="1005"/>
      <c r="BU12" s="1005"/>
      <c r="BV12" s="1005"/>
      <c r="BW12" s="975" t="s">
        <v>1224</v>
      </c>
      <c r="BX12" s="975"/>
      <c r="BY12" s="975"/>
      <c r="BZ12" s="975"/>
      <c r="CA12" s="975"/>
      <c r="CB12" s="975"/>
      <c r="CC12" s="975"/>
      <c r="CD12" s="975"/>
      <c r="CE12" s="976" t="str">
        <f>MID(SUVAHAVUJ!AF208,1,1)</f>
        <v xml:space="preserve"> </v>
      </c>
      <c r="CF12" s="976"/>
      <c r="CG12" s="976"/>
      <c r="CH12" s="976"/>
      <c r="CI12" s="976"/>
      <c r="CJ12" s="976" t="str">
        <f>MID(SUVAHAVUJ!AF208,2,1)</f>
        <v xml:space="preserve"> </v>
      </c>
      <c r="CK12" s="976"/>
      <c r="CL12" s="976"/>
      <c r="CM12" s="976"/>
      <c r="CN12" s="976"/>
      <c r="CO12" s="976"/>
      <c r="CP12" s="976" t="str">
        <f>MID(SUVAHAVUJ!AF208,3,1)</f>
        <v xml:space="preserve"> </v>
      </c>
      <c r="CQ12" s="976"/>
      <c r="CR12" s="976"/>
      <c r="CS12" s="976"/>
      <c r="CT12" s="976"/>
      <c r="CU12" s="976" t="str">
        <f>MID(SUVAHAVUJ!AF208,4,1)</f>
        <v xml:space="preserve"> </v>
      </c>
      <c r="CV12" s="976"/>
      <c r="CW12" s="976"/>
      <c r="CX12" s="976"/>
      <c r="CY12" s="976"/>
      <c r="CZ12" s="976"/>
      <c r="DA12" s="976" t="str">
        <f>MID(SUVAHAVUJ!AF208,5,1)</f>
        <v xml:space="preserve"> </v>
      </c>
      <c r="DB12" s="976"/>
      <c r="DC12" s="976"/>
      <c r="DD12" s="976"/>
      <c r="DE12" s="976"/>
      <c r="DF12" s="976" t="str">
        <f>MID(SUVAHAVUJ!AF208,6,1)</f>
        <v xml:space="preserve"> </v>
      </c>
      <c r="DG12" s="976"/>
      <c r="DH12" s="976"/>
      <c r="DI12" s="976"/>
      <c r="DJ12" s="976"/>
      <c r="DK12" s="976"/>
      <c r="DL12" s="976" t="str">
        <f>MID(SUVAHAVUJ!AF208,7,1)</f>
        <v xml:space="preserve"> </v>
      </c>
      <c r="DM12" s="976"/>
      <c r="DN12" s="976"/>
      <c r="DO12" s="976"/>
      <c r="DP12" s="976"/>
      <c r="DQ12" s="976"/>
      <c r="DR12" s="976" t="str">
        <f>MID(SUVAHAVUJ!AF208,8,1)</f>
        <v xml:space="preserve"> </v>
      </c>
      <c r="DS12" s="976"/>
      <c r="DT12" s="976"/>
      <c r="DU12" s="976"/>
      <c r="DV12" s="976"/>
      <c r="DW12" s="982" t="str">
        <f>MID(SUVAHAVUJ!AF208,9,1)</f>
        <v xml:space="preserve"> </v>
      </c>
      <c r="DX12" s="982"/>
      <c r="DY12" s="982"/>
      <c r="DZ12" s="982"/>
      <c r="EA12" s="982"/>
      <c r="EB12" s="982"/>
      <c r="EC12" s="982" t="str">
        <f>MID(SUVAHAVUJ!AF208,10,1)</f>
        <v xml:space="preserve"> </v>
      </c>
      <c r="ED12" s="982"/>
      <c r="EE12" s="982"/>
      <c r="EF12" s="982"/>
      <c r="EG12" s="982"/>
      <c r="EH12" s="977" t="str">
        <f>MID(SUVAHAVUJ!AF208,11,1)</f>
        <v>0</v>
      </c>
      <c r="EI12" s="977"/>
      <c r="EJ12" s="977"/>
      <c r="EK12" s="977"/>
      <c r="EL12" s="977"/>
      <c r="EM12" s="977"/>
      <c r="EN12" s="665"/>
      <c r="EO12" s="666"/>
      <c r="EP12" s="976" t="str">
        <f>MID(SUVAHAVUJ!AG208,1,1)</f>
        <v xml:space="preserve"> </v>
      </c>
      <c r="EQ12" s="976"/>
      <c r="ER12" s="976"/>
      <c r="ES12" s="976"/>
      <c r="ET12" s="976"/>
      <c r="EU12" s="976"/>
      <c r="EV12" s="976" t="str">
        <f>MID(SUVAHAVUJ!AG208,2,1)</f>
        <v xml:space="preserve"> </v>
      </c>
      <c r="EW12" s="976"/>
      <c r="EX12" s="976"/>
      <c r="EY12" s="976"/>
      <c r="EZ12" s="976"/>
      <c r="FA12" s="976" t="str">
        <f>MID(SUVAHAVUJ!AG208,3,1)</f>
        <v xml:space="preserve"> </v>
      </c>
      <c r="FB12" s="976"/>
      <c r="FC12" s="976"/>
      <c r="FD12" s="976"/>
      <c r="FE12" s="976"/>
      <c r="FF12" s="976"/>
      <c r="FG12" s="976" t="str">
        <f>MID(SUVAHAVUJ!AG208,4,1)</f>
        <v xml:space="preserve"> </v>
      </c>
      <c r="FH12" s="976"/>
      <c r="FI12" s="976"/>
      <c r="FJ12" s="976"/>
      <c r="FK12" s="976"/>
      <c r="FL12" s="982" t="str">
        <f>MID(SUVAHAVUJ!AG208,5,1)</f>
        <v xml:space="preserve"> </v>
      </c>
      <c r="FM12" s="982"/>
      <c r="FN12" s="982"/>
      <c r="FO12" s="982"/>
      <c r="FP12" s="982"/>
      <c r="FQ12" s="982"/>
      <c r="FR12" s="982" t="str">
        <f>MID(SUVAHAVUJ!AG208,6,1)</f>
        <v xml:space="preserve"> </v>
      </c>
      <c r="FS12" s="982"/>
      <c r="FT12" s="982"/>
      <c r="FU12" s="982"/>
      <c r="FV12" s="982"/>
      <c r="FW12" s="982" t="str">
        <f>MID(SUVAHAVUJ!AG208,7,1)</f>
        <v xml:space="preserve"> </v>
      </c>
      <c r="FX12" s="982"/>
      <c r="FY12" s="982"/>
      <c r="FZ12" s="982"/>
      <c r="GA12" s="982"/>
      <c r="GB12" s="982"/>
      <c r="GC12" s="982" t="str">
        <f>MID(SUVAHAVUJ!AG208,8,1)</f>
        <v xml:space="preserve"> </v>
      </c>
      <c r="GD12" s="982"/>
      <c r="GE12" s="982"/>
      <c r="GF12" s="982"/>
      <c r="GG12" s="982"/>
      <c r="GH12" s="982" t="str">
        <f>MID(SUVAHAVUJ!AG208,9,1)</f>
        <v xml:space="preserve"> </v>
      </c>
      <c r="GI12" s="982"/>
      <c r="GJ12" s="982"/>
      <c r="GK12" s="982"/>
      <c r="GL12" s="982"/>
      <c r="GM12" s="982"/>
      <c r="GN12" s="982" t="str">
        <f>MID(SUVAHAVUJ!AG208,10,1)</f>
        <v xml:space="preserve"> </v>
      </c>
      <c r="GO12" s="982"/>
      <c r="GP12" s="982"/>
      <c r="GQ12" s="982"/>
      <c r="GR12" s="982"/>
      <c r="GS12" s="978" t="str">
        <f>MID(SUVAHAVUJ!AG208,11,1)</f>
        <v>0</v>
      </c>
      <c r="GT12" s="978"/>
      <c r="GU12" s="978"/>
      <c r="GV12" s="978"/>
      <c r="GW12" s="978"/>
    </row>
    <row r="13" spans="1:205" ht="24.6" customHeight="1" x14ac:dyDescent="0.25">
      <c r="B13" s="1019" t="s">
        <v>2322</v>
      </c>
      <c r="C13" s="1019"/>
      <c r="D13" s="1019"/>
      <c r="E13" s="1019"/>
      <c r="F13" s="1019"/>
      <c r="G13" s="1019"/>
      <c r="H13" s="1019"/>
      <c r="I13" s="1019"/>
      <c r="J13" s="1019"/>
      <c r="K13" s="1019"/>
      <c r="L13" s="1004" t="str">
        <f>SUVAHAVUJ!$D$209</f>
        <v>Výsledok hospodárenia za účtovné obdobie po  zdanení (+/-) (r. 56 - r. 57 - r. 60)</v>
      </c>
      <c r="M13" s="1004"/>
      <c r="N13" s="1004"/>
      <c r="O13" s="1004"/>
      <c r="P13" s="1004"/>
      <c r="Q13" s="1004"/>
      <c r="R13" s="1004"/>
      <c r="S13" s="1004"/>
      <c r="T13" s="1004"/>
      <c r="U13" s="1004"/>
      <c r="V13" s="1004"/>
      <c r="W13" s="1004"/>
      <c r="X13" s="1004"/>
      <c r="Y13" s="1004"/>
      <c r="Z13" s="1004"/>
      <c r="AA13" s="1004"/>
      <c r="AB13" s="1004"/>
      <c r="AC13" s="1004"/>
      <c r="AD13" s="1004"/>
      <c r="AE13" s="1004"/>
      <c r="AF13" s="1004"/>
      <c r="AG13" s="1004"/>
      <c r="AH13" s="1004"/>
      <c r="AI13" s="1004"/>
      <c r="AJ13" s="1004"/>
      <c r="AK13" s="1004"/>
      <c r="AL13" s="1004"/>
      <c r="AM13" s="1004"/>
      <c r="AN13" s="1004"/>
      <c r="AO13" s="1004"/>
      <c r="AP13" s="1004"/>
      <c r="AQ13" s="1004"/>
      <c r="AR13" s="1004"/>
      <c r="AS13" s="1004"/>
      <c r="AT13" s="1004"/>
      <c r="AU13" s="1004"/>
      <c r="AV13" s="1004"/>
      <c r="AW13" s="1004"/>
      <c r="AX13" s="1004"/>
      <c r="AY13" s="1004"/>
      <c r="AZ13" s="1004"/>
      <c r="BA13" s="1004"/>
      <c r="BB13" s="1004"/>
      <c r="BC13" s="1004"/>
      <c r="BD13" s="1004"/>
      <c r="BE13" s="1004"/>
      <c r="BF13" s="1004"/>
      <c r="BG13" s="1004"/>
      <c r="BH13" s="1004"/>
      <c r="BI13" s="1004"/>
      <c r="BJ13" s="1004"/>
      <c r="BK13" s="1004"/>
      <c r="BL13" s="1004"/>
      <c r="BM13" s="1004"/>
      <c r="BN13" s="1004"/>
      <c r="BO13" s="1004"/>
      <c r="BP13" s="1004"/>
      <c r="BQ13" s="1004"/>
      <c r="BR13" s="1004"/>
      <c r="BS13" s="1004"/>
      <c r="BT13" s="1004"/>
      <c r="BU13" s="1004"/>
      <c r="BV13" s="1004"/>
      <c r="BW13" s="975" t="s">
        <v>1229</v>
      </c>
      <c r="BX13" s="975"/>
      <c r="BY13" s="975"/>
      <c r="BZ13" s="975"/>
      <c r="CA13" s="975"/>
      <c r="CB13" s="975"/>
      <c r="CC13" s="975"/>
      <c r="CD13" s="975"/>
      <c r="CE13" s="976" t="str">
        <f>MID(SUVAHAVUJ!AF209,1,1)</f>
        <v xml:space="preserve"> </v>
      </c>
      <c r="CF13" s="976"/>
      <c r="CG13" s="976"/>
      <c r="CH13" s="976"/>
      <c r="CI13" s="976"/>
      <c r="CJ13" s="976" t="str">
        <f>MID(SUVAHAVUJ!AF209,2,1)</f>
        <v xml:space="preserve"> </v>
      </c>
      <c r="CK13" s="976"/>
      <c r="CL13" s="976"/>
      <c r="CM13" s="976"/>
      <c r="CN13" s="976"/>
      <c r="CO13" s="976"/>
      <c r="CP13" s="976" t="str">
        <f>MID(SUVAHAVUJ!AF209,3,1)</f>
        <v xml:space="preserve"> </v>
      </c>
      <c r="CQ13" s="976"/>
      <c r="CR13" s="976"/>
      <c r="CS13" s="976"/>
      <c r="CT13" s="976"/>
      <c r="CU13" s="976" t="str">
        <f>MID(SUVAHAVUJ!AF209,4,1)</f>
        <v xml:space="preserve"> </v>
      </c>
      <c r="CV13" s="976"/>
      <c r="CW13" s="976"/>
      <c r="CX13" s="976"/>
      <c r="CY13" s="976"/>
      <c r="CZ13" s="976"/>
      <c r="DA13" s="976" t="str">
        <f>MID(SUVAHAVUJ!AF209,5,1)</f>
        <v xml:space="preserve"> </v>
      </c>
      <c r="DB13" s="976"/>
      <c r="DC13" s="976"/>
      <c r="DD13" s="976"/>
      <c r="DE13" s="976"/>
      <c r="DF13" s="976" t="str">
        <f>MID(SUVAHAVUJ!AF209,6,1)</f>
        <v>-</v>
      </c>
      <c r="DG13" s="976"/>
      <c r="DH13" s="976"/>
      <c r="DI13" s="976"/>
      <c r="DJ13" s="976"/>
      <c r="DK13" s="976"/>
      <c r="DL13" s="976" t="str">
        <f>MID(SUVAHAVUJ!AF209,7,1)</f>
        <v>1</v>
      </c>
      <c r="DM13" s="976"/>
      <c r="DN13" s="976"/>
      <c r="DO13" s="976"/>
      <c r="DP13" s="976"/>
      <c r="DQ13" s="976"/>
      <c r="DR13" s="976" t="str">
        <f>MID(SUVAHAVUJ!AF209,8,1)</f>
        <v>5</v>
      </c>
      <c r="DS13" s="976"/>
      <c r="DT13" s="976"/>
      <c r="DU13" s="976"/>
      <c r="DV13" s="976"/>
      <c r="DW13" s="982" t="str">
        <f>MID(SUVAHAVUJ!AF209,9,1)</f>
        <v>0</v>
      </c>
      <c r="DX13" s="982"/>
      <c r="DY13" s="982"/>
      <c r="DZ13" s="982"/>
      <c r="EA13" s="982"/>
      <c r="EB13" s="982"/>
      <c r="EC13" s="982" t="str">
        <f>MID(SUVAHAVUJ!AF209,10,1)</f>
        <v>6</v>
      </c>
      <c r="ED13" s="982"/>
      <c r="EE13" s="982"/>
      <c r="EF13" s="982"/>
      <c r="EG13" s="982"/>
      <c r="EH13" s="977" t="str">
        <f>MID(SUVAHAVUJ!AF209,11,1)</f>
        <v>6</v>
      </c>
      <c r="EI13" s="977"/>
      <c r="EJ13" s="977"/>
      <c r="EK13" s="977"/>
      <c r="EL13" s="977"/>
      <c r="EM13" s="977"/>
      <c r="EN13" s="665"/>
      <c r="EO13" s="666"/>
      <c r="EP13" s="976" t="str">
        <f>MID(SUVAHAVUJ!AG209,1,1)</f>
        <v xml:space="preserve"> </v>
      </c>
      <c r="EQ13" s="976"/>
      <c r="ER13" s="976"/>
      <c r="ES13" s="976"/>
      <c r="ET13" s="976"/>
      <c r="EU13" s="976"/>
      <c r="EV13" s="976" t="str">
        <f>MID(SUVAHAVUJ!AG209,2,1)</f>
        <v xml:space="preserve"> </v>
      </c>
      <c r="EW13" s="976"/>
      <c r="EX13" s="976"/>
      <c r="EY13" s="976"/>
      <c r="EZ13" s="976"/>
      <c r="FA13" s="976" t="str">
        <f>MID(SUVAHAVUJ!AG209,3,1)</f>
        <v xml:space="preserve"> </v>
      </c>
      <c r="FB13" s="976"/>
      <c r="FC13" s="976"/>
      <c r="FD13" s="976"/>
      <c r="FE13" s="976"/>
      <c r="FF13" s="976"/>
      <c r="FG13" s="976" t="str">
        <f>MID(SUVAHAVUJ!AG209,4,1)</f>
        <v xml:space="preserve"> </v>
      </c>
      <c r="FH13" s="976"/>
      <c r="FI13" s="976"/>
      <c r="FJ13" s="976"/>
      <c r="FK13" s="976"/>
      <c r="FL13" s="982" t="str">
        <f>MID(SUVAHAVUJ!AG209,5,1)</f>
        <v xml:space="preserve"> </v>
      </c>
      <c r="FM13" s="982"/>
      <c r="FN13" s="982"/>
      <c r="FO13" s="982"/>
      <c r="FP13" s="982"/>
      <c r="FQ13" s="982"/>
      <c r="FR13" s="982" t="str">
        <f>MID(SUVAHAVUJ!AG209,6,1)</f>
        <v xml:space="preserve"> </v>
      </c>
      <c r="FS13" s="982"/>
      <c r="FT13" s="982"/>
      <c r="FU13" s="982"/>
      <c r="FV13" s="982"/>
      <c r="FW13" s="982" t="str">
        <f>MID(SUVAHAVUJ!AG209,7,1)</f>
        <v>1</v>
      </c>
      <c r="FX13" s="982"/>
      <c r="FY13" s="982"/>
      <c r="FZ13" s="982"/>
      <c r="GA13" s="982"/>
      <c r="GB13" s="982"/>
      <c r="GC13" s="982" t="str">
        <f>MID(SUVAHAVUJ!AG209,8,1)</f>
        <v>5</v>
      </c>
      <c r="GD13" s="982"/>
      <c r="GE13" s="982"/>
      <c r="GF13" s="982"/>
      <c r="GG13" s="982"/>
      <c r="GH13" s="982" t="str">
        <f>MID(SUVAHAVUJ!AG209,9,1)</f>
        <v>9</v>
      </c>
      <c r="GI13" s="982"/>
      <c r="GJ13" s="982"/>
      <c r="GK13" s="982"/>
      <c r="GL13" s="982"/>
      <c r="GM13" s="982"/>
      <c r="GN13" s="982" t="str">
        <f>MID(SUVAHAVUJ!AG209,10,1)</f>
        <v>4</v>
      </c>
      <c r="GO13" s="982"/>
      <c r="GP13" s="982"/>
      <c r="GQ13" s="982"/>
      <c r="GR13" s="982"/>
      <c r="GS13" s="978" t="str">
        <f>MID(SUVAHAVUJ!AG209,11,1)</f>
        <v>5</v>
      </c>
      <c r="GT13" s="978"/>
      <c r="GU13" s="978"/>
      <c r="GV13" s="978"/>
      <c r="GW13" s="978"/>
    </row>
    <row r="14" spans="1:205" ht="12.75" customHeight="1" x14ac:dyDescent="0.25">
      <c r="A14" s="650"/>
      <c r="B14" s="650"/>
      <c r="C14" s="650"/>
      <c r="D14" s="650"/>
      <c r="E14" s="650"/>
      <c r="F14" s="650"/>
      <c r="G14" s="650"/>
      <c r="H14" s="650"/>
      <c r="I14" s="650"/>
      <c r="J14" s="650"/>
      <c r="K14" s="650"/>
      <c r="L14" s="650"/>
      <c r="M14" s="650"/>
      <c r="N14" s="650"/>
      <c r="O14" s="650"/>
      <c r="P14" s="650"/>
      <c r="Q14" s="650"/>
      <c r="R14" s="650"/>
      <c r="S14" s="650"/>
      <c r="T14" s="650"/>
      <c r="U14" s="650"/>
      <c r="V14" s="650"/>
      <c r="W14" s="650"/>
      <c r="X14" s="650"/>
      <c r="Y14" s="650"/>
      <c r="Z14" s="650"/>
      <c r="AA14" s="650"/>
      <c r="AB14" s="650"/>
      <c r="AC14" s="650"/>
      <c r="AD14" s="650"/>
      <c r="AE14" s="650"/>
      <c r="AF14" s="650"/>
      <c r="AG14" s="650"/>
      <c r="AH14" s="650"/>
      <c r="AI14" s="650"/>
      <c r="AJ14" s="650"/>
      <c r="AK14" s="650"/>
      <c r="AL14" s="650"/>
      <c r="AM14" s="650"/>
      <c r="AN14" s="650"/>
      <c r="AO14" s="650"/>
      <c r="AP14" s="650"/>
      <c r="AQ14" s="650"/>
      <c r="AR14" s="650"/>
      <c r="AS14" s="650"/>
      <c r="AT14" s="650"/>
      <c r="AU14" s="650"/>
      <c r="AV14" s="650"/>
      <c r="AW14" s="650"/>
      <c r="AX14" s="650"/>
      <c r="AY14" s="650"/>
      <c r="AZ14" s="650"/>
      <c r="BA14" s="650"/>
      <c r="BB14" s="650"/>
      <c r="BC14" s="650"/>
      <c r="BD14" s="650"/>
      <c r="BE14" s="650"/>
      <c r="BF14" s="650"/>
      <c r="BG14" s="650"/>
      <c r="BH14" s="650"/>
      <c r="BI14" s="650"/>
      <c r="BJ14" s="650"/>
      <c r="BK14" s="650"/>
      <c r="BL14" s="650"/>
      <c r="BM14" s="650"/>
      <c r="BN14" s="650"/>
      <c r="BO14" s="650"/>
      <c r="BP14" s="650"/>
      <c r="BQ14" s="650"/>
      <c r="BR14" s="650"/>
      <c r="BS14" s="650"/>
      <c r="BT14" s="650"/>
      <c r="BU14" s="650"/>
      <c r="BV14" s="650"/>
      <c r="BW14" s="650"/>
      <c r="BX14" s="650"/>
      <c r="BY14" s="650"/>
      <c r="BZ14" s="650"/>
      <c r="CA14" s="650"/>
      <c r="CB14" s="650"/>
      <c r="CC14" s="650"/>
      <c r="CD14" s="650"/>
      <c r="CE14" s="650"/>
      <c r="CF14" s="650"/>
      <c r="CG14" s="650"/>
      <c r="CH14" s="650"/>
      <c r="CI14" s="650"/>
      <c r="CJ14" s="650"/>
      <c r="CK14" s="650"/>
      <c r="CL14" s="650"/>
      <c r="CM14" s="650"/>
      <c r="CN14" s="650"/>
      <c r="CO14" s="650"/>
      <c r="CP14" s="650"/>
      <c r="CQ14" s="650"/>
      <c r="CR14" s="650"/>
      <c r="CS14" s="650"/>
      <c r="CT14" s="650"/>
      <c r="CU14" s="650"/>
      <c r="CV14" s="650"/>
      <c r="CW14" s="650"/>
      <c r="CX14" s="650"/>
      <c r="CY14" s="650"/>
      <c r="CZ14" s="650"/>
      <c r="DA14" s="650"/>
      <c r="DB14" s="650"/>
      <c r="DC14" s="650"/>
      <c r="DD14" s="650"/>
      <c r="DE14" s="650"/>
      <c r="DF14" s="650"/>
      <c r="DG14" s="650"/>
      <c r="DH14" s="650"/>
      <c r="DI14" s="650"/>
      <c r="DJ14" s="650"/>
      <c r="DK14" s="650"/>
      <c r="DL14" s="650"/>
      <c r="DM14" s="650"/>
      <c r="DN14" s="650"/>
      <c r="DO14" s="650"/>
      <c r="DP14" s="650"/>
      <c r="DQ14" s="650"/>
      <c r="DR14" s="650"/>
      <c r="DS14" s="650"/>
      <c r="DT14" s="650"/>
      <c r="DU14" s="650"/>
      <c r="DV14" s="650"/>
      <c r="DW14" s="650"/>
      <c r="DX14" s="650"/>
      <c r="DY14" s="650"/>
      <c r="DZ14" s="650"/>
      <c r="EA14" s="650"/>
      <c r="EB14" s="650"/>
      <c r="EC14" s="650"/>
      <c r="ED14" s="650"/>
      <c r="EE14" s="650"/>
      <c r="EF14" s="650"/>
      <c r="EG14" s="650"/>
      <c r="EH14" s="650"/>
      <c r="EI14" s="650"/>
      <c r="EJ14" s="650"/>
      <c r="EK14" s="650"/>
      <c r="EL14" s="650"/>
      <c r="EM14" s="650"/>
      <c r="EN14" s="650"/>
      <c r="EO14" s="650"/>
      <c r="EP14" s="650"/>
      <c r="EQ14" s="650"/>
      <c r="ER14" s="650"/>
      <c r="ES14" s="650"/>
      <c r="ET14" s="650"/>
      <c r="EU14" s="650"/>
      <c r="EV14" s="650"/>
      <c r="EW14" s="650"/>
      <c r="EX14" s="650"/>
      <c r="EY14" s="650"/>
      <c r="EZ14" s="650"/>
      <c r="FA14" s="650"/>
      <c r="FB14" s="650"/>
      <c r="FC14" s="650"/>
      <c r="FD14" s="650"/>
      <c r="FE14" s="650"/>
      <c r="FF14" s="650"/>
      <c r="FG14" s="650"/>
      <c r="FH14" s="650"/>
      <c r="FI14" s="650"/>
      <c r="FJ14" s="650"/>
      <c r="FK14" s="650"/>
      <c r="FL14" s="650"/>
      <c r="FM14" s="650"/>
      <c r="FN14" s="650"/>
      <c r="FO14" s="650"/>
      <c r="FP14" s="650"/>
      <c r="FQ14" s="650"/>
      <c r="FR14" s="650"/>
      <c r="FS14" s="650"/>
      <c r="FT14" s="650"/>
      <c r="FU14" s="650"/>
      <c r="FV14" s="650"/>
      <c r="FW14" s="650"/>
      <c r="FX14" s="650"/>
      <c r="FY14" s="650"/>
      <c r="FZ14" s="650"/>
      <c r="GA14" s="650"/>
      <c r="GB14" s="650"/>
      <c r="GC14" s="650"/>
      <c r="GD14" s="650"/>
      <c r="GE14" s="650"/>
      <c r="GF14" s="650"/>
      <c r="GG14" s="650"/>
      <c r="GH14" s="650"/>
      <c r="GI14" s="650"/>
      <c r="GJ14" s="650"/>
      <c r="GK14" s="650"/>
      <c r="GL14" s="650"/>
      <c r="GM14" s="650"/>
      <c r="GN14" s="650"/>
      <c r="GO14" s="650"/>
      <c r="GP14" s="653"/>
      <c r="GQ14" s="653"/>
      <c r="GR14" s="653"/>
      <c r="GS14" s="653"/>
      <c r="GT14" s="653"/>
      <c r="GU14" s="653"/>
      <c r="GV14" s="653"/>
      <c r="GW14" s="653"/>
    </row>
    <row r="15" spans="1:205" ht="9" customHeight="1" x14ac:dyDescent="0.25">
      <c r="B15" s="650"/>
      <c r="C15" s="650"/>
      <c r="D15" s="650"/>
      <c r="E15" s="650"/>
      <c r="F15" s="650"/>
      <c r="G15" s="650"/>
      <c r="H15" s="650"/>
      <c r="I15" s="650"/>
      <c r="J15" s="650"/>
      <c r="K15" s="650"/>
      <c r="L15" s="650"/>
      <c r="M15" s="650"/>
      <c r="N15" s="650"/>
      <c r="O15" s="650"/>
      <c r="P15" s="650"/>
      <c r="Q15" s="650"/>
      <c r="R15" s="650"/>
      <c r="S15" s="650"/>
      <c r="T15" s="650"/>
      <c r="U15" s="650"/>
      <c r="V15" s="650"/>
      <c r="W15" s="650"/>
      <c r="X15" s="650"/>
      <c r="Y15" s="650"/>
      <c r="Z15" s="650"/>
      <c r="AA15" s="650"/>
      <c r="AB15" s="650"/>
      <c r="AC15" s="650"/>
      <c r="AD15" s="650"/>
      <c r="AE15" s="650"/>
      <c r="AF15" s="650"/>
      <c r="AG15" s="650"/>
      <c r="AH15" s="650"/>
      <c r="AI15" s="650"/>
      <c r="AJ15" s="650"/>
      <c r="AK15" s="650"/>
      <c r="AL15" s="650"/>
      <c r="AM15" s="650"/>
      <c r="AN15" s="650"/>
      <c r="AO15" s="650"/>
      <c r="AP15" s="650"/>
      <c r="AQ15" s="650"/>
      <c r="AR15" s="650"/>
      <c r="AS15" s="650"/>
      <c r="AT15" s="650"/>
      <c r="AU15" s="650"/>
      <c r="AV15" s="650"/>
      <c r="AW15" s="650"/>
      <c r="AX15" s="650"/>
      <c r="AY15" s="650"/>
      <c r="AZ15" s="650"/>
      <c r="BA15" s="650"/>
      <c r="BB15" s="650"/>
      <c r="BC15" s="650"/>
      <c r="BD15" s="650"/>
      <c r="BE15" s="650"/>
      <c r="BF15" s="650"/>
      <c r="BG15" s="650"/>
      <c r="BH15" s="650"/>
      <c r="BI15" s="650"/>
      <c r="BJ15" s="650"/>
      <c r="BK15" s="650"/>
      <c r="BL15" s="650"/>
      <c r="BM15" s="650"/>
      <c r="BN15" s="650"/>
      <c r="BO15" s="650"/>
      <c r="BP15" s="650"/>
      <c r="BQ15" s="650"/>
      <c r="BR15" s="650"/>
      <c r="BS15" s="650"/>
      <c r="BT15" s="650"/>
      <c r="BU15" s="650"/>
      <c r="BV15" s="650"/>
      <c r="BW15" s="650"/>
      <c r="BX15" s="650"/>
      <c r="BY15" s="650"/>
      <c r="BZ15" s="650"/>
      <c r="CA15" s="650"/>
      <c r="CB15" s="650"/>
      <c r="CC15" s="650"/>
      <c r="CD15" s="650"/>
      <c r="CE15" s="650"/>
      <c r="CF15" s="650"/>
      <c r="CG15" s="650"/>
      <c r="CH15" s="650"/>
      <c r="CI15" s="650"/>
      <c r="CJ15" s="650"/>
      <c r="CK15" s="650"/>
      <c r="CL15" s="650"/>
      <c r="CM15" s="650"/>
      <c r="CN15" s="650"/>
      <c r="CO15" s="650"/>
      <c r="CP15" s="650"/>
      <c r="CQ15" s="650"/>
      <c r="CR15" s="650"/>
      <c r="CS15" s="650"/>
      <c r="CT15" s="650"/>
      <c r="CU15" s="650"/>
      <c r="CV15" s="650"/>
      <c r="CW15" s="650"/>
      <c r="CX15" s="650"/>
      <c r="CY15" s="650"/>
      <c r="CZ15" s="650"/>
      <c r="DA15" s="650"/>
      <c r="DB15" s="650"/>
      <c r="DC15" s="650"/>
      <c r="DD15" s="650"/>
      <c r="DE15" s="650"/>
      <c r="DF15" s="650"/>
      <c r="DG15" s="650"/>
      <c r="DH15" s="650"/>
      <c r="DI15" s="650"/>
      <c r="DJ15" s="650"/>
      <c r="DK15" s="650"/>
      <c r="DL15" s="650"/>
      <c r="DM15" s="650"/>
      <c r="DN15" s="650"/>
      <c r="DO15" s="650"/>
      <c r="DP15" s="650"/>
      <c r="DQ15" s="650"/>
      <c r="DR15" s="650"/>
      <c r="DS15" s="650"/>
      <c r="DT15" s="650"/>
      <c r="DU15" s="650"/>
      <c r="DV15" s="650"/>
      <c r="DW15" s="650"/>
      <c r="DX15" s="650"/>
      <c r="DY15" s="650"/>
      <c r="DZ15" s="650"/>
      <c r="EA15" s="650"/>
      <c r="EB15" s="650"/>
      <c r="EC15" s="650"/>
      <c r="ED15" s="650"/>
      <c r="EE15" s="650"/>
      <c r="EF15" s="650"/>
      <c r="EG15" s="650"/>
      <c r="EH15" s="650"/>
      <c r="EI15" s="650"/>
      <c r="EJ15" s="650"/>
      <c r="EK15" s="650"/>
      <c r="EL15" s="650"/>
      <c r="EM15" s="650"/>
      <c r="EN15" s="650"/>
      <c r="EO15" s="650"/>
      <c r="EP15" s="650"/>
      <c r="EQ15" s="650"/>
      <c r="ER15" s="650"/>
      <c r="ES15" s="650"/>
      <c r="ET15" s="650"/>
      <c r="EU15" s="650"/>
      <c r="EV15" s="650"/>
      <c r="EW15" s="650"/>
      <c r="EX15" s="650"/>
      <c r="EY15" s="650"/>
      <c r="EZ15" s="650"/>
      <c r="FA15" s="650"/>
      <c r="FB15" s="650"/>
      <c r="FC15" s="650"/>
      <c r="FD15" s="650"/>
      <c r="FE15" s="650"/>
      <c r="FF15" s="650"/>
      <c r="FG15" s="650"/>
      <c r="FH15" s="650"/>
      <c r="FI15" s="650"/>
      <c r="FJ15" s="650"/>
      <c r="FK15" s="650"/>
      <c r="FL15" s="650"/>
      <c r="FM15" s="650"/>
      <c r="FN15" s="650"/>
      <c r="FO15" s="650"/>
      <c r="FP15" s="650"/>
      <c r="FQ15" s="650"/>
      <c r="FR15" s="650"/>
      <c r="FS15" s="650"/>
      <c r="FT15" s="650"/>
      <c r="FU15" s="650"/>
      <c r="FV15" s="650"/>
      <c r="FW15" s="650"/>
      <c r="FX15" s="650"/>
      <c r="FY15" s="650"/>
      <c r="FZ15" s="650"/>
      <c r="GA15" s="650"/>
      <c r="GB15" s="650"/>
      <c r="GC15" s="650"/>
      <c r="GD15" s="650"/>
      <c r="GE15" s="650"/>
      <c r="GF15" s="650"/>
      <c r="GG15" s="650"/>
      <c r="GH15" s="650"/>
      <c r="GI15" s="650"/>
      <c r="GJ15" s="650"/>
      <c r="GK15" s="650"/>
      <c r="GL15" s="650"/>
      <c r="GM15" s="650"/>
      <c r="GN15" s="650"/>
      <c r="GO15" s="650"/>
      <c r="GP15" s="650"/>
      <c r="GQ15" s="650"/>
      <c r="GR15" s="650"/>
      <c r="GS15" s="650"/>
      <c r="GT15" s="650"/>
      <c r="GU15" s="650"/>
    </row>
    <row r="16" spans="1:205" ht="3.75" customHeight="1" x14ac:dyDescent="0.25">
      <c r="B16" s="650"/>
      <c r="C16" s="650"/>
      <c r="D16" s="650"/>
      <c r="E16" s="650"/>
      <c r="F16" s="650"/>
      <c r="G16" s="650"/>
      <c r="H16" s="650"/>
      <c r="I16" s="650"/>
      <c r="J16" s="650"/>
      <c r="K16" s="650"/>
      <c r="L16" s="650"/>
      <c r="M16" s="650"/>
      <c r="N16" s="650"/>
      <c r="O16" s="650"/>
      <c r="P16" s="650"/>
      <c r="Q16" s="650"/>
      <c r="R16" s="650"/>
      <c r="S16" s="650"/>
      <c r="T16" s="650"/>
      <c r="U16" s="650"/>
      <c r="V16" s="650"/>
      <c r="W16" s="650"/>
      <c r="X16" s="650"/>
      <c r="Y16" s="650"/>
      <c r="Z16" s="650"/>
      <c r="AA16" s="650"/>
      <c r="AB16" s="650"/>
      <c r="AC16" s="650"/>
      <c r="AD16" s="650"/>
      <c r="AE16" s="650"/>
      <c r="AF16" s="650"/>
      <c r="AG16" s="650"/>
      <c r="AH16" s="650"/>
      <c r="AI16" s="650"/>
      <c r="AJ16" s="650"/>
      <c r="AK16" s="650"/>
      <c r="AL16" s="650"/>
      <c r="AM16" s="650"/>
      <c r="AN16" s="650"/>
      <c r="AO16" s="650"/>
      <c r="AP16" s="650"/>
      <c r="AQ16" s="650"/>
      <c r="AR16" s="650"/>
      <c r="AS16" s="650"/>
      <c r="AT16" s="650"/>
      <c r="AU16" s="650"/>
      <c r="AV16" s="650"/>
      <c r="AW16" s="650"/>
      <c r="AX16" s="650"/>
      <c r="AY16" s="650"/>
      <c r="AZ16" s="650"/>
      <c r="BA16" s="650"/>
      <c r="BB16" s="650"/>
      <c r="BC16" s="650"/>
      <c r="BD16" s="650"/>
      <c r="BE16" s="650"/>
      <c r="BF16" s="650"/>
      <c r="BG16" s="650"/>
      <c r="BH16" s="650"/>
      <c r="BI16" s="650"/>
      <c r="BJ16" s="650"/>
      <c r="BK16" s="650"/>
      <c r="BL16" s="650"/>
      <c r="BM16" s="650"/>
      <c r="BN16" s="650"/>
      <c r="BO16" s="650"/>
      <c r="BP16" s="650"/>
      <c r="BQ16" s="650"/>
      <c r="BR16" s="650"/>
      <c r="BS16" s="650"/>
      <c r="BT16" s="650"/>
      <c r="BU16" s="650"/>
      <c r="BV16" s="650"/>
      <c r="BW16" s="650"/>
      <c r="BX16" s="650"/>
      <c r="BY16" s="650"/>
      <c r="BZ16" s="650"/>
      <c r="CA16" s="650"/>
      <c r="CB16" s="650"/>
      <c r="CC16" s="650"/>
      <c r="CD16" s="650"/>
      <c r="CE16" s="650"/>
      <c r="CF16" s="650"/>
      <c r="CG16" s="650"/>
      <c r="CH16" s="650"/>
      <c r="CI16" s="650"/>
      <c r="CJ16" s="650"/>
      <c r="CK16" s="650"/>
      <c r="CL16" s="650"/>
      <c r="CM16" s="650"/>
      <c r="CN16" s="650"/>
      <c r="CO16" s="650"/>
      <c r="CP16" s="650"/>
      <c r="CQ16" s="650"/>
      <c r="CR16" s="650"/>
      <c r="CS16" s="650"/>
      <c r="CT16" s="650"/>
      <c r="CU16" s="650"/>
      <c r="CV16" s="650"/>
      <c r="CW16" s="650"/>
      <c r="CX16" s="650"/>
      <c r="CY16" s="650"/>
      <c r="CZ16" s="650"/>
      <c r="DA16" s="650"/>
      <c r="DB16" s="650"/>
      <c r="DC16" s="650"/>
      <c r="DD16" s="650"/>
      <c r="DE16" s="650"/>
      <c r="DF16" s="650"/>
      <c r="DG16" s="650"/>
      <c r="DH16" s="650"/>
      <c r="DI16" s="650"/>
      <c r="DJ16" s="650"/>
      <c r="DK16" s="650"/>
      <c r="DL16" s="650"/>
      <c r="DM16" s="650"/>
      <c r="DN16" s="650"/>
      <c r="DO16" s="650"/>
      <c r="DP16" s="650"/>
      <c r="DQ16" s="650"/>
      <c r="DR16" s="650"/>
      <c r="DS16" s="650"/>
      <c r="DT16" s="650"/>
      <c r="DU16" s="650"/>
      <c r="DV16" s="650"/>
      <c r="DW16" s="650"/>
      <c r="DX16" s="650"/>
      <c r="DY16" s="650"/>
      <c r="DZ16" s="650"/>
      <c r="EA16" s="650"/>
      <c r="EB16" s="650"/>
      <c r="EC16" s="650"/>
      <c r="ED16" s="650"/>
      <c r="EE16" s="650"/>
      <c r="EF16" s="650"/>
      <c r="EG16" s="650"/>
      <c r="EH16" s="650"/>
      <c r="EI16" s="650"/>
      <c r="EJ16" s="650"/>
      <c r="EK16" s="650"/>
      <c r="EL16" s="650"/>
      <c r="EM16" s="650"/>
      <c r="EN16" s="650"/>
      <c r="EO16" s="650"/>
      <c r="EP16" s="650"/>
      <c r="EQ16" s="650"/>
      <c r="ER16" s="650"/>
      <c r="ES16" s="650"/>
      <c r="ET16" s="650"/>
      <c r="EU16" s="650"/>
      <c r="EV16" s="650"/>
      <c r="EW16" s="650"/>
      <c r="EX16" s="650"/>
      <c r="EY16" s="650"/>
      <c r="EZ16" s="650"/>
      <c r="FA16" s="650"/>
      <c r="FB16" s="650"/>
      <c r="FC16" s="650"/>
      <c r="FD16" s="650"/>
      <c r="FE16" s="650"/>
      <c r="FF16" s="650"/>
      <c r="FG16" s="650"/>
      <c r="FH16" s="650"/>
      <c r="FI16" s="650"/>
      <c r="FJ16" s="650"/>
      <c r="FK16" s="650"/>
      <c r="FL16" s="650"/>
      <c r="FM16" s="650"/>
      <c r="FN16" s="650"/>
      <c r="FO16" s="650"/>
      <c r="FP16" s="650"/>
      <c r="FQ16" s="650"/>
      <c r="FR16" s="650"/>
      <c r="FS16" s="650"/>
      <c r="FT16" s="650"/>
      <c r="FU16" s="650"/>
      <c r="FV16" s="650"/>
      <c r="FW16" s="650"/>
      <c r="FX16" s="650"/>
      <c r="FY16" s="650"/>
      <c r="FZ16" s="650"/>
      <c r="GA16" s="650"/>
      <c r="GB16" s="650"/>
      <c r="GC16" s="650"/>
      <c r="GD16" s="650"/>
      <c r="GE16" s="650"/>
      <c r="GF16" s="650"/>
      <c r="GG16" s="650"/>
      <c r="GH16" s="650"/>
      <c r="GI16" s="650"/>
      <c r="GJ16" s="650"/>
      <c r="GK16" s="650"/>
      <c r="GL16" s="650"/>
      <c r="GM16" s="650"/>
      <c r="GN16" s="650"/>
      <c r="GO16" s="650"/>
      <c r="GP16" s="650"/>
      <c r="GQ16" s="650"/>
      <c r="GR16" s="650"/>
      <c r="GS16" s="650"/>
      <c r="GT16" s="650"/>
      <c r="GU16" s="650"/>
    </row>
    <row r="17" ht="3.75" customHeight="1" x14ac:dyDescent="0.25"/>
    <row r="18" ht="3.75" customHeight="1" x14ac:dyDescent="0.25"/>
    <row r="19" ht="3.75" customHeight="1" x14ac:dyDescent="0.25"/>
    <row r="20" ht="3.75" customHeight="1" x14ac:dyDescent="0.25"/>
    <row r="21" ht="3.75" customHeight="1" x14ac:dyDescent="0.25"/>
    <row r="22" ht="3.75" customHeight="1" x14ac:dyDescent="0.25"/>
    <row r="23" ht="3.75" customHeight="1" x14ac:dyDescent="0.25"/>
    <row r="24" ht="3.75" customHeight="1" x14ac:dyDescent="0.25"/>
    <row r="25" ht="3.75" customHeight="1" x14ac:dyDescent="0.25"/>
    <row r="26" ht="3.75" customHeight="1" x14ac:dyDescent="0.25"/>
    <row r="27" ht="3.75" customHeight="1" x14ac:dyDescent="0.25"/>
    <row r="28" ht="3.75" customHeight="1" x14ac:dyDescent="0.25"/>
    <row r="29" ht="3.75" customHeight="1" x14ac:dyDescent="0.25"/>
    <row r="30" ht="3.75" customHeight="1" x14ac:dyDescent="0.25"/>
    <row r="31" ht="3.75" customHeight="1" x14ac:dyDescent="0.25"/>
    <row r="32" ht="3.75" customHeight="1" x14ac:dyDescent="0.25"/>
    <row r="33" ht="3.75" customHeight="1" x14ac:dyDescent="0.25"/>
    <row r="34" ht="3.75" customHeight="1" x14ac:dyDescent="0.25"/>
    <row r="35" ht="3.75" customHeight="1" x14ac:dyDescent="0.25"/>
    <row r="36" ht="3.75" customHeight="1" x14ac:dyDescent="0.25"/>
    <row r="37" ht="3.75" customHeight="1" x14ac:dyDescent="0.25"/>
    <row r="38" ht="3.75" customHeight="1" x14ac:dyDescent="0.25"/>
    <row r="39" ht="3.75" customHeight="1" x14ac:dyDescent="0.25"/>
    <row r="40" ht="3.75" customHeight="1" x14ac:dyDescent="0.25"/>
    <row r="41" ht="3.75" customHeight="1" x14ac:dyDescent="0.25"/>
    <row r="42" ht="3.75" customHeight="1" x14ac:dyDescent="0.25"/>
    <row r="43" ht="3.75" customHeight="1" x14ac:dyDescent="0.25"/>
    <row r="44" ht="3.75" customHeight="1" x14ac:dyDescent="0.25"/>
    <row r="45" ht="3.75" customHeight="1" x14ac:dyDescent="0.25"/>
    <row r="46" ht="3.75" customHeight="1" x14ac:dyDescent="0.25"/>
    <row r="47" ht="3.75" customHeight="1" x14ac:dyDescent="0.25"/>
    <row r="48" ht="3.75" customHeight="1" x14ac:dyDescent="0.25"/>
    <row r="49" spans="43:43" ht="3.75" customHeight="1" x14ac:dyDescent="0.25"/>
    <row r="50" spans="43:43" ht="3.75" customHeight="1" x14ac:dyDescent="0.25"/>
    <row r="51" spans="43:43" ht="3.75" customHeight="1" x14ac:dyDescent="0.25"/>
    <row r="52" spans="43:43" ht="3.75" customHeight="1" x14ac:dyDescent="0.25">
      <c r="AQ52" s="659">
        <v>57</v>
      </c>
    </row>
    <row r="53" spans="43:43" ht="3.75" customHeight="1" x14ac:dyDescent="0.25"/>
    <row r="54" spans="43:43" ht="3.75" customHeight="1" x14ac:dyDescent="0.25"/>
    <row r="55" spans="43:43" ht="3.75" customHeight="1" x14ac:dyDescent="0.25"/>
    <row r="56" spans="43:43" ht="3.75" customHeight="1" x14ac:dyDescent="0.25"/>
    <row r="57" spans="43:43" ht="3.75" customHeight="1" x14ac:dyDescent="0.25"/>
    <row r="58" spans="43:43" ht="3.75" customHeight="1" x14ac:dyDescent="0.25"/>
    <row r="59" spans="43:43" ht="3.75" customHeight="1" x14ac:dyDescent="0.25"/>
    <row r="60" spans="43:43" ht="3.75" customHeight="1" x14ac:dyDescent="0.25"/>
    <row r="61" spans="43:43" ht="3.75" customHeight="1" x14ac:dyDescent="0.25"/>
    <row r="62" spans="43:43" ht="3.75" customHeight="1" x14ac:dyDescent="0.25"/>
    <row r="63" spans="43:43" ht="3.75" customHeight="1" x14ac:dyDescent="0.25"/>
    <row r="64" spans="43:43" ht="3.75" customHeight="1" x14ac:dyDescent="0.25"/>
    <row r="65" ht="3.75" customHeight="1" x14ac:dyDescent="0.25"/>
    <row r="66" ht="3.75" customHeight="1" x14ac:dyDescent="0.25"/>
    <row r="67" ht="3.75" customHeight="1" x14ac:dyDescent="0.25"/>
    <row r="68" ht="3.75" customHeight="1" x14ac:dyDescent="0.25"/>
    <row r="69" ht="3.75" customHeight="1" x14ac:dyDescent="0.25"/>
    <row r="70" ht="3.75" customHeight="1" x14ac:dyDescent="0.25"/>
    <row r="71" ht="3.75" customHeight="1" x14ac:dyDescent="0.25"/>
    <row r="72" ht="3.75" customHeight="1" x14ac:dyDescent="0.25"/>
    <row r="73" ht="3.75" customHeight="1" x14ac:dyDescent="0.25"/>
    <row r="74" ht="3.75" customHeight="1" x14ac:dyDescent="0.25"/>
    <row r="75" ht="3.75" customHeight="1" x14ac:dyDescent="0.25"/>
    <row r="76" ht="3.75" customHeight="1" x14ac:dyDescent="0.25"/>
    <row r="77" ht="3.75" customHeight="1" x14ac:dyDescent="0.25"/>
    <row r="78" ht="3.75" customHeight="1" x14ac:dyDescent="0.25"/>
    <row r="79" ht="3.75" customHeight="1" x14ac:dyDescent="0.25"/>
    <row r="80" ht="3.75" customHeight="1" x14ac:dyDescent="0.25"/>
    <row r="81" ht="3.75" customHeight="1" x14ac:dyDescent="0.25"/>
    <row r="82" ht="3.75" customHeight="1" x14ac:dyDescent="0.25"/>
    <row r="83" ht="3.75" customHeight="1" x14ac:dyDescent="0.25"/>
    <row r="84" ht="3.75" customHeight="1" x14ac:dyDescent="0.25"/>
    <row r="85" ht="3.75" customHeight="1" x14ac:dyDescent="0.25"/>
    <row r="86" ht="3.75" customHeight="1" x14ac:dyDescent="0.25"/>
    <row r="87" ht="3.75" customHeight="1" x14ac:dyDescent="0.25"/>
    <row r="88" ht="3.75" customHeight="1" x14ac:dyDescent="0.25"/>
    <row r="89" ht="3.75" customHeight="1" x14ac:dyDescent="0.25"/>
    <row r="90" ht="3.75" customHeight="1" x14ac:dyDescent="0.25"/>
    <row r="91" ht="3.75" customHeight="1" x14ac:dyDescent="0.25"/>
    <row r="92" ht="3.75" customHeight="1" x14ac:dyDescent="0.25"/>
    <row r="93" ht="3.75" customHeight="1" x14ac:dyDescent="0.25"/>
    <row r="94" ht="3.75" customHeight="1" x14ac:dyDescent="0.25"/>
    <row r="95" ht="3.75" customHeight="1" x14ac:dyDescent="0.25"/>
    <row r="96" ht="3.75" customHeight="1" x14ac:dyDescent="0.25"/>
    <row r="97" ht="3.75" customHeight="1" x14ac:dyDescent="0.25"/>
    <row r="98" ht="3.75" customHeight="1" x14ac:dyDescent="0.25"/>
    <row r="99" ht="3.75" customHeight="1" x14ac:dyDescent="0.25"/>
    <row r="100" ht="3.75" customHeight="1" x14ac:dyDescent="0.25"/>
    <row r="101" ht="3.75" customHeight="1" x14ac:dyDescent="0.25"/>
    <row r="102" ht="3.75" customHeight="1" x14ac:dyDescent="0.25"/>
    <row r="103" ht="3.75" customHeight="1" x14ac:dyDescent="0.25"/>
    <row r="104" ht="3.75" customHeight="1" x14ac:dyDescent="0.25"/>
    <row r="105" ht="3.75" customHeight="1" x14ac:dyDescent="0.25"/>
    <row r="106" ht="3.75" customHeight="1" x14ac:dyDescent="0.25"/>
    <row r="107" ht="3.75" customHeight="1" x14ac:dyDescent="0.25"/>
    <row r="108" ht="3.75" customHeight="1" x14ac:dyDescent="0.25"/>
    <row r="109" ht="3.75" customHeight="1" x14ac:dyDescent="0.25"/>
    <row r="110" ht="3.75" customHeight="1" x14ac:dyDescent="0.25"/>
    <row r="111" ht="3.75" customHeight="1" x14ac:dyDescent="0.25"/>
    <row r="112" ht="3.75" customHeight="1" x14ac:dyDescent="0.25"/>
    <row r="113" ht="3.75" customHeight="1" x14ac:dyDescent="0.25"/>
    <row r="114" ht="3.75" customHeight="1" x14ac:dyDescent="0.25"/>
    <row r="115" ht="3.75" customHeight="1" x14ac:dyDescent="0.25"/>
    <row r="116" ht="3.75" customHeight="1" x14ac:dyDescent="0.25"/>
    <row r="117" ht="3.75" customHeight="1" x14ac:dyDescent="0.25"/>
    <row r="118" ht="3.75" customHeight="1" x14ac:dyDescent="0.25"/>
    <row r="119" ht="3.75" customHeight="1" x14ac:dyDescent="0.25"/>
    <row r="120" ht="3.75" customHeight="1" x14ac:dyDescent="0.25"/>
    <row r="121" ht="3.75" customHeight="1" x14ac:dyDescent="0.25"/>
    <row r="122" ht="3.75" customHeight="1" x14ac:dyDescent="0.25"/>
    <row r="123" ht="3.75" customHeight="1" x14ac:dyDescent="0.25"/>
    <row r="124" ht="3.75" customHeight="1" x14ac:dyDescent="0.25"/>
    <row r="125" ht="3.75" customHeight="1" x14ac:dyDescent="0.25"/>
    <row r="126" ht="3.75" customHeight="1" x14ac:dyDescent="0.25"/>
    <row r="127" ht="3.75" customHeight="1" x14ac:dyDescent="0.25"/>
    <row r="128" ht="3.75" customHeight="1" x14ac:dyDescent="0.25"/>
    <row r="129" spans="2:205" ht="3.75" customHeight="1" x14ac:dyDescent="0.25"/>
    <row r="130" spans="2:205" ht="3.75" customHeight="1" x14ac:dyDescent="0.25"/>
    <row r="131" spans="2:205" ht="3.75" customHeight="1" x14ac:dyDescent="0.25"/>
    <row r="132" spans="2:205" ht="3.75" customHeight="1" x14ac:dyDescent="0.25"/>
    <row r="133" spans="2:205" ht="3.75" customHeight="1" x14ac:dyDescent="0.25"/>
    <row r="134" spans="2:205" ht="3.75" customHeight="1" x14ac:dyDescent="0.25"/>
    <row r="135" spans="2:205" ht="3.75" customHeight="1" x14ac:dyDescent="0.25"/>
    <row r="136" spans="2:205" ht="3.75" customHeight="1" x14ac:dyDescent="0.25"/>
    <row r="137" spans="2:205" ht="3.75" customHeight="1" x14ac:dyDescent="0.25"/>
    <row r="138" spans="2:205" ht="3.75" customHeight="1" x14ac:dyDescent="0.25"/>
    <row r="139" spans="2:205" ht="3.75" customHeight="1" x14ac:dyDescent="0.25"/>
    <row r="140" spans="2:205" ht="3.75" customHeight="1" x14ac:dyDescent="0.25"/>
    <row r="141" spans="2:205" ht="3.75" customHeight="1" x14ac:dyDescent="0.25"/>
    <row r="142" spans="2:205" ht="3.75" customHeight="1" x14ac:dyDescent="0.25"/>
    <row r="143" spans="2:205" ht="3.75" customHeight="1" x14ac:dyDescent="0.25">
      <c r="B143" s="678"/>
      <c r="C143" s="650"/>
      <c r="D143" s="650"/>
      <c r="E143" s="650"/>
      <c r="F143" s="650"/>
      <c r="G143" s="650"/>
      <c r="H143" s="650"/>
      <c r="GO143" s="650"/>
      <c r="GP143" s="650"/>
      <c r="GQ143" s="650"/>
      <c r="GR143" s="650"/>
      <c r="GS143" s="650"/>
      <c r="GT143" s="650"/>
      <c r="GU143" s="650"/>
      <c r="GV143" s="650"/>
      <c r="GW143" s="679"/>
    </row>
    <row r="144" spans="2:205" ht="3.75" customHeight="1" x14ac:dyDescent="0.25">
      <c r="B144" s="678"/>
      <c r="C144" s="650"/>
      <c r="D144" s="650"/>
      <c r="E144" s="650"/>
      <c r="F144" s="650"/>
      <c r="G144" s="650"/>
      <c r="H144" s="650"/>
      <c r="GO144" s="650"/>
      <c r="GP144" s="650"/>
      <c r="GQ144" s="650"/>
      <c r="GR144" s="650"/>
      <c r="GS144" s="650"/>
      <c r="GT144" s="650"/>
      <c r="GU144" s="650"/>
      <c r="GV144" s="650"/>
      <c r="GW144" s="679"/>
    </row>
    <row r="145" spans="2:205" ht="3.75" customHeight="1" x14ac:dyDescent="0.25">
      <c r="B145" s="656"/>
      <c r="C145" s="657"/>
      <c r="D145" s="657"/>
      <c r="E145" s="657"/>
      <c r="F145" s="657"/>
      <c r="G145" s="657"/>
      <c r="H145" s="657"/>
      <c r="GO145" s="657"/>
      <c r="GP145" s="657"/>
      <c r="GQ145" s="657"/>
      <c r="GR145" s="657"/>
      <c r="GS145" s="657"/>
      <c r="GT145" s="657"/>
      <c r="GU145" s="657"/>
      <c r="GV145" s="657"/>
      <c r="GW145" s="658"/>
    </row>
    <row r="146" spans="2:205" ht="3.75" customHeight="1" x14ac:dyDescent="0.25"/>
    <row r="147" spans="2:205" ht="3.75" customHeight="1" x14ac:dyDescent="0.25">
      <c r="J147" s="659">
        <v>33</v>
      </c>
    </row>
  </sheetData>
  <mergeCells count="209">
    <mergeCell ref="FL13:FQ13"/>
    <mergeCell ref="FR13:FV13"/>
    <mergeCell ref="FW13:GB13"/>
    <mergeCell ref="GC13:GG13"/>
    <mergeCell ref="GH13:GM13"/>
    <mergeCell ref="GN13:GR13"/>
    <mergeCell ref="GS13:GW13"/>
    <mergeCell ref="DL13:DQ13"/>
    <mergeCell ref="DR13:DV13"/>
    <mergeCell ref="DW13:EB13"/>
    <mergeCell ref="EC13:EG13"/>
    <mergeCell ref="EH13:EM13"/>
    <mergeCell ref="EP13:EU13"/>
    <mergeCell ref="EV13:EZ13"/>
    <mergeCell ref="FA13:FF13"/>
    <mergeCell ref="FG13:FK13"/>
    <mergeCell ref="B13:K13"/>
    <mergeCell ref="L13:BV13"/>
    <mergeCell ref="BW13:CD13"/>
    <mergeCell ref="CE13:CI13"/>
    <mergeCell ref="CJ13:CO13"/>
    <mergeCell ref="CP13:CT13"/>
    <mergeCell ref="CU13:CZ13"/>
    <mergeCell ref="DA13:DE13"/>
    <mergeCell ref="DF13:DK13"/>
    <mergeCell ref="FA12:FF12"/>
    <mergeCell ref="FG12:FK12"/>
    <mergeCell ref="FL12:FQ12"/>
    <mergeCell ref="FR12:FV12"/>
    <mergeCell ref="FW12:GB12"/>
    <mergeCell ref="GC12:GG12"/>
    <mergeCell ref="GH12:GM12"/>
    <mergeCell ref="GN12:GR12"/>
    <mergeCell ref="GS12:GW12"/>
    <mergeCell ref="FG11:FK11"/>
    <mergeCell ref="FL11:FQ11"/>
    <mergeCell ref="FR11:FV11"/>
    <mergeCell ref="FW11:GB11"/>
    <mergeCell ref="GC11:GG11"/>
    <mergeCell ref="GH11:GM11"/>
    <mergeCell ref="GN11:GR11"/>
    <mergeCell ref="GS11:GW11"/>
    <mergeCell ref="B12:K12"/>
    <mergeCell ref="L12:BV12"/>
    <mergeCell ref="BW12:CD12"/>
    <mergeCell ref="CE12:CI12"/>
    <mergeCell ref="CJ12:CO12"/>
    <mergeCell ref="CP12:CT12"/>
    <mergeCell ref="CU12:CZ12"/>
    <mergeCell ref="DA12:DE12"/>
    <mergeCell ref="DF12:DK12"/>
    <mergeCell ref="DL12:DQ12"/>
    <mergeCell ref="DR12:DV12"/>
    <mergeCell ref="DW12:EB12"/>
    <mergeCell ref="EC12:EG12"/>
    <mergeCell ref="EH12:EM12"/>
    <mergeCell ref="EP12:EU12"/>
    <mergeCell ref="EV12:EZ12"/>
    <mergeCell ref="FL10:FQ10"/>
    <mergeCell ref="FR10:FV10"/>
    <mergeCell ref="FW10:GB10"/>
    <mergeCell ref="GC10:GG10"/>
    <mergeCell ref="GH10:GM10"/>
    <mergeCell ref="GN10:GR10"/>
    <mergeCell ref="GS10:GW10"/>
    <mergeCell ref="B11:K11"/>
    <mergeCell ref="L11:BV11"/>
    <mergeCell ref="BW11:CD11"/>
    <mergeCell ref="CE11:CI11"/>
    <mergeCell ref="CJ11:CO11"/>
    <mergeCell ref="CP11:CT11"/>
    <mergeCell ref="CU11:CZ11"/>
    <mergeCell ref="DA11:DE11"/>
    <mergeCell ref="DF11:DK11"/>
    <mergeCell ref="DL11:DQ11"/>
    <mergeCell ref="DR11:DV11"/>
    <mergeCell ref="DW11:EB11"/>
    <mergeCell ref="EC11:EG11"/>
    <mergeCell ref="EH11:EM11"/>
    <mergeCell ref="EP11:EU11"/>
    <mergeCell ref="EV11:EZ11"/>
    <mergeCell ref="FA11:FF11"/>
    <mergeCell ref="DL10:DQ10"/>
    <mergeCell ref="DR10:DV10"/>
    <mergeCell ref="DW10:EB10"/>
    <mergeCell ref="EC10:EG10"/>
    <mergeCell ref="EH10:EM10"/>
    <mergeCell ref="EP10:EU10"/>
    <mergeCell ref="EV10:EZ10"/>
    <mergeCell ref="FA10:FF10"/>
    <mergeCell ref="FG10:FK10"/>
    <mergeCell ref="B10:K10"/>
    <mergeCell ref="L10:BV10"/>
    <mergeCell ref="BW10:CD10"/>
    <mergeCell ref="CE10:CI10"/>
    <mergeCell ref="CJ10:CO10"/>
    <mergeCell ref="CP10:CT10"/>
    <mergeCell ref="CU10:CZ10"/>
    <mergeCell ref="DA10:DE10"/>
    <mergeCell ref="DF10:DK10"/>
    <mergeCell ref="FA9:FF9"/>
    <mergeCell ref="FG9:FK9"/>
    <mergeCell ref="FL9:FQ9"/>
    <mergeCell ref="FR9:FV9"/>
    <mergeCell ref="FW9:GB9"/>
    <mergeCell ref="GC9:GG9"/>
    <mergeCell ref="GH9:GM9"/>
    <mergeCell ref="GN9:GR9"/>
    <mergeCell ref="GS9:GW9"/>
    <mergeCell ref="FG8:FK8"/>
    <mergeCell ref="FL8:FQ8"/>
    <mergeCell ref="FR8:FV8"/>
    <mergeCell ref="FW8:GB8"/>
    <mergeCell ref="GC8:GG8"/>
    <mergeCell ref="GH8:GM8"/>
    <mergeCell ref="GN8:GR8"/>
    <mergeCell ref="GS8:GW8"/>
    <mergeCell ref="B9:K9"/>
    <mergeCell ref="L9:BV9"/>
    <mergeCell ref="BW9:CD9"/>
    <mergeCell ref="CE9:CI9"/>
    <mergeCell ref="CJ9:CO9"/>
    <mergeCell ref="CP9:CT9"/>
    <mergeCell ref="CU9:CZ9"/>
    <mergeCell ref="DA9:DE9"/>
    <mergeCell ref="DF9:DK9"/>
    <mergeCell ref="DL9:DQ9"/>
    <mergeCell ref="DR9:DV9"/>
    <mergeCell ref="DW9:EB9"/>
    <mergeCell ref="EC9:EG9"/>
    <mergeCell ref="EH9:EM9"/>
    <mergeCell ref="EP9:EU9"/>
    <mergeCell ref="EV9:EZ9"/>
    <mergeCell ref="FL7:FQ7"/>
    <mergeCell ref="FR7:FV7"/>
    <mergeCell ref="FW7:GB7"/>
    <mergeCell ref="GC7:GG7"/>
    <mergeCell ref="GH7:GM7"/>
    <mergeCell ref="GN7:GR7"/>
    <mergeCell ref="GS7:GW7"/>
    <mergeCell ref="B8:K8"/>
    <mergeCell ref="L8:BV8"/>
    <mergeCell ref="BW8:CD8"/>
    <mergeCell ref="CE8:CI8"/>
    <mergeCell ref="CJ8:CO8"/>
    <mergeCell ref="CP8:CT8"/>
    <mergeCell ref="CU8:CZ8"/>
    <mergeCell ref="DA8:DE8"/>
    <mergeCell ref="DF8:DK8"/>
    <mergeCell ref="DL8:DQ8"/>
    <mergeCell ref="DR8:DV8"/>
    <mergeCell ref="DW8:EB8"/>
    <mergeCell ref="EC8:EG8"/>
    <mergeCell ref="EH8:EM8"/>
    <mergeCell ref="EP8:EU8"/>
    <mergeCell ref="EV8:EZ8"/>
    <mergeCell ref="FA8:FF8"/>
    <mergeCell ref="DL7:DQ7"/>
    <mergeCell ref="DR7:DV7"/>
    <mergeCell ref="DW7:EB7"/>
    <mergeCell ref="EC7:EG7"/>
    <mergeCell ref="EH7:EM7"/>
    <mergeCell ref="EP7:EU7"/>
    <mergeCell ref="EV7:EZ7"/>
    <mergeCell ref="FA7:FF7"/>
    <mergeCell ref="FG7:FK7"/>
    <mergeCell ref="B7:K7"/>
    <mergeCell ref="L7:BV7"/>
    <mergeCell ref="BW7:CD7"/>
    <mergeCell ref="CE7:CI7"/>
    <mergeCell ref="CJ7:CO7"/>
    <mergeCell ref="CP7:CT7"/>
    <mergeCell ref="CU7:CZ7"/>
    <mergeCell ref="DA7:DE7"/>
    <mergeCell ref="DF7:DK7"/>
    <mergeCell ref="EY4:FC4"/>
    <mergeCell ref="FD4:FI4"/>
    <mergeCell ref="FJ4:FN4"/>
    <mergeCell ref="FO4:FS4"/>
    <mergeCell ref="FT4:GW4"/>
    <mergeCell ref="B5:K6"/>
    <mergeCell ref="L5:BV6"/>
    <mergeCell ref="BW5:CD6"/>
    <mergeCell ref="CE5:GW5"/>
    <mergeCell ref="CE6:EM6"/>
    <mergeCell ref="EN6:GW6"/>
    <mergeCell ref="J2:AJ2"/>
    <mergeCell ref="AK2:AR2"/>
    <mergeCell ref="AT2:CS2"/>
    <mergeCell ref="CW2:DC2"/>
    <mergeCell ref="DE2:EU2"/>
    <mergeCell ref="BA4:BF4"/>
    <mergeCell ref="BG4:BK4"/>
    <mergeCell ref="BL4:BQ4"/>
    <mergeCell ref="BR4:BV4"/>
    <mergeCell ref="BW4:CB4"/>
    <mergeCell ref="CC4:CG4"/>
    <mergeCell ref="CH4:CM4"/>
    <mergeCell ref="CN4:CR4"/>
    <mergeCell ref="CS4:CX4"/>
    <mergeCell ref="CY4:DC4"/>
    <mergeCell ref="DD4:DI4"/>
    <mergeCell ref="DL4:DQ4"/>
    <mergeCell ref="DR4:DV4"/>
    <mergeCell ref="DW4:EB4"/>
    <mergeCell ref="EC4:EG4"/>
    <mergeCell ref="EH4:EM4"/>
    <mergeCell ref="EN4:ER4"/>
    <mergeCell ref="ES4:EX4"/>
  </mergeCells>
  <pageMargins left="0.70833333333333304" right="0.70833333333333304" top="0.78749999999999998" bottom="0.78749999999999998" header="0.51180555555555496" footer="0.51180555555555496"/>
  <pageSetup paperSize="9" firstPageNumber="0" orientation="portrait" horizontalDpi="300" verticalDpi="30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5E0B4"/>
  </sheetPr>
  <dimension ref="A1:AZ418"/>
  <sheetViews>
    <sheetView topLeftCell="A4" zoomScaleNormal="100" workbookViewId="0">
      <selection activeCell="I18" sqref="I18"/>
    </sheetView>
  </sheetViews>
  <sheetFormatPr defaultRowHeight="15" x14ac:dyDescent="0.25"/>
  <cols>
    <col min="1" max="1" width="6.42578125" customWidth="1"/>
    <col min="2" max="2" width="45.28515625" customWidth="1"/>
    <col min="3" max="3" width="11.5703125" hidden="1"/>
    <col min="4" max="4" width="16.42578125" customWidth="1"/>
    <col min="5" max="5" width="14" customWidth="1"/>
    <col min="6" max="6" width="17.42578125" customWidth="1"/>
    <col min="7" max="9" width="15.7109375" customWidth="1"/>
    <col min="10" max="10" width="11.5703125" hidden="1"/>
    <col min="11" max="11" width="3.28515625" customWidth="1"/>
    <col min="12" max="12" width="15.140625" customWidth="1"/>
    <col min="13" max="15" width="13.42578125" customWidth="1"/>
    <col min="16" max="1025" width="9.140625" customWidth="1"/>
  </cols>
  <sheetData>
    <row r="1" spans="1:52" x14ac:dyDescent="0.25">
      <c r="A1" s="50" t="s">
        <v>39</v>
      </c>
      <c r="B1" s="51" t="s">
        <v>40</v>
      </c>
      <c r="C1" s="51"/>
      <c r="D1" s="680" t="s">
        <v>41</v>
      </c>
      <c r="E1" s="680"/>
      <c r="F1" s="680"/>
      <c r="G1" s="52" t="s">
        <v>42</v>
      </c>
      <c r="H1" s="52" t="s">
        <v>43</v>
      </c>
      <c r="I1" s="53" t="s">
        <v>44</v>
      </c>
      <c r="J1" s="681"/>
      <c r="K1" s="681"/>
      <c r="L1" s="681"/>
      <c r="M1" s="681"/>
      <c r="N1" s="54"/>
      <c r="O1" s="54"/>
      <c r="AZ1" s="55"/>
    </row>
    <row r="2" spans="1:52" ht="12.75" customHeight="1" x14ac:dyDescent="0.25">
      <c r="B2" s="682" t="s">
        <v>45</v>
      </c>
      <c r="C2" s="682"/>
      <c r="D2" s="682"/>
      <c r="E2" s="55"/>
      <c r="F2" s="56">
        <f>'HL KNIHA VYPOC'!D4</f>
        <v>407507.08999999997</v>
      </c>
      <c r="G2" s="56">
        <f>'HL KNIHA VYPOC'!E4</f>
        <v>16403.53</v>
      </c>
      <c r="H2" s="56">
        <f>'HL KNIHA VYPOC'!F4</f>
        <v>61840.49</v>
      </c>
      <c r="I2" s="56">
        <f>'HL KNIHA VYPOC'!G4</f>
        <v>362070.13000000012</v>
      </c>
      <c r="J2" s="57"/>
      <c r="K2" s="57"/>
      <c r="L2" s="683" t="s">
        <v>46</v>
      </c>
      <c r="M2" s="57"/>
      <c r="N2" s="54"/>
      <c r="O2" s="54"/>
    </row>
    <row r="3" spans="1:52" x14ac:dyDescent="0.25">
      <c r="B3" s="682" t="s">
        <v>47</v>
      </c>
      <c r="C3" s="682"/>
      <c r="D3" s="682"/>
      <c r="E3" s="55"/>
      <c r="F3" s="56">
        <f>'HL KNIHA VYPOC'!D80</f>
        <v>49129.08</v>
      </c>
      <c r="G3" s="56">
        <f>'HL KNIHA VYPOC'!E80</f>
        <v>175063.5</v>
      </c>
      <c r="H3" s="56">
        <f>'HL KNIHA VYPOC'!F80</f>
        <v>172062.14</v>
      </c>
      <c r="I3" s="56">
        <f>'HL KNIHA VYPOC'!G80</f>
        <v>52130.44</v>
      </c>
      <c r="J3" s="57"/>
      <c r="K3" s="57"/>
      <c r="L3" s="683"/>
      <c r="M3" s="57"/>
      <c r="N3" s="54"/>
      <c r="O3" s="54"/>
    </row>
    <row r="4" spans="1:52" x14ac:dyDescent="0.25">
      <c r="B4" s="682" t="s">
        <v>48</v>
      </c>
      <c r="C4" s="682"/>
      <c r="D4" s="682"/>
      <c r="E4" s="55"/>
      <c r="F4" s="56">
        <f>'HL KNIHA VYPOC'!D107</f>
        <v>-142807.17000000001</v>
      </c>
      <c r="G4" s="56">
        <f>'HL KNIHA VYPOC'!E107</f>
        <v>1196210.58</v>
      </c>
      <c r="H4" s="56">
        <f>'HL KNIHA VYPOC'!F107</f>
        <v>1209822.6100000001</v>
      </c>
      <c r="I4" s="56">
        <f>'HL KNIHA VYPOC'!G107</f>
        <v>-156419.19999999998</v>
      </c>
      <c r="J4" s="57"/>
      <c r="K4" s="57"/>
      <c r="L4" s="683"/>
      <c r="M4" s="57"/>
      <c r="N4" s="54"/>
      <c r="O4" s="54"/>
    </row>
    <row r="5" spans="1:52" x14ac:dyDescent="0.25">
      <c r="B5" s="682" t="s">
        <v>49</v>
      </c>
      <c r="C5" s="682"/>
      <c r="D5" s="682"/>
      <c r="E5" s="55"/>
      <c r="F5" s="56">
        <f>'HL KNIHA VYPOC'!D140</f>
        <v>-170814.69000000003</v>
      </c>
      <c r="G5" s="56">
        <f>'HL KNIHA VYPOC'!E140</f>
        <v>861898.45999999985</v>
      </c>
      <c r="H5" s="56">
        <f>'HL KNIHA VYPOC'!F140</f>
        <v>850249.3</v>
      </c>
      <c r="I5" s="56">
        <f>'HL KNIHA VYPOC'!G140</f>
        <v>-159165.53000000003</v>
      </c>
      <c r="J5" s="57"/>
      <c r="K5" s="57"/>
      <c r="L5" s="683"/>
      <c r="M5" s="57"/>
      <c r="N5" s="54"/>
      <c r="O5" s="54"/>
    </row>
    <row r="6" spans="1:52" x14ac:dyDescent="0.25">
      <c r="B6" s="682" t="s">
        <v>50</v>
      </c>
      <c r="C6" s="682"/>
      <c r="D6" s="682"/>
      <c r="E6" s="55"/>
      <c r="F6" s="56">
        <f>'HL KNIHA VYPOC'!D213</f>
        <v>-143014.30999999997</v>
      </c>
      <c r="G6" s="56">
        <f>'HL KNIHA VYPOC'!E213</f>
        <v>46080.819999999992</v>
      </c>
      <c r="H6" s="56">
        <f>'HL KNIHA VYPOC'!F213</f>
        <v>16747.84</v>
      </c>
      <c r="I6" s="56">
        <f>'HL KNIHA VYPOC'!G213</f>
        <v>-113681.32999999997</v>
      </c>
      <c r="J6" s="57"/>
      <c r="K6" s="57"/>
      <c r="L6" s="683"/>
      <c r="M6" s="57"/>
      <c r="N6" s="54"/>
      <c r="O6" s="54"/>
    </row>
    <row r="7" spans="1:52" x14ac:dyDescent="0.25">
      <c r="B7" s="682" t="s">
        <v>51</v>
      </c>
      <c r="C7" s="682"/>
      <c r="D7" s="682"/>
      <c r="E7" s="55"/>
      <c r="F7" s="56">
        <f>'HL KNIHA VYPOC'!D262</f>
        <v>0</v>
      </c>
      <c r="G7" s="56">
        <f>'HL KNIHA VYPOC'!E262</f>
        <v>391374.43</v>
      </c>
      <c r="H7" s="56">
        <f>'HL KNIHA VYPOC'!F262</f>
        <v>10702.009999999998</v>
      </c>
      <c r="I7" s="56">
        <f>'HL KNIHA VYPOC'!G262</f>
        <v>380672.42</v>
      </c>
      <c r="J7" s="57"/>
      <c r="K7" s="57"/>
      <c r="L7" s="683"/>
      <c r="M7" s="57"/>
      <c r="N7" s="54"/>
      <c r="O7" s="54"/>
    </row>
    <row r="8" spans="1:52" x14ac:dyDescent="0.25">
      <c r="B8" s="682" t="s">
        <v>52</v>
      </c>
      <c r="C8" s="682"/>
      <c r="D8" s="682"/>
      <c r="E8" s="55"/>
      <c r="F8" s="56">
        <f>'HL KNIHA VYPOC'!D349</f>
        <v>0</v>
      </c>
      <c r="G8" s="56">
        <f>'HL KNIHA VYPOC'!E349</f>
        <v>74036.94</v>
      </c>
      <c r="H8" s="56">
        <f>'HL KNIHA VYPOC'!F349</f>
        <v>439643.87</v>
      </c>
      <c r="I8" s="56">
        <f>'HL KNIHA VYPOC'!G349</f>
        <v>-365606.93</v>
      </c>
      <c r="J8" s="57"/>
      <c r="K8" s="57"/>
      <c r="L8" s="683"/>
      <c r="M8" s="57"/>
      <c r="N8" s="54"/>
      <c r="O8" s="54"/>
    </row>
    <row r="9" spans="1:52" x14ac:dyDescent="0.25">
      <c r="B9" s="682" t="s">
        <v>53</v>
      </c>
      <c r="C9" s="682"/>
      <c r="D9" s="682"/>
      <c r="E9" s="55"/>
      <c r="F9" s="56">
        <f>SUM(F2:F8)</f>
        <v>0</v>
      </c>
      <c r="G9" s="56">
        <f>SUM(G2:G8)</f>
        <v>2761068.26</v>
      </c>
      <c r="H9" s="56">
        <f>SUM(H2:H8)</f>
        <v>2761068.26</v>
      </c>
      <c r="I9" s="56">
        <f>SUM(I2:I8)</f>
        <v>0</v>
      </c>
      <c r="J9" s="57"/>
      <c r="K9" s="57"/>
      <c r="L9" s="683"/>
      <c r="M9" s="57"/>
      <c r="N9" s="54"/>
      <c r="O9" s="54"/>
    </row>
    <row r="10" spans="1:52" ht="18" x14ac:dyDescent="0.25">
      <c r="A10" s="58"/>
      <c r="B10" s="684" t="s">
        <v>54</v>
      </c>
      <c r="C10" s="684"/>
      <c r="D10" s="684"/>
      <c r="E10" s="59">
        <f>IF(E321=B10,D321,IF(E320=B10,D320,IF(E322=B10,D322)))</f>
        <v>3</v>
      </c>
      <c r="F10" s="60"/>
      <c r="G10" s="53"/>
      <c r="H10" s="53"/>
      <c r="I10" s="53">
        <f>SUM(I8*-1-I7)</f>
        <v>-15065.489999999991</v>
      </c>
      <c r="J10" s="57"/>
      <c r="K10" s="57"/>
      <c r="L10" s="57"/>
      <c r="M10" s="57"/>
      <c r="N10" s="54"/>
      <c r="O10" s="54"/>
    </row>
    <row r="11" spans="1:52" s="55" customFormat="1" ht="93.75" customHeight="1" x14ac:dyDescent="0.25">
      <c r="A11" s="61"/>
      <c r="B11" s="685" t="s">
        <v>55</v>
      </c>
      <c r="C11" s="685"/>
      <c r="D11" s="686" t="s">
        <v>56</v>
      </c>
      <c r="E11" s="686"/>
      <c r="F11" s="686"/>
      <c r="G11" s="687" t="s">
        <v>57</v>
      </c>
      <c r="H11" s="687"/>
      <c r="I11" s="62" t="s">
        <v>58</v>
      </c>
      <c r="J11" s="57"/>
      <c r="K11" s="57"/>
      <c r="L11" s="57"/>
      <c r="M11" s="57"/>
      <c r="N11" s="54"/>
      <c r="O11" s="54"/>
    </row>
    <row r="12" spans="1:52" x14ac:dyDescent="0.25">
      <c r="A12" s="50" t="s">
        <v>31</v>
      </c>
      <c r="B12" s="688"/>
      <c r="C12" s="688"/>
      <c r="D12" s="63" t="s">
        <v>42</v>
      </c>
      <c r="E12" s="64" t="s">
        <v>43</v>
      </c>
      <c r="F12" s="65" t="s">
        <v>59</v>
      </c>
      <c r="G12" s="62" t="s">
        <v>42</v>
      </c>
      <c r="H12" s="62" t="s">
        <v>43</v>
      </c>
      <c r="I12" s="62" t="s">
        <v>59</v>
      </c>
      <c r="J12" s="55"/>
      <c r="K12" s="55"/>
      <c r="L12" s="55"/>
      <c r="M12" s="55"/>
      <c r="N12" s="55"/>
      <c r="O12" s="55"/>
    </row>
    <row r="13" spans="1:52" s="72" customFormat="1" ht="12" customHeight="1" x14ac:dyDescent="0.25">
      <c r="A13" s="66" t="s">
        <v>60</v>
      </c>
      <c r="B13" s="67" t="str">
        <f>IFERROR(IF(VLOOKUP($A13,Osnova!$A:$E,1)=$A13,VLOOKUP($A13,Osnova!$A:$E,$E$10)),"")</f>
        <v xml:space="preserve">Software </v>
      </c>
      <c r="C13" s="68" t="str">
        <f>IF(VLOOKUP($A13,Osnova!$A:$C,1)=$A13,VLOOKUP($A13,Osnova!$A:$F,4),0)</f>
        <v>Software</v>
      </c>
      <c r="D13" s="69">
        <v>99.58</v>
      </c>
      <c r="E13" s="69">
        <v>0</v>
      </c>
      <c r="F13" s="70">
        <f t="shared" ref="F13:F76" si="0">SUM(D13-E13)</f>
        <v>99.58</v>
      </c>
      <c r="G13" s="69">
        <v>0</v>
      </c>
      <c r="H13" s="69">
        <v>0</v>
      </c>
      <c r="I13" s="70">
        <f t="shared" ref="I13:I76" si="1">SUM(F13+G13-H13)</f>
        <v>99.58</v>
      </c>
      <c r="J13" s="71"/>
    </row>
    <row r="14" spans="1:52" s="72" customFormat="1" x14ac:dyDescent="0.25">
      <c r="A14" s="66" t="s">
        <v>61</v>
      </c>
      <c r="B14" s="67" t="str">
        <f>IFERROR(IF(VLOOKUP($A14,Osnova!$A:$E,1)=$A14,VLOOKUP($A14,Osnova!$A:$E,$E$10)),"")</f>
        <v xml:space="preserve">Ostatný dlhodobý nehmotný majetok </v>
      </c>
      <c r="C14" s="68" t="str">
        <f>IF(VLOOKUP($A14,Osnova!$A:$C,1)=$A14,VLOOKUP($A14,Osnova!$A:$F,4),0)</f>
        <v>Sonstiges langfristiges immaterielles Eigentum</v>
      </c>
      <c r="D14" s="69">
        <v>3525.13</v>
      </c>
      <c r="E14" s="69">
        <v>0</v>
      </c>
      <c r="F14" s="70">
        <f t="shared" si="0"/>
        <v>3525.13</v>
      </c>
      <c r="G14" s="69">
        <v>0</v>
      </c>
      <c r="H14" s="69">
        <v>0</v>
      </c>
      <c r="I14" s="70">
        <f t="shared" si="1"/>
        <v>3525.13</v>
      </c>
    </row>
    <row r="15" spans="1:52" s="72" customFormat="1" x14ac:dyDescent="0.25">
      <c r="A15" s="66" t="s">
        <v>62</v>
      </c>
      <c r="B15" s="67" t="str">
        <f>IFERROR(IF(VLOOKUP($A15,Osnova!$A:$E,1)=$A15,VLOOKUP($A15,Osnova!$A:$E,$E$10)),"")</f>
        <v xml:space="preserve">Stavby </v>
      </c>
      <c r="C15" s="68" t="str">
        <f>IF(VLOOKUP($A15,Osnova!$A:$C,1)=$A15,VLOOKUP($A15,Osnova!$A:$F,4),0)</f>
        <v>Bauten</v>
      </c>
      <c r="D15" s="69">
        <v>726899.76</v>
      </c>
      <c r="E15" s="69">
        <v>0</v>
      </c>
      <c r="F15" s="70">
        <f t="shared" si="0"/>
        <v>726899.76</v>
      </c>
      <c r="G15" s="69">
        <v>0</v>
      </c>
      <c r="H15" s="69">
        <v>0</v>
      </c>
      <c r="I15" s="70">
        <f t="shared" si="1"/>
        <v>726899.76</v>
      </c>
      <c r="J15" s="71"/>
    </row>
    <row r="16" spans="1:52" s="72" customFormat="1" x14ac:dyDescent="0.25">
      <c r="A16" s="66" t="s">
        <v>63</v>
      </c>
      <c r="B16" s="67" t="str">
        <f>IFERROR(IF(VLOOKUP($A16,Osnova!$A:$E,1)=$A16,VLOOKUP($A16,Osnova!$A:$E,$E$10)),"")</f>
        <v xml:space="preserve">Samostatné hnuteľné veci a súbory hnuteľných vecí </v>
      </c>
      <c r="C16" s="68" t="str">
        <f>IF(VLOOKUP($A16,Osnova!$A:$C,1)=$A16,VLOOKUP($A16,Osnova!$A:$F,4),0)</f>
        <v>Eigenständige Mobilien und Mobilienkomplexe</v>
      </c>
      <c r="D16" s="69">
        <v>538007.88</v>
      </c>
      <c r="E16" s="69">
        <v>0</v>
      </c>
      <c r="F16" s="70">
        <f t="shared" si="0"/>
        <v>538007.88</v>
      </c>
      <c r="G16" s="69">
        <v>0</v>
      </c>
      <c r="H16" s="69">
        <v>0</v>
      </c>
      <c r="I16" s="70">
        <f t="shared" si="1"/>
        <v>538007.88</v>
      </c>
      <c r="J16" s="73"/>
    </row>
    <row r="17" spans="1:12" s="72" customFormat="1" x14ac:dyDescent="0.25">
      <c r="A17" s="66" t="s">
        <v>64</v>
      </c>
      <c r="B17" s="67" t="str">
        <f>IFERROR(IF(VLOOKUP($A17,Osnova!$A:$E,1)=$A17,VLOOKUP($A17,Osnova!$A:$E,$E$10)),"")</f>
        <v xml:space="preserve">Pestovateľské celky trvalých porastov </v>
      </c>
      <c r="C17" s="68" t="str">
        <f>IF(VLOOKUP($A17,Osnova!$A:$C,1)=$A17,VLOOKUP($A17,Osnova!$A:$F,4),0)</f>
        <v>Anbaukomplexe der Dauerkulturen</v>
      </c>
      <c r="D17" s="69">
        <v>1000</v>
      </c>
      <c r="E17" s="69">
        <v>0</v>
      </c>
      <c r="F17" s="70">
        <f t="shared" si="0"/>
        <v>1000</v>
      </c>
      <c r="G17" s="69">
        <v>0</v>
      </c>
      <c r="H17" s="69">
        <v>0</v>
      </c>
      <c r="I17" s="70">
        <f t="shared" si="1"/>
        <v>1000</v>
      </c>
      <c r="J17" s="71"/>
    </row>
    <row r="18" spans="1:12" s="72" customFormat="1" x14ac:dyDescent="0.25">
      <c r="A18" s="66" t="s">
        <v>65</v>
      </c>
      <c r="B18" s="67" t="str">
        <f>IFERROR(IF(VLOOKUP($A18,Osnova!$A:$E,1)=$A18,VLOOKUP($A18,Osnova!$A:$E,$E$10)),"")</f>
        <v xml:space="preserve">Základné stádo a ťažné zvieratá </v>
      </c>
      <c r="C18" s="68"/>
      <c r="D18" s="69">
        <v>115227.98</v>
      </c>
      <c r="E18" s="69">
        <v>0</v>
      </c>
      <c r="F18" s="70">
        <f t="shared" si="0"/>
        <v>115227.98</v>
      </c>
      <c r="G18" s="69">
        <v>6134.6</v>
      </c>
      <c r="H18" s="69">
        <v>3634.33</v>
      </c>
      <c r="I18" s="70">
        <f t="shared" si="1"/>
        <v>117728.25</v>
      </c>
      <c r="J18" s="71"/>
    </row>
    <row r="19" spans="1:12" s="72" customFormat="1" x14ac:dyDescent="0.25">
      <c r="A19" s="66" t="s">
        <v>66</v>
      </c>
      <c r="B19" s="67" t="str">
        <f>IFERROR(IF(VLOOKUP($A19,Osnova!$A:$E,1)=$A19,VLOOKUP($A19,Osnova!$A:$E,$E$10)),"")</f>
        <v xml:space="preserve">Obstaranie dlhodobého hmotného majetku </v>
      </c>
      <c r="C19" s="68"/>
      <c r="D19" s="69">
        <v>0</v>
      </c>
      <c r="E19" s="69">
        <v>0</v>
      </c>
      <c r="F19" s="70">
        <f t="shared" si="0"/>
        <v>0</v>
      </c>
      <c r="G19" s="69">
        <v>6634.6</v>
      </c>
      <c r="H19" s="69">
        <v>6134.6</v>
      </c>
      <c r="I19" s="70">
        <f t="shared" si="1"/>
        <v>500</v>
      </c>
      <c r="J19" s="71"/>
    </row>
    <row r="20" spans="1:12" s="72" customFormat="1" x14ac:dyDescent="0.25">
      <c r="A20" s="66" t="s">
        <v>67</v>
      </c>
      <c r="B20" s="67" t="str">
        <f>IFERROR(IF(VLOOKUP($A20,Osnova!$A:$E,1)=$A20,VLOOKUP($A20,Osnova!$A:$E,$E$10)),"")</f>
        <v xml:space="preserve">Oprávky k softwaru </v>
      </c>
      <c r="C20" s="68" t="str">
        <f>IF(VLOOKUP($A20,Osnova!$A:$C,1)=$A20,VLOOKUP($A20,Osnova!$A:$F,4),0)</f>
        <v>Berichtigungen zum Software</v>
      </c>
      <c r="D20" s="69">
        <v>0</v>
      </c>
      <c r="E20" s="69">
        <v>99.58</v>
      </c>
      <c r="F20" s="70">
        <f t="shared" si="0"/>
        <v>-99.58</v>
      </c>
      <c r="G20" s="69">
        <v>0</v>
      </c>
      <c r="H20" s="69">
        <v>0</v>
      </c>
      <c r="I20" s="70">
        <f t="shared" si="1"/>
        <v>-99.58</v>
      </c>
      <c r="J20" s="74"/>
    </row>
    <row r="21" spans="1:12" s="72" customFormat="1" x14ac:dyDescent="0.25">
      <c r="A21" s="66" t="s">
        <v>68</v>
      </c>
      <c r="B21" s="67" t="str">
        <f>IFERROR(IF(VLOOKUP($A21,Osnova!$A:$E,1)=$A21,VLOOKUP($A21,Osnova!$A:$E,$E$10)),"")</f>
        <v xml:space="preserve">Oprávky k ostatnému dlhodobému nehmotnému majetku </v>
      </c>
      <c r="C21" s="68" t="str">
        <f>IF(VLOOKUP($A21,Osnova!$A:$C,1)=$A21,VLOOKUP($A21,Osnova!$A:$F,4),0)</f>
        <v>Berichtigungen zu sonstigem langfristigem immateriellem Eigentum</v>
      </c>
      <c r="D21" s="69">
        <v>0</v>
      </c>
      <c r="E21" s="69">
        <v>3525.13</v>
      </c>
      <c r="F21" s="70">
        <f t="shared" si="0"/>
        <v>-3525.13</v>
      </c>
      <c r="G21" s="69">
        <v>0</v>
      </c>
      <c r="H21" s="69">
        <v>0</v>
      </c>
      <c r="I21" s="70">
        <f t="shared" si="1"/>
        <v>-3525.13</v>
      </c>
      <c r="J21"/>
    </row>
    <row r="22" spans="1:12" x14ac:dyDescent="0.25">
      <c r="A22" s="66" t="s">
        <v>69</v>
      </c>
      <c r="B22" s="67" t="str">
        <f>IFERROR(IF(VLOOKUP($A22,Osnova!$A:$E,1)=$A22,VLOOKUP($A22,Osnova!$A:$E,$E$10)),"")</f>
        <v xml:space="preserve">Oprávky k stavbám </v>
      </c>
      <c r="C22" s="68" t="str">
        <f>IF(VLOOKUP($A22,Osnova!$A:$C,1)=$A22,VLOOKUP($A22,Osnova!$A:$F,4),0)</f>
        <v>Berichtigungen zu Bauten</v>
      </c>
      <c r="D22" s="69">
        <v>0</v>
      </c>
      <c r="E22" s="69">
        <v>359088.08</v>
      </c>
      <c r="F22" s="70">
        <f t="shared" si="0"/>
        <v>-359088.08</v>
      </c>
      <c r="G22" s="69">
        <v>0</v>
      </c>
      <c r="H22" s="69">
        <v>32802</v>
      </c>
      <c r="I22" s="70">
        <f t="shared" si="1"/>
        <v>-391890.08</v>
      </c>
    </row>
    <row r="23" spans="1:12" x14ac:dyDescent="0.25">
      <c r="A23" s="66" t="s">
        <v>70</v>
      </c>
      <c r="B23" s="67" t="str">
        <f>IFERROR(IF(VLOOKUP($A23,Osnova!$A:$E,1)=$A23,VLOOKUP($A23,Osnova!$A:$E,$E$10)),"")</f>
        <v xml:space="preserve">Oprávky k samostatným hnuteľným veciam a k súboru hnuteľných vecí </v>
      </c>
      <c r="C23" s="68"/>
      <c r="D23" s="69">
        <v>0</v>
      </c>
      <c r="E23" s="69">
        <v>534867.28</v>
      </c>
      <c r="F23" s="70">
        <f t="shared" si="0"/>
        <v>-534867.28</v>
      </c>
      <c r="G23" s="69">
        <v>0</v>
      </c>
      <c r="H23" s="69">
        <v>3140.6</v>
      </c>
      <c r="I23" s="70">
        <f t="shared" si="1"/>
        <v>-538007.88</v>
      </c>
    </row>
    <row r="24" spans="1:12" x14ac:dyDescent="0.25">
      <c r="A24" s="66" t="s">
        <v>71</v>
      </c>
      <c r="B24" s="67" t="str">
        <f>IFERROR(IF(VLOOKUP($A24,Osnova!$A:$E,1)=$A24,VLOOKUP($A24,Osnova!$A:$E,$E$10)),"")</f>
        <v xml:space="preserve">Oprávky k základnému stádu a ťažným zvieratám </v>
      </c>
      <c r="C24" s="68" t="str">
        <f>IF(VLOOKUP($A24,Osnova!$A:$C,1)=$A24,VLOOKUP($A24,Osnova!$A:$F,4),0)</f>
        <v>Berichtigungen zur Grundherde und zu Lasttieren</v>
      </c>
      <c r="D24" s="69">
        <v>0</v>
      </c>
      <c r="E24" s="69">
        <v>79673.17</v>
      </c>
      <c r="F24" s="70">
        <f t="shared" si="0"/>
        <v>-79673.17</v>
      </c>
      <c r="G24" s="69">
        <v>3634.33</v>
      </c>
      <c r="H24" s="69">
        <v>16128.96</v>
      </c>
      <c r="I24" s="70">
        <f t="shared" si="1"/>
        <v>-92167.799999999988</v>
      </c>
      <c r="L24" s="72"/>
    </row>
    <row r="25" spans="1:12" x14ac:dyDescent="0.25">
      <c r="A25" s="66" t="s">
        <v>72</v>
      </c>
      <c r="B25" s="67" t="str">
        <f>IFERROR(IF(VLOOKUP($A25,Osnova!$A:$E,1)=$A25,VLOOKUP($A25,Osnova!$A:$E,$E$10)),"")</f>
        <v xml:space="preserve">Obstaranie materiálu </v>
      </c>
      <c r="C25" s="68" t="str">
        <f>IF(VLOOKUP($A25,Osnova!$A:$C,1)=$A25,VLOOKUP($A25,Osnova!$A:$F,4),0)</f>
        <v>Materialbeschaffung</v>
      </c>
      <c r="D25" s="69">
        <v>0</v>
      </c>
      <c r="E25" s="69">
        <v>0</v>
      </c>
      <c r="F25" s="70">
        <f t="shared" si="0"/>
        <v>0</v>
      </c>
      <c r="G25" s="69">
        <v>45300.79</v>
      </c>
      <c r="H25" s="69">
        <v>45300.79</v>
      </c>
      <c r="I25" s="70">
        <f t="shared" si="1"/>
        <v>0</v>
      </c>
    </row>
    <row r="26" spans="1:12" x14ac:dyDescent="0.25">
      <c r="A26" s="66" t="s">
        <v>73</v>
      </c>
      <c r="B26" s="67" t="str">
        <f>IFERROR(IF(VLOOKUP($A26,Osnova!$A:$E,1)=$A26,VLOOKUP($A26,Osnova!$A:$E,$E$10)),"")</f>
        <v xml:space="preserve">Materiál na sklade </v>
      </c>
      <c r="C26" s="68" t="str">
        <f>IF(VLOOKUP($A26,Osnova!$A:$C,1)=$A26,VLOOKUP($A26,Osnova!$A:$F,4),0)</f>
        <v>Material auf Lager</v>
      </c>
      <c r="D26" s="69">
        <v>5545.16</v>
      </c>
      <c r="E26" s="69">
        <v>0</v>
      </c>
      <c r="F26" s="70">
        <f t="shared" si="0"/>
        <v>5545.16</v>
      </c>
      <c r="G26" s="69">
        <v>44685.05</v>
      </c>
      <c r="H26" s="69">
        <v>46184.53</v>
      </c>
      <c r="I26" s="70">
        <f t="shared" si="1"/>
        <v>4045.6800000000076</v>
      </c>
    </row>
    <row r="27" spans="1:12" x14ac:dyDescent="0.25">
      <c r="A27" s="66" t="s">
        <v>74</v>
      </c>
      <c r="B27" s="67" t="str">
        <f>IFERROR(IF(VLOOKUP($A27,Osnova!$A:$E,1)=$A27,VLOOKUP($A27,Osnova!$A:$E,$E$10)),"")</f>
        <v xml:space="preserve">Nedokončená výroba </v>
      </c>
      <c r="C27" s="68" t="str">
        <f>IF(VLOOKUP($A27,Osnova!$A:$C,1)=$A27,VLOOKUP($A27,Osnova!$A:$F,4),0)</f>
        <v>Unvollendete Produktion</v>
      </c>
      <c r="D27" s="69">
        <v>2396.9</v>
      </c>
      <c r="E27" s="69">
        <v>0</v>
      </c>
      <c r="F27" s="70">
        <f t="shared" si="0"/>
        <v>2396.9</v>
      </c>
      <c r="G27" s="69">
        <v>10487.39</v>
      </c>
      <c r="H27" s="69">
        <v>0</v>
      </c>
      <c r="I27" s="70">
        <f t="shared" si="1"/>
        <v>12884.289999999999</v>
      </c>
      <c r="K27" s="75"/>
      <c r="L27" s="75"/>
    </row>
    <row r="28" spans="1:12" x14ac:dyDescent="0.25">
      <c r="A28" s="66" t="s">
        <v>75</v>
      </c>
      <c r="B28" s="67" t="str">
        <f>IFERROR(IF(VLOOKUP($A28,Osnova!$A:$E,1)=$A28,VLOOKUP($A28,Osnova!$A:$E,$E$10)),"")</f>
        <v xml:space="preserve">Výrobky </v>
      </c>
      <c r="C28" s="68" t="str">
        <f>IF(VLOOKUP($A28,Osnova!$A:$C,1)=$A28,VLOOKUP($A28,Osnova!$A:$F,4),0)</f>
        <v>Erzeugnisse</v>
      </c>
      <c r="D28" s="69">
        <v>38846.54</v>
      </c>
      <c r="E28" s="69">
        <v>0</v>
      </c>
      <c r="F28" s="70">
        <f t="shared" si="0"/>
        <v>38846.54</v>
      </c>
      <c r="G28" s="69">
        <v>59997.39</v>
      </c>
      <c r="H28" s="69">
        <v>67022.94</v>
      </c>
      <c r="I28" s="70">
        <f t="shared" si="1"/>
        <v>31820.989999999991</v>
      </c>
    </row>
    <row r="29" spans="1:12" x14ac:dyDescent="0.25">
      <c r="A29" s="66" t="s">
        <v>76</v>
      </c>
      <c r="B29" s="67" t="str">
        <f>IFERROR(IF(VLOOKUP($A29,Osnova!$A:$E,1)=$A29,VLOOKUP($A29,Osnova!$A:$E,$E$10)),"")</f>
        <v xml:space="preserve">Zvieratá </v>
      </c>
      <c r="C29" s="68"/>
      <c r="D29" s="69">
        <v>2340.48</v>
      </c>
      <c r="E29" s="69">
        <v>0</v>
      </c>
      <c r="F29" s="70">
        <f t="shared" si="0"/>
        <v>2340.48</v>
      </c>
      <c r="G29" s="69">
        <v>14592.88</v>
      </c>
      <c r="H29" s="69">
        <v>13553.88</v>
      </c>
      <c r="I29" s="70">
        <f t="shared" si="1"/>
        <v>3379.4800000000014</v>
      </c>
    </row>
    <row r="30" spans="1:12" x14ac:dyDescent="0.25">
      <c r="A30" s="66" t="s">
        <v>77</v>
      </c>
      <c r="B30" s="67" t="str">
        <f>IFERROR(IF(VLOOKUP($A30,Osnova!$A:$E,1)=$A30,VLOOKUP($A30,Osnova!$A:$E,$E$10)),"")</f>
        <v xml:space="preserve">Pokladnica </v>
      </c>
      <c r="C30" s="68" t="str">
        <f>IF(VLOOKUP($A30,Osnova!$A:$C,1)=$A30,VLOOKUP($A30,Osnova!$A:$F,4),0)</f>
        <v>Kasse</v>
      </c>
      <c r="D30" s="69">
        <v>18668.689999999999</v>
      </c>
      <c r="E30" s="69">
        <v>0</v>
      </c>
      <c r="F30" s="70">
        <f t="shared" si="0"/>
        <v>18668.689999999999</v>
      </c>
      <c r="G30" s="69">
        <v>100514.3</v>
      </c>
      <c r="H30" s="69">
        <v>102853.51</v>
      </c>
      <c r="I30" s="70">
        <f t="shared" si="1"/>
        <v>16329.48000000001</v>
      </c>
    </row>
    <row r="31" spans="1:12" x14ac:dyDescent="0.25">
      <c r="A31" s="66" t="s">
        <v>78</v>
      </c>
      <c r="B31" s="67" t="str">
        <f>IFERROR(IF(VLOOKUP($A31,Osnova!$A:$E,1)=$A31,VLOOKUP($A31,Osnova!$A:$E,$E$10)),"")</f>
        <v xml:space="preserve">Ceniny </v>
      </c>
      <c r="C31" s="68" t="str">
        <f>IF(VLOOKUP($A31,Osnova!$A:$C,1)=$A31,VLOOKUP($A31,Osnova!$A:$F,4),0)</f>
        <v>Werte</v>
      </c>
      <c r="D31" s="69">
        <v>1609.49</v>
      </c>
      <c r="E31" s="69">
        <v>0</v>
      </c>
      <c r="F31" s="70">
        <f t="shared" si="0"/>
        <v>1609.49</v>
      </c>
      <c r="G31" s="69">
        <v>12398.59</v>
      </c>
      <c r="H31" s="69">
        <v>13249.27</v>
      </c>
      <c r="I31" s="70">
        <f t="shared" si="1"/>
        <v>758.80999999999949</v>
      </c>
    </row>
    <row r="32" spans="1:12" x14ac:dyDescent="0.25">
      <c r="A32" s="66" t="s">
        <v>79</v>
      </c>
      <c r="B32" s="67" t="str">
        <f>IFERROR(IF(VLOOKUP($A32,Osnova!$A:$E,1)=$A32,VLOOKUP($A32,Osnova!$A:$E,$E$10)),"")</f>
        <v xml:space="preserve">Bankové účty </v>
      </c>
      <c r="C32" s="68" t="str">
        <f>IF(VLOOKUP($A32,Osnova!$A:$C,1)=$A32,VLOOKUP($A32,Osnova!$A:$F,4),0)</f>
        <v>Bankkonten</v>
      </c>
      <c r="D32" s="69">
        <v>2823.74</v>
      </c>
      <c r="E32" s="69">
        <v>159869.09</v>
      </c>
      <c r="F32" s="70">
        <f t="shared" si="0"/>
        <v>-157045.35</v>
      </c>
      <c r="G32" s="69">
        <v>676961.87</v>
      </c>
      <c r="H32" s="69">
        <v>690384.01</v>
      </c>
      <c r="I32" s="70">
        <f t="shared" si="1"/>
        <v>-170467.49</v>
      </c>
    </row>
    <row r="33" spans="1:9" x14ac:dyDescent="0.25">
      <c r="A33" s="66" t="s">
        <v>80</v>
      </c>
      <c r="B33" s="67" t="str">
        <f>IFERROR(IF(VLOOKUP($A33,Osnova!$A:$E,1)=$A33,VLOOKUP($A33,Osnova!$A:$E,$E$10)),"")</f>
        <v xml:space="preserve">Ostatné krátkodobé finančné výpomoci </v>
      </c>
      <c r="C33" s="68" t="str">
        <f>IF(VLOOKUP($A33,Osnova!$A:$C,1)=$A33,VLOOKUP($A33,Osnova!$A:$F,4),0)</f>
        <v>Sonstige kurzfristige Finanzaushilfen</v>
      </c>
      <c r="D33" s="69">
        <v>0</v>
      </c>
      <c r="E33" s="69">
        <v>6040</v>
      </c>
      <c r="F33" s="70">
        <f t="shared" si="0"/>
        <v>-6040</v>
      </c>
      <c r="G33" s="69">
        <v>3000</v>
      </c>
      <c r="H33" s="69">
        <v>0</v>
      </c>
      <c r="I33" s="70">
        <f t="shared" si="1"/>
        <v>-3040</v>
      </c>
    </row>
    <row r="34" spans="1:9" x14ac:dyDescent="0.25">
      <c r="A34" s="66" t="s">
        <v>81</v>
      </c>
      <c r="B34" s="67" t="str">
        <f>IFERROR(IF(VLOOKUP($A34,Osnova!$A:$E,1)=$A34,VLOOKUP($A34,Osnova!$A:$E,$E$10)),"")</f>
        <v xml:space="preserve">Peniaze na ceste </v>
      </c>
      <c r="C34" s="68" t="str">
        <f>IF(VLOOKUP($A34,Osnova!$A:$C,1)=$A34,VLOOKUP($A34,Osnova!$A:$F,4),0)</f>
        <v>Geld unterwegs</v>
      </c>
      <c r="D34" s="69">
        <v>0</v>
      </c>
      <c r="E34" s="69">
        <v>0</v>
      </c>
      <c r="F34" s="70">
        <f t="shared" si="0"/>
        <v>0</v>
      </c>
      <c r="G34" s="69">
        <v>403335.82</v>
      </c>
      <c r="H34" s="69">
        <v>403335.82</v>
      </c>
      <c r="I34" s="70">
        <f t="shared" si="1"/>
        <v>0</v>
      </c>
    </row>
    <row r="35" spans="1:9" x14ac:dyDescent="0.25">
      <c r="A35" s="66" t="s">
        <v>82</v>
      </c>
      <c r="B35" s="67" t="str">
        <f>IFERROR(IF(VLOOKUP($A35,Osnova!$A:$E,1)=$A35,VLOOKUP($A35,Osnova!$A:$E,$E$10)),"")</f>
        <v xml:space="preserve">Odberatelia </v>
      </c>
      <c r="C35" s="68" t="str">
        <f>IF(VLOOKUP($A35,Osnova!$A:$C,1)=$A35,VLOOKUP($A35,Osnova!$A:$F,4),0)</f>
        <v>Abnehmer</v>
      </c>
      <c r="D35" s="69">
        <v>17303.8</v>
      </c>
      <c r="E35" s="69">
        <v>237.37</v>
      </c>
      <c r="F35" s="70">
        <f t="shared" si="0"/>
        <v>17066.43</v>
      </c>
      <c r="G35" s="69">
        <v>59844.1</v>
      </c>
      <c r="H35" s="69">
        <v>59111.62</v>
      </c>
      <c r="I35" s="70">
        <f t="shared" si="1"/>
        <v>17798.909999999996</v>
      </c>
    </row>
    <row r="36" spans="1:9" x14ac:dyDescent="0.25">
      <c r="A36" s="66" t="s">
        <v>83</v>
      </c>
      <c r="B36" s="67" t="str">
        <f>IFERROR(IF(VLOOKUP($A36,Osnova!$A:$E,1)=$A36,VLOOKUP($A36,Osnova!$A:$E,$E$10)),"")</f>
        <v xml:space="preserve">Poskytnuté preddavky </v>
      </c>
      <c r="C36" s="68" t="str">
        <f>IF(VLOOKUP($A36,Osnova!$A:$C,1)=$A36,VLOOKUP($A36,Osnova!$A:$F,4),0)</f>
        <v>Geleistete Anzahlungen</v>
      </c>
      <c r="D36" s="69">
        <v>0</v>
      </c>
      <c r="E36" s="69">
        <v>0</v>
      </c>
      <c r="F36" s="70">
        <f t="shared" si="0"/>
        <v>0</v>
      </c>
      <c r="G36" s="69">
        <v>3038.1</v>
      </c>
      <c r="H36" s="69">
        <v>3038.1</v>
      </c>
      <c r="I36" s="70">
        <f t="shared" si="1"/>
        <v>0</v>
      </c>
    </row>
    <row r="37" spans="1:9" x14ac:dyDescent="0.25">
      <c r="A37" s="66" t="s">
        <v>84</v>
      </c>
      <c r="B37" s="67" t="str">
        <f>IFERROR(IF(VLOOKUP($A37,Osnova!$A:$E,1)=$A37,VLOOKUP($A37,Osnova!$A:$E,$E$10)),"")</f>
        <v xml:space="preserve">Ostatné pohľadávky </v>
      </c>
      <c r="C37" s="68" t="str">
        <f>IF(VLOOKUP($A37,Osnova!$A:$C,1)=$A37,VLOOKUP($A37,Osnova!$A:$F,4),0)</f>
        <v>Sonstige Forderungen</v>
      </c>
      <c r="D37" s="69">
        <v>924.73</v>
      </c>
      <c r="E37" s="69">
        <v>0</v>
      </c>
      <c r="F37" s="70">
        <f t="shared" si="0"/>
        <v>924.73</v>
      </c>
      <c r="G37" s="69">
        <v>0</v>
      </c>
      <c r="H37" s="69">
        <v>0</v>
      </c>
      <c r="I37" s="70">
        <f t="shared" si="1"/>
        <v>924.73</v>
      </c>
    </row>
    <row r="38" spans="1:9" x14ac:dyDescent="0.25">
      <c r="A38" s="66" t="s">
        <v>85</v>
      </c>
      <c r="B38" s="67" t="str">
        <f>IFERROR(IF(VLOOKUP($A38,Osnova!$A:$E,1)=$A38,VLOOKUP($A38,Osnova!$A:$E,$E$10)),"")</f>
        <v xml:space="preserve">Dodávatelia </v>
      </c>
      <c r="C38" s="68" t="str">
        <f>IF(VLOOKUP($A38,Osnova!$A:$C,1)=$A38,VLOOKUP($A38,Osnova!$A:$F,4),0)</f>
        <v>Lieferanten</v>
      </c>
      <c r="D38" s="69">
        <v>8744.61</v>
      </c>
      <c r="E38" s="69">
        <v>39578.93</v>
      </c>
      <c r="F38" s="70">
        <f t="shared" si="0"/>
        <v>-30834.32</v>
      </c>
      <c r="G38" s="69">
        <v>114058.71</v>
      </c>
      <c r="H38" s="69">
        <v>126072.14</v>
      </c>
      <c r="I38" s="70">
        <f t="shared" si="1"/>
        <v>-42847.749999999985</v>
      </c>
    </row>
    <row r="39" spans="1:9" x14ac:dyDescent="0.25">
      <c r="A39" s="66" t="s">
        <v>86</v>
      </c>
      <c r="B39" s="67" t="str">
        <f>IFERROR(IF(VLOOKUP($A39,Osnova!$A:$E,1)=$A39,VLOOKUP($A39,Osnova!$A:$E,$E$10)),"")</f>
        <v xml:space="preserve">Krátkodobé rezervy </v>
      </c>
      <c r="C39" s="68" t="str">
        <f>IF(VLOOKUP($A39,Osnova!$A:$C,1)=$A39,VLOOKUP($A39,Osnova!$A:$F,4),0)</f>
        <v>Kurzfristige Reserven</v>
      </c>
      <c r="D39" s="69">
        <v>0</v>
      </c>
      <c r="E39" s="69">
        <v>19677.560000000001</v>
      </c>
      <c r="F39" s="70">
        <f t="shared" si="0"/>
        <v>-19677.560000000001</v>
      </c>
      <c r="G39" s="69">
        <v>29195.32</v>
      </c>
      <c r="H39" s="69">
        <v>23951.99</v>
      </c>
      <c r="I39" s="70">
        <f t="shared" si="1"/>
        <v>-14434.230000000003</v>
      </c>
    </row>
    <row r="40" spans="1:9" x14ac:dyDescent="0.25">
      <c r="A40" s="66" t="s">
        <v>87</v>
      </c>
      <c r="B40" s="67" t="str">
        <f>IFERROR(IF(VLOOKUP($A40,Osnova!$A:$E,1)=$A40,VLOOKUP($A40,Osnova!$A:$E,$E$10)),"")</f>
        <v xml:space="preserve">Ostatné záväzky </v>
      </c>
      <c r="C40" s="68">
        <f>IF(VLOOKUP($A40,Osnova!$A:$C,1)=$A40,VLOOKUP($A40,Osnova!$A:$F,4),0)</f>
        <v>0</v>
      </c>
      <c r="D40" s="69">
        <v>0</v>
      </c>
      <c r="E40" s="69">
        <v>4209.5200000000004</v>
      </c>
      <c r="F40" s="70">
        <f t="shared" si="0"/>
        <v>-4209.5200000000004</v>
      </c>
      <c r="G40" s="69">
        <v>4209.5200000000004</v>
      </c>
      <c r="H40" s="69">
        <v>0</v>
      </c>
      <c r="I40" s="70">
        <f t="shared" si="1"/>
        <v>0</v>
      </c>
    </row>
    <row r="41" spans="1:9" x14ac:dyDescent="0.25">
      <c r="A41" s="66" t="s">
        <v>88</v>
      </c>
      <c r="B41" s="67" t="str">
        <f>IFERROR(IF(VLOOKUP($A41,Osnova!$A:$E,1)=$A41,VLOOKUP($A41,Osnova!$A:$E,$E$10)),"")</f>
        <v xml:space="preserve">Zamestnanci </v>
      </c>
      <c r="C41" s="68" t="str">
        <f>IF(VLOOKUP($A41,Osnova!$A:$C,1)=$A41,VLOOKUP($A41,Osnova!$A:$F,4),0)</f>
        <v>Angestellten</v>
      </c>
      <c r="D41" s="69">
        <v>0</v>
      </c>
      <c r="E41" s="69">
        <v>7115.92</v>
      </c>
      <c r="F41" s="70">
        <f t="shared" si="0"/>
        <v>-7115.92</v>
      </c>
      <c r="G41" s="69">
        <v>151335.79999999999</v>
      </c>
      <c r="H41" s="69">
        <v>150663.5</v>
      </c>
      <c r="I41" s="70">
        <f t="shared" si="1"/>
        <v>-6443.6200000000244</v>
      </c>
    </row>
    <row r="42" spans="1:9" x14ac:dyDescent="0.25">
      <c r="A42" s="66" t="s">
        <v>89</v>
      </c>
      <c r="B42" s="67" t="str">
        <f>IFERROR(IF(VLOOKUP($A42,Osnova!$A:$E,1)=$A42,VLOOKUP($A42,Osnova!$A:$E,$E$10)),"")</f>
        <v xml:space="preserve">Ostatné záväzky voči zamestnancom </v>
      </c>
      <c r="C42" s="68">
        <f>IF(VLOOKUP($A42,Osnova!$A:$C,1)=$A42,VLOOKUP($A42,Osnova!$A:$F,4),0)</f>
        <v>0</v>
      </c>
      <c r="D42" s="69">
        <v>0</v>
      </c>
      <c r="E42" s="69">
        <v>7309.65</v>
      </c>
      <c r="F42" s="70">
        <f t="shared" si="0"/>
        <v>-7309.65</v>
      </c>
      <c r="G42" s="69">
        <v>0</v>
      </c>
      <c r="H42" s="69">
        <v>0</v>
      </c>
      <c r="I42" s="70">
        <f t="shared" si="1"/>
        <v>-7309.65</v>
      </c>
    </row>
    <row r="43" spans="1:9" x14ac:dyDescent="0.25">
      <c r="A43" s="66" t="s">
        <v>90</v>
      </c>
      <c r="B43" s="67" t="str">
        <f>IFERROR(IF(VLOOKUP($A43,Osnova!$A:$E,1)=$A43,VLOOKUP($A43,Osnova!$A:$E,$E$10)),"")</f>
        <v xml:space="preserve">Pohľadávky voči zamestnancom </v>
      </c>
      <c r="C43" s="68" t="str">
        <f>IF(VLOOKUP($A43,Osnova!$A:$C,1)=$A43,VLOOKUP($A43,Osnova!$A:$F,4),0)</f>
        <v>Forderungen gegenüber den Angestellten</v>
      </c>
      <c r="D43" s="69">
        <v>254.63</v>
      </c>
      <c r="E43" s="69">
        <v>589.04999999999995</v>
      </c>
      <c r="F43" s="70">
        <f t="shared" si="0"/>
        <v>-334.41999999999996</v>
      </c>
      <c r="G43" s="69">
        <v>2417.11</v>
      </c>
      <c r="H43" s="69">
        <v>2349.6</v>
      </c>
      <c r="I43" s="70">
        <f t="shared" si="1"/>
        <v>-266.90999999999985</v>
      </c>
    </row>
    <row r="44" spans="1:9" x14ac:dyDescent="0.25">
      <c r="A44" s="66" t="s">
        <v>91</v>
      </c>
      <c r="B44" s="67" t="str">
        <f>IFERROR(IF(VLOOKUP($A44,Osnova!$A:$E,1)=$A44,VLOOKUP($A44,Osnova!$A:$E,$E$10)),"")</f>
        <v xml:space="preserve">Zúčtovanie s orgánmi sociálneho zabezpečenia a zdravotného poistenia </v>
      </c>
      <c r="C44" s="68" t="str">
        <f>IF(VLOOKUP($A44,Osnova!$A:$C,1)=$A44,VLOOKUP($A44,Osnova!$A:$F,4),0)</f>
        <v>Abrechnung mit Behörden der Sozialfürsorge und der Krankversicherung</v>
      </c>
      <c r="D44" s="69">
        <v>0</v>
      </c>
      <c r="E44" s="69">
        <v>9544</v>
      </c>
      <c r="F44" s="70">
        <f t="shared" si="0"/>
        <v>-9544</v>
      </c>
      <c r="G44" s="69">
        <v>76508.789999999994</v>
      </c>
      <c r="H44" s="69">
        <v>77577.78</v>
      </c>
      <c r="I44" s="70">
        <f t="shared" si="1"/>
        <v>-10612.990000000005</v>
      </c>
    </row>
    <row r="45" spans="1:9" x14ac:dyDescent="0.25">
      <c r="A45" s="66" t="s">
        <v>92</v>
      </c>
      <c r="B45" s="67" t="str">
        <f>IFERROR(IF(VLOOKUP($A45,Osnova!$A:$E,1)=$A45,VLOOKUP($A45,Osnova!$A:$E,$E$10)),"")</f>
        <v xml:space="preserve">Daň z príjmov </v>
      </c>
      <c r="C45" s="68" t="str">
        <f>IF(VLOOKUP($A45,Osnova!$A:$C,1)=$A45,VLOOKUP($A45,Osnova!$A:$F,4),0)</f>
        <v>Einkommensteuer</v>
      </c>
      <c r="D45" s="69">
        <v>3355.94</v>
      </c>
      <c r="E45" s="69">
        <v>1920</v>
      </c>
      <c r="F45" s="70">
        <f t="shared" si="0"/>
        <v>1435.94</v>
      </c>
      <c r="G45" s="69">
        <v>3332.29</v>
      </c>
      <c r="H45" s="69">
        <v>0</v>
      </c>
      <c r="I45" s="70">
        <f t="shared" si="1"/>
        <v>4768.2299999999996</v>
      </c>
    </row>
    <row r="46" spans="1:9" x14ac:dyDescent="0.25">
      <c r="A46" s="66" t="s">
        <v>93</v>
      </c>
      <c r="B46" s="67" t="str">
        <f>IFERROR(IF(VLOOKUP($A46,Osnova!$A:$E,1)=$A46,VLOOKUP($A46,Osnova!$A:$E,$E$10)),"")</f>
        <v xml:space="preserve">Ostatné priame dane </v>
      </c>
      <c r="C46" s="68" t="str">
        <f>IF(VLOOKUP($A46,Osnova!$A:$C,1)=$A46,VLOOKUP($A46,Osnova!$A:$F,4),0)</f>
        <v>Sonstige direkte Steuern</v>
      </c>
      <c r="D46" s="69">
        <v>0</v>
      </c>
      <c r="E46" s="69">
        <v>7285.01</v>
      </c>
      <c r="F46" s="70">
        <f t="shared" si="0"/>
        <v>-7285.01</v>
      </c>
      <c r="G46" s="69">
        <v>13846.52</v>
      </c>
      <c r="H46" s="69">
        <v>15530.24</v>
      </c>
      <c r="I46" s="70">
        <f t="shared" si="1"/>
        <v>-8968.73</v>
      </c>
    </row>
    <row r="47" spans="1:9" x14ac:dyDescent="0.25">
      <c r="A47" s="66" t="s">
        <v>94</v>
      </c>
      <c r="B47" s="67" t="str">
        <f>IFERROR(IF(VLOOKUP($A47,Osnova!$A:$E,1)=$A47,VLOOKUP($A47,Osnova!$A:$E,$E$10)),"")</f>
        <v xml:space="preserve">Daň z pridanej hodnoty </v>
      </c>
      <c r="C47" s="68" t="str">
        <f>IF(VLOOKUP($A47,Osnova!$A:$C,1)=$A47,VLOOKUP($A47,Osnova!$A:$F,4),0)</f>
        <v>Mehrwertsteuer</v>
      </c>
      <c r="D47" s="69">
        <v>0</v>
      </c>
      <c r="E47" s="69">
        <v>12607.9</v>
      </c>
      <c r="F47" s="70">
        <f t="shared" si="0"/>
        <v>-12607.9</v>
      </c>
      <c r="G47" s="69">
        <v>20842.259999999998</v>
      </c>
      <c r="H47" s="69">
        <v>20914.84</v>
      </c>
      <c r="I47" s="70">
        <f t="shared" si="1"/>
        <v>-12680.480000000001</v>
      </c>
    </row>
    <row r="48" spans="1:9" x14ac:dyDescent="0.25">
      <c r="A48" s="66" t="s">
        <v>95</v>
      </c>
      <c r="B48" s="67" t="str">
        <f>IFERROR(IF(VLOOKUP($A48,Osnova!$A:$E,1)=$A48,VLOOKUP($A48,Osnova!$A:$E,$E$10)),"")</f>
        <v xml:space="preserve">Ostatné dane a poplatky </v>
      </c>
      <c r="C48" s="68" t="str">
        <f>IF(VLOOKUP($A48,Osnova!$A:$C,1)=$A48,VLOOKUP($A48,Osnova!$A:$F,4),0)</f>
        <v>Sonstige Steuern und Gebühren</v>
      </c>
      <c r="D48" s="69">
        <v>0</v>
      </c>
      <c r="E48" s="69">
        <v>0</v>
      </c>
      <c r="F48" s="70">
        <f t="shared" si="0"/>
        <v>0</v>
      </c>
      <c r="G48" s="69">
        <v>798.84</v>
      </c>
      <c r="H48" s="69">
        <v>798.84</v>
      </c>
      <c r="I48" s="70">
        <f t="shared" si="1"/>
        <v>0</v>
      </c>
    </row>
    <row r="49" spans="1:9" x14ac:dyDescent="0.25">
      <c r="A49" s="66" t="s">
        <v>96</v>
      </c>
      <c r="B49" s="67" t="str">
        <f>IFERROR(IF(VLOOKUP($A49,Osnova!$A:$E,1)=$A49,VLOOKUP($A49,Osnova!$A:$E,$E$10)),"")</f>
        <v xml:space="preserve">Dotácie zo štátneho rozpočtu </v>
      </c>
      <c r="C49" s="68" t="str">
        <f>IF(VLOOKUP($A49,Osnova!$A:$C,1)=$A49,VLOOKUP($A49,Osnova!$A:$F,4),0)</f>
        <v>Haushaltzuschüsse</v>
      </c>
      <c r="D49" s="69">
        <v>0</v>
      </c>
      <c r="E49" s="69">
        <v>0</v>
      </c>
      <c r="F49" s="70">
        <f t="shared" si="0"/>
        <v>0</v>
      </c>
      <c r="G49" s="69">
        <v>251162.64</v>
      </c>
      <c r="H49" s="69">
        <v>251162.64</v>
      </c>
      <c r="I49" s="70">
        <f t="shared" si="1"/>
        <v>0</v>
      </c>
    </row>
    <row r="50" spans="1:9" x14ac:dyDescent="0.25">
      <c r="A50" s="66" t="s">
        <v>97</v>
      </c>
      <c r="B50" s="67" t="str">
        <f>IFERROR(IF(VLOOKUP($A50,Osnova!$A:$E,1)=$A50,VLOOKUP($A50,Osnova!$A:$E,$E$10)),"")</f>
        <v xml:space="preserve"> Ostatné záväzky voči spoločníkom a členom</v>
      </c>
      <c r="C50" s="68" t="str">
        <f>IF(VLOOKUP($A50,Osnova!$A:$C,1)=$A50,VLOOKUP($A50,Osnova!$A:$F,4),0)</f>
        <v>Sonst. Verbindlichkeit. gegenüber der Gesellschaft und den Mitgliedern</v>
      </c>
      <c r="D50" s="69">
        <v>0</v>
      </c>
      <c r="E50" s="69">
        <v>11000</v>
      </c>
      <c r="F50" s="70">
        <f t="shared" si="0"/>
        <v>-11000</v>
      </c>
      <c r="G50" s="69">
        <v>0</v>
      </c>
      <c r="H50" s="69">
        <v>0</v>
      </c>
      <c r="I50" s="70">
        <f t="shared" si="1"/>
        <v>-11000</v>
      </c>
    </row>
    <row r="51" spans="1:9" x14ac:dyDescent="0.25">
      <c r="A51" s="66" t="s">
        <v>98</v>
      </c>
      <c r="B51" s="67" t="str">
        <f>IFERROR(IF(VLOOKUP($A51,Osnova!$A:$E,1)=$A51,VLOOKUP($A51,Osnova!$A:$E,$E$10)),"")</f>
        <v xml:space="preserve">Iné pohľadávky </v>
      </c>
      <c r="C51" s="68" t="str">
        <f>IF(VLOOKUP($A51,Osnova!$A:$C,1)=$A51,VLOOKUP($A51,Osnova!$A:$F,4),0)</f>
        <v>Sonstige Forderungen</v>
      </c>
      <c r="D51" s="69">
        <v>0</v>
      </c>
      <c r="E51" s="69">
        <v>0</v>
      </c>
      <c r="F51" s="70">
        <f t="shared" si="0"/>
        <v>0</v>
      </c>
      <c r="G51" s="69">
        <v>2892.93</v>
      </c>
      <c r="H51" s="69">
        <v>0</v>
      </c>
      <c r="I51" s="70">
        <f t="shared" si="1"/>
        <v>2892.93</v>
      </c>
    </row>
    <row r="52" spans="1:9" x14ac:dyDescent="0.25">
      <c r="A52" s="66" t="s">
        <v>99</v>
      </c>
      <c r="B52" s="67" t="str">
        <f>IFERROR(IF(VLOOKUP($A52,Osnova!$A:$E,1)=$A52,VLOOKUP($A52,Osnova!$A:$E,$E$10)),"")</f>
        <v xml:space="preserve">Iné záväzky </v>
      </c>
      <c r="C52" s="68" t="str">
        <f>IF(VLOOKUP($A52,Osnova!$A:$C,1)=$A52,VLOOKUP($A52,Osnova!$A:$F,4),0)</f>
        <v>Sonstige Verbindlichkeiten</v>
      </c>
      <c r="D52" s="69">
        <v>200</v>
      </c>
      <c r="E52" s="69">
        <v>15809.55</v>
      </c>
      <c r="F52" s="70">
        <f t="shared" si="0"/>
        <v>-15609.55</v>
      </c>
      <c r="G52" s="69">
        <v>45636.89</v>
      </c>
      <c r="H52" s="69">
        <v>43523.91</v>
      </c>
      <c r="I52" s="70">
        <f t="shared" si="1"/>
        <v>-13496.570000000003</v>
      </c>
    </row>
    <row r="53" spans="1:9" x14ac:dyDescent="0.25">
      <c r="A53" s="66" t="s">
        <v>100</v>
      </c>
      <c r="B53" s="67" t="str">
        <f>IFERROR(IF(VLOOKUP($A53,Osnova!$A:$E,1)=$A53,VLOOKUP($A53,Osnova!$A:$E,$E$10)),"")</f>
        <v xml:space="preserve">Výnosy budúcich období </v>
      </c>
      <c r="C53" s="68" t="str">
        <f>IF(VLOOKUP($A53,Osnova!$A:$C,1)=$A53,VLOOKUP($A53,Osnova!$A:$F,4),0)</f>
        <v>Erlöse für künftige Abrechnungszeiträume</v>
      </c>
      <c r="D53" s="69">
        <v>0</v>
      </c>
      <c r="E53" s="69">
        <v>116849.46</v>
      </c>
      <c r="F53" s="70">
        <f t="shared" si="0"/>
        <v>-116849.46</v>
      </c>
      <c r="G53" s="69">
        <v>13434.04</v>
      </c>
      <c r="H53" s="69">
        <v>0</v>
      </c>
      <c r="I53" s="70">
        <f t="shared" si="1"/>
        <v>-103415.42000000001</v>
      </c>
    </row>
    <row r="54" spans="1:9" x14ac:dyDescent="0.25">
      <c r="A54" s="66" t="s">
        <v>101</v>
      </c>
      <c r="B54" s="67" t="str">
        <f>IFERROR(IF(VLOOKUP($A54,Osnova!$A:$E,1)=$A54,VLOOKUP($A54,Osnova!$A:$E,$E$10)),"")</f>
        <v xml:space="preserve">Príjmy budúcich období </v>
      </c>
      <c r="C54" s="68" t="str">
        <f>IF(VLOOKUP($A54,Osnova!$A:$C,1)=$A54,VLOOKUP($A54,Osnova!$A:$F,4),0)</f>
        <v>Einnahmen für künftige Abrechnungszeiträume</v>
      </c>
      <c r="D54" s="69">
        <v>52135.519999999997</v>
      </c>
      <c r="E54" s="69">
        <v>0</v>
      </c>
      <c r="F54" s="70">
        <f t="shared" si="0"/>
        <v>52135.519999999997</v>
      </c>
      <c r="G54" s="69">
        <v>45926.02</v>
      </c>
      <c r="H54" s="69">
        <v>52135.519999999997</v>
      </c>
      <c r="I54" s="70">
        <f t="shared" si="1"/>
        <v>45926.02</v>
      </c>
    </row>
    <row r="55" spans="1:9" x14ac:dyDescent="0.25">
      <c r="A55" s="66" t="s">
        <v>102</v>
      </c>
      <c r="B55" s="67" t="str">
        <f>IFERROR(IF(VLOOKUP($A55,Osnova!$A:$E,1)=$A55,VLOOKUP($A55,Osnova!$A:$E,$E$10)),"")</f>
        <v xml:space="preserve">Vnútorné zúčtovanie </v>
      </c>
      <c r="C55" s="68" t="str">
        <f>IF(VLOOKUP($A55,Osnova!$A:$C,1)=$A55,VLOOKUP($A55,Osnova!$A:$F,4),0)</f>
        <v>Innerbetriebliche Verrechnung</v>
      </c>
      <c r="D55" s="69">
        <v>0</v>
      </c>
      <c r="E55" s="69">
        <v>0</v>
      </c>
      <c r="F55" s="70">
        <f t="shared" si="0"/>
        <v>0</v>
      </c>
      <c r="G55" s="69">
        <v>23418.58</v>
      </c>
      <c r="H55" s="69">
        <v>23418.58</v>
      </c>
      <c r="I55" s="70">
        <f t="shared" si="1"/>
        <v>0</v>
      </c>
    </row>
    <row r="56" spans="1:9" x14ac:dyDescent="0.25">
      <c r="A56" s="66" t="s">
        <v>103</v>
      </c>
      <c r="B56" s="67" t="str">
        <f>IFERROR(IF(VLOOKUP($A56,Osnova!$A:$E,1)=$A56,VLOOKUP($A56,Osnova!$A:$E,$E$10)),"")</f>
        <v xml:space="preserve">Základné imanie </v>
      </c>
      <c r="C56" s="68" t="str">
        <f>IF(VLOOKUP($A56,Osnova!$A:$C,1)=$A56,VLOOKUP($A56,Osnova!$A:$F,4),0)</f>
        <v>Grundkapital</v>
      </c>
      <c r="D56" s="69">
        <v>0</v>
      </c>
      <c r="E56" s="69">
        <v>92666.77</v>
      </c>
      <c r="F56" s="70">
        <f t="shared" si="0"/>
        <v>-92666.77</v>
      </c>
      <c r="G56" s="69">
        <v>0</v>
      </c>
      <c r="H56" s="69">
        <v>0</v>
      </c>
      <c r="I56" s="70">
        <f t="shared" si="1"/>
        <v>-92666.77</v>
      </c>
    </row>
    <row r="57" spans="1:9" x14ac:dyDescent="0.25">
      <c r="A57" s="66" t="s">
        <v>104</v>
      </c>
      <c r="B57" s="67" t="str">
        <f>IFERROR(IF(VLOOKUP($A57,Osnova!$A:$E,1)=$A57,VLOOKUP($A57,Osnova!$A:$E,$E$10)),"")</f>
        <v xml:space="preserve">Ostatné kapitálové fondy </v>
      </c>
      <c r="C57" s="68" t="str">
        <f>IF(VLOOKUP($A57,Osnova!$A:$C,1)=$A57,VLOOKUP($A57,Osnova!$A:$F,4),0)</f>
        <v>Sonstige Kapitalfonds</v>
      </c>
      <c r="D57" s="69">
        <v>0</v>
      </c>
      <c r="E57" s="69">
        <v>100010.42</v>
      </c>
      <c r="F57" s="70">
        <f t="shared" si="0"/>
        <v>-100010.42</v>
      </c>
      <c r="G57" s="69">
        <v>0</v>
      </c>
      <c r="H57" s="69">
        <v>0</v>
      </c>
      <c r="I57" s="70">
        <f t="shared" si="1"/>
        <v>-100010.42</v>
      </c>
    </row>
    <row r="58" spans="1:9" x14ac:dyDescent="0.25">
      <c r="A58" s="66" t="s">
        <v>105</v>
      </c>
      <c r="B58" s="67" t="str">
        <f>IFERROR(IF(VLOOKUP($A58,Osnova!$A:$E,1)=$A58,VLOOKUP($A58,Osnova!$A:$E,$E$10)),"")</f>
        <v xml:space="preserve">Zákonný rezervný fond </v>
      </c>
      <c r="C58" s="68" t="str">
        <f>IF(VLOOKUP($A58,Osnova!$A:$C,1)=$A58,VLOOKUP($A58,Osnova!$A:$F,4),0)</f>
        <v>Rücklage</v>
      </c>
      <c r="D58" s="69">
        <v>0</v>
      </c>
      <c r="E58" s="69">
        <v>15612.46</v>
      </c>
      <c r="F58" s="70">
        <f t="shared" si="0"/>
        <v>-15612.46</v>
      </c>
      <c r="G58" s="69">
        <v>0</v>
      </c>
      <c r="H58" s="69">
        <v>0</v>
      </c>
      <c r="I58" s="70">
        <f t="shared" si="1"/>
        <v>-15612.46</v>
      </c>
    </row>
    <row r="59" spans="1:9" x14ac:dyDescent="0.25">
      <c r="A59" s="66" t="s">
        <v>106</v>
      </c>
      <c r="B59" s="67" t="str">
        <f>IFERROR(IF(VLOOKUP($A59,Osnova!$A:$E,1)=$A59,VLOOKUP($A59,Osnova!$A:$E,$E$10)),"")</f>
        <v xml:space="preserve">Nedeliteľný fond </v>
      </c>
      <c r="C59" s="68" t="str">
        <f>IF(VLOOKUP($A59,Osnova!$A:$C,1)=$A59,VLOOKUP($A59,Osnova!$A:$F,4),0)</f>
        <v>Unteilbarer Fonds</v>
      </c>
      <c r="D59" s="69">
        <v>0</v>
      </c>
      <c r="E59" s="69">
        <v>19085.28</v>
      </c>
      <c r="F59" s="70">
        <f t="shared" si="0"/>
        <v>-19085.28</v>
      </c>
      <c r="G59" s="69">
        <v>0</v>
      </c>
      <c r="H59" s="69">
        <v>0</v>
      </c>
      <c r="I59" s="70">
        <f t="shared" si="1"/>
        <v>-19085.28</v>
      </c>
    </row>
    <row r="60" spans="1:9" x14ac:dyDescent="0.25">
      <c r="A60" s="66" t="s">
        <v>107</v>
      </c>
      <c r="B60" s="67" t="str">
        <f>IFERROR(IF(VLOOKUP($A60,Osnova!$A:$E,1)=$A60,VLOOKUP($A60,Osnova!$A:$E,$E$10)),"")</f>
        <v xml:space="preserve">Ostatné fondy </v>
      </c>
      <c r="C60" s="68" t="str">
        <f>IF(VLOOKUP($A60,Osnova!$A:$C,1)=$A60,VLOOKUP($A60,Osnova!$A:$F,4),0)</f>
        <v>Sonstige Fonds</v>
      </c>
      <c r="D60" s="69">
        <v>0</v>
      </c>
      <c r="E60" s="69">
        <v>93424.19</v>
      </c>
      <c r="F60" s="70">
        <f t="shared" si="0"/>
        <v>-93424.19</v>
      </c>
      <c r="G60" s="69">
        <v>0</v>
      </c>
      <c r="H60" s="69">
        <v>0</v>
      </c>
      <c r="I60" s="70">
        <f t="shared" si="1"/>
        <v>-93424.19</v>
      </c>
    </row>
    <row r="61" spans="1:9" x14ac:dyDescent="0.25">
      <c r="A61" s="66" t="s">
        <v>108</v>
      </c>
      <c r="B61" s="67" t="str">
        <f>IFERROR(IF(VLOOKUP($A61,Osnova!$A:$E,1)=$A61,VLOOKUP($A61,Osnova!$A:$E,$E$10)),"")</f>
        <v xml:space="preserve">Neuhradená strata minulých rokov </v>
      </c>
      <c r="C61" s="68" t="str">
        <f>IF(VLOOKUP($A61,Osnova!$A:$C,1)=$A61,VLOOKUP($A61,Osnova!$A:$F,4),0)</f>
        <v>Verlustvortrag</v>
      </c>
      <c r="D61" s="69">
        <v>224383.92</v>
      </c>
      <c r="E61" s="69">
        <v>0</v>
      </c>
      <c r="F61" s="70">
        <f t="shared" si="0"/>
        <v>224383.92</v>
      </c>
      <c r="G61" s="69">
        <v>0</v>
      </c>
      <c r="H61" s="69">
        <v>15943.14</v>
      </c>
      <c r="I61" s="70">
        <f t="shared" si="1"/>
        <v>208440.78000000003</v>
      </c>
    </row>
    <row r="62" spans="1:9" x14ac:dyDescent="0.25">
      <c r="A62" s="66" t="s">
        <v>109</v>
      </c>
      <c r="B62" s="67" t="str">
        <f>IFERROR(IF(VLOOKUP($A62,Osnova!$A:$E,1)=$A62,VLOOKUP($A62,Osnova!$A:$E,$E$10)),"")</f>
        <v xml:space="preserve">Výsledok hospodárenia v schvaľovaní </v>
      </c>
      <c r="C62" s="68" t="str">
        <f>IF(VLOOKUP($A62,Osnova!$A:$C,1)=$A62,VLOOKUP($A62,Osnova!$A:$F,4),0)</f>
        <v>Wirtschafsergebnis im Genehmigungsprocess</v>
      </c>
      <c r="D62" s="69">
        <v>0</v>
      </c>
      <c r="E62" s="69">
        <v>15943.14</v>
      </c>
      <c r="F62" s="70">
        <f t="shared" si="0"/>
        <v>-15943.14</v>
      </c>
      <c r="G62" s="69">
        <v>15943.14</v>
      </c>
      <c r="H62" s="69">
        <v>0</v>
      </c>
      <c r="I62" s="70">
        <f t="shared" si="1"/>
        <v>0</v>
      </c>
    </row>
    <row r="63" spans="1:9" x14ac:dyDescent="0.25">
      <c r="A63" s="66" t="s">
        <v>110</v>
      </c>
      <c r="B63" s="67" t="str">
        <f>IFERROR(IF(VLOOKUP($A63,Osnova!$A:$E,1)=$A63,VLOOKUP($A63,Osnova!$A:$E,$E$10)),"")</f>
        <v xml:space="preserve">Záväzky zo sociálneho fondu </v>
      </c>
      <c r="C63" s="68" t="str">
        <f>IF(VLOOKUP($A63,Osnova!$A:$C,1)=$A63,VLOOKUP($A63,Osnova!$A:$F,4),0)</f>
        <v>Verbindlichkeiten vom Sozialfonds</v>
      </c>
      <c r="D63" s="69">
        <v>0</v>
      </c>
      <c r="E63" s="69">
        <v>1238.21</v>
      </c>
      <c r="F63" s="70">
        <f t="shared" si="0"/>
        <v>-1238.21</v>
      </c>
      <c r="G63" s="69">
        <v>720.26</v>
      </c>
      <c r="H63" s="69">
        <v>804.7</v>
      </c>
      <c r="I63" s="70">
        <f t="shared" si="1"/>
        <v>-1322.65</v>
      </c>
    </row>
    <row r="64" spans="1:9" x14ac:dyDescent="0.25">
      <c r="A64" s="66" t="s">
        <v>111</v>
      </c>
      <c r="B64" s="67" t="str">
        <f>IFERROR(IF(VLOOKUP($A64,Osnova!$A:$E,1)=$A64,VLOOKUP($A64,Osnova!$A:$E,$E$10)),"")</f>
        <v xml:space="preserve">Ostatné dlhodobé záväzky </v>
      </c>
      <c r="C64" s="68" t="str">
        <f>IF(VLOOKUP($A64,Osnova!$A:$C,1)=$A64,VLOOKUP($A64,Osnova!$A:$F,4),0)</f>
        <v>Sonstige langfristige Verbindlichkeiten</v>
      </c>
      <c r="D64" s="69">
        <v>0</v>
      </c>
      <c r="E64" s="69">
        <v>29417.759999999998</v>
      </c>
      <c r="F64" s="70">
        <f t="shared" si="0"/>
        <v>-29417.759999999998</v>
      </c>
      <c r="G64" s="69">
        <v>29417.42</v>
      </c>
      <c r="H64" s="69">
        <v>0</v>
      </c>
      <c r="I64" s="70">
        <f t="shared" si="1"/>
        <v>-0.34000000000014552</v>
      </c>
    </row>
    <row r="65" spans="1:12" x14ac:dyDescent="0.25">
      <c r="A65" s="66" t="s">
        <v>112</v>
      </c>
      <c r="B65" s="67" t="str">
        <f>IFERROR(IF(VLOOKUP($A65,Osnova!$A:$E,1)=$A65,VLOOKUP($A65,Osnova!$A:$E,$E$10)),"")</f>
        <v xml:space="preserve">Spotreba materiálu </v>
      </c>
      <c r="C65" s="68" t="str">
        <f>IF(VLOOKUP($A65,Osnova!$A:$C,1)=$A65,VLOOKUP($A65,Osnova!$A:$F,4),0)</f>
        <v>Materialverbrauch</v>
      </c>
      <c r="D65" s="69">
        <v>0</v>
      </c>
      <c r="E65" s="69">
        <v>0</v>
      </c>
      <c r="F65" s="70">
        <f t="shared" si="0"/>
        <v>0</v>
      </c>
      <c r="G65" s="69">
        <v>66364.84</v>
      </c>
      <c r="H65" s="69">
        <v>434.14</v>
      </c>
      <c r="I65" s="70">
        <f t="shared" si="1"/>
        <v>65930.7</v>
      </c>
    </row>
    <row r="66" spans="1:12" x14ac:dyDescent="0.25">
      <c r="A66" s="66" t="s">
        <v>113</v>
      </c>
      <c r="B66" s="67" t="str">
        <f>IFERROR(IF(VLOOKUP($A66,Osnova!$A:$E,1)=$A66,VLOOKUP($A66,Osnova!$A:$E,$E$10)),"")</f>
        <v xml:space="preserve">Spotreba energie </v>
      </c>
      <c r="C66" s="68" t="str">
        <f>IF(VLOOKUP($A66,Osnova!$A:$C,1)=$A66,VLOOKUP($A66,Osnova!$A:$F,4),0)</f>
        <v>Energieverbrauch</v>
      </c>
      <c r="D66" s="69">
        <v>0</v>
      </c>
      <c r="E66" s="69">
        <v>0</v>
      </c>
      <c r="F66" s="70">
        <f t="shared" si="0"/>
        <v>0</v>
      </c>
      <c r="G66" s="69">
        <v>4819.12</v>
      </c>
      <c r="H66" s="69">
        <v>301.89999999999998</v>
      </c>
      <c r="I66" s="70">
        <f t="shared" si="1"/>
        <v>4517.22</v>
      </c>
      <c r="L66" s="14"/>
    </row>
    <row r="67" spans="1:12" x14ac:dyDescent="0.25">
      <c r="A67" s="66" t="s">
        <v>114</v>
      </c>
      <c r="B67" s="67" t="str">
        <f>IFERROR(IF(VLOOKUP($A67,Osnova!$A:$E,1)=$A67,VLOOKUP($A67,Osnova!$A:$E,$E$10)),"")</f>
        <v xml:space="preserve">Opravy a udržiavanie </v>
      </c>
      <c r="C67" s="68" t="str">
        <f>IF(VLOOKUP($A67,Osnova!$A:$C,1)=$A67,VLOOKUP($A67,Osnova!$A:$F,4),0)</f>
        <v>Instandstellung und Instandhaltung</v>
      </c>
      <c r="D67" s="69">
        <v>0</v>
      </c>
      <c r="E67" s="69">
        <v>0</v>
      </c>
      <c r="F67" s="70">
        <f t="shared" si="0"/>
        <v>0</v>
      </c>
      <c r="G67" s="69">
        <v>12691.65</v>
      </c>
      <c r="H67" s="69">
        <v>0</v>
      </c>
      <c r="I67" s="70">
        <f t="shared" si="1"/>
        <v>12691.65</v>
      </c>
    </row>
    <row r="68" spans="1:12" x14ac:dyDescent="0.25">
      <c r="A68" s="66" t="s">
        <v>115</v>
      </c>
      <c r="B68" s="67" t="str">
        <f>IFERROR(IF(VLOOKUP($A68,Osnova!$A:$E,1)=$A68,VLOOKUP($A68,Osnova!$A:$E,$E$10)),"")</f>
        <v xml:space="preserve">Náklady na reprezentáciu </v>
      </c>
      <c r="C68" s="68" t="str">
        <f>IF(VLOOKUP($A68,Osnova!$A:$C,1)=$A68,VLOOKUP($A68,Osnova!$A:$F,4),0)</f>
        <v>Repräsentationskosten</v>
      </c>
      <c r="D68" s="69">
        <v>0</v>
      </c>
      <c r="E68" s="69">
        <v>0</v>
      </c>
      <c r="F68" s="70">
        <f t="shared" si="0"/>
        <v>0</v>
      </c>
      <c r="G68" s="69">
        <v>1230.81</v>
      </c>
      <c r="H68" s="69">
        <v>0</v>
      </c>
      <c r="I68" s="70">
        <f t="shared" si="1"/>
        <v>1230.81</v>
      </c>
    </row>
    <row r="69" spans="1:12" x14ac:dyDescent="0.25">
      <c r="A69" s="66" t="s">
        <v>116</v>
      </c>
      <c r="B69" s="67" t="str">
        <f>IFERROR(IF(VLOOKUP($A69,Osnova!$A:$E,1)=$A69,VLOOKUP($A69,Osnova!$A:$E,$E$10)),"")</f>
        <v xml:space="preserve">Ostatné služby </v>
      </c>
      <c r="C69" s="68" t="str">
        <f>IF(VLOOKUP($A69,Osnova!$A:$C,1)=$A69,VLOOKUP($A69,Osnova!$A:$F,4),0)</f>
        <v>Sonstige Dienstleistungen</v>
      </c>
      <c r="D69" s="69">
        <v>0</v>
      </c>
      <c r="E69" s="69">
        <v>0</v>
      </c>
      <c r="F69" s="70">
        <f t="shared" si="0"/>
        <v>0</v>
      </c>
      <c r="G69" s="69">
        <v>35641.75</v>
      </c>
      <c r="H69" s="69">
        <v>9597.17</v>
      </c>
      <c r="I69" s="70">
        <f t="shared" si="1"/>
        <v>26044.58</v>
      </c>
    </row>
    <row r="70" spans="1:12" x14ac:dyDescent="0.25">
      <c r="A70" s="66" t="s">
        <v>117</v>
      </c>
      <c r="B70" s="67" t="str">
        <f>IFERROR(IF(VLOOKUP($A70,Osnova!$A:$E,1)=$A70,VLOOKUP($A70,Osnova!$A:$E,$E$10)),"")</f>
        <v xml:space="preserve">Mzdové náklady </v>
      </c>
      <c r="C70" s="68" t="str">
        <f>IF(VLOOKUP($A70,Osnova!$A:$C,1)=$A70,VLOOKUP($A70,Osnova!$A:$F,4),0)</f>
        <v>Lohnkosten</v>
      </c>
      <c r="D70" s="69">
        <v>0</v>
      </c>
      <c r="E70" s="69">
        <v>0</v>
      </c>
      <c r="F70" s="70">
        <f t="shared" si="0"/>
        <v>0</v>
      </c>
      <c r="G70" s="69">
        <v>145462.91</v>
      </c>
      <c r="H70" s="69">
        <v>0</v>
      </c>
      <c r="I70" s="70">
        <f t="shared" si="1"/>
        <v>145462.91</v>
      </c>
    </row>
    <row r="71" spans="1:12" x14ac:dyDescent="0.25">
      <c r="A71" s="66" t="s">
        <v>118</v>
      </c>
      <c r="B71" s="67" t="str">
        <f>IFERROR(IF(VLOOKUP($A71,Osnova!$A:$E,1)=$A71,VLOOKUP($A71,Osnova!$A:$E,$E$10)),"")</f>
        <v xml:space="preserve">Príjmy spoločníkov a členov zo závislej činnosti </v>
      </c>
      <c r="C71" s="68" t="str">
        <f>IF(VLOOKUP($A71,Osnova!$A:$C,1)=$A71,VLOOKUP($A71,Osnova!$A:$F,4),0)</f>
        <v>Einnahmen der Gesellschaftler und Mitglieder aus abhängiger Tätigkeit</v>
      </c>
      <c r="D71" s="69">
        <v>0</v>
      </c>
      <c r="E71" s="69">
        <v>0</v>
      </c>
      <c r="F71" s="70">
        <f t="shared" si="0"/>
        <v>0</v>
      </c>
      <c r="G71" s="69">
        <v>264.93</v>
      </c>
      <c r="H71" s="69">
        <v>0</v>
      </c>
      <c r="I71" s="70">
        <f t="shared" si="1"/>
        <v>264.93</v>
      </c>
    </row>
    <row r="72" spans="1:12" x14ac:dyDescent="0.25">
      <c r="A72" s="66" t="s">
        <v>119</v>
      </c>
      <c r="B72" s="67" t="str">
        <f>IFERROR(IF(VLOOKUP($A72,Osnova!$A:$E,1)=$A72,VLOOKUP($A72,Osnova!$A:$E,$E$10)),"")</f>
        <v xml:space="preserve">Zákonné sociálne poistenie </v>
      </c>
      <c r="C72" s="68" t="str">
        <f>IF(VLOOKUP($A72,Osnova!$A:$C,1)=$A72,VLOOKUP($A72,Osnova!$A:$F,4),0)</f>
        <v>Gesetzliche Sozialfürsorge</v>
      </c>
      <c r="D72" s="69">
        <v>0</v>
      </c>
      <c r="E72" s="69">
        <v>0</v>
      </c>
      <c r="F72" s="70">
        <f t="shared" si="0"/>
        <v>0</v>
      </c>
      <c r="G72" s="69">
        <v>48465.47</v>
      </c>
      <c r="H72" s="69">
        <v>318.39</v>
      </c>
      <c r="I72" s="70">
        <f t="shared" si="1"/>
        <v>48147.08</v>
      </c>
    </row>
    <row r="73" spans="1:12" x14ac:dyDescent="0.25">
      <c r="A73" s="66" t="s">
        <v>120</v>
      </c>
      <c r="B73" s="67" t="str">
        <f>IFERROR(IF(VLOOKUP($A73,Osnova!$A:$E,1)=$A73,VLOOKUP($A73,Osnova!$A:$E,$E$10)),"")</f>
        <v xml:space="preserve">Ostatné sociálne zabezpečenie </v>
      </c>
      <c r="C73" s="68" t="str">
        <f>IF(VLOOKUP($A73,Osnova!$A:$C,1)=$A73,VLOOKUP($A73,Osnova!$A:$F,4),0)</f>
        <v>Sonstige Sozialfürsorge</v>
      </c>
      <c r="D73" s="69">
        <v>0</v>
      </c>
      <c r="E73" s="69">
        <v>0</v>
      </c>
      <c r="F73" s="70">
        <f t="shared" si="0"/>
        <v>0</v>
      </c>
      <c r="G73" s="69">
        <v>2320.11</v>
      </c>
      <c r="H73" s="69">
        <v>0</v>
      </c>
      <c r="I73" s="70">
        <f t="shared" si="1"/>
        <v>2320.11</v>
      </c>
    </row>
    <row r="74" spans="1:12" x14ac:dyDescent="0.25">
      <c r="A74" s="66" t="s">
        <v>121</v>
      </c>
      <c r="B74" s="67" t="str">
        <f>IFERROR(IF(VLOOKUP($A74,Osnova!$A:$E,1)=$A74,VLOOKUP($A74,Osnova!$A:$E,$E$10)),"")</f>
        <v xml:space="preserve">Zákonné sociálne náklady </v>
      </c>
      <c r="C74" s="68" t="str">
        <f>IF(VLOOKUP($A74,Osnova!$A:$C,1)=$A74,VLOOKUP($A74,Osnova!$A:$F,4),0)</f>
        <v>Gesetzliche Sozialkosten</v>
      </c>
      <c r="D74" s="69">
        <v>0</v>
      </c>
      <c r="E74" s="69">
        <v>0</v>
      </c>
      <c r="F74" s="70">
        <f t="shared" si="0"/>
        <v>0</v>
      </c>
      <c r="G74" s="69">
        <v>11933.76</v>
      </c>
      <c r="H74" s="69">
        <v>0</v>
      </c>
      <c r="I74" s="70">
        <f t="shared" si="1"/>
        <v>11933.76</v>
      </c>
    </row>
    <row r="75" spans="1:12" x14ac:dyDescent="0.25">
      <c r="A75" s="76" t="s">
        <v>122</v>
      </c>
      <c r="B75" s="67" t="str">
        <f>IFERROR(IF(VLOOKUP($A75,Osnova!$A:$E,1)=$A75,VLOOKUP($A75,Osnova!$A:$E,$E$10)),"")</f>
        <v xml:space="preserve">Ostatné sociálne náklady </v>
      </c>
      <c r="C75" s="68"/>
      <c r="D75" s="69">
        <v>0</v>
      </c>
      <c r="E75" s="69">
        <v>0</v>
      </c>
      <c r="F75" s="70">
        <f t="shared" si="0"/>
        <v>0</v>
      </c>
      <c r="G75" s="69">
        <v>364.43</v>
      </c>
      <c r="H75" s="69">
        <v>0</v>
      </c>
      <c r="I75" s="70">
        <f t="shared" si="1"/>
        <v>364.43</v>
      </c>
    </row>
    <row r="76" spans="1:12" x14ac:dyDescent="0.25">
      <c r="A76" s="76" t="s">
        <v>123</v>
      </c>
      <c r="B76" s="67" t="str">
        <f>IFERROR(IF(VLOOKUP($A76,Osnova!$A:$E,1)=$A76,VLOOKUP($A76,Osnova!$A:$E,$E$10)),"")</f>
        <v xml:space="preserve">Daň z nehnuteľností </v>
      </c>
      <c r="C76" s="68" t="str">
        <f>IF(VLOOKUP($A76,Osnova!$A:$C,1)=$A76,VLOOKUP($A76,Osnova!$A:$F,4),0)</f>
        <v>Immobiliensteuer</v>
      </c>
      <c r="D76" s="69">
        <v>0</v>
      </c>
      <c r="E76" s="69">
        <v>0</v>
      </c>
      <c r="F76" s="70">
        <f t="shared" si="0"/>
        <v>0</v>
      </c>
      <c r="G76" s="69">
        <v>798.84</v>
      </c>
      <c r="H76" s="69">
        <v>0</v>
      </c>
      <c r="I76" s="70">
        <f t="shared" si="1"/>
        <v>798.84</v>
      </c>
    </row>
    <row r="77" spans="1:12" x14ac:dyDescent="0.25">
      <c r="A77" s="76" t="s">
        <v>124</v>
      </c>
      <c r="B77" s="67" t="str">
        <f>IFERROR(IF(VLOOKUP($A77,Osnova!$A:$E,1)=$A77,VLOOKUP($A77,Osnova!$A:$E,$E$10)),"")</f>
        <v xml:space="preserve">Ostatné dane a poplatky </v>
      </c>
      <c r="C77" s="68" t="str">
        <f>IF(VLOOKUP($A77,Osnova!$A:$C,1)=$A77,VLOOKUP($A77,Osnova!$A:$F,4),0)</f>
        <v>Sonstige Steuern und Gebühren</v>
      </c>
      <c r="D77" s="69">
        <v>0</v>
      </c>
      <c r="E77" s="69">
        <v>0</v>
      </c>
      <c r="F77" s="70">
        <f t="shared" ref="F77:F140" si="2">SUM(D77-E77)</f>
        <v>0</v>
      </c>
      <c r="G77" s="69">
        <v>89.75</v>
      </c>
      <c r="H77" s="69">
        <v>0</v>
      </c>
      <c r="I77" s="70">
        <f t="shared" ref="I77:I140" si="3">SUM(F77+G77-H77)</f>
        <v>89.75</v>
      </c>
    </row>
    <row r="78" spans="1:12" x14ac:dyDescent="0.25">
      <c r="A78" s="76" t="s">
        <v>125</v>
      </c>
      <c r="B78" s="67" t="str">
        <f>IFERROR(IF(VLOOKUP($A78,Osnova!$A:$E,1)=$A78,VLOOKUP($A78,Osnova!$A:$E,$E$10)),"")</f>
        <v xml:space="preserve">Ostatné pokuty, penále a úroky z omeškania </v>
      </c>
      <c r="C78" s="68" t="str">
        <f>IF(VLOOKUP($A78,Osnova!$A:$C,1)=$A78,VLOOKUP($A78,Osnova!$A:$F,4),0)</f>
        <v>Sonstige Strafen, Geldbußen und Verzugszinsen</v>
      </c>
      <c r="D78" s="69">
        <v>0</v>
      </c>
      <c r="E78" s="69">
        <v>0</v>
      </c>
      <c r="F78" s="70">
        <f t="shared" si="2"/>
        <v>0</v>
      </c>
      <c r="G78" s="69">
        <v>163.9</v>
      </c>
      <c r="H78" s="69">
        <v>40.64</v>
      </c>
      <c r="I78" s="70">
        <f t="shared" si="3"/>
        <v>123.26</v>
      </c>
    </row>
    <row r="79" spans="1:12" x14ac:dyDescent="0.25">
      <c r="A79" s="76" t="s">
        <v>126</v>
      </c>
      <c r="B79" s="67" t="str">
        <f>IFERROR(IF(VLOOKUP($A79,Osnova!$A:$E,1)=$A79,VLOOKUP($A79,Osnova!$A:$E,$E$10)),"")</f>
        <v xml:space="preserve">Ostatné náklady na hospodársku činnosť </v>
      </c>
      <c r="C79" s="68" t="str">
        <f>IF(VLOOKUP($A79,Osnova!$A:$C,1)=$A79,VLOOKUP($A79,Osnova!$A:$F,4),0)</f>
        <v>Sonstige Wirtschaftstätigkeitskosten</v>
      </c>
      <c r="D79" s="69">
        <v>0</v>
      </c>
      <c r="E79" s="69">
        <v>0</v>
      </c>
      <c r="F79" s="70">
        <f t="shared" si="2"/>
        <v>0</v>
      </c>
      <c r="G79" s="69">
        <v>49.58</v>
      </c>
      <c r="H79" s="69">
        <v>9.77</v>
      </c>
      <c r="I79" s="70">
        <f t="shared" si="3"/>
        <v>39.81</v>
      </c>
    </row>
    <row r="80" spans="1:12" x14ac:dyDescent="0.25">
      <c r="A80" s="76" t="s">
        <v>127</v>
      </c>
      <c r="B80" s="67" t="str">
        <f>IFERROR(IF(VLOOKUP($A80,Osnova!$A:$E,1)=$A80,VLOOKUP($A80,Osnova!$A:$E,$E$10)),"")</f>
        <v xml:space="preserve">Odpisy dlhodobého mehmotného majetku a dlhodobého hmotného majetku </v>
      </c>
      <c r="C80" s="68" t="str">
        <f>IF(VLOOKUP($A80,Osnova!$A:$C,1)=$A80,VLOOKUP($A80,Osnova!$A:$F,4),0)</f>
        <v>Abschreibung langfristigen immateriellen und materiellen Eigentums</v>
      </c>
      <c r="D80" s="69">
        <v>0</v>
      </c>
      <c r="E80" s="69">
        <v>0</v>
      </c>
      <c r="F80" s="70">
        <f t="shared" si="2"/>
        <v>0</v>
      </c>
      <c r="G80" s="69">
        <v>52071.56</v>
      </c>
      <c r="H80" s="69">
        <v>0</v>
      </c>
      <c r="I80" s="70">
        <f t="shared" si="3"/>
        <v>52071.56</v>
      </c>
    </row>
    <row r="81" spans="1:9" x14ac:dyDescent="0.25">
      <c r="A81" s="66" t="s">
        <v>128</v>
      </c>
      <c r="B81" s="67" t="str">
        <f>IFERROR(IF(VLOOKUP($A81,Osnova!$A:$E,1)=$A81,VLOOKUP($A81,Osnova!$A:$E,$E$10)),"")</f>
        <v xml:space="preserve">Úroky </v>
      </c>
      <c r="C81" s="68" t="str">
        <f>IF(VLOOKUP($A81,Osnova!$A:$C,1)=$A81,VLOOKUP($A81,Osnova!$A:$F,4),0)</f>
        <v>Zinsen</v>
      </c>
      <c r="D81" s="69">
        <v>0</v>
      </c>
      <c r="E81" s="69">
        <v>0</v>
      </c>
      <c r="F81" s="70">
        <f t="shared" si="2"/>
        <v>0</v>
      </c>
      <c r="G81" s="69">
        <v>6333.47</v>
      </c>
      <c r="H81" s="69">
        <v>0</v>
      </c>
      <c r="I81" s="70">
        <f t="shared" si="3"/>
        <v>6333.47</v>
      </c>
    </row>
    <row r="82" spans="1:9" x14ac:dyDescent="0.25">
      <c r="A82" s="66" t="s">
        <v>129</v>
      </c>
      <c r="B82" s="67" t="str">
        <f>IFERROR(IF(VLOOKUP($A82,Osnova!$A:$E,1)=$A82,VLOOKUP($A82,Osnova!$A:$E,$E$10)),"")</f>
        <v xml:space="preserve">Ostatné finančné náklady </v>
      </c>
      <c r="C82" s="68" t="str">
        <f>IF(VLOOKUP($A82,Osnova!$A:$C,1)=$A82,VLOOKUP($A82,Osnova!$A:$F,4),0)</f>
        <v>Sonstige Finanzkosten</v>
      </c>
      <c r="D82" s="69">
        <v>0</v>
      </c>
      <c r="E82" s="69">
        <v>0</v>
      </c>
      <c r="F82" s="70">
        <f t="shared" si="2"/>
        <v>0</v>
      </c>
      <c r="G82" s="69">
        <v>2307.5500000000002</v>
      </c>
      <c r="H82" s="69">
        <v>0</v>
      </c>
      <c r="I82" s="70">
        <f t="shared" si="3"/>
        <v>2307.5500000000002</v>
      </c>
    </row>
    <row r="83" spans="1:9" x14ac:dyDescent="0.25">
      <c r="A83" s="66" t="s">
        <v>130</v>
      </c>
      <c r="B83" s="67" t="str">
        <f>IFERROR(IF(VLOOKUP($A83,Osnova!$A:$E,1)=$A83,VLOOKUP($A83,Osnova!$A:$E,$E$10)),"")</f>
        <v xml:space="preserve">Tržby za vlastné výrobky </v>
      </c>
      <c r="C83" s="68" t="str">
        <f>IF(VLOOKUP($A83,Osnova!$A:$C,1)=$A83,VLOOKUP($A83,Osnova!$A:$F,4),0)</f>
        <v>Erlöse für eigene Produkte</v>
      </c>
      <c r="D83" s="69">
        <v>0</v>
      </c>
      <c r="E83" s="69">
        <v>0</v>
      </c>
      <c r="F83" s="70">
        <f t="shared" si="2"/>
        <v>0</v>
      </c>
      <c r="G83" s="69">
        <v>0</v>
      </c>
      <c r="H83" s="69">
        <v>32713.86</v>
      </c>
      <c r="I83" s="70">
        <f t="shared" si="3"/>
        <v>-32713.86</v>
      </c>
    </row>
    <row r="84" spans="1:9" x14ac:dyDescent="0.25">
      <c r="A84" s="66" t="s">
        <v>131</v>
      </c>
      <c r="B84" s="67" t="str">
        <f>IFERROR(IF(VLOOKUP($A84,Osnova!$A:$E,1)=$A84,VLOOKUP($A84,Osnova!$A:$E,$E$10)),"")</f>
        <v xml:space="preserve">Tržby z predaja služieb </v>
      </c>
      <c r="C84" s="68" t="str">
        <f>IF(VLOOKUP($A84,Osnova!$A:$C,1)=$A84,VLOOKUP($A84,Osnova!$A:$F,4),0)</f>
        <v>Erlöse aus Verkauf von Diensteistungen</v>
      </c>
      <c r="D84" s="69">
        <v>0</v>
      </c>
      <c r="E84" s="69">
        <v>0</v>
      </c>
      <c r="F84" s="70">
        <f t="shared" si="2"/>
        <v>0</v>
      </c>
      <c r="G84" s="69">
        <v>0</v>
      </c>
      <c r="H84" s="69">
        <v>10073.34</v>
      </c>
      <c r="I84" s="70">
        <f t="shared" si="3"/>
        <v>-10073.34</v>
      </c>
    </row>
    <row r="85" spans="1:9" x14ac:dyDescent="0.25">
      <c r="A85" s="66" t="s">
        <v>132</v>
      </c>
      <c r="B85" s="67" t="str">
        <f>IFERROR(IF(VLOOKUP($A85,Osnova!$A:$E,1)=$A85,VLOOKUP($A85,Osnova!$A:$E,$E$10)),"")</f>
        <v xml:space="preserve">Zmena stavu nedokončenej výroby </v>
      </c>
      <c r="C85" s="68" t="str">
        <f>IF(VLOOKUP($A85,Osnova!$A:$C,1)=$A85,VLOOKUP($A85,Osnova!$A:$F,4),0)</f>
        <v>Bestandsveränderung unvollendeter Produktion</v>
      </c>
      <c r="D85" s="69">
        <v>0</v>
      </c>
      <c r="E85" s="69">
        <v>0</v>
      </c>
      <c r="F85" s="70">
        <f t="shared" si="2"/>
        <v>0</v>
      </c>
      <c r="G85" s="69">
        <v>0</v>
      </c>
      <c r="H85" s="69">
        <v>10487.39</v>
      </c>
      <c r="I85" s="70">
        <f t="shared" si="3"/>
        <v>-10487.39</v>
      </c>
    </row>
    <row r="86" spans="1:9" x14ac:dyDescent="0.25">
      <c r="A86" s="66" t="s">
        <v>133</v>
      </c>
      <c r="B86" s="67" t="str">
        <f>IFERROR(IF(VLOOKUP($A86,Osnova!$A:$E,1)=$A86,VLOOKUP($A86,Osnova!$A:$E,$E$10)),"")</f>
        <v xml:space="preserve">Zmena stavu výrobkov </v>
      </c>
      <c r="C86" s="68" t="str">
        <f>IF(VLOOKUP($A86,Osnova!$A:$C,1)=$A86,VLOOKUP($A86,Osnova!$A:$F,4),0)</f>
        <v>Bestandveränderung der Erzeugnisse</v>
      </c>
      <c r="D86" s="69">
        <v>0</v>
      </c>
      <c r="E86" s="69">
        <v>0</v>
      </c>
      <c r="F86" s="70">
        <f t="shared" si="2"/>
        <v>0</v>
      </c>
      <c r="G86" s="69">
        <v>67022.94</v>
      </c>
      <c r="H86" s="69">
        <v>59997.39</v>
      </c>
      <c r="I86" s="70">
        <f t="shared" si="3"/>
        <v>7025.5500000000029</v>
      </c>
    </row>
    <row r="87" spans="1:9" x14ac:dyDescent="0.25">
      <c r="A87" s="66" t="s">
        <v>134</v>
      </c>
      <c r="B87" s="67" t="str">
        <f>IFERROR(IF(VLOOKUP($A87,Osnova!$A:$E,1)=$A87,VLOOKUP($A87,Osnova!$A:$E,$E$10)),"")</f>
        <v xml:space="preserve">Zmena stavu zvierat </v>
      </c>
      <c r="C87" s="68" t="str">
        <f>IF(VLOOKUP($A87,Osnova!$A:$C,1)=$A87,VLOOKUP($A87,Osnova!$A:$F,4),0)</f>
        <v>Bestandveränderung der Tiere</v>
      </c>
      <c r="D87" s="69">
        <v>0</v>
      </c>
      <c r="E87" s="69">
        <v>0</v>
      </c>
      <c r="F87" s="70">
        <f t="shared" si="2"/>
        <v>0</v>
      </c>
      <c r="G87" s="69">
        <v>7014</v>
      </c>
      <c r="H87" s="69">
        <v>8053</v>
      </c>
      <c r="I87" s="70">
        <f t="shared" si="3"/>
        <v>-1039</v>
      </c>
    </row>
    <row r="88" spans="1:9" x14ac:dyDescent="0.25">
      <c r="A88" s="66" t="s">
        <v>135</v>
      </c>
      <c r="B88" s="67" t="str">
        <f>IFERROR(IF(VLOOKUP($A88,Osnova!$A:$E,1)=$A88,VLOOKUP($A88,Osnova!$A:$E,$E$10)),"")</f>
        <v xml:space="preserve">Aktivácia dlhodobého hmotného majetku </v>
      </c>
      <c r="C88" s="68" t="str">
        <f>IF(VLOOKUP($A88,Osnova!$A:$C,1)=$A88,VLOOKUP($A88,Osnova!$A:$F,4),0)</f>
        <v>Aktivierung langfristiges materielles Eigentums</v>
      </c>
      <c r="D88" s="69">
        <v>0</v>
      </c>
      <c r="E88" s="69">
        <v>0</v>
      </c>
      <c r="F88" s="70">
        <f t="shared" si="2"/>
        <v>0</v>
      </c>
      <c r="G88" s="69">
        <v>0</v>
      </c>
      <c r="H88" s="69">
        <v>4524.6000000000004</v>
      </c>
      <c r="I88" s="70">
        <f t="shared" si="3"/>
        <v>-4524.6000000000004</v>
      </c>
    </row>
    <row r="89" spans="1:9" x14ac:dyDescent="0.25">
      <c r="A89" s="66" t="s">
        <v>136</v>
      </c>
      <c r="B89" s="67" t="str">
        <f>IFERROR(IF(VLOOKUP($A89,Osnova!$A:$E,1)=$A89,VLOOKUP($A89,Osnova!$A:$E,$E$10)),"")</f>
        <v xml:space="preserve">Tržby z predaja dlhodobého nehmotného majetku a dlhodobého hmotného majetku </v>
      </c>
      <c r="C89" s="68" t="str">
        <f>IF(VLOOKUP($A89,Osnova!$A:$C,1)=$A89,VLOOKUP($A89,Osnova!$A:$F,4),0)</f>
        <v>Erlöse aus Verkauf von langfrist. immater. und materiellen Eigentum</v>
      </c>
      <c r="D89" s="69">
        <v>0</v>
      </c>
      <c r="E89" s="69">
        <v>0</v>
      </c>
      <c r="F89" s="70">
        <f t="shared" si="2"/>
        <v>0</v>
      </c>
      <c r="G89" s="69">
        <v>0</v>
      </c>
      <c r="H89" s="69">
        <v>741</v>
      </c>
      <c r="I89" s="70">
        <f t="shared" si="3"/>
        <v>-741</v>
      </c>
    </row>
    <row r="90" spans="1:9" x14ac:dyDescent="0.25">
      <c r="A90" s="66" t="s">
        <v>137</v>
      </c>
      <c r="B90" s="67" t="str">
        <f>IFERROR(IF(VLOOKUP($A90,Osnova!$A:$E,1)=$A90,VLOOKUP($A90,Osnova!$A:$E,$E$10)),"")</f>
        <v xml:space="preserve">Ostatné výnosy z hospodárskej činnosti </v>
      </c>
      <c r="C90" s="68" t="str">
        <f>IF(VLOOKUP($A90,Osnova!$A:$C,1)=$A90,VLOOKUP($A90,Osnova!$A:$F,4),0)</f>
        <v>Sonstige Erträge aus der Wirtschaftstätigkeit</v>
      </c>
      <c r="D90" s="69">
        <v>0</v>
      </c>
      <c r="E90" s="69">
        <v>0</v>
      </c>
      <c r="F90" s="70">
        <f t="shared" si="2"/>
        <v>0</v>
      </c>
      <c r="G90" s="69">
        <v>0</v>
      </c>
      <c r="H90" s="69">
        <v>313053.28999999998</v>
      </c>
      <c r="I90" s="70">
        <f t="shared" si="3"/>
        <v>-313053.28999999998</v>
      </c>
    </row>
    <row r="91" spans="1:9" x14ac:dyDescent="0.25">
      <c r="A91" s="66" t="s">
        <v>138</v>
      </c>
      <c r="B91" s="67" t="b">
        <f>IFERROR(IF(VLOOKUP($A91,Osnova!$A:$E,1)=$A91,VLOOKUP($A91,Osnova!$A:$E,$E$10)),"")</f>
        <v>0</v>
      </c>
      <c r="C91" s="68">
        <f>IF(VLOOKUP($A91,Osnova!$A:$C,1)=$A91,VLOOKUP($A91,Osnova!$A:$F,4),0)</f>
        <v>0</v>
      </c>
      <c r="D91" s="69">
        <v>0</v>
      </c>
      <c r="E91" s="69">
        <v>0</v>
      </c>
      <c r="F91" s="70">
        <f t="shared" si="2"/>
        <v>0</v>
      </c>
      <c r="G91" s="69">
        <v>20314.97</v>
      </c>
      <c r="H91" s="69">
        <v>0</v>
      </c>
      <c r="I91" s="70">
        <f t="shared" si="3"/>
        <v>20314.97</v>
      </c>
    </row>
    <row r="92" spans="1:9" x14ac:dyDescent="0.25">
      <c r="A92" s="66" t="s">
        <v>139</v>
      </c>
      <c r="B92" s="67" t="b">
        <f>IFERROR(IF(VLOOKUP($A92,Osnova!$A:$E,1)=$A92,VLOOKUP($A92,Osnova!$A:$E,$E$10)),"")</f>
        <v>0</v>
      </c>
      <c r="C92" s="68">
        <f>IF(VLOOKUP($A92,Osnova!$A:$C,1)=$A92,VLOOKUP($A92,Osnova!$A:$F,4),0)</f>
        <v>0</v>
      </c>
      <c r="D92" s="69">
        <v>0</v>
      </c>
      <c r="E92" s="69">
        <v>0</v>
      </c>
      <c r="F92" s="70">
        <f t="shared" si="2"/>
        <v>0</v>
      </c>
      <c r="G92" s="69">
        <v>0</v>
      </c>
      <c r="H92" s="69">
        <v>20314.97</v>
      </c>
      <c r="I92" s="70">
        <f t="shared" si="3"/>
        <v>-20314.97</v>
      </c>
    </row>
    <row r="93" spans="1:9" x14ac:dyDescent="0.25">
      <c r="A93" s="66"/>
      <c r="B93" s="67" t="str">
        <f>IFERROR(IF(VLOOKUP($A93,Osnova!$A:$E,1)=$A93,VLOOKUP($A93,Osnova!$A:$E,$E$10)),"")</f>
        <v/>
      </c>
      <c r="C93" s="68" t="e">
        <f>IF(VLOOKUP($A93,Osnova!$A:$C,1)=$A93,VLOOKUP($A93,Osnova!$A:$F,4),0)</f>
        <v>#N/A</v>
      </c>
      <c r="D93" s="77"/>
      <c r="E93" s="78"/>
      <c r="F93" s="70">
        <f t="shared" si="2"/>
        <v>0</v>
      </c>
      <c r="G93" s="77"/>
      <c r="H93" s="77"/>
      <c r="I93" s="70">
        <f t="shared" si="3"/>
        <v>0</v>
      </c>
    </row>
    <row r="94" spans="1:9" x14ac:dyDescent="0.25">
      <c r="A94" s="66"/>
      <c r="B94" s="67" t="str">
        <f>IFERROR(IF(VLOOKUP($A94,Osnova!$A:$E,1)=$A94,VLOOKUP($A94,Osnova!$A:$E,$E$10)),"")</f>
        <v/>
      </c>
      <c r="C94" s="68" t="e">
        <f>IF(VLOOKUP($A94,Osnova!$A:$C,1)=$A94,VLOOKUP($A94,Osnova!$A:$F,4),0)</f>
        <v>#N/A</v>
      </c>
      <c r="D94" s="77"/>
      <c r="E94" s="78"/>
      <c r="F94" s="70">
        <f t="shared" si="2"/>
        <v>0</v>
      </c>
      <c r="G94" s="77"/>
      <c r="H94" s="77"/>
      <c r="I94" s="70">
        <f t="shared" si="3"/>
        <v>0</v>
      </c>
    </row>
    <row r="95" spans="1:9" x14ac:dyDescent="0.25">
      <c r="A95" s="66"/>
      <c r="B95" s="67" t="str">
        <f>IFERROR(IF(VLOOKUP($A95,Osnova!$A:$E,1)=$A95,VLOOKUP($A95,Osnova!$A:$E,$E$10)),"")</f>
        <v/>
      </c>
      <c r="C95" s="68" t="e">
        <f>IF(VLOOKUP($A95,Osnova!$A:$C,1)=$A95,VLOOKUP($A95,Osnova!$A:$F,4),0)</f>
        <v>#N/A</v>
      </c>
      <c r="D95" s="77"/>
      <c r="E95" s="78"/>
      <c r="F95" s="70">
        <f t="shared" si="2"/>
        <v>0</v>
      </c>
      <c r="G95" s="77"/>
      <c r="H95" s="77"/>
      <c r="I95" s="70">
        <f t="shared" si="3"/>
        <v>0</v>
      </c>
    </row>
    <row r="96" spans="1:9" x14ac:dyDescent="0.25">
      <c r="A96" s="66"/>
      <c r="B96" s="67" t="str">
        <f>IFERROR(IF(VLOOKUP($A96,Osnova!$A:$E,1)=$A96,VLOOKUP($A96,Osnova!$A:$E,$E$10)),"")</f>
        <v/>
      </c>
      <c r="C96" s="68" t="e">
        <f>IF(VLOOKUP($A96,Osnova!$A:$C,1)=$A96,VLOOKUP($A96,Osnova!$A:$F,4),0)</f>
        <v>#N/A</v>
      </c>
      <c r="D96" s="77"/>
      <c r="E96" s="78"/>
      <c r="F96" s="70">
        <f t="shared" si="2"/>
        <v>0</v>
      </c>
      <c r="G96" s="77"/>
      <c r="H96" s="77"/>
      <c r="I96" s="70">
        <f t="shared" si="3"/>
        <v>0</v>
      </c>
    </row>
    <row r="97" spans="1:9" x14ac:dyDescent="0.25">
      <c r="A97" s="66"/>
      <c r="B97" s="67" t="str">
        <f>IFERROR(IF(VLOOKUP($A97,Osnova!$A:$E,1)=$A97,VLOOKUP($A97,Osnova!$A:$E,$E$10)),"")</f>
        <v/>
      </c>
      <c r="C97" s="68" t="e">
        <f>IF(VLOOKUP($A97,Osnova!$A:$C,1)=$A97,VLOOKUP($A97,Osnova!$A:$F,4),0)</f>
        <v>#N/A</v>
      </c>
      <c r="D97" s="77"/>
      <c r="E97" s="78"/>
      <c r="F97" s="70">
        <f t="shared" si="2"/>
        <v>0</v>
      </c>
      <c r="G97" s="77"/>
      <c r="H97" s="77"/>
      <c r="I97" s="70">
        <f t="shared" si="3"/>
        <v>0</v>
      </c>
    </row>
    <row r="98" spans="1:9" x14ac:dyDescent="0.25">
      <c r="A98" s="66"/>
      <c r="B98" s="67" t="str">
        <f>IFERROR(IF(VLOOKUP($A98,Osnova!$A:$E,1)=$A98,VLOOKUP($A98,Osnova!$A:$E,$E$10)),"")</f>
        <v/>
      </c>
      <c r="C98" s="68" t="e">
        <f>IF(VLOOKUP($A98,Osnova!$A:$C,1)=$A98,VLOOKUP($A98,Osnova!$A:$F,4),0)</f>
        <v>#N/A</v>
      </c>
      <c r="D98" s="77"/>
      <c r="E98" s="78"/>
      <c r="F98" s="70">
        <f t="shared" si="2"/>
        <v>0</v>
      </c>
      <c r="G98" s="77"/>
      <c r="H98" s="77"/>
      <c r="I98" s="70">
        <f t="shared" si="3"/>
        <v>0</v>
      </c>
    </row>
    <row r="99" spans="1:9" x14ac:dyDescent="0.25">
      <c r="A99" s="66"/>
      <c r="B99" s="67" t="str">
        <f>IFERROR(IF(VLOOKUP($A99,Osnova!$A:$E,1)=$A99,VLOOKUP($A99,Osnova!$A:$E,$E$10)),"")</f>
        <v/>
      </c>
      <c r="C99" s="68" t="e">
        <f>IF(VLOOKUP($A99,Osnova!$A:$C,1)=$A99,VLOOKUP($A99,Osnova!$A:$F,4),0)</f>
        <v>#N/A</v>
      </c>
      <c r="D99" s="77"/>
      <c r="E99" s="78"/>
      <c r="F99" s="70">
        <f t="shared" si="2"/>
        <v>0</v>
      </c>
      <c r="G99" s="77"/>
      <c r="H99" s="77"/>
      <c r="I99" s="70">
        <f t="shared" si="3"/>
        <v>0</v>
      </c>
    </row>
    <row r="100" spans="1:9" x14ac:dyDescent="0.25">
      <c r="A100" s="66"/>
      <c r="B100" s="67" t="str">
        <f>IFERROR(IF(VLOOKUP($A100,Osnova!$A:$E,1)=$A100,VLOOKUP($A100,Osnova!$A:$E,$E$10)),"")</f>
        <v/>
      </c>
      <c r="C100" s="68" t="e">
        <f>IF(VLOOKUP($A100,Osnova!$A:$C,1)=$A100,VLOOKUP($A100,Osnova!$A:$F,4),0)</f>
        <v>#N/A</v>
      </c>
      <c r="D100" s="77"/>
      <c r="E100" s="78"/>
      <c r="F100" s="70">
        <f t="shared" si="2"/>
        <v>0</v>
      </c>
      <c r="G100" s="77"/>
      <c r="H100" s="77"/>
      <c r="I100" s="70">
        <f t="shared" si="3"/>
        <v>0</v>
      </c>
    </row>
    <row r="101" spans="1:9" x14ac:dyDescent="0.25">
      <c r="A101" s="66"/>
      <c r="B101" s="67" t="str">
        <f>IFERROR(IF(VLOOKUP($A101,Osnova!$A:$E,1)=$A101,VLOOKUP($A101,Osnova!$A:$E,$E$10)),"")</f>
        <v/>
      </c>
      <c r="C101" s="68" t="e">
        <f>IF(VLOOKUP($A101,Osnova!$A:$C,1)=$A101,VLOOKUP($A101,Osnova!$A:$F,4),0)</f>
        <v>#N/A</v>
      </c>
      <c r="D101" s="77"/>
      <c r="E101" s="78"/>
      <c r="F101" s="70">
        <f t="shared" si="2"/>
        <v>0</v>
      </c>
      <c r="G101" s="77"/>
      <c r="H101" s="77"/>
      <c r="I101" s="70">
        <f t="shared" si="3"/>
        <v>0</v>
      </c>
    </row>
    <row r="102" spans="1:9" x14ac:dyDescent="0.25">
      <c r="A102" s="66"/>
      <c r="B102" s="67" t="str">
        <f>IFERROR(IF(VLOOKUP($A102,Osnova!$A:$E,1)=$A102,VLOOKUP($A102,Osnova!$A:$E,$E$10)),"")</f>
        <v/>
      </c>
      <c r="C102" s="68" t="e">
        <f>IF(VLOOKUP($A102,Osnova!$A:$C,1)=$A102,VLOOKUP($A102,Osnova!$A:$F,4),0)</f>
        <v>#N/A</v>
      </c>
      <c r="D102" s="77"/>
      <c r="E102" s="78"/>
      <c r="F102" s="70">
        <f t="shared" si="2"/>
        <v>0</v>
      </c>
      <c r="G102" s="77"/>
      <c r="H102" s="77"/>
      <c r="I102" s="70">
        <f t="shared" si="3"/>
        <v>0</v>
      </c>
    </row>
    <row r="103" spans="1:9" x14ac:dyDescent="0.25">
      <c r="A103" s="66"/>
      <c r="B103" s="67" t="str">
        <f>IFERROR(IF(VLOOKUP($A103,Osnova!$A:$E,1)=$A103,VLOOKUP($A103,Osnova!$A:$E,$E$10)),"")</f>
        <v/>
      </c>
      <c r="C103" s="68" t="e">
        <f>IF(VLOOKUP($A103,Osnova!$A:$C,1)=$A103,VLOOKUP($A103,Osnova!$A:$F,4),0)</f>
        <v>#N/A</v>
      </c>
      <c r="D103" s="77"/>
      <c r="E103" s="78"/>
      <c r="F103" s="70">
        <f t="shared" si="2"/>
        <v>0</v>
      </c>
      <c r="G103" s="77"/>
      <c r="H103" s="77"/>
      <c r="I103" s="70">
        <f t="shared" si="3"/>
        <v>0</v>
      </c>
    </row>
    <row r="104" spans="1:9" x14ac:dyDescent="0.25">
      <c r="A104" s="66"/>
      <c r="B104" s="67" t="str">
        <f>IFERROR(IF(VLOOKUP($A104,Osnova!$A:$E,1)=$A104,VLOOKUP($A104,Osnova!$A:$E,$E$10)),"")</f>
        <v/>
      </c>
      <c r="C104" s="68" t="e">
        <f>IF(VLOOKUP($A104,Osnova!$A:$C,1)=$A104,VLOOKUP($A104,Osnova!$A:$F,4),0)</f>
        <v>#N/A</v>
      </c>
      <c r="D104" s="77"/>
      <c r="E104" s="78"/>
      <c r="F104" s="70">
        <f t="shared" si="2"/>
        <v>0</v>
      </c>
      <c r="G104" s="77"/>
      <c r="H104" s="77"/>
      <c r="I104" s="70">
        <f t="shared" si="3"/>
        <v>0</v>
      </c>
    </row>
    <row r="105" spans="1:9" x14ac:dyDescent="0.25">
      <c r="A105" s="79"/>
      <c r="B105" s="67" t="str">
        <f>IFERROR(IF(VLOOKUP($A105,Osnova!$A:$E,1)=$A105,VLOOKUP($A105,Osnova!$A:$E,$E$10)),"")</f>
        <v/>
      </c>
      <c r="C105" s="68" t="e">
        <f>IF(VLOOKUP($A105,Osnova!$A:$C,1)=$A105,VLOOKUP($A105,Osnova!$A:$F,4),0)</f>
        <v>#N/A</v>
      </c>
      <c r="D105" s="77"/>
      <c r="E105" s="78"/>
      <c r="F105" s="70">
        <f t="shared" si="2"/>
        <v>0</v>
      </c>
      <c r="G105" s="77"/>
      <c r="H105" s="77"/>
      <c r="I105" s="70">
        <f t="shared" si="3"/>
        <v>0</v>
      </c>
    </row>
    <row r="106" spans="1:9" x14ac:dyDescent="0.25">
      <c r="A106" s="79"/>
      <c r="B106" s="67" t="str">
        <f>IFERROR(IF(VLOOKUP($A106,Osnova!$A:$E,1)=$A106,VLOOKUP($A106,Osnova!$A:$E,$E$10)),"")</f>
        <v/>
      </c>
      <c r="C106" s="68" t="e">
        <f>IF(VLOOKUP($A106,Osnova!$A:$C,1)=$A106,VLOOKUP($A106,Osnova!$A:$F,4),0)</f>
        <v>#N/A</v>
      </c>
      <c r="D106" s="77"/>
      <c r="E106" s="78"/>
      <c r="F106" s="70">
        <f t="shared" si="2"/>
        <v>0</v>
      </c>
      <c r="G106" s="77"/>
      <c r="H106" s="77"/>
      <c r="I106" s="70">
        <f t="shared" si="3"/>
        <v>0</v>
      </c>
    </row>
    <row r="107" spans="1:9" x14ac:dyDescent="0.25">
      <c r="A107" s="79"/>
      <c r="B107" s="67" t="str">
        <f>IFERROR(IF(VLOOKUP($A107,Osnova!$A:$E,1)=$A107,VLOOKUP($A107,Osnova!$A:$E,$E$10)),"")</f>
        <v/>
      </c>
      <c r="C107" s="68" t="e">
        <f>IF(VLOOKUP($A107,Osnova!$A:$C,1)=$A107,VLOOKUP($A107,Osnova!$A:$F,4),0)</f>
        <v>#N/A</v>
      </c>
      <c r="D107" s="77"/>
      <c r="E107" s="78"/>
      <c r="F107" s="70">
        <f t="shared" si="2"/>
        <v>0</v>
      </c>
      <c r="G107" s="77"/>
      <c r="H107" s="77"/>
      <c r="I107" s="70">
        <f t="shared" si="3"/>
        <v>0</v>
      </c>
    </row>
    <row r="108" spans="1:9" x14ac:dyDescent="0.25">
      <c r="A108" s="79"/>
      <c r="B108" s="67" t="str">
        <f>IFERROR(IF(VLOOKUP($A108,Osnova!$A:$E,1)=$A108,VLOOKUP($A108,Osnova!$A:$E,$E$10)),"")</f>
        <v/>
      </c>
      <c r="C108" s="68" t="e">
        <f>IF(VLOOKUP($A108,Osnova!$A:$C,1)=$A108,VLOOKUP($A108,Osnova!$A:$F,4),0)</f>
        <v>#N/A</v>
      </c>
      <c r="D108" s="77"/>
      <c r="E108" s="78"/>
      <c r="F108" s="70">
        <f t="shared" si="2"/>
        <v>0</v>
      </c>
      <c r="G108" s="77"/>
      <c r="H108" s="77"/>
      <c r="I108" s="70">
        <f t="shared" si="3"/>
        <v>0</v>
      </c>
    </row>
    <row r="109" spans="1:9" x14ac:dyDescent="0.25">
      <c r="A109" s="79"/>
      <c r="B109" s="67" t="str">
        <f>IFERROR(IF(VLOOKUP($A109,Osnova!$A:$E,1)=$A109,VLOOKUP($A109,Osnova!$A:$E,$E$10)),"")</f>
        <v/>
      </c>
      <c r="C109" s="68" t="e">
        <f>IF(VLOOKUP($A109,Osnova!$A:$C,1)=$A109,VLOOKUP($A109,Osnova!$A:$F,4),0)</f>
        <v>#N/A</v>
      </c>
      <c r="D109" s="77"/>
      <c r="E109" s="78"/>
      <c r="F109" s="70">
        <f t="shared" si="2"/>
        <v>0</v>
      </c>
      <c r="G109" s="77"/>
      <c r="H109" s="77"/>
      <c r="I109" s="70">
        <f t="shared" si="3"/>
        <v>0</v>
      </c>
    </row>
    <row r="110" spans="1:9" x14ac:dyDescent="0.25">
      <c r="A110" s="79"/>
      <c r="B110" s="67" t="str">
        <f>IFERROR(IF(VLOOKUP($A110,Osnova!$A:$E,1)=$A110,VLOOKUP($A110,Osnova!$A:$E,$E$10)),"")</f>
        <v/>
      </c>
      <c r="C110" s="68" t="e">
        <f>IF(VLOOKUP($A110,Osnova!$A:$C,1)=$A110,VLOOKUP($A110,Osnova!$A:$F,4),0)</f>
        <v>#N/A</v>
      </c>
      <c r="D110" s="77"/>
      <c r="E110" s="78"/>
      <c r="F110" s="70">
        <f t="shared" si="2"/>
        <v>0</v>
      </c>
      <c r="G110" s="77"/>
      <c r="H110" s="77"/>
      <c r="I110" s="70">
        <f t="shared" si="3"/>
        <v>0</v>
      </c>
    </row>
    <row r="111" spans="1:9" x14ac:dyDescent="0.25">
      <c r="A111" s="79"/>
      <c r="B111" s="67" t="str">
        <f>IFERROR(IF(VLOOKUP($A111,Osnova!$A:$E,1)=$A111,VLOOKUP($A111,Osnova!$A:$E,$E$10)),"")</f>
        <v/>
      </c>
      <c r="C111" s="68" t="e">
        <f>IF(VLOOKUP($A111,Osnova!$A:$C,1)=$A111,VLOOKUP($A111,Osnova!$A:$F,4),0)</f>
        <v>#N/A</v>
      </c>
      <c r="D111" s="77"/>
      <c r="E111" s="78"/>
      <c r="F111" s="70">
        <f t="shared" si="2"/>
        <v>0</v>
      </c>
      <c r="G111" s="77"/>
      <c r="H111" s="77"/>
      <c r="I111" s="70">
        <f t="shared" si="3"/>
        <v>0</v>
      </c>
    </row>
    <row r="112" spans="1:9" x14ac:dyDescent="0.25">
      <c r="A112" s="79"/>
      <c r="B112" s="67" t="str">
        <f>IFERROR(IF(VLOOKUP($A112,Osnova!$A:$E,1)=$A112,VLOOKUP($A112,Osnova!$A:$E,$E$10)),"")</f>
        <v/>
      </c>
      <c r="C112" s="68" t="e">
        <f>IF(VLOOKUP($A112,Osnova!$A:$C,1)=$A112,VLOOKUP($A112,Osnova!$A:$F,4),0)</f>
        <v>#N/A</v>
      </c>
      <c r="D112" s="77"/>
      <c r="E112" s="78"/>
      <c r="F112" s="70">
        <f t="shared" si="2"/>
        <v>0</v>
      </c>
      <c r="G112" s="77"/>
      <c r="H112" s="77"/>
      <c r="I112" s="70">
        <f t="shared" si="3"/>
        <v>0</v>
      </c>
    </row>
    <row r="113" spans="1:9" x14ac:dyDescent="0.25">
      <c r="A113" s="79"/>
      <c r="B113" s="67" t="str">
        <f>IFERROR(IF(VLOOKUP($A113,Osnova!$A:$E,1)=$A113,VLOOKUP($A113,Osnova!$A:$E,$E$10)),"")</f>
        <v/>
      </c>
      <c r="C113" s="68" t="e">
        <f>IF(VLOOKUP($A113,Osnova!$A:$C,1)=$A113,VLOOKUP($A113,Osnova!$A:$F,4),0)</f>
        <v>#N/A</v>
      </c>
      <c r="D113" s="77"/>
      <c r="E113" s="78"/>
      <c r="F113" s="70">
        <f t="shared" si="2"/>
        <v>0</v>
      </c>
      <c r="G113" s="77"/>
      <c r="H113" s="77"/>
      <c r="I113" s="70">
        <f t="shared" si="3"/>
        <v>0</v>
      </c>
    </row>
    <row r="114" spans="1:9" x14ac:dyDescent="0.25">
      <c r="A114" s="79"/>
      <c r="B114" s="67" t="str">
        <f>IFERROR(IF(VLOOKUP($A114,Osnova!$A:$E,1)=$A114,VLOOKUP($A114,Osnova!$A:$E,$E$10)),"")</f>
        <v/>
      </c>
      <c r="C114" s="68" t="e">
        <f>IF(VLOOKUP($A114,Osnova!$A:$C,1)=$A114,VLOOKUP($A114,Osnova!$A:$F,4),0)</f>
        <v>#N/A</v>
      </c>
      <c r="D114" s="77"/>
      <c r="E114" s="78"/>
      <c r="F114" s="70">
        <f t="shared" si="2"/>
        <v>0</v>
      </c>
      <c r="G114" s="77"/>
      <c r="H114" s="77"/>
      <c r="I114" s="70">
        <f t="shared" si="3"/>
        <v>0</v>
      </c>
    </row>
    <row r="115" spans="1:9" x14ac:dyDescent="0.25">
      <c r="A115" s="79"/>
      <c r="B115" s="67" t="str">
        <f>IFERROR(IF(VLOOKUP($A115,Osnova!$A:$E,1)=$A115,VLOOKUP($A115,Osnova!$A:$E,$E$10)),"")</f>
        <v/>
      </c>
      <c r="C115" s="68" t="e">
        <f>IF(VLOOKUP($A115,Osnova!$A:$C,1)=$A115,VLOOKUP($A115,Osnova!$A:$F,4),0)</f>
        <v>#N/A</v>
      </c>
      <c r="D115" s="77"/>
      <c r="E115" s="78"/>
      <c r="F115" s="70">
        <f t="shared" si="2"/>
        <v>0</v>
      </c>
      <c r="G115" s="77"/>
      <c r="H115" s="77"/>
      <c r="I115" s="70">
        <f t="shared" si="3"/>
        <v>0</v>
      </c>
    </row>
    <row r="116" spans="1:9" x14ac:dyDescent="0.25">
      <c r="A116" s="79"/>
      <c r="B116" s="67" t="str">
        <f>IFERROR(IF(VLOOKUP($A116,Osnova!$A:$E,1)=$A116,VLOOKUP($A116,Osnova!$A:$E,$E$10)),"")</f>
        <v/>
      </c>
      <c r="C116" s="68" t="e">
        <f>IF(VLOOKUP($A116,Osnova!$A:$C,1)=$A116,VLOOKUP($A116,Osnova!$A:$F,4),0)</f>
        <v>#N/A</v>
      </c>
      <c r="D116" s="77"/>
      <c r="E116" s="78"/>
      <c r="F116" s="70">
        <f t="shared" si="2"/>
        <v>0</v>
      </c>
      <c r="G116" s="77"/>
      <c r="H116" s="77"/>
      <c r="I116" s="70">
        <f t="shared" si="3"/>
        <v>0</v>
      </c>
    </row>
    <row r="117" spans="1:9" x14ac:dyDescent="0.25">
      <c r="A117" s="79"/>
      <c r="B117" s="67" t="str">
        <f>IFERROR(IF(VLOOKUP($A117,Osnova!$A:$E,1)=$A117,VLOOKUP($A117,Osnova!$A:$E,$E$10)),"")</f>
        <v/>
      </c>
      <c r="C117" s="68" t="e">
        <f>IF(VLOOKUP($A117,Osnova!$A:$C,1)=$A117,VLOOKUP($A117,Osnova!$A:$F,4),0)</f>
        <v>#N/A</v>
      </c>
      <c r="D117" s="77"/>
      <c r="E117" s="78"/>
      <c r="F117" s="70">
        <f t="shared" si="2"/>
        <v>0</v>
      </c>
      <c r="G117" s="77"/>
      <c r="H117" s="77"/>
      <c r="I117" s="70">
        <f t="shared" si="3"/>
        <v>0</v>
      </c>
    </row>
    <row r="118" spans="1:9" x14ac:dyDescent="0.25">
      <c r="A118" s="79"/>
      <c r="B118" s="67" t="str">
        <f>IFERROR(IF(VLOOKUP($A118,Osnova!$A:$E,1)=$A118,VLOOKUP($A118,Osnova!$A:$E,$E$10)),"")</f>
        <v/>
      </c>
      <c r="C118" s="68" t="e">
        <f>IF(VLOOKUP($A118,Osnova!$A:$C,1)=$A118,VLOOKUP($A118,Osnova!$A:$F,4),0)</f>
        <v>#N/A</v>
      </c>
      <c r="D118" s="77"/>
      <c r="E118" s="78"/>
      <c r="F118" s="70">
        <f t="shared" si="2"/>
        <v>0</v>
      </c>
      <c r="G118" s="77"/>
      <c r="H118" s="77"/>
      <c r="I118" s="70">
        <f t="shared" si="3"/>
        <v>0</v>
      </c>
    </row>
    <row r="119" spans="1:9" x14ac:dyDescent="0.25">
      <c r="A119" s="79"/>
      <c r="B119" s="67" t="str">
        <f>IFERROR(IF(VLOOKUP($A119,Osnova!$A:$E,1)=$A119,VLOOKUP($A119,Osnova!$A:$E,$E$10)),"")</f>
        <v/>
      </c>
      <c r="C119" s="68" t="e">
        <f>IF(VLOOKUP($A119,Osnova!$A:$C,1)=$A119,VLOOKUP($A119,Osnova!$A:$F,4),0)</f>
        <v>#N/A</v>
      </c>
      <c r="D119" s="77"/>
      <c r="E119" s="78"/>
      <c r="F119" s="70">
        <f t="shared" si="2"/>
        <v>0</v>
      </c>
      <c r="G119" s="77"/>
      <c r="H119" s="77"/>
      <c r="I119" s="70">
        <f t="shared" si="3"/>
        <v>0</v>
      </c>
    </row>
    <row r="120" spans="1:9" x14ac:dyDescent="0.25">
      <c r="A120" s="79"/>
      <c r="B120" s="67" t="str">
        <f>IFERROR(IF(VLOOKUP($A120,Osnova!$A:$E,1)=$A120,VLOOKUP($A120,Osnova!$A:$E,$E$10)),"")</f>
        <v/>
      </c>
      <c r="C120" s="68" t="e">
        <f>IF(VLOOKUP($A120,Osnova!$A:$C,1)=$A120,VLOOKUP($A120,Osnova!$A:$F,4),0)</f>
        <v>#N/A</v>
      </c>
      <c r="D120" s="77"/>
      <c r="E120" s="78"/>
      <c r="F120" s="70">
        <f t="shared" si="2"/>
        <v>0</v>
      </c>
      <c r="G120" s="77"/>
      <c r="H120" s="77"/>
      <c r="I120" s="70">
        <f t="shared" si="3"/>
        <v>0</v>
      </c>
    </row>
    <row r="121" spans="1:9" x14ac:dyDescent="0.25">
      <c r="A121" s="79"/>
      <c r="B121" s="67" t="str">
        <f>IFERROR(IF(VLOOKUP($A121,Osnova!$A:$E,1)=$A121,VLOOKUP($A121,Osnova!$A:$E,$E$10)),"")</f>
        <v/>
      </c>
      <c r="C121" s="68" t="e">
        <f>IF(VLOOKUP($A121,Osnova!$A:$C,1)=$A121,VLOOKUP($A121,Osnova!$A:$F,4),0)</f>
        <v>#N/A</v>
      </c>
      <c r="D121" s="77"/>
      <c r="E121" s="78"/>
      <c r="F121" s="70">
        <f t="shared" si="2"/>
        <v>0</v>
      </c>
      <c r="G121" s="77"/>
      <c r="H121" s="77"/>
      <c r="I121" s="70">
        <f t="shared" si="3"/>
        <v>0</v>
      </c>
    </row>
    <row r="122" spans="1:9" x14ac:dyDescent="0.25">
      <c r="A122" s="79"/>
      <c r="B122" s="67" t="str">
        <f>IFERROR(IF(VLOOKUP($A122,Osnova!$A:$E,1)=$A122,VLOOKUP($A122,Osnova!$A:$E,$E$10)),"")</f>
        <v/>
      </c>
      <c r="C122" s="68" t="e">
        <f>IF(VLOOKUP($A122,Osnova!$A:$C,1)=$A122,VLOOKUP($A122,Osnova!$A:$F,4),0)</f>
        <v>#N/A</v>
      </c>
      <c r="D122" s="77"/>
      <c r="E122" s="78"/>
      <c r="F122" s="70">
        <f t="shared" si="2"/>
        <v>0</v>
      </c>
      <c r="G122" s="77"/>
      <c r="H122" s="77"/>
      <c r="I122" s="70">
        <f t="shared" si="3"/>
        <v>0</v>
      </c>
    </row>
    <row r="123" spans="1:9" x14ac:dyDescent="0.25">
      <c r="A123" s="79"/>
      <c r="B123" s="67" t="str">
        <f>IFERROR(IF(VLOOKUP($A123,Osnova!$A:$E,1)=$A123,VLOOKUP($A123,Osnova!$A:$E,$E$10)),"")</f>
        <v/>
      </c>
      <c r="C123" s="68" t="e">
        <f>IF(VLOOKUP($A123,Osnova!$A:$C,1)=$A123,VLOOKUP($A123,Osnova!$A:$F,4),0)</f>
        <v>#N/A</v>
      </c>
      <c r="D123" s="77"/>
      <c r="E123" s="78"/>
      <c r="F123" s="70">
        <f t="shared" si="2"/>
        <v>0</v>
      </c>
      <c r="G123" s="77"/>
      <c r="H123" s="77"/>
      <c r="I123" s="70">
        <f t="shared" si="3"/>
        <v>0</v>
      </c>
    </row>
    <row r="124" spans="1:9" x14ac:dyDescent="0.25">
      <c r="A124" s="79"/>
      <c r="B124" s="67" t="str">
        <f>IFERROR(IF(VLOOKUP($A124,Osnova!$A:$E,1)=$A124,VLOOKUP($A124,Osnova!$A:$E,$E$10)),"")</f>
        <v/>
      </c>
      <c r="C124" s="68" t="e">
        <f>IF(VLOOKUP($A124,Osnova!$A:$C,1)=$A124,VLOOKUP($A124,Osnova!$A:$F,4),0)</f>
        <v>#N/A</v>
      </c>
      <c r="D124" s="77"/>
      <c r="E124" s="78"/>
      <c r="F124" s="70">
        <f t="shared" si="2"/>
        <v>0</v>
      </c>
      <c r="G124" s="77"/>
      <c r="H124" s="77"/>
      <c r="I124" s="70">
        <f t="shared" si="3"/>
        <v>0</v>
      </c>
    </row>
    <row r="125" spans="1:9" x14ac:dyDescent="0.25">
      <c r="A125" s="79"/>
      <c r="B125" s="67" t="str">
        <f>IFERROR(IF(VLOOKUP($A125,Osnova!$A:$E,1)=$A125,VLOOKUP($A125,Osnova!$A:$E,$E$10)),"")</f>
        <v/>
      </c>
      <c r="C125" s="68" t="e">
        <f>IF(VLOOKUP($A125,Osnova!$A:$C,1)=$A125,VLOOKUP($A125,Osnova!$A:$F,4),0)</f>
        <v>#N/A</v>
      </c>
      <c r="D125" s="77"/>
      <c r="E125" s="78"/>
      <c r="F125" s="70">
        <f t="shared" si="2"/>
        <v>0</v>
      </c>
      <c r="G125" s="77"/>
      <c r="H125" s="77"/>
      <c r="I125" s="70">
        <f t="shared" si="3"/>
        <v>0</v>
      </c>
    </row>
    <row r="126" spans="1:9" x14ac:dyDescent="0.25">
      <c r="A126" s="79"/>
      <c r="B126" s="67" t="str">
        <f>IFERROR(IF(VLOOKUP($A126,Osnova!$A:$E,1)=$A126,VLOOKUP($A126,Osnova!$A:$E,$E$10)),"")</f>
        <v/>
      </c>
      <c r="C126" s="68" t="e">
        <f>IF(VLOOKUP($A126,Osnova!$A:$C,1)=$A126,VLOOKUP($A126,Osnova!$A:$F,4),0)</f>
        <v>#N/A</v>
      </c>
      <c r="D126" s="77"/>
      <c r="E126" s="78"/>
      <c r="F126" s="70">
        <f t="shared" si="2"/>
        <v>0</v>
      </c>
      <c r="G126" s="77"/>
      <c r="H126" s="77"/>
      <c r="I126" s="70">
        <f t="shared" si="3"/>
        <v>0</v>
      </c>
    </row>
    <row r="127" spans="1:9" x14ac:dyDescent="0.25">
      <c r="A127" s="79"/>
      <c r="B127" s="67" t="str">
        <f>IFERROR(IF(VLOOKUP($A127,Osnova!$A:$E,1)=$A127,VLOOKUP($A127,Osnova!$A:$E,$E$10)),"")</f>
        <v/>
      </c>
      <c r="C127" s="68" t="e">
        <f>IF(VLOOKUP($A127,Osnova!$A:$C,1)=$A127,VLOOKUP($A127,Osnova!$A:$F,4),0)</f>
        <v>#N/A</v>
      </c>
      <c r="D127" s="77"/>
      <c r="E127" s="78"/>
      <c r="F127" s="70">
        <f t="shared" si="2"/>
        <v>0</v>
      </c>
      <c r="G127" s="77"/>
      <c r="H127" s="77"/>
      <c r="I127" s="70">
        <f t="shared" si="3"/>
        <v>0</v>
      </c>
    </row>
    <row r="128" spans="1:9" x14ac:dyDescent="0.25">
      <c r="A128" s="79"/>
      <c r="B128" s="67" t="str">
        <f>IFERROR(IF(VLOOKUP($A128,Osnova!$A:$E,1)=$A128,VLOOKUP($A128,Osnova!$A:$E,$E$10)),"")</f>
        <v/>
      </c>
      <c r="C128" s="68" t="e">
        <f>IF(VLOOKUP($A128,Osnova!$A:$C,1)=$A128,VLOOKUP($A128,Osnova!$A:$F,4),0)</f>
        <v>#N/A</v>
      </c>
      <c r="D128" s="77"/>
      <c r="E128" s="78"/>
      <c r="F128" s="70">
        <f t="shared" si="2"/>
        <v>0</v>
      </c>
      <c r="G128" s="77"/>
      <c r="H128" s="77"/>
      <c r="I128" s="70">
        <f t="shared" si="3"/>
        <v>0</v>
      </c>
    </row>
    <row r="129" spans="1:9" x14ac:dyDescent="0.25">
      <c r="A129" s="79"/>
      <c r="B129" s="67" t="str">
        <f>IFERROR(IF(VLOOKUP($A129,Osnova!$A:$E,1)=$A129,VLOOKUP($A129,Osnova!$A:$E,$E$10)),"")</f>
        <v/>
      </c>
      <c r="C129" s="68" t="e">
        <f>IF(VLOOKUP($A129,Osnova!$A:$C,1)=$A129,VLOOKUP($A129,Osnova!$A:$F,4),0)</f>
        <v>#N/A</v>
      </c>
      <c r="D129" s="77"/>
      <c r="E129" s="78"/>
      <c r="F129" s="70">
        <f t="shared" si="2"/>
        <v>0</v>
      </c>
      <c r="G129" s="77"/>
      <c r="H129" s="77"/>
      <c r="I129" s="70">
        <f t="shared" si="3"/>
        <v>0</v>
      </c>
    </row>
    <row r="130" spans="1:9" x14ac:dyDescent="0.25">
      <c r="A130" s="79"/>
      <c r="B130" s="67" t="str">
        <f>IFERROR(IF(VLOOKUP($A130,Osnova!$A:$E,1)=$A130,VLOOKUP($A130,Osnova!$A:$E,$E$10)),"")</f>
        <v/>
      </c>
      <c r="C130" s="68" t="e">
        <f>IF(VLOOKUP($A130,Osnova!$A:$C,1)=$A130,VLOOKUP($A130,Osnova!$A:$F,4),0)</f>
        <v>#N/A</v>
      </c>
      <c r="D130" s="77"/>
      <c r="E130" s="78"/>
      <c r="F130" s="70">
        <f t="shared" si="2"/>
        <v>0</v>
      </c>
      <c r="G130" s="77"/>
      <c r="H130" s="77"/>
      <c r="I130" s="70">
        <f t="shared" si="3"/>
        <v>0</v>
      </c>
    </row>
    <row r="131" spans="1:9" x14ac:dyDescent="0.25">
      <c r="A131" s="79"/>
      <c r="B131" s="67" t="str">
        <f>IFERROR(IF(VLOOKUP($A131,Osnova!$A:$E,1)=$A131,VLOOKUP($A131,Osnova!$A:$E,$E$10)),"")</f>
        <v/>
      </c>
      <c r="C131" s="68" t="e">
        <f>IF(VLOOKUP($A131,Osnova!$A:$C,1)=$A131,VLOOKUP($A131,Osnova!$A:$F,4),0)</f>
        <v>#N/A</v>
      </c>
      <c r="D131" s="77"/>
      <c r="E131" s="78"/>
      <c r="F131" s="70">
        <f t="shared" si="2"/>
        <v>0</v>
      </c>
      <c r="G131" s="77"/>
      <c r="H131" s="77"/>
      <c r="I131" s="70">
        <f t="shared" si="3"/>
        <v>0</v>
      </c>
    </row>
    <row r="132" spans="1:9" x14ac:dyDescent="0.25">
      <c r="A132" s="79"/>
      <c r="B132" s="67" t="str">
        <f>IFERROR(IF(VLOOKUP($A132,Osnova!$A:$E,1)=$A132,VLOOKUP($A132,Osnova!$A:$E,$E$10)),"")</f>
        <v/>
      </c>
      <c r="C132" s="68" t="e">
        <f>IF(VLOOKUP($A132,Osnova!$A:$C,1)=$A132,VLOOKUP($A132,Osnova!$A:$F,4),0)</f>
        <v>#N/A</v>
      </c>
      <c r="D132" s="77"/>
      <c r="E132" s="78"/>
      <c r="F132" s="70">
        <f t="shared" si="2"/>
        <v>0</v>
      </c>
      <c r="G132" s="77"/>
      <c r="H132" s="77"/>
      <c r="I132" s="70">
        <f t="shared" si="3"/>
        <v>0</v>
      </c>
    </row>
    <row r="133" spans="1:9" x14ac:dyDescent="0.25">
      <c r="A133" s="79"/>
      <c r="B133" s="67" t="str">
        <f>IFERROR(IF(VLOOKUP($A133,Osnova!$A:$E,1)=$A133,VLOOKUP($A133,Osnova!$A:$E,$E$10)),"")</f>
        <v/>
      </c>
      <c r="C133" s="68" t="e">
        <f>IF(VLOOKUP($A133,Osnova!$A:$C,1)=$A133,VLOOKUP($A133,Osnova!$A:$F,4),0)</f>
        <v>#N/A</v>
      </c>
      <c r="D133" s="77"/>
      <c r="E133" s="78"/>
      <c r="F133" s="70">
        <f t="shared" si="2"/>
        <v>0</v>
      </c>
      <c r="G133" s="77"/>
      <c r="H133" s="77"/>
      <c r="I133" s="70">
        <f t="shared" si="3"/>
        <v>0</v>
      </c>
    </row>
    <row r="134" spans="1:9" x14ac:dyDescent="0.25">
      <c r="A134" s="79"/>
      <c r="B134" s="67" t="str">
        <f>IFERROR(IF(VLOOKUP($A134,Osnova!$A:$E,1)=$A134,VLOOKUP($A134,Osnova!$A:$E,$E$10)),"")</f>
        <v/>
      </c>
      <c r="C134" s="68" t="e">
        <f>IF(VLOOKUP($A134,Osnova!$A:$C,1)=$A134,VLOOKUP($A134,Osnova!$A:$F,4),0)</f>
        <v>#N/A</v>
      </c>
      <c r="D134" s="77"/>
      <c r="E134" s="78"/>
      <c r="F134" s="70">
        <f t="shared" si="2"/>
        <v>0</v>
      </c>
      <c r="G134" s="77"/>
      <c r="H134" s="77"/>
      <c r="I134" s="70">
        <f t="shared" si="3"/>
        <v>0</v>
      </c>
    </row>
    <row r="135" spans="1:9" x14ac:dyDescent="0.25">
      <c r="A135" s="79"/>
      <c r="B135" s="67" t="str">
        <f>IFERROR(IF(VLOOKUP($A135,Osnova!$A:$E,1)=$A135,VLOOKUP($A135,Osnova!$A:$E,$E$10)),"")</f>
        <v/>
      </c>
      <c r="C135" s="68" t="e">
        <f>IF(VLOOKUP($A135,Osnova!$A:$C,1)=$A135,VLOOKUP($A135,Osnova!$A:$F,4),0)</f>
        <v>#N/A</v>
      </c>
      <c r="D135" s="77"/>
      <c r="E135" s="78"/>
      <c r="F135" s="70">
        <f t="shared" si="2"/>
        <v>0</v>
      </c>
      <c r="G135" s="77"/>
      <c r="H135" s="77"/>
      <c r="I135" s="70">
        <f t="shared" si="3"/>
        <v>0</v>
      </c>
    </row>
    <row r="136" spans="1:9" x14ac:dyDescent="0.25">
      <c r="A136" s="79"/>
      <c r="B136" s="67" t="str">
        <f>IFERROR(IF(VLOOKUP($A136,Osnova!$A:$E,1)=$A136,VLOOKUP($A136,Osnova!$A:$E,$E$10)),"")</f>
        <v/>
      </c>
      <c r="C136" s="68" t="e">
        <f>IF(VLOOKUP($A136,Osnova!$A:$C,1)=$A136,VLOOKUP($A136,Osnova!$A:$F,4),0)</f>
        <v>#N/A</v>
      </c>
      <c r="D136" s="77"/>
      <c r="E136" s="78"/>
      <c r="F136" s="70">
        <f t="shared" si="2"/>
        <v>0</v>
      </c>
      <c r="G136" s="77"/>
      <c r="H136" s="77"/>
      <c r="I136" s="70">
        <f t="shared" si="3"/>
        <v>0</v>
      </c>
    </row>
    <row r="137" spans="1:9" x14ac:dyDescent="0.25">
      <c r="A137" s="79"/>
      <c r="B137" s="67" t="str">
        <f>IFERROR(IF(VLOOKUP($A137,Osnova!$A:$E,1)=$A137,VLOOKUP($A137,Osnova!$A:$E,$E$10)),"")</f>
        <v/>
      </c>
      <c r="C137" s="68" t="e">
        <f>IF(VLOOKUP($A137,Osnova!$A:$C,1)=$A137,VLOOKUP($A137,Osnova!$A:$F,4),0)</f>
        <v>#N/A</v>
      </c>
      <c r="D137" s="77"/>
      <c r="E137" s="78"/>
      <c r="F137" s="70">
        <f t="shared" si="2"/>
        <v>0</v>
      </c>
      <c r="G137" s="77"/>
      <c r="H137" s="77"/>
      <c r="I137" s="70">
        <f t="shared" si="3"/>
        <v>0</v>
      </c>
    </row>
    <row r="138" spans="1:9" x14ac:dyDescent="0.25">
      <c r="A138" s="79"/>
      <c r="B138" s="67" t="str">
        <f>IFERROR(IF(VLOOKUP($A138,Osnova!$A:$E,1)=$A138,VLOOKUP($A138,Osnova!$A:$E,$E$10)),"")</f>
        <v/>
      </c>
      <c r="C138" s="68" t="e">
        <f>IF(VLOOKUP($A138,Osnova!$A:$C,1)=$A138,VLOOKUP($A138,Osnova!$A:$F,4),0)</f>
        <v>#N/A</v>
      </c>
      <c r="D138" s="77"/>
      <c r="E138" s="78"/>
      <c r="F138" s="70">
        <f t="shared" si="2"/>
        <v>0</v>
      </c>
      <c r="G138" s="77"/>
      <c r="H138" s="77"/>
      <c r="I138" s="70">
        <f t="shared" si="3"/>
        <v>0</v>
      </c>
    </row>
    <row r="139" spans="1:9" x14ac:dyDescent="0.25">
      <c r="A139" s="79"/>
      <c r="B139" s="67" t="str">
        <f>IFERROR(IF(VLOOKUP($A139,Osnova!$A:$E,1)=$A139,VLOOKUP($A139,Osnova!$A:$E,$E$10)),"")</f>
        <v/>
      </c>
      <c r="C139" s="68" t="e">
        <f>IF(VLOOKUP($A139,Osnova!$A:$C,1)=$A139,VLOOKUP($A139,Osnova!$A:$F,4),0)</f>
        <v>#N/A</v>
      </c>
      <c r="D139" s="77"/>
      <c r="E139" s="78"/>
      <c r="F139" s="70">
        <f t="shared" si="2"/>
        <v>0</v>
      </c>
      <c r="G139" s="77"/>
      <c r="H139" s="77"/>
      <c r="I139" s="70">
        <f t="shared" si="3"/>
        <v>0</v>
      </c>
    </row>
    <row r="140" spans="1:9" x14ac:dyDescent="0.25">
      <c r="A140" s="79"/>
      <c r="B140" s="67" t="str">
        <f>IFERROR(IF(VLOOKUP($A140,Osnova!$A:$E,1)=$A140,VLOOKUP($A140,Osnova!$A:$E,$E$10)),"")</f>
        <v/>
      </c>
      <c r="C140" s="68" t="e">
        <f>IF(VLOOKUP($A140,Osnova!$A:$C,1)=$A140,VLOOKUP($A140,Osnova!$A:$F,4),0)</f>
        <v>#N/A</v>
      </c>
      <c r="D140" s="77"/>
      <c r="E140" s="78"/>
      <c r="F140" s="70">
        <f t="shared" si="2"/>
        <v>0</v>
      </c>
      <c r="G140" s="77"/>
      <c r="H140" s="77"/>
      <c r="I140" s="70">
        <f t="shared" si="3"/>
        <v>0</v>
      </c>
    </row>
    <row r="141" spans="1:9" x14ac:dyDescent="0.25">
      <c r="A141" s="79"/>
      <c r="B141" s="67" t="str">
        <f>IFERROR(IF(VLOOKUP($A141,Osnova!$A:$E,1)=$A141,VLOOKUP($A141,Osnova!$A:$E,$E$10)),"")</f>
        <v/>
      </c>
      <c r="C141" s="68" t="e">
        <f>IF(VLOOKUP($A141,Osnova!$A:$C,1)=$A141,VLOOKUP($A141,Osnova!$A:$F,4),0)</f>
        <v>#N/A</v>
      </c>
      <c r="D141" s="77"/>
      <c r="E141" s="78"/>
      <c r="F141" s="70">
        <f t="shared" ref="F141:F204" si="4">SUM(D141-E141)</f>
        <v>0</v>
      </c>
      <c r="G141" s="77"/>
      <c r="H141" s="77"/>
      <c r="I141" s="70">
        <f t="shared" ref="I141:I204" si="5">SUM(F141+G141-H141)</f>
        <v>0</v>
      </c>
    </row>
    <row r="142" spans="1:9" x14ac:dyDescent="0.25">
      <c r="A142" s="79"/>
      <c r="B142" s="67" t="str">
        <f>IFERROR(IF(VLOOKUP($A142,Osnova!$A:$E,1)=$A142,VLOOKUP($A142,Osnova!$A:$E,$E$10)),"")</f>
        <v/>
      </c>
      <c r="C142" s="68" t="e">
        <f>IF(VLOOKUP($A142,Osnova!$A:$C,1)=$A142,VLOOKUP($A142,Osnova!$A:$F,4),0)</f>
        <v>#N/A</v>
      </c>
      <c r="D142" s="77"/>
      <c r="E142" s="78"/>
      <c r="F142" s="70">
        <f t="shared" si="4"/>
        <v>0</v>
      </c>
      <c r="G142" s="77"/>
      <c r="H142" s="77"/>
      <c r="I142" s="70">
        <f t="shared" si="5"/>
        <v>0</v>
      </c>
    </row>
    <row r="143" spans="1:9" x14ac:dyDescent="0.25">
      <c r="A143" s="79"/>
      <c r="B143" s="67" t="str">
        <f>IFERROR(IF(VLOOKUP($A143,Osnova!$A:$E,1)=$A143,VLOOKUP($A143,Osnova!$A:$E,$E$10)),"")</f>
        <v/>
      </c>
      <c r="C143" s="68" t="e">
        <f>IF(VLOOKUP($A143,Osnova!$A:$C,1)=$A143,VLOOKUP($A143,Osnova!$A:$F,4),0)</f>
        <v>#N/A</v>
      </c>
      <c r="D143" s="77"/>
      <c r="E143" s="78"/>
      <c r="F143" s="70">
        <f t="shared" si="4"/>
        <v>0</v>
      </c>
      <c r="G143" s="77"/>
      <c r="H143" s="77"/>
      <c r="I143" s="70">
        <f t="shared" si="5"/>
        <v>0</v>
      </c>
    </row>
    <row r="144" spans="1:9" x14ac:dyDescent="0.25">
      <c r="A144" s="79"/>
      <c r="B144" s="67" t="str">
        <f>IFERROR(IF(VLOOKUP($A144,Osnova!$A:$E,1)=$A144,VLOOKUP($A144,Osnova!$A:$E,$E$10)),"")</f>
        <v/>
      </c>
      <c r="C144" s="68" t="e">
        <f>IF(VLOOKUP($A144,Osnova!$A:$C,1)=$A144,VLOOKUP($A144,Osnova!$A:$F,4),0)</f>
        <v>#N/A</v>
      </c>
      <c r="D144" s="77"/>
      <c r="E144" s="78"/>
      <c r="F144" s="70">
        <f t="shared" si="4"/>
        <v>0</v>
      </c>
      <c r="G144" s="77"/>
      <c r="H144" s="77"/>
      <c r="I144" s="70">
        <f t="shared" si="5"/>
        <v>0</v>
      </c>
    </row>
    <row r="145" spans="1:9" x14ac:dyDescent="0.25">
      <c r="A145" s="79"/>
      <c r="B145" s="67" t="str">
        <f>IFERROR(IF(VLOOKUP($A145,Osnova!$A:$E,1)=$A145,VLOOKUP($A145,Osnova!$A:$E,$E$10)),"")</f>
        <v/>
      </c>
      <c r="C145" s="68" t="e">
        <f>IF(VLOOKUP($A145,Osnova!$A:$C,1)=$A145,VLOOKUP($A145,Osnova!$A:$F,4),0)</f>
        <v>#N/A</v>
      </c>
      <c r="D145" s="77"/>
      <c r="E145" s="78"/>
      <c r="F145" s="70">
        <f t="shared" si="4"/>
        <v>0</v>
      </c>
      <c r="G145" s="77"/>
      <c r="H145" s="77"/>
      <c r="I145" s="70">
        <f t="shared" si="5"/>
        <v>0</v>
      </c>
    </row>
    <row r="146" spans="1:9" x14ac:dyDescent="0.25">
      <c r="A146" s="79"/>
      <c r="B146" s="67" t="str">
        <f>IFERROR(IF(VLOOKUP($A146,Osnova!$A:$E,1)=$A146,VLOOKUP($A146,Osnova!$A:$E,$E$10)),"")</f>
        <v/>
      </c>
      <c r="C146" s="68" t="e">
        <f>IF(VLOOKUP($A146,Osnova!$A:$C,1)=$A146,VLOOKUP($A146,Osnova!$A:$F,4),0)</f>
        <v>#N/A</v>
      </c>
      <c r="D146" s="77"/>
      <c r="E146" s="78"/>
      <c r="F146" s="70">
        <f t="shared" si="4"/>
        <v>0</v>
      </c>
      <c r="G146" s="77"/>
      <c r="H146" s="77"/>
      <c r="I146" s="70">
        <f t="shared" si="5"/>
        <v>0</v>
      </c>
    </row>
    <row r="147" spans="1:9" x14ac:dyDescent="0.25">
      <c r="A147" s="79"/>
      <c r="B147" s="67" t="str">
        <f>IFERROR(IF(VLOOKUP($A147,Osnova!$A:$E,1)=$A147,VLOOKUP($A147,Osnova!$A:$E,$E$10)),"")</f>
        <v/>
      </c>
      <c r="C147" s="68" t="e">
        <f>IF(VLOOKUP($A147,Osnova!$A:$C,1)=$A147,VLOOKUP($A147,Osnova!$A:$F,4),0)</f>
        <v>#N/A</v>
      </c>
      <c r="D147" s="77"/>
      <c r="E147" s="78"/>
      <c r="F147" s="70">
        <f t="shared" si="4"/>
        <v>0</v>
      </c>
      <c r="G147" s="77"/>
      <c r="H147" s="77"/>
      <c r="I147" s="70">
        <f t="shared" si="5"/>
        <v>0</v>
      </c>
    </row>
    <row r="148" spans="1:9" x14ac:dyDescent="0.25">
      <c r="A148" s="79"/>
      <c r="B148" s="67" t="str">
        <f>IFERROR(IF(VLOOKUP($A148,Osnova!$A:$E,1)=$A148,VLOOKUP($A148,Osnova!$A:$E,$E$10)),"")</f>
        <v/>
      </c>
      <c r="C148" s="68" t="e">
        <f>IF(VLOOKUP($A148,Osnova!$A:$C,1)=$A148,VLOOKUP($A148,Osnova!$A:$F,4),0)</f>
        <v>#N/A</v>
      </c>
      <c r="D148" s="77"/>
      <c r="E148" s="78"/>
      <c r="F148" s="70">
        <f t="shared" si="4"/>
        <v>0</v>
      </c>
      <c r="G148" s="77"/>
      <c r="H148" s="77"/>
      <c r="I148" s="70">
        <f t="shared" si="5"/>
        <v>0</v>
      </c>
    </row>
    <row r="149" spans="1:9" x14ac:dyDescent="0.25">
      <c r="A149" s="79"/>
      <c r="B149" s="67" t="str">
        <f>IFERROR(IF(VLOOKUP($A149,Osnova!$A:$E,1)=$A149,VLOOKUP($A149,Osnova!$A:$E,$E$10)),"")</f>
        <v/>
      </c>
      <c r="C149" s="68" t="e">
        <f>IF(VLOOKUP($A149,Osnova!$A:$C,1)=$A149,VLOOKUP($A149,Osnova!$A:$F,4),0)</f>
        <v>#N/A</v>
      </c>
      <c r="D149" s="77"/>
      <c r="E149" s="78"/>
      <c r="F149" s="70">
        <f t="shared" si="4"/>
        <v>0</v>
      </c>
      <c r="G149" s="77"/>
      <c r="H149" s="77"/>
      <c r="I149" s="70">
        <f t="shared" si="5"/>
        <v>0</v>
      </c>
    </row>
    <row r="150" spans="1:9" x14ac:dyDescent="0.25">
      <c r="A150" s="79"/>
      <c r="B150" s="67" t="str">
        <f>IFERROR(IF(VLOOKUP($A150,Osnova!$A:$E,1)=$A150,VLOOKUP($A150,Osnova!$A:$E,$E$10)),"")</f>
        <v/>
      </c>
      <c r="C150" s="68" t="e">
        <f>IF(VLOOKUP($A150,Osnova!$A:$C,1)=$A150,VLOOKUP($A150,Osnova!$A:$F,4),0)</f>
        <v>#N/A</v>
      </c>
      <c r="D150" s="77"/>
      <c r="E150" s="78"/>
      <c r="F150" s="70">
        <f t="shared" si="4"/>
        <v>0</v>
      </c>
      <c r="G150" s="77"/>
      <c r="H150" s="77"/>
      <c r="I150" s="70">
        <f t="shared" si="5"/>
        <v>0</v>
      </c>
    </row>
    <row r="151" spans="1:9" x14ac:dyDescent="0.25">
      <c r="A151" s="79"/>
      <c r="B151" s="67" t="str">
        <f>IFERROR(IF(VLOOKUP($A151,Osnova!$A:$E,1)=$A151,VLOOKUP($A151,Osnova!$A:$E,$E$10)),"")</f>
        <v/>
      </c>
      <c r="C151" s="68" t="e">
        <f>IF(VLOOKUP($A151,Osnova!$A:$C,1)=$A151,VLOOKUP($A151,Osnova!$A:$F,4),0)</f>
        <v>#N/A</v>
      </c>
      <c r="D151" s="77"/>
      <c r="E151" s="78"/>
      <c r="F151" s="70">
        <f t="shared" si="4"/>
        <v>0</v>
      </c>
      <c r="G151" s="77"/>
      <c r="H151" s="77"/>
      <c r="I151" s="70">
        <f t="shared" si="5"/>
        <v>0</v>
      </c>
    </row>
    <row r="152" spans="1:9" x14ac:dyDescent="0.25">
      <c r="A152" s="79"/>
      <c r="B152" s="67" t="str">
        <f>IFERROR(IF(VLOOKUP($A152,Osnova!$A:$E,1)=$A152,VLOOKUP($A152,Osnova!$A:$E,$E$10)),"")</f>
        <v/>
      </c>
      <c r="C152" s="68" t="e">
        <f>IF(VLOOKUP($A152,Osnova!$A:$C,1)=$A152,VLOOKUP($A152,Osnova!$A:$F,4),0)</f>
        <v>#N/A</v>
      </c>
      <c r="D152" s="77"/>
      <c r="E152" s="78"/>
      <c r="F152" s="70">
        <f t="shared" si="4"/>
        <v>0</v>
      </c>
      <c r="G152" s="77"/>
      <c r="H152" s="77"/>
      <c r="I152" s="70">
        <f t="shared" si="5"/>
        <v>0</v>
      </c>
    </row>
    <row r="153" spans="1:9" x14ac:dyDescent="0.25">
      <c r="A153" s="79"/>
      <c r="B153" s="67" t="str">
        <f>IFERROR(IF(VLOOKUP($A153,Osnova!$A:$E,1)=$A153,VLOOKUP($A153,Osnova!$A:$E,$E$10)),"")</f>
        <v/>
      </c>
      <c r="C153" s="68" t="e">
        <f>IF(VLOOKUP($A153,Osnova!$A:$C,1)=$A153,VLOOKUP($A153,Osnova!$A:$F,4),0)</f>
        <v>#N/A</v>
      </c>
      <c r="D153" s="77"/>
      <c r="E153" s="78"/>
      <c r="F153" s="70">
        <f t="shared" si="4"/>
        <v>0</v>
      </c>
      <c r="G153" s="77"/>
      <c r="H153" s="77"/>
      <c r="I153" s="70">
        <f t="shared" si="5"/>
        <v>0</v>
      </c>
    </row>
    <row r="154" spans="1:9" x14ac:dyDescent="0.25">
      <c r="A154" s="79"/>
      <c r="B154" s="67" t="str">
        <f>IFERROR(IF(VLOOKUP($A154,Osnova!$A:$E,1)=$A154,VLOOKUP($A154,Osnova!$A:$E,$E$10)),"")</f>
        <v/>
      </c>
      <c r="C154" s="68" t="e">
        <f>IF(VLOOKUP($A154,Osnova!$A:$C,1)=$A154,VLOOKUP($A154,Osnova!$A:$F,4),0)</f>
        <v>#N/A</v>
      </c>
      <c r="D154" s="77"/>
      <c r="E154" s="78"/>
      <c r="F154" s="70">
        <f t="shared" si="4"/>
        <v>0</v>
      </c>
      <c r="G154" s="77"/>
      <c r="H154" s="77"/>
      <c r="I154" s="70">
        <f t="shared" si="5"/>
        <v>0</v>
      </c>
    </row>
    <row r="155" spans="1:9" x14ac:dyDescent="0.25">
      <c r="A155" s="79"/>
      <c r="B155" s="67" t="str">
        <f>IFERROR(IF(VLOOKUP($A155,Osnova!$A:$E,1)=$A155,VLOOKUP($A155,Osnova!$A:$E,$E$10)),"")</f>
        <v/>
      </c>
      <c r="C155" s="68" t="e">
        <f>IF(VLOOKUP($A155,Osnova!$A:$C,1)=$A155,VLOOKUP($A155,Osnova!$A:$F,4),0)</f>
        <v>#N/A</v>
      </c>
      <c r="D155" s="77"/>
      <c r="E155" s="78"/>
      <c r="F155" s="70">
        <f t="shared" si="4"/>
        <v>0</v>
      </c>
      <c r="G155" s="77"/>
      <c r="H155" s="77"/>
      <c r="I155" s="70">
        <f t="shared" si="5"/>
        <v>0</v>
      </c>
    </row>
    <row r="156" spans="1:9" x14ac:dyDescent="0.25">
      <c r="A156" s="79"/>
      <c r="B156" s="67" t="str">
        <f>IFERROR(IF(VLOOKUP($A156,Osnova!$A:$E,1)=$A156,VLOOKUP($A156,Osnova!$A:$E,$E$10)),"")</f>
        <v/>
      </c>
      <c r="C156" s="68" t="e">
        <f>IF(VLOOKUP($A156,Osnova!$A:$C,1)=$A156,VLOOKUP($A156,Osnova!$A:$F,4),0)</f>
        <v>#N/A</v>
      </c>
      <c r="D156" s="77"/>
      <c r="E156" s="78"/>
      <c r="F156" s="70">
        <f t="shared" si="4"/>
        <v>0</v>
      </c>
      <c r="G156" s="77"/>
      <c r="H156" s="77"/>
      <c r="I156" s="70">
        <f t="shared" si="5"/>
        <v>0</v>
      </c>
    </row>
    <row r="157" spans="1:9" x14ac:dyDescent="0.25">
      <c r="A157" s="79"/>
      <c r="B157" s="67" t="str">
        <f>IFERROR(IF(VLOOKUP($A157,Osnova!$A:$E,1)=$A157,VLOOKUP($A157,Osnova!$A:$E,$E$10)),"")</f>
        <v/>
      </c>
      <c r="C157" s="68" t="e">
        <f>IF(VLOOKUP($A157,Osnova!$A:$C,1)=$A157,VLOOKUP($A157,Osnova!$A:$F,4),0)</f>
        <v>#N/A</v>
      </c>
      <c r="D157" s="77"/>
      <c r="E157" s="78"/>
      <c r="F157" s="70">
        <f t="shared" si="4"/>
        <v>0</v>
      </c>
      <c r="G157" s="77"/>
      <c r="H157" s="77"/>
      <c r="I157" s="70">
        <f t="shared" si="5"/>
        <v>0</v>
      </c>
    </row>
    <row r="158" spans="1:9" x14ac:dyDescent="0.25">
      <c r="A158" s="79"/>
      <c r="B158" s="67" t="str">
        <f>IFERROR(IF(VLOOKUP($A158,Osnova!$A:$E,1)=$A158,VLOOKUP($A158,Osnova!$A:$E,$E$10)),"")</f>
        <v/>
      </c>
      <c r="C158" s="68" t="e">
        <f>IF(VLOOKUP($A158,Osnova!$A:$C,1)=$A158,VLOOKUP($A158,Osnova!$A:$F,4),0)</f>
        <v>#N/A</v>
      </c>
      <c r="D158" s="77"/>
      <c r="E158" s="78"/>
      <c r="F158" s="70">
        <f t="shared" si="4"/>
        <v>0</v>
      </c>
      <c r="G158" s="77"/>
      <c r="H158" s="77"/>
      <c r="I158" s="70">
        <f t="shared" si="5"/>
        <v>0</v>
      </c>
    </row>
    <row r="159" spans="1:9" x14ac:dyDescent="0.25">
      <c r="A159" s="79"/>
      <c r="B159" s="67" t="str">
        <f>IFERROR(IF(VLOOKUP($A159,Osnova!$A:$E,1)=$A159,VLOOKUP($A159,Osnova!$A:$E,$E$10)),"")</f>
        <v/>
      </c>
      <c r="C159" s="68" t="e">
        <f>IF(VLOOKUP($A159,Osnova!$A:$C,1)=$A159,VLOOKUP($A159,Osnova!$A:$F,4),0)</f>
        <v>#N/A</v>
      </c>
      <c r="D159" s="77"/>
      <c r="E159" s="78"/>
      <c r="F159" s="70">
        <f t="shared" si="4"/>
        <v>0</v>
      </c>
      <c r="G159" s="77"/>
      <c r="H159" s="77"/>
      <c r="I159" s="70">
        <f t="shared" si="5"/>
        <v>0</v>
      </c>
    </row>
    <row r="160" spans="1:9" x14ac:dyDescent="0.25">
      <c r="A160" s="79"/>
      <c r="B160" s="67" t="str">
        <f>IFERROR(IF(VLOOKUP($A160,Osnova!$A:$E,1)=$A160,VLOOKUP($A160,Osnova!$A:$E,$E$10)),"")</f>
        <v/>
      </c>
      <c r="C160" s="68" t="e">
        <f>IF(VLOOKUP($A160,Osnova!$A:$C,1)=$A160,VLOOKUP($A160,Osnova!$A:$F,4),0)</f>
        <v>#N/A</v>
      </c>
      <c r="D160" s="77"/>
      <c r="E160" s="78"/>
      <c r="F160" s="70">
        <f t="shared" si="4"/>
        <v>0</v>
      </c>
      <c r="G160" s="77"/>
      <c r="H160" s="77"/>
      <c r="I160" s="70">
        <f t="shared" si="5"/>
        <v>0</v>
      </c>
    </row>
    <row r="161" spans="1:9" x14ac:dyDescent="0.25">
      <c r="A161" s="79"/>
      <c r="B161" s="67" t="str">
        <f>IFERROR(IF(VLOOKUP($A161,Osnova!$A:$E,1)=$A161,VLOOKUP($A161,Osnova!$A:$E,$E$10)),"")</f>
        <v/>
      </c>
      <c r="C161" s="68" t="e">
        <f>IF(VLOOKUP($A161,Osnova!$A:$C,1)=$A161,VLOOKUP($A161,Osnova!$A:$F,4),0)</f>
        <v>#N/A</v>
      </c>
      <c r="D161" s="77"/>
      <c r="E161" s="78"/>
      <c r="F161" s="70">
        <f t="shared" si="4"/>
        <v>0</v>
      </c>
      <c r="G161" s="77"/>
      <c r="H161" s="77"/>
      <c r="I161" s="70">
        <f t="shared" si="5"/>
        <v>0</v>
      </c>
    </row>
    <row r="162" spans="1:9" x14ac:dyDescent="0.25">
      <c r="A162" s="79"/>
      <c r="B162" s="67" t="str">
        <f>IFERROR(IF(VLOOKUP($A162,Osnova!$A:$E,1)=$A162,VLOOKUP($A162,Osnova!$A:$E,$E$10)),"")</f>
        <v/>
      </c>
      <c r="C162" s="68" t="e">
        <f>IF(VLOOKUP($A162,Osnova!$A:$C,1)=$A162,VLOOKUP($A162,Osnova!$A:$F,4),0)</f>
        <v>#N/A</v>
      </c>
      <c r="D162" s="77"/>
      <c r="E162" s="78"/>
      <c r="F162" s="70">
        <f t="shared" si="4"/>
        <v>0</v>
      </c>
      <c r="G162" s="77"/>
      <c r="H162" s="77"/>
      <c r="I162" s="70">
        <f t="shared" si="5"/>
        <v>0</v>
      </c>
    </row>
    <row r="163" spans="1:9" x14ac:dyDescent="0.25">
      <c r="A163" s="79"/>
      <c r="B163" s="67" t="str">
        <f>IFERROR(IF(VLOOKUP($A163,Osnova!$A:$E,1)=$A163,VLOOKUP($A163,Osnova!$A:$E,$E$10)),"")</f>
        <v/>
      </c>
      <c r="C163" s="68" t="e">
        <f>IF(VLOOKUP($A163,Osnova!$A:$C,1)=$A163,VLOOKUP($A163,Osnova!$A:$F,4),0)</f>
        <v>#N/A</v>
      </c>
      <c r="D163" s="77"/>
      <c r="E163" s="78"/>
      <c r="F163" s="70">
        <f t="shared" si="4"/>
        <v>0</v>
      </c>
      <c r="G163" s="77"/>
      <c r="H163" s="77"/>
      <c r="I163" s="70">
        <f t="shared" si="5"/>
        <v>0</v>
      </c>
    </row>
    <row r="164" spans="1:9" x14ac:dyDescent="0.25">
      <c r="A164" s="79"/>
      <c r="B164" s="67" t="str">
        <f>IFERROR(IF(VLOOKUP($A164,Osnova!$A:$E,1)=$A164,VLOOKUP($A164,Osnova!$A:$E,$E$10)),"")</f>
        <v/>
      </c>
      <c r="C164" s="68" t="e">
        <f>IF(VLOOKUP($A164,Osnova!$A:$C,1)=$A164,VLOOKUP($A164,Osnova!$A:$F,4),0)</f>
        <v>#N/A</v>
      </c>
      <c r="D164" s="77"/>
      <c r="E164" s="78"/>
      <c r="F164" s="70">
        <f t="shared" si="4"/>
        <v>0</v>
      </c>
      <c r="G164" s="77"/>
      <c r="H164" s="77"/>
      <c r="I164" s="70">
        <f t="shared" si="5"/>
        <v>0</v>
      </c>
    </row>
    <row r="165" spans="1:9" x14ac:dyDescent="0.25">
      <c r="A165" s="79"/>
      <c r="B165" s="67" t="str">
        <f>IFERROR(IF(VLOOKUP($A165,Osnova!$A:$E,1)=$A165,VLOOKUP($A165,Osnova!$A:$E,$E$10)),"")</f>
        <v/>
      </c>
      <c r="C165" s="68" t="e">
        <f>IF(VLOOKUP($A165,Osnova!$A:$C,1)=$A165,VLOOKUP($A165,Osnova!$A:$F,4),0)</f>
        <v>#N/A</v>
      </c>
      <c r="D165" s="77"/>
      <c r="E165" s="78"/>
      <c r="F165" s="70">
        <f t="shared" si="4"/>
        <v>0</v>
      </c>
      <c r="G165" s="77"/>
      <c r="H165" s="77"/>
      <c r="I165" s="70">
        <f t="shared" si="5"/>
        <v>0</v>
      </c>
    </row>
    <row r="166" spans="1:9" x14ac:dyDescent="0.25">
      <c r="A166" s="79"/>
      <c r="B166" s="67" t="str">
        <f>IFERROR(IF(VLOOKUP($A166,Osnova!$A:$E,1)=$A166,VLOOKUP($A166,Osnova!$A:$E,$E$10)),"")</f>
        <v/>
      </c>
      <c r="C166" s="68" t="e">
        <f>IF(VLOOKUP($A166,Osnova!$A:$C,1)=$A166,VLOOKUP($A166,Osnova!$A:$F,4),0)</f>
        <v>#N/A</v>
      </c>
      <c r="D166" s="77"/>
      <c r="E166" s="78"/>
      <c r="F166" s="70">
        <f t="shared" si="4"/>
        <v>0</v>
      </c>
      <c r="G166" s="77"/>
      <c r="H166" s="77"/>
      <c r="I166" s="70">
        <f t="shared" si="5"/>
        <v>0</v>
      </c>
    </row>
    <row r="167" spans="1:9" x14ac:dyDescent="0.25">
      <c r="A167" s="79"/>
      <c r="B167" s="67" t="str">
        <f>IFERROR(IF(VLOOKUP($A167,Osnova!$A:$E,1)=$A167,VLOOKUP($A167,Osnova!$A:$E,$E$10)),"")</f>
        <v/>
      </c>
      <c r="C167" s="68" t="e">
        <f>IF(VLOOKUP($A167,Osnova!$A:$C,1)=$A167,VLOOKUP($A167,Osnova!$A:$F,4),0)</f>
        <v>#N/A</v>
      </c>
      <c r="D167" s="77"/>
      <c r="E167" s="78"/>
      <c r="F167" s="70">
        <f t="shared" si="4"/>
        <v>0</v>
      </c>
      <c r="G167" s="77"/>
      <c r="H167" s="77"/>
      <c r="I167" s="70">
        <f t="shared" si="5"/>
        <v>0</v>
      </c>
    </row>
    <row r="168" spans="1:9" x14ac:dyDescent="0.25">
      <c r="A168" s="79"/>
      <c r="B168" s="67" t="str">
        <f>IFERROR(IF(VLOOKUP($A168,Osnova!$A:$E,1)=$A168,VLOOKUP($A168,Osnova!$A:$E,$E$10)),"")</f>
        <v/>
      </c>
      <c r="C168" s="68" t="e">
        <f>IF(VLOOKUP($A168,Osnova!$A:$C,1)=$A168,VLOOKUP($A168,Osnova!$A:$F,4),0)</f>
        <v>#N/A</v>
      </c>
      <c r="D168" s="77"/>
      <c r="E168" s="78"/>
      <c r="F168" s="70">
        <f t="shared" si="4"/>
        <v>0</v>
      </c>
      <c r="G168" s="77"/>
      <c r="H168" s="77"/>
      <c r="I168" s="70">
        <f t="shared" si="5"/>
        <v>0</v>
      </c>
    </row>
    <row r="169" spans="1:9" x14ac:dyDescent="0.25">
      <c r="A169" s="79"/>
      <c r="B169" s="67" t="str">
        <f>IFERROR(IF(VLOOKUP($A169,Osnova!$A:$E,1)=$A169,VLOOKUP($A169,Osnova!$A:$E,$E$10)),"")</f>
        <v/>
      </c>
      <c r="C169" s="68" t="e">
        <f>IF(VLOOKUP($A169,Osnova!$A:$C,1)=$A169,VLOOKUP($A169,Osnova!$A:$F,4),0)</f>
        <v>#N/A</v>
      </c>
      <c r="D169" s="77"/>
      <c r="E169" s="78"/>
      <c r="F169" s="70">
        <f t="shared" si="4"/>
        <v>0</v>
      </c>
      <c r="G169" s="77"/>
      <c r="H169" s="77"/>
      <c r="I169" s="70">
        <f t="shared" si="5"/>
        <v>0</v>
      </c>
    </row>
    <row r="170" spans="1:9" x14ac:dyDescent="0.25">
      <c r="A170" s="79"/>
      <c r="B170" s="67" t="str">
        <f>IFERROR(IF(VLOOKUP($A170,Osnova!$A:$E,1)=$A170,VLOOKUP($A170,Osnova!$A:$E,$E$10)),"")</f>
        <v/>
      </c>
      <c r="C170" s="68" t="e">
        <f>IF(VLOOKUP($A170,Osnova!$A:$C,1)=$A170,VLOOKUP($A170,Osnova!$A:$F,4),0)</f>
        <v>#N/A</v>
      </c>
      <c r="D170" s="77"/>
      <c r="E170" s="78"/>
      <c r="F170" s="70">
        <f t="shared" si="4"/>
        <v>0</v>
      </c>
      <c r="G170" s="77"/>
      <c r="H170" s="77"/>
      <c r="I170" s="70">
        <f t="shared" si="5"/>
        <v>0</v>
      </c>
    </row>
    <row r="171" spans="1:9" x14ac:dyDescent="0.25">
      <c r="A171" s="79"/>
      <c r="B171" s="67" t="str">
        <f>IFERROR(IF(VLOOKUP($A171,Osnova!$A:$E,1)=$A171,VLOOKUP($A171,Osnova!$A:$E,$E$10)),"")</f>
        <v/>
      </c>
      <c r="C171" s="68" t="e">
        <f>IF(VLOOKUP($A171,Osnova!$A:$C,1)=$A171,VLOOKUP($A171,Osnova!$A:$F,4),0)</f>
        <v>#N/A</v>
      </c>
      <c r="D171" s="77"/>
      <c r="E171" s="78"/>
      <c r="F171" s="70">
        <f t="shared" si="4"/>
        <v>0</v>
      </c>
      <c r="G171" s="77"/>
      <c r="H171" s="77"/>
      <c r="I171" s="70">
        <f t="shared" si="5"/>
        <v>0</v>
      </c>
    </row>
    <row r="172" spans="1:9" x14ac:dyDescent="0.25">
      <c r="A172" s="79"/>
      <c r="B172" s="67" t="str">
        <f>IFERROR(IF(VLOOKUP($A172,Osnova!$A:$E,1)=$A172,VLOOKUP($A172,Osnova!$A:$E,$E$10)),"")</f>
        <v/>
      </c>
      <c r="C172" s="68" t="e">
        <f>IF(VLOOKUP($A172,Osnova!$A:$C,1)=$A172,VLOOKUP($A172,Osnova!$A:$F,4),0)</f>
        <v>#N/A</v>
      </c>
      <c r="D172" s="77"/>
      <c r="E172" s="78"/>
      <c r="F172" s="70">
        <f t="shared" si="4"/>
        <v>0</v>
      </c>
      <c r="G172" s="77"/>
      <c r="H172" s="77"/>
      <c r="I172" s="70">
        <f t="shared" si="5"/>
        <v>0</v>
      </c>
    </row>
    <row r="173" spans="1:9" x14ac:dyDescent="0.25">
      <c r="A173" s="79"/>
      <c r="B173" s="67" t="str">
        <f>IFERROR(IF(VLOOKUP($A173,Osnova!$A:$E,1)=$A173,VLOOKUP($A173,Osnova!$A:$E,$E$10)),"")</f>
        <v/>
      </c>
      <c r="C173" s="68" t="e">
        <f>IF(VLOOKUP($A173,Osnova!$A:$C,1)=$A173,VLOOKUP($A173,Osnova!$A:$F,4),0)</f>
        <v>#N/A</v>
      </c>
      <c r="D173" s="77"/>
      <c r="E173" s="78"/>
      <c r="F173" s="70">
        <f t="shared" si="4"/>
        <v>0</v>
      </c>
      <c r="G173" s="77"/>
      <c r="H173" s="77"/>
      <c r="I173" s="70">
        <f t="shared" si="5"/>
        <v>0</v>
      </c>
    </row>
    <row r="174" spans="1:9" x14ac:dyDescent="0.25">
      <c r="A174" s="79"/>
      <c r="B174" s="67" t="str">
        <f>IFERROR(IF(VLOOKUP($A174,Osnova!$A:$E,1)=$A174,VLOOKUP($A174,Osnova!$A:$E,$E$10)),"")</f>
        <v/>
      </c>
      <c r="C174" s="68" t="e">
        <f>IF(VLOOKUP($A174,Osnova!$A:$C,1)=$A174,VLOOKUP($A174,Osnova!$A:$F,4),0)</f>
        <v>#N/A</v>
      </c>
      <c r="D174" s="77"/>
      <c r="E174" s="78"/>
      <c r="F174" s="70">
        <f t="shared" si="4"/>
        <v>0</v>
      </c>
      <c r="G174" s="77"/>
      <c r="H174" s="77"/>
      <c r="I174" s="70">
        <f t="shared" si="5"/>
        <v>0</v>
      </c>
    </row>
    <row r="175" spans="1:9" x14ac:dyDescent="0.25">
      <c r="A175" s="79"/>
      <c r="B175" s="67" t="str">
        <f>IFERROR(IF(VLOOKUP($A175,Osnova!$A:$E,1)=$A175,VLOOKUP($A175,Osnova!$A:$E,$E$10)),"")</f>
        <v/>
      </c>
      <c r="C175" s="68" t="e">
        <f>IF(VLOOKUP($A175,Osnova!$A:$C,1)=$A175,VLOOKUP($A175,Osnova!$A:$F,4),0)</f>
        <v>#N/A</v>
      </c>
      <c r="D175" s="77"/>
      <c r="E175" s="78"/>
      <c r="F175" s="70">
        <f t="shared" si="4"/>
        <v>0</v>
      </c>
      <c r="G175" s="77"/>
      <c r="H175" s="77"/>
      <c r="I175" s="70">
        <f t="shared" si="5"/>
        <v>0</v>
      </c>
    </row>
    <row r="176" spans="1:9" x14ac:dyDescent="0.25">
      <c r="A176" s="79"/>
      <c r="B176" s="67" t="str">
        <f>IFERROR(IF(VLOOKUP($A176,Osnova!$A:$E,1)=$A176,VLOOKUP($A176,Osnova!$A:$E,$E$10)),"")</f>
        <v/>
      </c>
      <c r="C176" s="68" t="e">
        <f>IF(VLOOKUP($A176,Osnova!$A:$C,1)=$A176,VLOOKUP($A176,Osnova!$A:$F,4),0)</f>
        <v>#N/A</v>
      </c>
      <c r="D176" s="77"/>
      <c r="E176" s="78"/>
      <c r="F176" s="70">
        <f t="shared" si="4"/>
        <v>0</v>
      </c>
      <c r="G176" s="77"/>
      <c r="H176" s="77"/>
      <c r="I176" s="70">
        <f t="shared" si="5"/>
        <v>0</v>
      </c>
    </row>
    <row r="177" spans="1:9" x14ac:dyDescent="0.25">
      <c r="A177" s="79"/>
      <c r="B177" s="67" t="str">
        <f>IFERROR(IF(VLOOKUP($A177,Osnova!$A:$E,1)=$A177,VLOOKUP($A177,Osnova!$A:$E,$E$10)),"")</f>
        <v/>
      </c>
      <c r="C177" s="68" t="e">
        <f>IF(VLOOKUP($A177,Osnova!$A:$C,1)=$A177,VLOOKUP($A177,Osnova!$A:$F,4),0)</f>
        <v>#N/A</v>
      </c>
      <c r="D177" s="77"/>
      <c r="E177" s="78"/>
      <c r="F177" s="70">
        <f t="shared" si="4"/>
        <v>0</v>
      </c>
      <c r="G177" s="77"/>
      <c r="H177" s="77"/>
      <c r="I177" s="70">
        <f t="shared" si="5"/>
        <v>0</v>
      </c>
    </row>
    <row r="178" spans="1:9" x14ac:dyDescent="0.25">
      <c r="A178" s="79"/>
      <c r="B178" s="67" t="str">
        <f>IFERROR(IF(VLOOKUP($A178,Osnova!$A:$E,1)=$A178,VLOOKUP($A178,Osnova!$A:$E,$E$10)),"")</f>
        <v/>
      </c>
      <c r="C178" s="68" t="e">
        <f>IF(VLOOKUP($A178,Osnova!$A:$C,1)=$A178,VLOOKUP($A178,Osnova!$A:$F,4),0)</f>
        <v>#N/A</v>
      </c>
      <c r="D178" s="77"/>
      <c r="E178" s="78"/>
      <c r="F178" s="70">
        <f t="shared" si="4"/>
        <v>0</v>
      </c>
      <c r="G178" s="77"/>
      <c r="H178" s="77"/>
      <c r="I178" s="70">
        <f t="shared" si="5"/>
        <v>0</v>
      </c>
    </row>
    <row r="179" spans="1:9" x14ac:dyDescent="0.25">
      <c r="A179" s="79"/>
      <c r="B179" s="67" t="str">
        <f>IFERROR(IF(VLOOKUP($A179,Osnova!$A:$E,1)=$A179,VLOOKUP($A179,Osnova!$A:$E,$E$10)),"")</f>
        <v/>
      </c>
      <c r="C179" s="68" t="e">
        <f>IF(VLOOKUP($A179,Osnova!$A:$C,1)=$A179,VLOOKUP($A179,Osnova!$A:$F,4),0)</f>
        <v>#N/A</v>
      </c>
      <c r="D179" s="77"/>
      <c r="E179" s="78"/>
      <c r="F179" s="70">
        <f t="shared" si="4"/>
        <v>0</v>
      </c>
      <c r="G179" s="77"/>
      <c r="H179" s="77"/>
      <c r="I179" s="70">
        <f t="shared" si="5"/>
        <v>0</v>
      </c>
    </row>
    <row r="180" spans="1:9" x14ac:dyDescent="0.25">
      <c r="A180" s="79"/>
      <c r="B180" s="67" t="str">
        <f>IFERROR(IF(VLOOKUP($A180,Osnova!$A:$E,1)=$A180,VLOOKUP($A180,Osnova!$A:$E,$E$10)),"")</f>
        <v/>
      </c>
      <c r="C180" s="68" t="e">
        <f>IF(VLOOKUP($A180,Osnova!$A:$C,1)=$A180,VLOOKUP($A180,Osnova!$A:$F,4),0)</f>
        <v>#N/A</v>
      </c>
      <c r="D180" s="77"/>
      <c r="E180" s="78"/>
      <c r="F180" s="70">
        <f t="shared" si="4"/>
        <v>0</v>
      </c>
      <c r="G180" s="77"/>
      <c r="H180" s="77"/>
      <c r="I180" s="70">
        <f t="shared" si="5"/>
        <v>0</v>
      </c>
    </row>
    <row r="181" spans="1:9" x14ac:dyDescent="0.25">
      <c r="A181" s="79"/>
      <c r="B181" s="67" t="str">
        <f>IFERROR(IF(VLOOKUP($A181,Osnova!$A:$E,1)=$A181,VLOOKUP($A181,Osnova!$A:$E,$E$10)),"")</f>
        <v/>
      </c>
      <c r="C181" s="68" t="e">
        <f>IF(VLOOKUP($A181,Osnova!$A:$C,1)=$A181,VLOOKUP($A181,Osnova!$A:$F,4),0)</f>
        <v>#N/A</v>
      </c>
      <c r="D181" s="77"/>
      <c r="E181" s="78"/>
      <c r="F181" s="70">
        <f t="shared" si="4"/>
        <v>0</v>
      </c>
      <c r="G181" s="77"/>
      <c r="H181" s="77"/>
      <c r="I181" s="70">
        <f t="shared" si="5"/>
        <v>0</v>
      </c>
    </row>
    <row r="182" spans="1:9" x14ac:dyDescent="0.25">
      <c r="A182" s="79"/>
      <c r="B182" s="67" t="str">
        <f>IFERROR(IF(VLOOKUP($A182,Osnova!$A:$E,1)=$A182,VLOOKUP($A182,Osnova!$A:$E,$E$10)),"")</f>
        <v/>
      </c>
      <c r="C182" s="68" t="e">
        <f>IF(VLOOKUP($A182,Osnova!$A:$C,1)=$A182,VLOOKUP($A182,Osnova!$A:$F,4),0)</f>
        <v>#N/A</v>
      </c>
      <c r="D182" s="77"/>
      <c r="E182" s="78"/>
      <c r="F182" s="70">
        <f t="shared" si="4"/>
        <v>0</v>
      </c>
      <c r="G182" s="77"/>
      <c r="H182" s="77"/>
      <c r="I182" s="70">
        <f t="shared" si="5"/>
        <v>0</v>
      </c>
    </row>
    <row r="183" spans="1:9" x14ac:dyDescent="0.25">
      <c r="A183" s="79"/>
      <c r="B183" s="67" t="str">
        <f>IFERROR(IF(VLOOKUP($A183,Osnova!$A:$E,1)=$A183,VLOOKUP($A183,Osnova!$A:$E,$E$10)),"")</f>
        <v/>
      </c>
      <c r="C183" s="68" t="e">
        <f>IF(VLOOKUP($A183,Osnova!$A:$C,1)=$A183,VLOOKUP($A183,Osnova!$A:$F,4),0)</f>
        <v>#N/A</v>
      </c>
      <c r="D183" s="77"/>
      <c r="E183" s="78"/>
      <c r="F183" s="70">
        <f t="shared" si="4"/>
        <v>0</v>
      </c>
      <c r="G183" s="77"/>
      <c r="H183" s="77"/>
      <c r="I183" s="70">
        <f t="shared" si="5"/>
        <v>0</v>
      </c>
    </row>
    <row r="184" spans="1:9" x14ac:dyDescent="0.25">
      <c r="A184" s="79"/>
      <c r="B184" s="67" t="str">
        <f>IFERROR(IF(VLOOKUP($A184,Osnova!$A:$E,1)=$A184,VLOOKUP($A184,Osnova!$A:$E,$E$10)),"")</f>
        <v/>
      </c>
      <c r="C184" s="68" t="e">
        <f>IF(VLOOKUP($A184,Osnova!$A:$C,1)=$A184,VLOOKUP($A184,Osnova!$A:$F,4),0)</f>
        <v>#N/A</v>
      </c>
      <c r="D184" s="77"/>
      <c r="E184" s="78"/>
      <c r="F184" s="70">
        <f t="shared" si="4"/>
        <v>0</v>
      </c>
      <c r="G184" s="77"/>
      <c r="H184" s="77"/>
      <c r="I184" s="70">
        <f t="shared" si="5"/>
        <v>0</v>
      </c>
    </row>
    <row r="185" spans="1:9" x14ac:dyDescent="0.25">
      <c r="A185" s="79"/>
      <c r="B185" s="67" t="str">
        <f>IFERROR(IF(VLOOKUP($A185,Osnova!$A:$E,1)=$A185,VLOOKUP($A185,Osnova!$A:$E,$E$10)),"")</f>
        <v/>
      </c>
      <c r="C185" s="68" t="e">
        <f>IF(VLOOKUP($A185,Osnova!$A:$C,1)=$A185,VLOOKUP($A185,Osnova!$A:$F,4),0)</f>
        <v>#N/A</v>
      </c>
      <c r="D185" s="77"/>
      <c r="E185" s="78"/>
      <c r="F185" s="70">
        <f t="shared" si="4"/>
        <v>0</v>
      </c>
      <c r="G185" s="77"/>
      <c r="H185" s="77"/>
      <c r="I185" s="70">
        <f t="shared" si="5"/>
        <v>0</v>
      </c>
    </row>
    <row r="186" spans="1:9" x14ac:dyDescent="0.25">
      <c r="A186" s="79"/>
      <c r="B186" s="67" t="str">
        <f>IFERROR(IF(VLOOKUP($A186,Osnova!$A:$E,1)=$A186,VLOOKUP($A186,Osnova!$A:$E,$E$10)),"")</f>
        <v/>
      </c>
      <c r="C186" s="68" t="e">
        <f>IF(VLOOKUP($A186,Osnova!$A:$C,1)=$A186,VLOOKUP($A186,Osnova!$A:$F,4),0)</f>
        <v>#N/A</v>
      </c>
      <c r="D186" s="77"/>
      <c r="E186" s="78"/>
      <c r="F186" s="70">
        <f t="shared" si="4"/>
        <v>0</v>
      </c>
      <c r="G186" s="77"/>
      <c r="H186" s="77"/>
      <c r="I186" s="70">
        <f t="shared" si="5"/>
        <v>0</v>
      </c>
    </row>
    <row r="187" spans="1:9" x14ac:dyDescent="0.25">
      <c r="A187" s="79"/>
      <c r="B187" s="67" t="str">
        <f>IFERROR(IF(VLOOKUP($A187,Osnova!$A:$E,1)=$A187,VLOOKUP($A187,Osnova!$A:$E,$E$10)),"")</f>
        <v/>
      </c>
      <c r="C187" s="68" t="e">
        <f>IF(VLOOKUP($A187,Osnova!$A:$C,1)=$A187,VLOOKUP($A187,Osnova!$A:$F,4),0)</f>
        <v>#N/A</v>
      </c>
      <c r="D187" s="77"/>
      <c r="E187" s="78"/>
      <c r="F187" s="70">
        <f t="shared" si="4"/>
        <v>0</v>
      </c>
      <c r="G187" s="77"/>
      <c r="H187" s="77"/>
      <c r="I187" s="70">
        <f t="shared" si="5"/>
        <v>0</v>
      </c>
    </row>
    <row r="188" spans="1:9" x14ac:dyDescent="0.25">
      <c r="A188" s="79"/>
      <c r="B188" s="67" t="str">
        <f>IFERROR(IF(VLOOKUP($A188,Osnova!$A:$E,1)=$A188,VLOOKUP($A188,Osnova!$A:$E,$E$10)),"")</f>
        <v/>
      </c>
      <c r="C188" s="68" t="e">
        <f>IF(VLOOKUP($A188,Osnova!$A:$C,1)=$A188,VLOOKUP($A188,Osnova!$A:$F,4),0)</f>
        <v>#N/A</v>
      </c>
      <c r="D188" s="77"/>
      <c r="E188" s="78"/>
      <c r="F188" s="70">
        <f t="shared" si="4"/>
        <v>0</v>
      </c>
      <c r="G188" s="77"/>
      <c r="H188" s="77"/>
      <c r="I188" s="70">
        <f t="shared" si="5"/>
        <v>0</v>
      </c>
    </row>
    <row r="189" spans="1:9" x14ac:dyDescent="0.25">
      <c r="A189" s="79"/>
      <c r="B189" s="67" t="str">
        <f>IFERROR(IF(VLOOKUP($A189,Osnova!$A:$E,1)=$A189,VLOOKUP($A189,Osnova!$A:$E,$E$10)),"")</f>
        <v/>
      </c>
      <c r="C189" s="68" t="e">
        <f>IF(VLOOKUP($A189,Osnova!$A:$C,1)=$A189,VLOOKUP($A189,Osnova!$A:$F,4),0)</f>
        <v>#N/A</v>
      </c>
      <c r="D189" s="77"/>
      <c r="E189" s="78"/>
      <c r="F189" s="70">
        <f t="shared" si="4"/>
        <v>0</v>
      </c>
      <c r="G189" s="77"/>
      <c r="H189" s="77"/>
      <c r="I189" s="70">
        <f t="shared" si="5"/>
        <v>0</v>
      </c>
    </row>
    <row r="190" spans="1:9" x14ac:dyDescent="0.25">
      <c r="A190" s="79"/>
      <c r="B190" s="67" t="str">
        <f>IFERROR(IF(VLOOKUP($A190,Osnova!$A:$E,1)=$A190,VLOOKUP($A190,Osnova!$A:$E,$E$10)),"")</f>
        <v/>
      </c>
      <c r="C190" s="68" t="e">
        <f>IF(VLOOKUP($A190,Osnova!$A:$C,1)=$A190,VLOOKUP($A190,Osnova!$A:$F,4),0)</f>
        <v>#N/A</v>
      </c>
      <c r="D190" s="77"/>
      <c r="E190" s="78"/>
      <c r="F190" s="70">
        <f t="shared" si="4"/>
        <v>0</v>
      </c>
      <c r="G190" s="77"/>
      <c r="H190" s="77"/>
      <c r="I190" s="70">
        <f t="shared" si="5"/>
        <v>0</v>
      </c>
    </row>
    <row r="191" spans="1:9" x14ac:dyDescent="0.25">
      <c r="A191" s="79"/>
      <c r="B191" s="67" t="str">
        <f>IFERROR(IF(VLOOKUP($A191,Osnova!$A:$E,1)=$A191,VLOOKUP($A191,Osnova!$A:$E,$E$10)),"")</f>
        <v/>
      </c>
      <c r="C191" s="68" t="e">
        <f>IF(VLOOKUP($A191,Osnova!$A:$C,1)=$A191,VLOOKUP($A191,Osnova!$A:$F,4),0)</f>
        <v>#N/A</v>
      </c>
      <c r="D191" s="77"/>
      <c r="E191" s="78"/>
      <c r="F191" s="70">
        <f t="shared" si="4"/>
        <v>0</v>
      </c>
      <c r="G191" s="77"/>
      <c r="H191" s="77"/>
      <c r="I191" s="70">
        <f t="shared" si="5"/>
        <v>0</v>
      </c>
    </row>
    <row r="192" spans="1:9" x14ac:dyDescent="0.25">
      <c r="A192" s="79"/>
      <c r="B192" s="67" t="str">
        <f>IFERROR(IF(VLOOKUP($A192,Osnova!$A:$E,1)=$A192,VLOOKUP($A192,Osnova!$A:$E,$E$10)),"")</f>
        <v/>
      </c>
      <c r="C192" s="68" t="e">
        <f>IF(VLOOKUP($A192,Osnova!$A:$C,1)=$A192,VLOOKUP($A192,Osnova!$A:$F,4),0)</f>
        <v>#N/A</v>
      </c>
      <c r="D192" s="77"/>
      <c r="E192" s="78"/>
      <c r="F192" s="70">
        <f t="shared" si="4"/>
        <v>0</v>
      </c>
      <c r="G192" s="77"/>
      <c r="H192" s="77"/>
      <c r="I192" s="70">
        <f t="shared" si="5"/>
        <v>0</v>
      </c>
    </row>
    <row r="193" spans="1:9" x14ac:dyDescent="0.25">
      <c r="A193" s="79"/>
      <c r="B193" s="67" t="str">
        <f>IFERROR(IF(VLOOKUP($A193,Osnova!$A:$E,1)=$A193,VLOOKUP($A193,Osnova!$A:$E,$E$10)),"")</f>
        <v/>
      </c>
      <c r="C193" s="68" t="e">
        <f>IF(VLOOKUP($A193,Osnova!$A:$C,1)=$A193,VLOOKUP($A193,Osnova!$A:$F,4),0)</f>
        <v>#N/A</v>
      </c>
      <c r="D193" s="77"/>
      <c r="E193" s="78"/>
      <c r="F193" s="70">
        <f t="shared" si="4"/>
        <v>0</v>
      </c>
      <c r="G193" s="77"/>
      <c r="H193" s="77"/>
      <c r="I193" s="70">
        <f t="shared" si="5"/>
        <v>0</v>
      </c>
    </row>
    <row r="194" spans="1:9" x14ac:dyDescent="0.25">
      <c r="A194" s="79"/>
      <c r="B194" s="67" t="str">
        <f>IFERROR(IF(VLOOKUP($A194,Osnova!$A:$E,1)=$A194,VLOOKUP($A194,Osnova!$A:$E,$E$10)),"")</f>
        <v/>
      </c>
      <c r="C194" s="68" t="e">
        <f>IF(VLOOKUP($A194,Osnova!$A:$C,1)=$A194,VLOOKUP($A194,Osnova!$A:$F,4),0)</f>
        <v>#N/A</v>
      </c>
      <c r="D194" s="77"/>
      <c r="E194" s="78"/>
      <c r="F194" s="70">
        <f t="shared" si="4"/>
        <v>0</v>
      </c>
      <c r="G194" s="77"/>
      <c r="H194" s="77"/>
      <c r="I194" s="70">
        <f t="shared" si="5"/>
        <v>0</v>
      </c>
    </row>
    <row r="195" spans="1:9" x14ac:dyDescent="0.25">
      <c r="A195" s="79"/>
      <c r="B195" s="67" t="str">
        <f>IFERROR(IF(VLOOKUP($A195,Osnova!$A:$E,1)=$A195,VLOOKUP($A195,Osnova!$A:$E,$E$10)),"")</f>
        <v/>
      </c>
      <c r="C195" s="68" t="e">
        <f>IF(VLOOKUP($A195,Osnova!$A:$C,1)=$A195,VLOOKUP($A195,Osnova!$A:$F,4),0)</f>
        <v>#N/A</v>
      </c>
      <c r="D195" s="77"/>
      <c r="E195" s="78"/>
      <c r="F195" s="70">
        <f t="shared" si="4"/>
        <v>0</v>
      </c>
      <c r="G195" s="77"/>
      <c r="H195" s="77"/>
      <c r="I195" s="70">
        <f t="shared" si="5"/>
        <v>0</v>
      </c>
    </row>
    <row r="196" spans="1:9" x14ac:dyDescent="0.25">
      <c r="A196" s="79"/>
      <c r="B196" s="67" t="str">
        <f>IFERROR(IF(VLOOKUP($A196,Osnova!$A:$E,1)=$A196,VLOOKUP($A196,Osnova!$A:$E,$E$10)),"")</f>
        <v/>
      </c>
      <c r="C196" s="68" t="e">
        <f>IF(VLOOKUP($A196,Osnova!$A:$C,1)=$A196,VLOOKUP($A196,Osnova!$A:$F,4),0)</f>
        <v>#N/A</v>
      </c>
      <c r="D196" s="77"/>
      <c r="E196" s="78"/>
      <c r="F196" s="70">
        <f t="shared" si="4"/>
        <v>0</v>
      </c>
      <c r="G196" s="77"/>
      <c r="H196" s="77"/>
      <c r="I196" s="70">
        <f t="shared" si="5"/>
        <v>0</v>
      </c>
    </row>
    <row r="197" spans="1:9" x14ac:dyDescent="0.25">
      <c r="A197" s="79"/>
      <c r="B197" s="67" t="str">
        <f>IFERROR(IF(VLOOKUP($A197,Osnova!$A:$E,1)=$A197,VLOOKUP($A197,Osnova!$A:$E,$E$10)),"")</f>
        <v/>
      </c>
      <c r="C197" s="68" t="e">
        <f>IF(VLOOKUP($A197,Osnova!$A:$C,1)=$A197,VLOOKUP($A197,Osnova!$A:$F,4),0)</f>
        <v>#N/A</v>
      </c>
      <c r="D197" s="77"/>
      <c r="E197" s="78"/>
      <c r="F197" s="70">
        <f t="shared" si="4"/>
        <v>0</v>
      </c>
      <c r="G197" s="77"/>
      <c r="H197" s="77"/>
      <c r="I197" s="70">
        <f t="shared" si="5"/>
        <v>0</v>
      </c>
    </row>
    <row r="198" spans="1:9" x14ac:dyDescent="0.25">
      <c r="A198" s="79"/>
      <c r="B198" s="67" t="str">
        <f>IFERROR(IF(VLOOKUP($A198,Osnova!$A:$E,1)=$A198,VLOOKUP($A198,Osnova!$A:$E,$E$10)),"")</f>
        <v/>
      </c>
      <c r="C198" s="68" t="e">
        <f>IF(VLOOKUP($A198,Osnova!$A:$C,1)=$A198,VLOOKUP($A198,Osnova!$A:$F,4),0)</f>
        <v>#N/A</v>
      </c>
      <c r="D198" s="77"/>
      <c r="E198" s="78"/>
      <c r="F198" s="70">
        <f t="shared" si="4"/>
        <v>0</v>
      </c>
      <c r="G198" s="77"/>
      <c r="H198" s="77"/>
      <c r="I198" s="70">
        <f t="shared" si="5"/>
        <v>0</v>
      </c>
    </row>
    <row r="199" spans="1:9" x14ac:dyDescent="0.25">
      <c r="A199" s="79"/>
      <c r="B199" s="67" t="str">
        <f>IFERROR(IF(VLOOKUP($A199,Osnova!$A:$E,1)=$A199,VLOOKUP($A199,Osnova!$A:$E,$E$10)),"")</f>
        <v/>
      </c>
      <c r="C199" s="68" t="e">
        <f>IF(VLOOKUP($A199,Osnova!$A:$C,1)=$A199,VLOOKUP($A199,Osnova!$A:$F,4),0)</f>
        <v>#N/A</v>
      </c>
      <c r="D199" s="77"/>
      <c r="E199" s="78"/>
      <c r="F199" s="70">
        <f t="shared" si="4"/>
        <v>0</v>
      </c>
      <c r="G199" s="77"/>
      <c r="H199" s="77"/>
      <c r="I199" s="70">
        <f t="shared" si="5"/>
        <v>0</v>
      </c>
    </row>
    <row r="200" spans="1:9" x14ac:dyDescent="0.25">
      <c r="A200" s="79"/>
      <c r="B200" s="67" t="str">
        <f>IFERROR(IF(VLOOKUP($A200,Osnova!$A:$E,1)=$A200,VLOOKUP($A200,Osnova!$A:$E,$E$10)),"")</f>
        <v/>
      </c>
      <c r="C200" s="68" t="e">
        <f>IF(VLOOKUP($A200,Osnova!$A:$C,1)=$A200,VLOOKUP($A200,Osnova!$A:$F,4),0)</f>
        <v>#N/A</v>
      </c>
      <c r="D200" s="77"/>
      <c r="E200" s="78"/>
      <c r="F200" s="70">
        <f t="shared" si="4"/>
        <v>0</v>
      </c>
      <c r="G200" s="77"/>
      <c r="H200" s="77"/>
      <c r="I200" s="70">
        <f t="shared" si="5"/>
        <v>0</v>
      </c>
    </row>
    <row r="201" spans="1:9" x14ac:dyDescent="0.25">
      <c r="A201" s="79"/>
      <c r="B201" s="67" t="str">
        <f>IFERROR(IF(VLOOKUP($A201,Osnova!$A:$E,1)=$A201,VLOOKUP($A201,Osnova!$A:$E,$E$10)),"")</f>
        <v/>
      </c>
      <c r="C201" s="68" t="e">
        <f>IF(VLOOKUP($A201,Osnova!$A:$C,1)=$A201,VLOOKUP($A201,Osnova!$A:$F,4),0)</f>
        <v>#N/A</v>
      </c>
      <c r="D201" s="77"/>
      <c r="E201" s="78"/>
      <c r="F201" s="70">
        <f t="shared" si="4"/>
        <v>0</v>
      </c>
      <c r="G201" s="77"/>
      <c r="H201" s="77"/>
      <c r="I201" s="70">
        <f t="shared" si="5"/>
        <v>0</v>
      </c>
    </row>
    <row r="202" spans="1:9" x14ac:dyDescent="0.25">
      <c r="A202" s="79"/>
      <c r="B202" s="67" t="str">
        <f>IFERROR(IF(VLOOKUP($A202,Osnova!$A:$E,1)=$A202,VLOOKUP($A202,Osnova!$A:$E,$E$10)),"")</f>
        <v/>
      </c>
      <c r="C202" s="68" t="e">
        <f>IF(VLOOKUP($A202,Osnova!$A:$C,1)=$A202,VLOOKUP($A202,Osnova!$A:$F,4),0)</f>
        <v>#N/A</v>
      </c>
      <c r="D202" s="77"/>
      <c r="E202" s="78"/>
      <c r="F202" s="70">
        <f t="shared" si="4"/>
        <v>0</v>
      </c>
      <c r="G202" s="77"/>
      <c r="H202" s="77"/>
      <c r="I202" s="70">
        <f t="shared" si="5"/>
        <v>0</v>
      </c>
    </row>
    <row r="203" spans="1:9" x14ac:dyDescent="0.25">
      <c r="A203" s="79"/>
      <c r="B203" s="67" t="str">
        <f>IFERROR(IF(VLOOKUP($A203,Osnova!$A:$E,1)=$A203,VLOOKUP($A203,Osnova!$A:$E,$E$10)),"")</f>
        <v/>
      </c>
      <c r="C203" s="68" t="e">
        <f>IF(VLOOKUP($A203,Osnova!$A:$C,1)=$A203,VLOOKUP($A203,Osnova!$A:$F,4),0)</f>
        <v>#N/A</v>
      </c>
      <c r="D203" s="77"/>
      <c r="E203" s="78"/>
      <c r="F203" s="70">
        <f t="shared" si="4"/>
        <v>0</v>
      </c>
      <c r="G203" s="77"/>
      <c r="H203" s="77"/>
      <c r="I203" s="70">
        <f t="shared" si="5"/>
        <v>0</v>
      </c>
    </row>
    <row r="204" spans="1:9" x14ac:dyDescent="0.25">
      <c r="A204" s="79"/>
      <c r="B204" s="67" t="str">
        <f>IFERROR(IF(VLOOKUP($A204,Osnova!$A:$E,1)=$A204,VLOOKUP($A204,Osnova!$A:$E,$E$10)),"")</f>
        <v/>
      </c>
      <c r="C204" s="68" t="e">
        <f>IF(VLOOKUP($A204,Osnova!$A:$C,1)=$A204,VLOOKUP($A204,Osnova!$A:$F,4),0)</f>
        <v>#N/A</v>
      </c>
      <c r="D204" s="77"/>
      <c r="E204" s="78"/>
      <c r="F204" s="70">
        <f t="shared" si="4"/>
        <v>0</v>
      </c>
      <c r="G204" s="77"/>
      <c r="H204" s="77"/>
      <c r="I204" s="70">
        <f t="shared" si="5"/>
        <v>0</v>
      </c>
    </row>
    <row r="205" spans="1:9" x14ac:dyDescent="0.25">
      <c r="A205" s="79"/>
      <c r="B205" s="67" t="str">
        <f>IFERROR(IF(VLOOKUP($A205,Osnova!$A:$E,1)=$A205,VLOOKUP($A205,Osnova!$A:$E,$E$10)),"")</f>
        <v/>
      </c>
      <c r="C205" s="68" t="e">
        <f>IF(VLOOKUP($A205,Osnova!$A:$C,1)=$A205,VLOOKUP($A205,Osnova!$A:$F,4),0)</f>
        <v>#N/A</v>
      </c>
      <c r="D205" s="77"/>
      <c r="E205" s="78"/>
      <c r="F205" s="70">
        <f t="shared" ref="F205:F268" si="6">SUM(D205-E205)</f>
        <v>0</v>
      </c>
      <c r="G205" s="77"/>
      <c r="H205" s="77"/>
      <c r="I205" s="70">
        <f t="shared" ref="I205:I268" si="7">SUM(F205+G205-H205)</f>
        <v>0</v>
      </c>
    </row>
    <row r="206" spans="1:9" x14ac:dyDescent="0.25">
      <c r="A206" s="79"/>
      <c r="B206" s="67" t="str">
        <f>IFERROR(IF(VLOOKUP($A206,Osnova!$A:$E,1)=$A206,VLOOKUP($A206,Osnova!$A:$E,$E$10)),"")</f>
        <v/>
      </c>
      <c r="C206" s="68" t="e">
        <f>IF(VLOOKUP($A206,Osnova!$A:$C,1)=$A206,VLOOKUP($A206,Osnova!$A:$F,4),0)</f>
        <v>#N/A</v>
      </c>
      <c r="D206" s="77"/>
      <c r="E206" s="78"/>
      <c r="F206" s="70">
        <f t="shared" si="6"/>
        <v>0</v>
      </c>
      <c r="G206" s="77"/>
      <c r="H206" s="77"/>
      <c r="I206" s="70">
        <f t="shared" si="7"/>
        <v>0</v>
      </c>
    </row>
    <row r="207" spans="1:9" x14ac:dyDescent="0.25">
      <c r="A207" s="79"/>
      <c r="B207" s="67" t="str">
        <f>IFERROR(IF(VLOOKUP($A207,Osnova!$A:$E,1)=$A207,VLOOKUP($A207,Osnova!$A:$E,$E$10)),"")</f>
        <v/>
      </c>
      <c r="C207" s="68" t="e">
        <f>IF(VLOOKUP($A207,Osnova!$A:$C,1)=$A207,VLOOKUP($A207,Osnova!$A:$F,4),0)</f>
        <v>#N/A</v>
      </c>
      <c r="D207" s="77"/>
      <c r="E207" s="78"/>
      <c r="F207" s="70">
        <f t="shared" si="6"/>
        <v>0</v>
      </c>
      <c r="G207" s="77"/>
      <c r="H207" s="77"/>
      <c r="I207" s="70">
        <f t="shared" si="7"/>
        <v>0</v>
      </c>
    </row>
    <row r="208" spans="1:9" x14ac:dyDescent="0.25">
      <c r="A208" s="79"/>
      <c r="B208" s="67" t="str">
        <f>IFERROR(IF(VLOOKUP($A208,Osnova!$A:$E,1)=$A208,VLOOKUP($A208,Osnova!$A:$E,$E$10)),"")</f>
        <v/>
      </c>
      <c r="C208" s="68" t="e">
        <f>IF(VLOOKUP($A208,Osnova!$A:$C,1)=$A208,VLOOKUP($A208,Osnova!$A:$F,4),0)</f>
        <v>#N/A</v>
      </c>
      <c r="D208" s="77"/>
      <c r="E208" s="78"/>
      <c r="F208" s="70">
        <f t="shared" si="6"/>
        <v>0</v>
      </c>
      <c r="G208" s="77"/>
      <c r="H208" s="77"/>
      <c r="I208" s="70">
        <f t="shared" si="7"/>
        <v>0</v>
      </c>
    </row>
    <row r="209" spans="1:9" x14ac:dyDescent="0.25">
      <c r="A209" s="79"/>
      <c r="B209" s="67" t="str">
        <f>IFERROR(IF(VLOOKUP($A209,Osnova!$A:$E,1)=$A209,VLOOKUP($A209,Osnova!$A:$E,$E$10)),"")</f>
        <v/>
      </c>
      <c r="C209" s="68" t="e">
        <f>IF(VLOOKUP($A209,Osnova!$A:$C,1)=$A209,VLOOKUP($A209,Osnova!$A:$F,4),0)</f>
        <v>#N/A</v>
      </c>
      <c r="D209" s="77"/>
      <c r="E209" s="78"/>
      <c r="F209" s="70">
        <f t="shared" si="6"/>
        <v>0</v>
      </c>
      <c r="G209" s="77"/>
      <c r="H209" s="77"/>
      <c r="I209" s="70">
        <f t="shared" si="7"/>
        <v>0</v>
      </c>
    </row>
    <row r="210" spans="1:9" x14ac:dyDescent="0.25">
      <c r="A210" s="79"/>
      <c r="B210" s="67" t="str">
        <f>IFERROR(IF(VLOOKUP($A210,Osnova!$A:$E,1)=$A210,VLOOKUP($A210,Osnova!$A:$E,$E$10)),"")</f>
        <v/>
      </c>
      <c r="C210" s="68" t="e">
        <f>IF(VLOOKUP($A210,Osnova!$A:$C,1)=$A210,VLOOKUP($A210,Osnova!$A:$F,4),0)</f>
        <v>#N/A</v>
      </c>
      <c r="D210" s="77"/>
      <c r="E210" s="78"/>
      <c r="F210" s="70">
        <f t="shared" si="6"/>
        <v>0</v>
      </c>
      <c r="G210" s="77"/>
      <c r="H210" s="77"/>
      <c r="I210" s="70">
        <f t="shared" si="7"/>
        <v>0</v>
      </c>
    </row>
    <row r="211" spans="1:9" x14ac:dyDescent="0.25">
      <c r="A211" s="79"/>
      <c r="B211" s="67" t="str">
        <f>IFERROR(IF(VLOOKUP($A211,Osnova!$A:$E,1)=$A211,VLOOKUP($A211,Osnova!$A:$E,$E$10)),"")</f>
        <v/>
      </c>
      <c r="C211" s="68" t="e">
        <f>IF(VLOOKUP($A211,Osnova!$A:$C,1)=$A211,VLOOKUP($A211,Osnova!$A:$F,4),0)</f>
        <v>#N/A</v>
      </c>
      <c r="D211" s="77"/>
      <c r="E211" s="78"/>
      <c r="F211" s="70">
        <f t="shared" si="6"/>
        <v>0</v>
      </c>
      <c r="G211" s="77"/>
      <c r="H211" s="77"/>
      <c r="I211" s="70">
        <f t="shared" si="7"/>
        <v>0</v>
      </c>
    </row>
    <row r="212" spans="1:9" x14ac:dyDescent="0.25">
      <c r="A212" s="79"/>
      <c r="B212" s="67" t="str">
        <f>IFERROR(IF(VLOOKUP($A212,Osnova!$A:$E,1)=$A212,VLOOKUP($A212,Osnova!$A:$E,$E$10)),"")</f>
        <v/>
      </c>
      <c r="C212" s="68" t="e">
        <f>IF(VLOOKUP($A212,Osnova!$A:$C,1)=$A212,VLOOKUP($A212,Osnova!$A:$F,4),0)</f>
        <v>#N/A</v>
      </c>
      <c r="D212" s="77"/>
      <c r="E212" s="78"/>
      <c r="F212" s="70">
        <f t="shared" si="6"/>
        <v>0</v>
      </c>
      <c r="G212" s="77"/>
      <c r="H212" s="77"/>
      <c r="I212" s="70">
        <f t="shared" si="7"/>
        <v>0</v>
      </c>
    </row>
    <row r="213" spans="1:9" x14ac:dyDescent="0.25">
      <c r="A213" s="79"/>
      <c r="B213" s="67" t="str">
        <f>IFERROR(IF(VLOOKUP($A213,Osnova!$A:$E,1)=$A213,VLOOKUP($A213,Osnova!$A:$E,$E$10)),"")</f>
        <v/>
      </c>
      <c r="C213" s="68" t="e">
        <f>IF(VLOOKUP($A213,Osnova!$A:$C,1)=$A213,VLOOKUP($A213,Osnova!$A:$F,4),0)</f>
        <v>#N/A</v>
      </c>
      <c r="D213" s="77"/>
      <c r="E213" s="78"/>
      <c r="F213" s="70">
        <f t="shared" si="6"/>
        <v>0</v>
      </c>
      <c r="G213" s="77"/>
      <c r="H213" s="77"/>
      <c r="I213" s="70">
        <f t="shared" si="7"/>
        <v>0</v>
      </c>
    </row>
    <row r="214" spans="1:9" x14ac:dyDescent="0.25">
      <c r="A214" s="79"/>
      <c r="B214" s="67" t="str">
        <f>IFERROR(IF(VLOOKUP($A214,Osnova!$A:$E,1)=$A214,VLOOKUP($A214,Osnova!$A:$E,$E$10)),"")</f>
        <v/>
      </c>
      <c r="C214" s="68" t="e">
        <f>IF(VLOOKUP($A214,Osnova!$A:$C,1)=$A214,VLOOKUP($A214,Osnova!$A:$F,4),0)</f>
        <v>#N/A</v>
      </c>
      <c r="D214" s="77"/>
      <c r="E214" s="78"/>
      <c r="F214" s="70">
        <f t="shared" si="6"/>
        <v>0</v>
      </c>
      <c r="G214" s="77"/>
      <c r="H214" s="77"/>
      <c r="I214" s="70">
        <f t="shared" si="7"/>
        <v>0</v>
      </c>
    </row>
    <row r="215" spans="1:9" x14ac:dyDescent="0.25">
      <c r="A215" s="79"/>
      <c r="B215" s="67" t="str">
        <f>IFERROR(IF(VLOOKUP($A215,Osnova!$A:$E,1)=$A215,VLOOKUP($A215,Osnova!$A:$E,$E$10)),"")</f>
        <v/>
      </c>
      <c r="C215" s="68" t="e">
        <f>IF(VLOOKUP($A215,Osnova!$A:$C,1)=$A215,VLOOKUP($A215,Osnova!$A:$F,4),0)</f>
        <v>#N/A</v>
      </c>
      <c r="D215" s="77"/>
      <c r="E215" s="78"/>
      <c r="F215" s="70">
        <f t="shared" si="6"/>
        <v>0</v>
      </c>
      <c r="G215" s="77"/>
      <c r="H215" s="77"/>
      <c r="I215" s="70">
        <f t="shared" si="7"/>
        <v>0</v>
      </c>
    </row>
    <row r="216" spans="1:9" x14ac:dyDescent="0.25">
      <c r="A216" s="79"/>
      <c r="B216" s="67" t="str">
        <f>IFERROR(IF(VLOOKUP($A216,Osnova!$A:$E,1)=$A216,VLOOKUP($A216,Osnova!$A:$E,$E$10)),"")</f>
        <v/>
      </c>
      <c r="C216" s="68" t="e">
        <f>IF(VLOOKUP($A216,Osnova!$A:$C,1)=$A216,VLOOKUP($A216,Osnova!$A:$F,4),0)</f>
        <v>#N/A</v>
      </c>
      <c r="D216" s="77"/>
      <c r="E216" s="78"/>
      <c r="F216" s="70">
        <f t="shared" si="6"/>
        <v>0</v>
      </c>
      <c r="G216" s="77"/>
      <c r="H216" s="77"/>
      <c r="I216" s="70">
        <f t="shared" si="7"/>
        <v>0</v>
      </c>
    </row>
    <row r="217" spans="1:9" x14ac:dyDescent="0.25">
      <c r="A217" s="79"/>
      <c r="B217" s="67" t="str">
        <f>IFERROR(IF(VLOOKUP($A217,Osnova!$A:$E,1)=$A217,VLOOKUP($A217,Osnova!$A:$E,$E$10)),"")</f>
        <v/>
      </c>
      <c r="C217" s="68" t="e">
        <f>IF(VLOOKUP($A217,Osnova!$A:$C,1)=$A217,VLOOKUP($A217,Osnova!$A:$F,4),0)</f>
        <v>#N/A</v>
      </c>
      <c r="D217" s="77"/>
      <c r="E217" s="78"/>
      <c r="F217" s="70">
        <f t="shared" si="6"/>
        <v>0</v>
      </c>
      <c r="G217" s="77"/>
      <c r="H217" s="77"/>
      <c r="I217" s="70">
        <f t="shared" si="7"/>
        <v>0</v>
      </c>
    </row>
    <row r="218" spans="1:9" x14ac:dyDescent="0.25">
      <c r="A218" s="79"/>
      <c r="B218" s="67" t="str">
        <f>IFERROR(IF(VLOOKUP($A218,Osnova!$A:$E,1)=$A218,VLOOKUP($A218,Osnova!$A:$E,$E$10)),"")</f>
        <v/>
      </c>
      <c r="C218" s="68" t="e">
        <f>IF(VLOOKUP($A218,Osnova!$A:$C,1)=$A218,VLOOKUP($A218,Osnova!$A:$F,4),0)</f>
        <v>#N/A</v>
      </c>
      <c r="D218" s="77"/>
      <c r="E218" s="78"/>
      <c r="F218" s="70">
        <f t="shared" si="6"/>
        <v>0</v>
      </c>
      <c r="G218" s="77"/>
      <c r="H218" s="77"/>
      <c r="I218" s="70">
        <f t="shared" si="7"/>
        <v>0</v>
      </c>
    </row>
    <row r="219" spans="1:9" x14ac:dyDescent="0.25">
      <c r="A219" s="79"/>
      <c r="B219" s="67" t="str">
        <f>IFERROR(IF(VLOOKUP($A219,Osnova!$A:$E,1)=$A219,VLOOKUP($A219,Osnova!$A:$E,$E$10)),"")</f>
        <v/>
      </c>
      <c r="C219" s="68" t="e">
        <f>IF(VLOOKUP($A219,Osnova!$A:$C,1)=$A219,VLOOKUP($A219,Osnova!$A:$F,4),0)</f>
        <v>#N/A</v>
      </c>
      <c r="D219" s="77"/>
      <c r="E219" s="78"/>
      <c r="F219" s="70">
        <f t="shared" si="6"/>
        <v>0</v>
      </c>
      <c r="G219" s="77"/>
      <c r="H219" s="77"/>
      <c r="I219" s="70">
        <f t="shared" si="7"/>
        <v>0</v>
      </c>
    </row>
    <row r="220" spans="1:9" x14ac:dyDescent="0.25">
      <c r="A220" s="79"/>
      <c r="B220" s="67" t="str">
        <f>IFERROR(IF(VLOOKUP($A220,Osnova!$A:$E,1)=$A220,VLOOKUP($A220,Osnova!$A:$E,$E$10)),"")</f>
        <v/>
      </c>
      <c r="C220" s="68" t="e">
        <f>IF(VLOOKUP($A220,Osnova!$A:$C,1)=$A220,VLOOKUP($A220,Osnova!$A:$F,4),0)</f>
        <v>#N/A</v>
      </c>
      <c r="D220" s="77"/>
      <c r="E220" s="78"/>
      <c r="F220" s="70">
        <f t="shared" si="6"/>
        <v>0</v>
      </c>
      <c r="G220" s="77"/>
      <c r="H220" s="77"/>
      <c r="I220" s="70">
        <f t="shared" si="7"/>
        <v>0</v>
      </c>
    </row>
    <row r="221" spans="1:9" x14ac:dyDescent="0.25">
      <c r="A221" s="79"/>
      <c r="B221" s="67" t="str">
        <f>IFERROR(IF(VLOOKUP($A221,Osnova!$A:$E,1)=$A221,VLOOKUP($A221,Osnova!$A:$E,$E$10)),"")</f>
        <v/>
      </c>
      <c r="C221" s="68" t="e">
        <f>IF(VLOOKUP($A221,Osnova!$A:$C,1)=$A221,VLOOKUP($A221,Osnova!$A:$F,4),0)</f>
        <v>#N/A</v>
      </c>
      <c r="D221" s="77"/>
      <c r="E221" s="78"/>
      <c r="F221" s="70">
        <f t="shared" si="6"/>
        <v>0</v>
      </c>
      <c r="G221" s="77"/>
      <c r="H221" s="77"/>
      <c r="I221" s="70">
        <f t="shared" si="7"/>
        <v>0</v>
      </c>
    </row>
    <row r="222" spans="1:9" x14ac:dyDescent="0.25">
      <c r="A222" s="79"/>
      <c r="B222" s="67" t="str">
        <f>IFERROR(IF(VLOOKUP($A222,Osnova!$A:$E,1)=$A222,VLOOKUP($A222,Osnova!$A:$E,$E$10)),"")</f>
        <v/>
      </c>
      <c r="C222" s="68" t="e">
        <f>IF(VLOOKUP($A222,Osnova!$A:$C,1)=$A222,VLOOKUP($A222,Osnova!$A:$F,4),0)</f>
        <v>#N/A</v>
      </c>
      <c r="D222" s="77"/>
      <c r="E222" s="78"/>
      <c r="F222" s="70">
        <f t="shared" si="6"/>
        <v>0</v>
      </c>
      <c r="G222" s="77"/>
      <c r="H222" s="77"/>
      <c r="I222" s="70">
        <f t="shared" si="7"/>
        <v>0</v>
      </c>
    </row>
    <row r="223" spans="1:9" x14ac:dyDescent="0.25">
      <c r="A223" s="79"/>
      <c r="B223" s="67" t="str">
        <f>IFERROR(IF(VLOOKUP($A223,Osnova!$A:$E,1)=$A223,VLOOKUP($A223,Osnova!$A:$E,$E$10)),"")</f>
        <v/>
      </c>
      <c r="C223" s="68" t="e">
        <f>IF(VLOOKUP($A223,Osnova!$A:$C,1)=$A223,VLOOKUP($A223,Osnova!$A:$F,4),0)</f>
        <v>#N/A</v>
      </c>
      <c r="D223" s="77"/>
      <c r="E223" s="78"/>
      <c r="F223" s="70">
        <f t="shared" si="6"/>
        <v>0</v>
      </c>
      <c r="G223" s="77"/>
      <c r="H223" s="77"/>
      <c r="I223" s="70">
        <f t="shared" si="7"/>
        <v>0</v>
      </c>
    </row>
    <row r="224" spans="1:9" x14ac:dyDescent="0.25">
      <c r="A224" s="79"/>
      <c r="B224" s="67" t="str">
        <f>IFERROR(IF(VLOOKUP($A224,Osnova!$A:$E,1)=$A224,VLOOKUP($A224,Osnova!$A:$E,$E$10)),"")</f>
        <v/>
      </c>
      <c r="C224" s="68" t="e">
        <f>IF(VLOOKUP($A224,Osnova!$A:$C,1)=$A224,VLOOKUP($A224,Osnova!$A:$F,4),0)</f>
        <v>#N/A</v>
      </c>
      <c r="D224" s="77"/>
      <c r="E224" s="78"/>
      <c r="F224" s="70">
        <f t="shared" si="6"/>
        <v>0</v>
      </c>
      <c r="G224" s="77"/>
      <c r="H224" s="77"/>
      <c r="I224" s="70">
        <f t="shared" si="7"/>
        <v>0</v>
      </c>
    </row>
    <row r="225" spans="1:9" x14ac:dyDescent="0.25">
      <c r="A225" s="79"/>
      <c r="B225" s="67" t="str">
        <f>IFERROR(IF(VLOOKUP($A225,Osnova!$A:$E,1)=$A225,VLOOKUP($A225,Osnova!$A:$E,$E$10)),"")</f>
        <v/>
      </c>
      <c r="C225" s="68" t="e">
        <f>IF(VLOOKUP($A225,Osnova!$A:$C,1)=$A225,VLOOKUP($A225,Osnova!$A:$F,4),0)</f>
        <v>#N/A</v>
      </c>
      <c r="D225" s="77"/>
      <c r="E225" s="78"/>
      <c r="F225" s="70">
        <f t="shared" si="6"/>
        <v>0</v>
      </c>
      <c r="G225" s="77"/>
      <c r="H225" s="77"/>
      <c r="I225" s="70">
        <f t="shared" si="7"/>
        <v>0</v>
      </c>
    </row>
    <row r="226" spans="1:9" x14ac:dyDescent="0.25">
      <c r="A226" s="79"/>
      <c r="B226" s="67" t="str">
        <f>IFERROR(IF(VLOOKUP($A226,Osnova!$A:$E,1)=$A226,VLOOKUP($A226,Osnova!$A:$E,$E$10)),"")</f>
        <v/>
      </c>
      <c r="C226" s="68" t="e">
        <f>IF(VLOOKUP($A226,Osnova!$A:$C,1)=$A226,VLOOKUP($A226,Osnova!$A:$F,4),0)</f>
        <v>#N/A</v>
      </c>
      <c r="D226" s="77"/>
      <c r="E226" s="78"/>
      <c r="F226" s="70">
        <f t="shared" si="6"/>
        <v>0</v>
      </c>
      <c r="G226" s="77"/>
      <c r="H226" s="77"/>
      <c r="I226" s="70">
        <f t="shared" si="7"/>
        <v>0</v>
      </c>
    </row>
    <row r="227" spans="1:9" x14ac:dyDescent="0.25">
      <c r="A227" s="79"/>
      <c r="B227" s="67" t="str">
        <f>IFERROR(IF(VLOOKUP($A227,Osnova!$A:$E,1)=$A227,VLOOKUP($A227,Osnova!$A:$E,$E$10)),"")</f>
        <v/>
      </c>
      <c r="C227" s="68" t="e">
        <f>IF(VLOOKUP($A227,Osnova!$A:$C,1)=$A227,VLOOKUP($A227,Osnova!$A:$F,4),0)</f>
        <v>#N/A</v>
      </c>
      <c r="D227" s="77"/>
      <c r="E227" s="78"/>
      <c r="F227" s="70">
        <f t="shared" si="6"/>
        <v>0</v>
      </c>
      <c r="G227" s="77"/>
      <c r="H227" s="77"/>
      <c r="I227" s="70">
        <f t="shared" si="7"/>
        <v>0</v>
      </c>
    </row>
    <row r="228" spans="1:9" x14ac:dyDescent="0.25">
      <c r="A228" s="79"/>
      <c r="B228" s="67" t="str">
        <f>IFERROR(IF(VLOOKUP($A228,Osnova!$A:$E,1)=$A228,VLOOKUP($A228,Osnova!$A:$E,$E$10)),"")</f>
        <v/>
      </c>
      <c r="C228" s="68" t="e">
        <f>IF(VLOOKUP($A228,Osnova!$A:$C,1)=$A228,VLOOKUP($A228,Osnova!$A:$F,4),0)</f>
        <v>#N/A</v>
      </c>
      <c r="D228" s="77"/>
      <c r="E228" s="78"/>
      <c r="F228" s="70">
        <f t="shared" si="6"/>
        <v>0</v>
      </c>
      <c r="G228" s="77"/>
      <c r="H228" s="77"/>
      <c r="I228" s="70">
        <f t="shared" si="7"/>
        <v>0</v>
      </c>
    </row>
    <row r="229" spans="1:9" x14ac:dyDescent="0.25">
      <c r="A229" s="79"/>
      <c r="B229" s="67" t="str">
        <f>IFERROR(IF(VLOOKUP($A229,Osnova!$A:$E,1)=$A229,VLOOKUP($A229,Osnova!$A:$E,$E$10)),"")</f>
        <v/>
      </c>
      <c r="C229" s="68" t="e">
        <f>IF(VLOOKUP($A229,Osnova!$A:$C,1)=$A229,VLOOKUP($A229,Osnova!$A:$F,4),0)</f>
        <v>#N/A</v>
      </c>
      <c r="D229" s="77"/>
      <c r="E229" s="78"/>
      <c r="F229" s="70">
        <f t="shared" si="6"/>
        <v>0</v>
      </c>
      <c r="G229" s="77"/>
      <c r="H229" s="77"/>
      <c r="I229" s="70">
        <f t="shared" si="7"/>
        <v>0</v>
      </c>
    </row>
    <row r="230" spans="1:9" x14ac:dyDescent="0.25">
      <c r="A230" s="79"/>
      <c r="B230" s="67" t="str">
        <f>IFERROR(IF(VLOOKUP($A230,Osnova!$A:$E,1)=$A230,VLOOKUP($A230,Osnova!$A:$E,$E$10)),"")</f>
        <v/>
      </c>
      <c r="C230" s="68" t="e">
        <f>IF(VLOOKUP($A230,Osnova!$A:$C,1)=$A230,VLOOKUP($A230,Osnova!$A:$F,4),0)</f>
        <v>#N/A</v>
      </c>
      <c r="D230" s="77"/>
      <c r="E230" s="78"/>
      <c r="F230" s="70">
        <f t="shared" si="6"/>
        <v>0</v>
      </c>
      <c r="G230" s="77"/>
      <c r="H230" s="77"/>
      <c r="I230" s="70">
        <f t="shared" si="7"/>
        <v>0</v>
      </c>
    </row>
    <row r="231" spans="1:9" x14ac:dyDescent="0.25">
      <c r="A231" s="79"/>
      <c r="B231" s="67" t="str">
        <f>IFERROR(IF(VLOOKUP($A231,Osnova!$A:$E,1)=$A231,VLOOKUP($A231,Osnova!$A:$E,$E$10)),"")</f>
        <v/>
      </c>
      <c r="C231" s="68" t="e">
        <f>IF(VLOOKUP($A231,Osnova!$A:$C,1)=$A231,VLOOKUP($A231,Osnova!$A:$F,4),0)</f>
        <v>#N/A</v>
      </c>
      <c r="D231" s="77"/>
      <c r="E231" s="78"/>
      <c r="F231" s="70">
        <f t="shared" si="6"/>
        <v>0</v>
      </c>
      <c r="G231" s="77"/>
      <c r="H231" s="77"/>
      <c r="I231" s="70">
        <f t="shared" si="7"/>
        <v>0</v>
      </c>
    </row>
    <row r="232" spans="1:9" x14ac:dyDescent="0.25">
      <c r="A232" s="79"/>
      <c r="B232" s="67" t="str">
        <f>IFERROR(IF(VLOOKUP($A232,Osnova!$A:$E,1)=$A232,VLOOKUP($A232,Osnova!$A:$E,$E$10)),"")</f>
        <v/>
      </c>
      <c r="C232" s="68" t="e">
        <f>IF(VLOOKUP($A232,Osnova!$A:$C,1)=$A232,VLOOKUP($A232,Osnova!$A:$F,4),0)</f>
        <v>#N/A</v>
      </c>
      <c r="D232" s="77"/>
      <c r="E232" s="78"/>
      <c r="F232" s="70">
        <f t="shared" si="6"/>
        <v>0</v>
      </c>
      <c r="G232" s="77"/>
      <c r="H232" s="77"/>
      <c r="I232" s="70">
        <f t="shared" si="7"/>
        <v>0</v>
      </c>
    </row>
    <row r="233" spans="1:9" x14ac:dyDescent="0.25">
      <c r="A233" s="79"/>
      <c r="B233" s="67" t="str">
        <f>IFERROR(IF(VLOOKUP($A233,Osnova!$A:$E,1)=$A233,VLOOKUP($A233,Osnova!$A:$E,$E$10)),"")</f>
        <v/>
      </c>
      <c r="C233" s="68" t="e">
        <f>IF(VLOOKUP($A233,Osnova!$A:$C,1)=$A233,VLOOKUP($A233,Osnova!$A:$F,4),0)</f>
        <v>#N/A</v>
      </c>
      <c r="D233" s="77"/>
      <c r="E233" s="78"/>
      <c r="F233" s="70">
        <f t="shared" si="6"/>
        <v>0</v>
      </c>
      <c r="G233" s="77"/>
      <c r="H233" s="77"/>
      <c r="I233" s="70">
        <f t="shared" si="7"/>
        <v>0</v>
      </c>
    </row>
    <row r="234" spans="1:9" x14ac:dyDescent="0.25">
      <c r="A234" s="79"/>
      <c r="B234" s="67" t="str">
        <f>IFERROR(IF(VLOOKUP($A234,Osnova!$A:$E,1)=$A234,VLOOKUP($A234,Osnova!$A:$E,$E$10)),"")</f>
        <v/>
      </c>
      <c r="C234" s="68" t="e">
        <f>IF(VLOOKUP($A234,Osnova!$A:$C,1)=$A234,VLOOKUP($A234,Osnova!$A:$F,4),0)</f>
        <v>#N/A</v>
      </c>
      <c r="D234" s="77"/>
      <c r="E234" s="78"/>
      <c r="F234" s="70">
        <f t="shared" si="6"/>
        <v>0</v>
      </c>
      <c r="G234" s="77"/>
      <c r="H234" s="77"/>
      <c r="I234" s="70">
        <f t="shared" si="7"/>
        <v>0</v>
      </c>
    </row>
    <row r="235" spans="1:9" x14ac:dyDescent="0.25">
      <c r="A235" s="79"/>
      <c r="B235" s="67" t="str">
        <f>IFERROR(IF(VLOOKUP($A235,Osnova!$A:$E,1)=$A235,VLOOKUP($A235,Osnova!$A:$E,$E$10)),"")</f>
        <v/>
      </c>
      <c r="C235" s="68" t="e">
        <f>IF(VLOOKUP($A235,Osnova!$A:$C,1)=$A235,VLOOKUP($A235,Osnova!$A:$F,4),0)</f>
        <v>#N/A</v>
      </c>
      <c r="D235" s="77"/>
      <c r="E235" s="78"/>
      <c r="F235" s="70">
        <f t="shared" si="6"/>
        <v>0</v>
      </c>
      <c r="G235" s="77"/>
      <c r="H235" s="77"/>
      <c r="I235" s="70">
        <f t="shared" si="7"/>
        <v>0</v>
      </c>
    </row>
    <row r="236" spans="1:9" x14ac:dyDescent="0.25">
      <c r="A236" s="79"/>
      <c r="B236" s="67" t="str">
        <f>IFERROR(IF(VLOOKUP($A236,Osnova!$A:$E,1)=$A236,VLOOKUP($A236,Osnova!$A:$E,$E$10)),"")</f>
        <v/>
      </c>
      <c r="C236" s="68" t="e">
        <f>IF(VLOOKUP($A236,Osnova!$A:$C,1)=$A236,VLOOKUP($A236,Osnova!$A:$F,4),0)</f>
        <v>#N/A</v>
      </c>
      <c r="D236" s="77"/>
      <c r="E236" s="78"/>
      <c r="F236" s="70">
        <f t="shared" si="6"/>
        <v>0</v>
      </c>
      <c r="G236" s="77"/>
      <c r="H236" s="77"/>
      <c r="I236" s="70">
        <f t="shared" si="7"/>
        <v>0</v>
      </c>
    </row>
    <row r="237" spans="1:9" x14ac:dyDescent="0.25">
      <c r="A237" s="79"/>
      <c r="B237" s="67" t="str">
        <f>IFERROR(IF(VLOOKUP($A237,Osnova!$A:$E,1)=$A237,VLOOKUP($A237,Osnova!$A:$E,$E$10)),"")</f>
        <v/>
      </c>
      <c r="C237" s="68" t="e">
        <f>IF(VLOOKUP($A237,Osnova!$A:$C,1)=$A237,VLOOKUP($A237,Osnova!$A:$F,4),0)</f>
        <v>#N/A</v>
      </c>
      <c r="D237" s="77"/>
      <c r="E237" s="78"/>
      <c r="F237" s="70">
        <f t="shared" si="6"/>
        <v>0</v>
      </c>
      <c r="G237" s="77"/>
      <c r="H237" s="77"/>
      <c r="I237" s="70">
        <f t="shared" si="7"/>
        <v>0</v>
      </c>
    </row>
    <row r="238" spans="1:9" x14ac:dyDescent="0.25">
      <c r="A238" s="79"/>
      <c r="B238" s="67" t="str">
        <f>IFERROR(IF(VLOOKUP($A238,Osnova!$A:$E,1)=$A238,VLOOKUP($A238,Osnova!$A:$E,$E$10)),"")</f>
        <v/>
      </c>
      <c r="C238" s="68" t="e">
        <f>IF(VLOOKUP($A238,Osnova!$A:$C,1)=$A238,VLOOKUP($A238,Osnova!$A:$F,4),0)</f>
        <v>#N/A</v>
      </c>
      <c r="D238" s="77"/>
      <c r="E238" s="78"/>
      <c r="F238" s="70">
        <f t="shared" si="6"/>
        <v>0</v>
      </c>
      <c r="G238" s="77"/>
      <c r="H238" s="77"/>
      <c r="I238" s="70">
        <f t="shared" si="7"/>
        <v>0</v>
      </c>
    </row>
    <row r="239" spans="1:9" x14ac:dyDescent="0.25">
      <c r="A239" s="79"/>
      <c r="B239" s="67" t="str">
        <f>IFERROR(IF(VLOOKUP($A239,Osnova!$A:$E,1)=$A239,VLOOKUP($A239,Osnova!$A:$E,$E$10)),"")</f>
        <v/>
      </c>
      <c r="C239" s="68" t="e">
        <f>IF(VLOOKUP($A239,Osnova!$A:$C,1)=$A239,VLOOKUP($A239,Osnova!$A:$F,4),0)</f>
        <v>#N/A</v>
      </c>
      <c r="D239" s="77"/>
      <c r="E239" s="78"/>
      <c r="F239" s="70">
        <f t="shared" si="6"/>
        <v>0</v>
      </c>
      <c r="G239" s="77"/>
      <c r="H239" s="77"/>
      <c r="I239" s="70">
        <f t="shared" si="7"/>
        <v>0</v>
      </c>
    </row>
    <row r="240" spans="1:9" x14ac:dyDescent="0.25">
      <c r="A240" s="79"/>
      <c r="B240" s="67" t="str">
        <f>IFERROR(IF(VLOOKUP($A240,Osnova!$A:$E,1)=$A240,VLOOKUP($A240,Osnova!$A:$E,$E$10)),"")</f>
        <v/>
      </c>
      <c r="C240" s="68" t="e">
        <f>IF(VLOOKUP($A240,Osnova!$A:$C,1)=$A240,VLOOKUP($A240,Osnova!$A:$F,4),0)</f>
        <v>#N/A</v>
      </c>
      <c r="D240" s="77"/>
      <c r="E240" s="78"/>
      <c r="F240" s="70">
        <f t="shared" si="6"/>
        <v>0</v>
      </c>
      <c r="G240" s="77"/>
      <c r="H240" s="77"/>
      <c r="I240" s="70">
        <f t="shared" si="7"/>
        <v>0</v>
      </c>
    </row>
    <row r="241" spans="1:9" s="54" customFormat="1" ht="11.25" x14ac:dyDescent="0.2">
      <c r="A241" s="80"/>
      <c r="B241" s="67" t="str">
        <f>IFERROR(IF(VLOOKUP($A241,Osnova!$A:$E,1)=$A241,VLOOKUP($A241,Osnova!$A:$E,$E$10)),"")</f>
        <v/>
      </c>
      <c r="C241" s="81" t="e">
        <f>IF(VLOOKUP($A241,Osnova!$A:$C,1)=$A241,VLOOKUP($A241,Osnova!$A:$F,4),0)</f>
        <v>#N/A</v>
      </c>
      <c r="D241" s="77"/>
      <c r="E241" s="82"/>
      <c r="F241" s="70">
        <f t="shared" si="6"/>
        <v>0</v>
      </c>
      <c r="G241" s="77"/>
      <c r="H241" s="77"/>
      <c r="I241" s="53">
        <f t="shared" si="7"/>
        <v>0</v>
      </c>
    </row>
    <row r="242" spans="1:9" x14ac:dyDescent="0.25">
      <c r="A242" s="80"/>
      <c r="B242" s="67" t="str">
        <f>IFERROR(IF(VLOOKUP($A242,Osnova!$A:$E,1)=$A242,VLOOKUP($A242,Osnova!$A:$E,$E$10)),"")</f>
        <v/>
      </c>
      <c r="C242" s="81" t="e">
        <f>IF(VLOOKUP($A242,Osnova!$A:$C,1)=$A242,VLOOKUP($A242,Osnova!$A:$F,4),0)</f>
        <v>#N/A</v>
      </c>
      <c r="D242" s="77"/>
      <c r="E242" s="82"/>
      <c r="F242" s="70">
        <f t="shared" si="6"/>
        <v>0</v>
      </c>
      <c r="G242" s="77"/>
      <c r="H242" s="77"/>
      <c r="I242" s="53">
        <f t="shared" si="7"/>
        <v>0</v>
      </c>
    </row>
    <row r="243" spans="1:9" x14ac:dyDescent="0.25">
      <c r="A243" s="80"/>
      <c r="B243" s="67" t="str">
        <f>IFERROR(IF(VLOOKUP($A243,Osnova!$A:$E,1)=$A243,VLOOKUP($A243,Osnova!$A:$E,$E$10)),"")</f>
        <v/>
      </c>
      <c r="C243" s="81" t="e">
        <f>IF(VLOOKUP($A243,Osnova!$A:$C,1)=$A243,VLOOKUP($A243,Osnova!$A:$F,4),0)</f>
        <v>#N/A</v>
      </c>
      <c r="D243" s="77"/>
      <c r="E243" s="82"/>
      <c r="F243" s="70">
        <f t="shared" si="6"/>
        <v>0</v>
      </c>
      <c r="G243" s="77"/>
      <c r="H243" s="77"/>
      <c r="I243" s="53">
        <f t="shared" si="7"/>
        <v>0</v>
      </c>
    </row>
    <row r="244" spans="1:9" x14ac:dyDescent="0.25">
      <c r="A244" s="80"/>
      <c r="B244" s="67" t="str">
        <f>IFERROR(IF(VLOOKUP($A244,Osnova!$A:$E,1)=$A244,VLOOKUP($A244,Osnova!$A:$E,$E$10)),"")</f>
        <v/>
      </c>
      <c r="C244" s="81" t="e">
        <f>IF(VLOOKUP($A244,Osnova!$A:$C,1)=$A244,VLOOKUP($A244,Osnova!$A:$F,4),0)</f>
        <v>#N/A</v>
      </c>
      <c r="D244" s="77"/>
      <c r="E244" s="82"/>
      <c r="F244" s="70">
        <f t="shared" si="6"/>
        <v>0</v>
      </c>
      <c r="G244" s="77"/>
      <c r="H244" s="77"/>
      <c r="I244" s="53">
        <f t="shared" si="7"/>
        <v>0</v>
      </c>
    </row>
    <row r="245" spans="1:9" x14ac:dyDescent="0.25">
      <c r="A245" s="80"/>
      <c r="B245" s="67" t="str">
        <f>IFERROR(IF(VLOOKUP($A245,Osnova!$A:$E,1)=$A245,VLOOKUP($A245,Osnova!$A:$E,$E$10)),"")</f>
        <v/>
      </c>
      <c r="C245" s="81" t="e">
        <f>IF(VLOOKUP($A245,Osnova!$A:$C,1)=$A245,VLOOKUP($A245,Osnova!$A:$F,4),0)</f>
        <v>#N/A</v>
      </c>
      <c r="D245" s="77"/>
      <c r="E245" s="82"/>
      <c r="F245" s="70">
        <f t="shared" si="6"/>
        <v>0</v>
      </c>
      <c r="G245" s="77"/>
      <c r="H245" s="77"/>
      <c r="I245" s="53">
        <f t="shared" si="7"/>
        <v>0</v>
      </c>
    </row>
    <row r="246" spans="1:9" x14ac:dyDescent="0.25">
      <c r="A246" s="80"/>
      <c r="B246" s="67" t="str">
        <f>IFERROR(IF(VLOOKUP($A246,Osnova!$A:$E,1)=$A246,VLOOKUP($A246,Osnova!$A:$E,$E$10)),"")</f>
        <v/>
      </c>
      <c r="C246" s="81" t="e">
        <f>IF(VLOOKUP($A246,Osnova!$A:$C,1)=$A246,VLOOKUP($A246,Osnova!$A:$F,4),0)</f>
        <v>#N/A</v>
      </c>
      <c r="D246" s="77"/>
      <c r="E246" s="82"/>
      <c r="F246" s="70">
        <f t="shared" si="6"/>
        <v>0</v>
      </c>
      <c r="G246" s="77"/>
      <c r="H246" s="77"/>
      <c r="I246" s="53">
        <f t="shared" si="7"/>
        <v>0</v>
      </c>
    </row>
    <row r="247" spans="1:9" x14ac:dyDescent="0.25">
      <c r="A247" s="80"/>
      <c r="B247" s="67" t="str">
        <f>IFERROR(IF(VLOOKUP($A247,Osnova!$A:$E,1)=$A247,VLOOKUP($A247,Osnova!$A:$E,$E$10)),"")</f>
        <v/>
      </c>
      <c r="C247" s="81" t="e">
        <f>IF(VLOOKUP($A247,Osnova!$A:$C,1)=$A247,VLOOKUP($A247,Osnova!$A:$F,4),0)</f>
        <v>#N/A</v>
      </c>
      <c r="D247" s="77"/>
      <c r="E247" s="82"/>
      <c r="F247" s="70">
        <f t="shared" si="6"/>
        <v>0</v>
      </c>
      <c r="G247" s="77"/>
      <c r="H247" s="77"/>
      <c r="I247" s="53">
        <f t="shared" si="7"/>
        <v>0</v>
      </c>
    </row>
    <row r="248" spans="1:9" x14ac:dyDescent="0.25">
      <c r="A248" s="80"/>
      <c r="B248" s="67" t="str">
        <f>IFERROR(IF(VLOOKUP($A248,Osnova!$A:$E,1)=$A248,VLOOKUP($A248,Osnova!$A:$E,$E$10)),"")</f>
        <v/>
      </c>
      <c r="C248" s="81" t="e">
        <f>IF(VLOOKUP($A248,Osnova!$A:$C,1)=$A248,VLOOKUP($A248,Osnova!$A:$F,4),0)</f>
        <v>#N/A</v>
      </c>
      <c r="D248" s="77"/>
      <c r="E248" s="82"/>
      <c r="F248" s="70">
        <f t="shared" si="6"/>
        <v>0</v>
      </c>
      <c r="G248" s="77"/>
      <c r="H248" s="77"/>
      <c r="I248" s="53">
        <f t="shared" si="7"/>
        <v>0</v>
      </c>
    </row>
    <row r="249" spans="1:9" x14ac:dyDescent="0.25">
      <c r="A249" s="80"/>
      <c r="B249" s="67" t="str">
        <f>IFERROR(IF(VLOOKUP($A249,Osnova!$A:$E,1)=$A249,VLOOKUP($A249,Osnova!$A:$E,$E$10)),"")</f>
        <v/>
      </c>
      <c r="C249" s="81" t="e">
        <f>IF(VLOOKUP($A249,Osnova!$A:$C,1)=$A249,VLOOKUP($A249,Osnova!$A:$F,4),0)</f>
        <v>#N/A</v>
      </c>
      <c r="D249" s="77"/>
      <c r="E249" s="82"/>
      <c r="F249" s="70">
        <f t="shared" si="6"/>
        <v>0</v>
      </c>
      <c r="G249" s="77"/>
      <c r="H249" s="77"/>
      <c r="I249" s="53">
        <f t="shared" si="7"/>
        <v>0</v>
      </c>
    </row>
    <row r="250" spans="1:9" x14ac:dyDescent="0.25">
      <c r="A250" s="80"/>
      <c r="B250" s="67" t="str">
        <f>IFERROR(IF(VLOOKUP($A250,Osnova!$A:$E,1)=$A250,VLOOKUP($A250,Osnova!$A:$E,$E$10)),"")</f>
        <v/>
      </c>
      <c r="C250" s="81" t="e">
        <f>IF(VLOOKUP($A250,Osnova!$A:$C,1)=$A250,VLOOKUP($A250,Osnova!$A:$F,4),0)</f>
        <v>#N/A</v>
      </c>
      <c r="D250" s="77"/>
      <c r="E250" s="82"/>
      <c r="F250" s="70">
        <f t="shared" si="6"/>
        <v>0</v>
      </c>
      <c r="G250" s="77"/>
      <c r="H250" s="77"/>
      <c r="I250" s="53">
        <f t="shared" si="7"/>
        <v>0</v>
      </c>
    </row>
    <row r="251" spans="1:9" x14ac:dyDescent="0.25">
      <c r="A251" s="80"/>
      <c r="B251" s="67" t="str">
        <f>IFERROR(IF(VLOOKUP($A251,Osnova!$A:$E,1)=$A251,VLOOKUP($A251,Osnova!$A:$E,$E$10)),"")</f>
        <v/>
      </c>
      <c r="C251" s="81" t="e">
        <f>IF(VLOOKUP($A251,Osnova!$A:$C,1)=$A251,VLOOKUP($A251,Osnova!$A:$F,4),0)</f>
        <v>#N/A</v>
      </c>
      <c r="D251" s="77"/>
      <c r="E251" s="82"/>
      <c r="F251" s="70">
        <f t="shared" si="6"/>
        <v>0</v>
      </c>
      <c r="G251" s="77"/>
      <c r="H251" s="77"/>
      <c r="I251" s="53">
        <f t="shared" si="7"/>
        <v>0</v>
      </c>
    </row>
    <row r="252" spans="1:9" x14ac:dyDescent="0.25">
      <c r="A252" s="80"/>
      <c r="B252" s="67" t="str">
        <f>IFERROR(IF(VLOOKUP($A252,Osnova!$A:$E,1)=$A252,VLOOKUP($A252,Osnova!$A:$E,$E$10)),"")</f>
        <v/>
      </c>
      <c r="C252" s="81" t="e">
        <f>IF(VLOOKUP($A252,Osnova!$A:$C,1)=$A252,VLOOKUP($A252,Osnova!$A:$F,4),0)</f>
        <v>#N/A</v>
      </c>
      <c r="D252" s="77"/>
      <c r="E252" s="82"/>
      <c r="F252" s="70">
        <f t="shared" si="6"/>
        <v>0</v>
      </c>
      <c r="G252" s="77"/>
      <c r="H252" s="77"/>
      <c r="I252" s="53">
        <f t="shared" si="7"/>
        <v>0</v>
      </c>
    </row>
    <row r="253" spans="1:9" x14ac:dyDescent="0.25">
      <c r="A253" s="80"/>
      <c r="B253" s="67" t="str">
        <f>IFERROR(IF(VLOOKUP($A253,Osnova!$A:$E,1)=$A253,VLOOKUP($A253,Osnova!$A:$E,$E$10)),"")</f>
        <v/>
      </c>
      <c r="C253" s="81" t="e">
        <f>IF(VLOOKUP($A253,Osnova!$A:$C,1)=$A253,VLOOKUP($A253,Osnova!$A:$F,4),0)</f>
        <v>#N/A</v>
      </c>
      <c r="D253" s="77"/>
      <c r="E253" s="82"/>
      <c r="F253" s="70">
        <f t="shared" si="6"/>
        <v>0</v>
      </c>
      <c r="G253" s="77"/>
      <c r="H253" s="77"/>
      <c r="I253" s="53">
        <f t="shared" si="7"/>
        <v>0</v>
      </c>
    </row>
    <row r="254" spans="1:9" x14ac:dyDescent="0.25">
      <c r="A254" s="80"/>
      <c r="B254" s="67" t="str">
        <f>IFERROR(IF(VLOOKUP($A254,Osnova!$A:$E,1)=$A254,VLOOKUP($A254,Osnova!$A:$E,$E$10)),"")</f>
        <v/>
      </c>
      <c r="C254" s="81" t="e">
        <f>IF(VLOOKUP($A254,Osnova!$A:$C,1)=$A254,VLOOKUP($A254,Osnova!$A:$F,4),0)</f>
        <v>#N/A</v>
      </c>
      <c r="D254" s="77"/>
      <c r="E254" s="82"/>
      <c r="F254" s="70">
        <f t="shared" si="6"/>
        <v>0</v>
      </c>
      <c r="G254" s="77"/>
      <c r="H254" s="77"/>
      <c r="I254" s="53">
        <f t="shared" si="7"/>
        <v>0</v>
      </c>
    </row>
    <row r="255" spans="1:9" x14ac:dyDescent="0.25">
      <c r="A255" s="80"/>
      <c r="B255" s="67" t="str">
        <f>IFERROR(IF(VLOOKUP($A255,Osnova!$A:$E,1)=$A255,VLOOKUP($A255,Osnova!$A:$E,$E$10)),"")</f>
        <v/>
      </c>
      <c r="C255" s="81" t="e">
        <f>IF(VLOOKUP($A255,Osnova!$A:$C,1)=$A255,VLOOKUP($A255,Osnova!$A:$F,4),0)</f>
        <v>#N/A</v>
      </c>
      <c r="D255" s="77"/>
      <c r="E255" s="82"/>
      <c r="F255" s="70">
        <f t="shared" si="6"/>
        <v>0</v>
      </c>
      <c r="G255" s="77"/>
      <c r="H255" s="77"/>
      <c r="I255" s="53">
        <f t="shared" si="7"/>
        <v>0</v>
      </c>
    </row>
    <row r="256" spans="1:9" x14ac:dyDescent="0.25">
      <c r="A256" s="80"/>
      <c r="B256" s="67" t="str">
        <f>IFERROR(IF(VLOOKUP($A256,Osnova!$A:$E,1)=$A256,VLOOKUP($A256,Osnova!$A:$E,$E$10)),"")</f>
        <v/>
      </c>
      <c r="C256" s="81" t="e">
        <f>IF(VLOOKUP($A256,Osnova!$A:$C,1)=$A256,VLOOKUP($A256,Osnova!$A:$F,4),0)</f>
        <v>#N/A</v>
      </c>
      <c r="D256" s="77"/>
      <c r="E256" s="82"/>
      <c r="F256" s="70">
        <f t="shared" si="6"/>
        <v>0</v>
      </c>
      <c r="G256" s="77"/>
      <c r="H256" s="77"/>
      <c r="I256" s="53">
        <f t="shared" si="7"/>
        <v>0</v>
      </c>
    </row>
    <row r="257" spans="1:9" x14ac:dyDescent="0.25">
      <c r="A257" s="80"/>
      <c r="B257" s="67" t="str">
        <f>IFERROR(IF(VLOOKUP($A257,Osnova!$A:$E,1)=$A257,VLOOKUP($A257,Osnova!$A:$E,$E$10)),"")</f>
        <v/>
      </c>
      <c r="C257" s="81" t="e">
        <f>IF(VLOOKUP($A257,Osnova!$A:$C,1)=$A257,VLOOKUP($A257,Osnova!$A:$F,4),0)</f>
        <v>#N/A</v>
      </c>
      <c r="D257" s="77"/>
      <c r="E257" s="82"/>
      <c r="F257" s="70">
        <f t="shared" si="6"/>
        <v>0</v>
      </c>
      <c r="G257" s="77"/>
      <c r="H257" s="77"/>
      <c r="I257" s="53">
        <f t="shared" si="7"/>
        <v>0</v>
      </c>
    </row>
    <row r="258" spans="1:9" x14ac:dyDescent="0.25">
      <c r="A258" s="80"/>
      <c r="B258" s="67" t="str">
        <f>IFERROR(IF(VLOOKUP($A258,Osnova!$A:$E,1)=$A258,VLOOKUP($A258,Osnova!$A:$E,$E$10)),"")</f>
        <v/>
      </c>
      <c r="C258" s="81" t="e">
        <f>IF(VLOOKUP($A258,Osnova!$A:$C,1)=$A258,VLOOKUP($A258,Osnova!$A:$F,4),0)</f>
        <v>#N/A</v>
      </c>
      <c r="D258" s="77"/>
      <c r="E258" s="82"/>
      <c r="F258" s="70">
        <f t="shared" si="6"/>
        <v>0</v>
      </c>
      <c r="G258" s="77"/>
      <c r="H258" s="77"/>
      <c r="I258" s="53">
        <f t="shared" si="7"/>
        <v>0</v>
      </c>
    </row>
    <row r="259" spans="1:9" x14ac:dyDescent="0.25">
      <c r="A259" s="80"/>
      <c r="B259" s="67" t="str">
        <f>IFERROR(IF(VLOOKUP($A259,Osnova!$A:$E,1)=$A259,VLOOKUP($A259,Osnova!$A:$E,$E$10)),"")</f>
        <v/>
      </c>
      <c r="C259" s="81" t="e">
        <f>IF(VLOOKUP($A259,Osnova!$A:$C,1)=$A259,VLOOKUP($A259,Osnova!$A:$F,4),0)</f>
        <v>#N/A</v>
      </c>
      <c r="D259" s="77"/>
      <c r="E259" s="82"/>
      <c r="F259" s="70">
        <f t="shared" si="6"/>
        <v>0</v>
      </c>
      <c r="G259" s="77"/>
      <c r="H259" s="77"/>
      <c r="I259" s="53">
        <f t="shared" si="7"/>
        <v>0</v>
      </c>
    </row>
    <row r="260" spans="1:9" x14ac:dyDescent="0.25">
      <c r="A260" s="80"/>
      <c r="B260" s="67" t="str">
        <f>IFERROR(IF(VLOOKUP($A260,Osnova!$A:$E,1)=$A260,VLOOKUP($A260,Osnova!$A:$E,$E$10)),"")</f>
        <v/>
      </c>
      <c r="C260" s="81" t="e">
        <f>IF(VLOOKUP($A260,Osnova!$A:$C,1)=$A260,VLOOKUP($A260,Osnova!$A:$F,4),0)</f>
        <v>#N/A</v>
      </c>
      <c r="D260" s="77"/>
      <c r="E260" s="82"/>
      <c r="F260" s="70">
        <f t="shared" si="6"/>
        <v>0</v>
      </c>
      <c r="G260" s="77"/>
      <c r="H260" s="77"/>
      <c r="I260" s="53">
        <f t="shared" si="7"/>
        <v>0</v>
      </c>
    </row>
    <row r="261" spans="1:9" x14ac:dyDescent="0.25">
      <c r="A261" s="80"/>
      <c r="B261" s="67" t="str">
        <f>IFERROR(IF(VLOOKUP($A261,Osnova!$A:$E,1)=$A261,VLOOKUP($A261,Osnova!$A:$E,$E$10)),"")</f>
        <v/>
      </c>
      <c r="C261" s="81" t="e">
        <f>IF(VLOOKUP($A261,Osnova!$A:$C,1)=$A261,VLOOKUP($A261,Osnova!$A:$F,4),0)</f>
        <v>#N/A</v>
      </c>
      <c r="D261" s="77"/>
      <c r="E261" s="82"/>
      <c r="F261" s="70">
        <f t="shared" si="6"/>
        <v>0</v>
      </c>
      <c r="G261" s="77"/>
      <c r="H261" s="77"/>
      <c r="I261" s="53">
        <f t="shared" si="7"/>
        <v>0</v>
      </c>
    </row>
    <row r="262" spans="1:9" x14ac:dyDescent="0.25">
      <c r="A262" s="80"/>
      <c r="B262" s="67" t="str">
        <f>IFERROR(IF(VLOOKUP($A262,Osnova!$A:$E,1)=$A262,VLOOKUP($A262,Osnova!$A:$E,$E$10)),"")</f>
        <v/>
      </c>
      <c r="C262" s="81" t="e">
        <f>IF(VLOOKUP($A262,Osnova!$A:$C,1)=$A262,VLOOKUP($A262,Osnova!$A:$F,4),0)</f>
        <v>#N/A</v>
      </c>
      <c r="D262" s="77"/>
      <c r="E262" s="82"/>
      <c r="F262" s="70">
        <f t="shared" si="6"/>
        <v>0</v>
      </c>
      <c r="G262" s="77"/>
      <c r="H262" s="77"/>
      <c r="I262" s="53">
        <f t="shared" si="7"/>
        <v>0</v>
      </c>
    </row>
    <row r="263" spans="1:9" x14ac:dyDescent="0.25">
      <c r="A263" s="80"/>
      <c r="B263" s="67" t="str">
        <f>IFERROR(IF(VLOOKUP($A263,Osnova!$A:$E,1)=$A263,VLOOKUP($A263,Osnova!$A:$E,$E$10)),"")</f>
        <v/>
      </c>
      <c r="C263" s="81" t="e">
        <f>IF(VLOOKUP($A263,Osnova!$A:$C,1)=$A263,VLOOKUP($A263,Osnova!$A:$F,4),0)</f>
        <v>#N/A</v>
      </c>
      <c r="D263" s="77"/>
      <c r="E263" s="82"/>
      <c r="F263" s="70">
        <f t="shared" si="6"/>
        <v>0</v>
      </c>
      <c r="G263" s="77"/>
      <c r="H263" s="77"/>
      <c r="I263" s="53">
        <f t="shared" si="7"/>
        <v>0</v>
      </c>
    </row>
    <row r="264" spans="1:9" x14ac:dyDescent="0.25">
      <c r="A264" s="80"/>
      <c r="B264" s="67" t="str">
        <f>IFERROR(IF(VLOOKUP($A264,Osnova!$A:$E,1)=$A264,VLOOKUP($A264,Osnova!$A:$E,$E$10)),"")</f>
        <v/>
      </c>
      <c r="C264" s="81" t="e">
        <f>IF(VLOOKUP($A264,Osnova!$A:$C,1)=$A264,VLOOKUP($A264,Osnova!$A:$F,4),0)</f>
        <v>#N/A</v>
      </c>
      <c r="D264" s="77"/>
      <c r="E264" s="82"/>
      <c r="F264" s="70">
        <f t="shared" si="6"/>
        <v>0</v>
      </c>
      <c r="G264" s="77"/>
      <c r="H264" s="77"/>
      <c r="I264" s="53">
        <f t="shared" si="7"/>
        <v>0</v>
      </c>
    </row>
    <row r="265" spans="1:9" x14ac:dyDescent="0.25">
      <c r="A265" s="80"/>
      <c r="B265" s="67" t="str">
        <f>IFERROR(IF(VLOOKUP($A265,Osnova!$A:$E,1)=$A265,VLOOKUP($A265,Osnova!$A:$E,$E$10)),"")</f>
        <v/>
      </c>
      <c r="C265" s="81" t="e">
        <f>IF(VLOOKUP($A265,Osnova!$A:$C,1)=$A265,VLOOKUP($A265,Osnova!$A:$F,4),0)</f>
        <v>#N/A</v>
      </c>
      <c r="D265" s="77"/>
      <c r="E265" s="82"/>
      <c r="F265" s="70">
        <f t="shared" si="6"/>
        <v>0</v>
      </c>
      <c r="G265" s="77"/>
      <c r="H265" s="77"/>
      <c r="I265" s="53">
        <f t="shared" si="7"/>
        <v>0</v>
      </c>
    </row>
    <row r="266" spans="1:9" x14ac:dyDescent="0.25">
      <c r="A266" s="80"/>
      <c r="B266" s="67" t="str">
        <f>IFERROR(IF(VLOOKUP($A266,Osnova!$A:$E,1)=$A266,VLOOKUP($A266,Osnova!$A:$E,$E$10)),"")</f>
        <v/>
      </c>
      <c r="C266" s="81" t="e">
        <f>IF(VLOOKUP($A266,Osnova!$A:$C,1)=$A266,VLOOKUP($A266,Osnova!$A:$F,4),0)</f>
        <v>#N/A</v>
      </c>
      <c r="D266" s="77"/>
      <c r="E266" s="82"/>
      <c r="F266" s="70">
        <f t="shared" si="6"/>
        <v>0</v>
      </c>
      <c r="G266" s="77"/>
      <c r="H266" s="77"/>
      <c r="I266" s="53">
        <f t="shared" si="7"/>
        <v>0</v>
      </c>
    </row>
    <row r="267" spans="1:9" x14ac:dyDescent="0.25">
      <c r="A267" s="80"/>
      <c r="B267" s="67" t="str">
        <f>IFERROR(IF(VLOOKUP($A267,Osnova!$A:$E,1)=$A267,VLOOKUP($A267,Osnova!$A:$E,$E$10)),"")</f>
        <v/>
      </c>
      <c r="C267" s="81" t="e">
        <f>IF(VLOOKUP($A267,Osnova!$A:$C,1)=$A267,VLOOKUP($A267,Osnova!$A:$F,4),0)</f>
        <v>#N/A</v>
      </c>
      <c r="D267" s="77"/>
      <c r="E267" s="82"/>
      <c r="F267" s="70">
        <f t="shared" si="6"/>
        <v>0</v>
      </c>
      <c r="G267" s="77"/>
      <c r="H267" s="77"/>
      <c r="I267" s="53">
        <f t="shared" si="7"/>
        <v>0</v>
      </c>
    </row>
    <row r="268" spans="1:9" x14ac:dyDescent="0.25">
      <c r="A268" s="80"/>
      <c r="B268" s="67" t="str">
        <f>IFERROR(IF(VLOOKUP($A268,Osnova!$A:$E,1)=$A268,VLOOKUP($A268,Osnova!$A:$E,$E$10)),"")</f>
        <v/>
      </c>
      <c r="C268" s="81" t="e">
        <f>IF(VLOOKUP($A268,Osnova!$A:$C,1)=$A268,VLOOKUP($A268,Osnova!$A:$F,4),0)</f>
        <v>#N/A</v>
      </c>
      <c r="D268" s="77"/>
      <c r="E268" s="82"/>
      <c r="F268" s="70">
        <f t="shared" si="6"/>
        <v>0</v>
      </c>
      <c r="G268" s="77"/>
      <c r="H268" s="77"/>
      <c r="I268" s="53">
        <f t="shared" si="7"/>
        <v>0</v>
      </c>
    </row>
    <row r="269" spans="1:9" x14ac:dyDescent="0.25">
      <c r="A269" s="80"/>
      <c r="B269" s="67" t="str">
        <f>IFERROR(IF(VLOOKUP($A269,Osnova!$A:$E,1)=$A269,VLOOKUP($A269,Osnova!$A:$E,$E$10)),"")</f>
        <v/>
      </c>
      <c r="C269" s="81" t="e">
        <f>IF(VLOOKUP($A269,Osnova!$A:$C,1)=$A269,VLOOKUP($A269,Osnova!$A:$F,4),0)</f>
        <v>#N/A</v>
      </c>
      <c r="D269" s="77"/>
      <c r="E269" s="82"/>
      <c r="F269" s="70">
        <f t="shared" ref="F269:F332" si="8">SUM(D269-E269)</f>
        <v>0</v>
      </c>
      <c r="G269" s="77"/>
      <c r="H269" s="77"/>
      <c r="I269" s="53">
        <f t="shared" ref="I269:I332" si="9">SUM(F269+G269-H269)</f>
        <v>0</v>
      </c>
    </row>
    <row r="270" spans="1:9" x14ac:dyDescent="0.25">
      <c r="A270" s="80"/>
      <c r="B270" s="67" t="str">
        <f>IFERROR(IF(VLOOKUP($A270,Osnova!$A:$E,1)=$A270,VLOOKUP($A270,Osnova!$A:$E,$E$10)),"")</f>
        <v/>
      </c>
      <c r="C270" s="81" t="e">
        <f>IF(VLOOKUP($A270,Osnova!$A:$C,1)=$A270,VLOOKUP($A270,Osnova!$A:$F,4),0)</f>
        <v>#N/A</v>
      </c>
      <c r="D270" s="77"/>
      <c r="E270" s="82"/>
      <c r="F270" s="70">
        <f t="shared" si="8"/>
        <v>0</v>
      </c>
      <c r="G270" s="77"/>
      <c r="H270" s="77"/>
      <c r="I270" s="53">
        <f t="shared" si="9"/>
        <v>0</v>
      </c>
    </row>
    <row r="271" spans="1:9" x14ac:dyDescent="0.25">
      <c r="A271" s="80"/>
      <c r="B271" s="67" t="str">
        <f>IFERROR(IF(VLOOKUP($A271,Osnova!$A:$E,1)=$A271,VLOOKUP($A271,Osnova!$A:$E,$E$10)),"")</f>
        <v/>
      </c>
      <c r="C271" s="81" t="e">
        <f>IF(VLOOKUP($A271,Osnova!$A:$C,1)=$A271,VLOOKUP($A271,Osnova!$A:$F,4),0)</f>
        <v>#N/A</v>
      </c>
      <c r="D271" s="77"/>
      <c r="E271" s="82"/>
      <c r="F271" s="70">
        <f t="shared" si="8"/>
        <v>0</v>
      </c>
      <c r="G271" s="77"/>
      <c r="H271" s="77"/>
      <c r="I271" s="53">
        <f t="shared" si="9"/>
        <v>0</v>
      </c>
    </row>
    <row r="272" spans="1:9" x14ac:dyDescent="0.25">
      <c r="A272" s="80"/>
      <c r="B272" s="67" t="str">
        <f>IFERROR(IF(VLOOKUP($A272,Osnova!$A:$E,1)=$A272,VLOOKUP($A272,Osnova!$A:$E,$E$10)),"")</f>
        <v/>
      </c>
      <c r="C272" s="81" t="e">
        <f>IF(VLOOKUP($A272,Osnova!$A:$C,1)=$A272,VLOOKUP($A272,Osnova!$A:$F,4),0)</f>
        <v>#N/A</v>
      </c>
      <c r="D272" s="77"/>
      <c r="E272" s="82"/>
      <c r="F272" s="70">
        <f t="shared" si="8"/>
        <v>0</v>
      </c>
      <c r="G272" s="77"/>
      <c r="H272" s="77"/>
      <c r="I272" s="53">
        <f t="shared" si="9"/>
        <v>0</v>
      </c>
    </row>
    <row r="273" spans="1:9" x14ac:dyDescent="0.25">
      <c r="A273" s="80"/>
      <c r="B273" s="67" t="str">
        <f>IFERROR(IF(VLOOKUP($A273,Osnova!$A:$E,1)=$A273,VLOOKUP($A273,Osnova!$A:$E,$E$10)),"")</f>
        <v/>
      </c>
      <c r="C273" s="81" t="e">
        <f>IF(VLOOKUP($A273,Osnova!$A:$C,1)=$A273,VLOOKUP($A273,Osnova!$A:$F,4),0)</f>
        <v>#N/A</v>
      </c>
      <c r="D273" s="77"/>
      <c r="E273" s="82"/>
      <c r="F273" s="70">
        <f t="shared" si="8"/>
        <v>0</v>
      </c>
      <c r="G273" s="77"/>
      <c r="H273" s="77"/>
      <c r="I273" s="53">
        <f t="shared" si="9"/>
        <v>0</v>
      </c>
    </row>
    <row r="274" spans="1:9" x14ac:dyDescent="0.25">
      <c r="A274" s="80"/>
      <c r="B274" s="67" t="str">
        <f>IFERROR(IF(VLOOKUP($A274,Osnova!$A:$E,1)=$A274,VLOOKUP($A274,Osnova!$A:$E,$E$10)),"")</f>
        <v/>
      </c>
      <c r="C274" s="81" t="e">
        <f>IF(VLOOKUP($A274,Osnova!$A:$C,1)=$A274,VLOOKUP($A274,Osnova!$A:$F,4),0)</f>
        <v>#N/A</v>
      </c>
      <c r="D274" s="77"/>
      <c r="E274" s="82"/>
      <c r="F274" s="70">
        <f t="shared" si="8"/>
        <v>0</v>
      </c>
      <c r="G274" s="77"/>
      <c r="H274" s="77"/>
      <c r="I274" s="53">
        <f t="shared" si="9"/>
        <v>0</v>
      </c>
    </row>
    <row r="275" spans="1:9" x14ac:dyDescent="0.25">
      <c r="A275" s="80"/>
      <c r="B275" s="67" t="str">
        <f>IFERROR(IF(VLOOKUP($A275,Osnova!$A:$E,1)=$A275,VLOOKUP($A275,Osnova!$A:$E,$E$10)),"")</f>
        <v/>
      </c>
      <c r="C275" s="81" t="e">
        <f>IF(VLOOKUP($A275,Osnova!$A:$C,1)=$A275,VLOOKUP($A275,Osnova!$A:$F,4),0)</f>
        <v>#N/A</v>
      </c>
      <c r="D275" s="77"/>
      <c r="E275" s="82"/>
      <c r="F275" s="70">
        <f t="shared" si="8"/>
        <v>0</v>
      </c>
      <c r="G275" s="77"/>
      <c r="H275" s="77"/>
      <c r="I275" s="53">
        <f t="shared" si="9"/>
        <v>0</v>
      </c>
    </row>
    <row r="276" spans="1:9" x14ac:dyDescent="0.25">
      <c r="A276" s="80"/>
      <c r="B276" s="67" t="str">
        <f>IFERROR(IF(VLOOKUP($A276,Osnova!$A:$E,1)=$A276,VLOOKUP($A276,Osnova!$A:$E,$E$10)),"")</f>
        <v/>
      </c>
      <c r="C276" s="81" t="e">
        <f>IF(VLOOKUP($A276,Osnova!$A:$C,1)=$A276,VLOOKUP($A276,Osnova!$A:$F,4),0)</f>
        <v>#N/A</v>
      </c>
      <c r="D276" s="77"/>
      <c r="E276" s="82"/>
      <c r="F276" s="70">
        <f t="shared" si="8"/>
        <v>0</v>
      </c>
      <c r="G276" s="77"/>
      <c r="H276" s="77"/>
      <c r="I276" s="53">
        <f t="shared" si="9"/>
        <v>0</v>
      </c>
    </row>
    <row r="277" spans="1:9" x14ac:dyDescent="0.25">
      <c r="A277" s="80"/>
      <c r="B277" s="67" t="str">
        <f>IFERROR(IF(VLOOKUP($A277,Osnova!$A:$E,1)=$A277,VLOOKUP($A277,Osnova!$A:$E,$E$10)),"")</f>
        <v/>
      </c>
      <c r="C277" s="81" t="e">
        <f>IF(VLOOKUP($A277,Osnova!$A:$C,1)=$A277,VLOOKUP($A277,Osnova!$A:$F,4),0)</f>
        <v>#N/A</v>
      </c>
      <c r="D277" s="77"/>
      <c r="E277" s="82"/>
      <c r="F277" s="70">
        <f t="shared" si="8"/>
        <v>0</v>
      </c>
      <c r="G277" s="77"/>
      <c r="H277" s="77"/>
      <c r="I277" s="53">
        <f t="shared" si="9"/>
        <v>0</v>
      </c>
    </row>
    <row r="278" spans="1:9" x14ac:dyDescent="0.25">
      <c r="A278" s="80"/>
      <c r="B278" s="67" t="str">
        <f>IFERROR(IF(VLOOKUP($A278,Osnova!$A:$E,1)=$A278,VLOOKUP($A278,Osnova!$A:$E,$E$10)),"")</f>
        <v/>
      </c>
      <c r="C278" s="81" t="e">
        <f>IF(VLOOKUP($A278,Osnova!$A:$C,1)=$A278,VLOOKUP($A278,Osnova!$A:$F,4),0)</f>
        <v>#N/A</v>
      </c>
      <c r="D278" s="77"/>
      <c r="E278" s="82"/>
      <c r="F278" s="70">
        <f t="shared" si="8"/>
        <v>0</v>
      </c>
      <c r="G278" s="77"/>
      <c r="H278" s="77"/>
      <c r="I278" s="53">
        <f t="shared" si="9"/>
        <v>0</v>
      </c>
    </row>
    <row r="279" spans="1:9" x14ac:dyDescent="0.25">
      <c r="A279" s="80"/>
      <c r="B279" s="67" t="str">
        <f>IFERROR(IF(VLOOKUP($A279,Osnova!$A:$E,1)=$A279,VLOOKUP($A279,Osnova!$A:$E,$E$10)),"")</f>
        <v/>
      </c>
      <c r="C279" s="81" t="e">
        <f>IF(VLOOKUP($A279,Osnova!$A:$C,1)=$A279,VLOOKUP($A279,Osnova!$A:$F,4),0)</f>
        <v>#N/A</v>
      </c>
      <c r="D279" s="77"/>
      <c r="E279" s="82"/>
      <c r="F279" s="70">
        <f t="shared" si="8"/>
        <v>0</v>
      </c>
      <c r="G279" s="77"/>
      <c r="H279" s="77"/>
      <c r="I279" s="53">
        <f t="shared" si="9"/>
        <v>0</v>
      </c>
    </row>
    <row r="280" spans="1:9" x14ac:dyDescent="0.25">
      <c r="A280" s="80"/>
      <c r="B280" s="67" t="str">
        <f>IFERROR(IF(VLOOKUP($A280,Osnova!$A:$E,1)=$A280,VLOOKUP($A280,Osnova!$A:$E,$E$10)),"")</f>
        <v/>
      </c>
      <c r="C280" s="81" t="e">
        <f>IF(VLOOKUP($A280,Osnova!$A:$C,1)=$A280,VLOOKUP($A280,Osnova!$A:$F,4),0)</f>
        <v>#N/A</v>
      </c>
      <c r="D280" s="77"/>
      <c r="E280" s="82"/>
      <c r="F280" s="70">
        <f t="shared" si="8"/>
        <v>0</v>
      </c>
      <c r="G280" s="77"/>
      <c r="H280" s="77"/>
      <c r="I280" s="53">
        <f t="shared" si="9"/>
        <v>0</v>
      </c>
    </row>
    <row r="281" spans="1:9" x14ac:dyDescent="0.25">
      <c r="A281" s="80"/>
      <c r="B281" s="67" t="str">
        <f>IFERROR(IF(VLOOKUP($A281,Osnova!$A:$E,1)=$A281,VLOOKUP($A281,Osnova!$A:$E,$E$10)),"")</f>
        <v/>
      </c>
      <c r="C281" s="81" t="e">
        <f>IF(VLOOKUP($A281,Osnova!$A:$C,1)=$A281,VLOOKUP($A281,Osnova!$A:$F,4),0)</f>
        <v>#N/A</v>
      </c>
      <c r="D281" s="77"/>
      <c r="E281" s="82"/>
      <c r="F281" s="70">
        <f t="shared" si="8"/>
        <v>0</v>
      </c>
      <c r="G281" s="77"/>
      <c r="H281" s="77"/>
      <c r="I281" s="53">
        <f t="shared" si="9"/>
        <v>0</v>
      </c>
    </row>
    <row r="282" spans="1:9" x14ac:dyDescent="0.25">
      <c r="A282" s="80"/>
      <c r="B282" s="67" t="str">
        <f>IFERROR(IF(VLOOKUP($A282,Osnova!$A:$E,1)=$A282,VLOOKUP($A282,Osnova!$A:$E,$E$10)),"")</f>
        <v/>
      </c>
      <c r="C282" s="81" t="e">
        <f>IF(VLOOKUP($A282,Osnova!$A:$C,1)=$A282,VLOOKUP($A282,Osnova!$A:$F,4),0)</f>
        <v>#N/A</v>
      </c>
      <c r="D282" s="77"/>
      <c r="E282" s="82"/>
      <c r="F282" s="70">
        <f t="shared" si="8"/>
        <v>0</v>
      </c>
      <c r="G282" s="77"/>
      <c r="H282" s="77"/>
      <c r="I282" s="53">
        <f t="shared" si="9"/>
        <v>0</v>
      </c>
    </row>
    <row r="283" spans="1:9" x14ac:dyDescent="0.25">
      <c r="A283" s="80"/>
      <c r="B283" s="67" t="str">
        <f>IFERROR(IF(VLOOKUP($A283,Osnova!$A:$E,1)=$A283,VLOOKUP($A283,Osnova!$A:$E,$E$10)),"")</f>
        <v/>
      </c>
      <c r="C283" s="81" t="e">
        <f>IF(VLOOKUP($A283,Osnova!$A:$C,1)=$A283,VLOOKUP($A283,Osnova!$A:$F,4),0)</f>
        <v>#N/A</v>
      </c>
      <c r="D283" s="77"/>
      <c r="E283" s="82"/>
      <c r="F283" s="70">
        <f t="shared" si="8"/>
        <v>0</v>
      </c>
      <c r="G283" s="77"/>
      <c r="H283" s="77"/>
      <c r="I283" s="53">
        <f t="shared" si="9"/>
        <v>0</v>
      </c>
    </row>
    <row r="284" spans="1:9" x14ac:dyDescent="0.25">
      <c r="A284" s="80"/>
      <c r="B284" s="67" t="str">
        <f>IFERROR(IF(VLOOKUP($A284,Osnova!$A:$E,1)=$A284,VLOOKUP($A284,Osnova!$A:$E,$E$10)),"")</f>
        <v/>
      </c>
      <c r="C284" s="81" t="e">
        <f>IF(VLOOKUP($A284,Osnova!$A:$C,1)=$A284,VLOOKUP($A284,Osnova!$A:$F,4),0)</f>
        <v>#N/A</v>
      </c>
      <c r="D284" s="77"/>
      <c r="E284" s="82"/>
      <c r="F284" s="70">
        <f t="shared" si="8"/>
        <v>0</v>
      </c>
      <c r="G284" s="77"/>
      <c r="H284" s="77"/>
      <c r="I284" s="53">
        <f t="shared" si="9"/>
        <v>0</v>
      </c>
    </row>
    <row r="285" spans="1:9" x14ac:dyDescent="0.25">
      <c r="A285" s="80"/>
      <c r="B285" s="67" t="str">
        <f>IFERROR(IF(VLOOKUP($A285,Osnova!$A:$E,1)=$A285,VLOOKUP($A285,Osnova!$A:$E,$E$10)),"")</f>
        <v/>
      </c>
      <c r="C285" s="81" t="e">
        <f>IF(VLOOKUP($A285,Osnova!$A:$C,1)=$A285,VLOOKUP($A285,Osnova!$A:$F,4),0)</f>
        <v>#N/A</v>
      </c>
      <c r="D285" s="77"/>
      <c r="E285" s="82"/>
      <c r="F285" s="70">
        <f t="shared" si="8"/>
        <v>0</v>
      </c>
      <c r="G285" s="77"/>
      <c r="H285" s="77"/>
      <c r="I285" s="53">
        <f t="shared" si="9"/>
        <v>0</v>
      </c>
    </row>
    <row r="286" spans="1:9" x14ac:dyDescent="0.25">
      <c r="A286" s="80"/>
      <c r="B286" s="67" t="str">
        <f>IFERROR(IF(VLOOKUP($A286,Osnova!$A:$E,1)=$A286,VLOOKUP($A286,Osnova!$A:$E,$E$10)),"")</f>
        <v/>
      </c>
      <c r="C286" s="81" t="e">
        <f>IF(VLOOKUP($A286,Osnova!$A:$C,1)=$A286,VLOOKUP($A286,Osnova!$A:$F,4),0)</f>
        <v>#N/A</v>
      </c>
      <c r="D286" s="77"/>
      <c r="E286" s="82"/>
      <c r="F286" s="70">
        <f t="shared" si="8"/>
        <v>0</v>
      </c>
      <c r="G286" s="77"/>
      <c r="H286" s="77"/>
      <c r="I286" s="53">
        <f t="shared" si="9"/>
        <v>0</v>
      </c>
    </row>
    <row r="287" spans="1:9" x14ac:dyDescent="0.25">
      <c r="A287" s="80"/>
      <c r="B287" s="67" t="str">
        <f>IFERROR(IF(VLOOKUP($A287,Osnova!$A:$E,1)=$A287,VLOOKUP($A287,Osnova!$A:$E,$E$10)),"")</f>
        <v/>
      </c>
      <c r="C287" s="81" t="e">
        <f>IF(VLOOKUP($A287,Osnova!$A:$C,1)=$A287,VLOOKUP($A287,Osnova!$A:$F,4),0)</f>
        <v>#N/A</v>
      </c>
      <c r="D287" s="77"/>
      <c r="E287" s="82"/>
      <c r="F287" s="70">
        <f t="shared" si="8"/>
        <v>0</v>
      </c>
      <c r="G287" s="77"/>
      <c r="H287" s="77"/>
      <c r="I287" s="53">
        <f t="shared" si="9"/>
        <v>0</v>
      </c>
    </row>
    <row r="288" spans="1:9" x14ac:dyDescent="0.25">
      <c r="A288" s="80"/>
      <c r="B288" s="67" t="str">
        <f>IFERROR(IF(VLOOKUP($A288,Osnova!$A:$E,1)=$A288,VLOOKUP($A288,Osnova!$A:$E,$E$10)),"")</f>
        <v/>
      </c>
      <c r="C288" s="81" t="e">
        <f>IF(VLOOKUP($A288,Osnova!$A:$C,1)=$A288,VLOOKUP($A288,Osnova!$A:$F,4),0)</f>
        <v>#N/A</v>
      </c>
      <c r="D288" s="77"/>
      <c r="E288" s="82"/>
      <c r="F288" s="70">
        <f t="shared" si="8"/>
        <v>0</v>
      </c>
      <c r="G288" s="77"/>
      <c r="H288" s="77"/>
      <c r="I288" s="53">
        <f t="shared" si="9"/>
        <v>0</v>
      </c>
    </row>
    <row r="289" spans="1:9" x14ac:dyDescent="0.25">
      <c r="A289" s="80"/>
      <c r="B289" s="67" t="str">
        <f>IFERROR(IF(VLOOKUP($A289,Osnova!$A:$E,1)=$A289,VLOOKUP($A289,Osnova!$A:$E,$E$10)),"")</f>
        <v/>
      </c>
      <c r="C289" s="81" t="e">
        <f>IF(VLOOKUP($A289,Osnova!$A:$C,1)=$A289,VLOOKUP($A289,Osnova!$A:$F,4),0)</f>
        <v>#N/A</v>
      </c>
      <c r="D289" s="77"/>
      <c r="E289" s="82"/>
      <c r="F289" s="70">
        <f t="shared" si="8"/>
        <v>0</v>
      </c>
      <c r="G289" s="77"/>
      <c r="H289" s="77"/>
      <c r="I289" s="53">
        <f t="shared" si="9"/>
        <v>0</v>
      </c>
    </row>
    <row r="290" spans="1:9" x14ac:dyDescent="0.25">
      <c r="A290" s="80"/>
      <c r="B290" s="67" t="str">
        <f>IFERROR(IF(VLOOKUP($A290,Osnova!$A:$E,1)=$A290,VLOOKUP($A290,Osnova!$A:$E,$E$10)),"")</f>
        <v/>
      </c>
      <c r="C290" s="81" t="e">
        <f>IF(VLOOKUP($A290,Osnova!$A:$C,1)=$A290,VLOOKUP($A290,Osnova!$A:$F,4),0)</f>
        <v>#N/A</v>
      </c>
      <c r="D290" s="77"/>
      <c r="E290" s="82"/>
      <c r="F290" s="70">
        <f t="shared" si="8"/>
        <v>0</v>
      </c>
      <c r="G290" s="77"/>
      <c r="H290" s="77"/>
      <c r="I290" s="53">
        <f t="shared" si="9"/>
        <v>0</v>
      </c>
    </row>
    <row r="291" spans="1:9" x14ac:dyDescent="0.25">
      <c r="A291" s="80"/>
      <c r="B291" s="67" t="str">
        <f>IFERROR(IF(VLOOKUP($A291,Osnova!$A:$E,1)=$A291,VLOOKUP($A291,Osnova!$A:$E,$E$10)),"")</f>
        <v/>
      </c>
      <c r="C291" s="81" t="e">
        <f>IF(VLOOKUP($A291,Osnova!$A:$C,1)=$A291,VLOOKUP($A291,Osnova!$A:$F,4),0)</f>
        <v>#N/A</v>
      </c>
      <c r="D291" s="77"/>
      <c r="E291" s="82"/>
      <c r="F291" s="70">
        <f t="shared" si="8"/>
        <v>0</v>
      </c>
      <c r="G291" s="77"/>
      <c r="H291" s="77"/>
      <c r="I291" s="53">
        <f t="shared" si="9"/>
        <v>0</v>
      </c>
    </row>
    <row r="292" spans="1:9" x14ac:dyDescent="0.25">
      <c r="A292" s="80"/>
      <c r="B292" s="67" t="str">
        <f>IFERROR(IF(VLOOKUP($A292,Osnova!$A:$E,1)=$A292,VLOOKUP($A292,Osnova!$A:$E,$E$10)),"")</f>
        <v/>
      </c>
      <c r="C292" s="81" t="e">
        <f>IF(VLOOKUP($A292,Osnova!$A:$C,1)=$A292,VLOOKUP($A292,Osnova!$A:$F,4),0)</f>
        <v>#N/A</v>
      </c>
      <c r="D292" s="77"/>
      <c r="E292" s="82"/>
      <c r="F292" s="70">
        <f t="shared" si="8"/>
        <v>0</v>
      </c>
      <c r="G292" s="77"/>
      <c r="H292" s="77"/>
      <c r="I292" s="53">
        <f t="shared" si="9"/>
        <v>0</v>
      </c>
    </row>
    <row r="293" spans="1:9" x14ac:dyDescent="0.25">
      <c r="A293" s="80"/>
      <c r="B293" s="67" t="str">
        <f>IFERROR(IF(VLOOKUP($A293,Osnova!$A:$E,1)=$A293,VLOOKUP($A293,Osnova!$A:$E,$E$10)),"")</f>
        <v/>
      </c>
      <c r="C293" s="81" t="e">
        <f>IF(VLOOKUP($A293,Osnova!$A:$C,1)=$A293,VLOOKUP($A293,Osnova!$A:$F,4),0)</f>
        <v>#N/A</v>
      </c>
      <c r="D293" s="77"/>
      <c r="E293" s="82"/>
      <c r="F293" s="70">
        <f t="shared" si="8"/>
        <v>0</v>
      </c>
      <c r="G293" s="77"/>
      <c r="H293" s="77"/>
      <c r="I293" s="53">
        <f t="shared" si="9"/>
        <v>0</v>
      </c>
    </row>
    <row r="294" spans="1:9" x14ac:dyDescent="0.25">
      <c r="A294" s="80"/>
      <c r="B294" s="67" t="str">
        <f>IFERROR(IF(VLOOKUP($A294,Osnova!$A:$E,1)=$A294,VLOOKUP($A294,Osnova!$A:$E,$E$10)),"")</f>
        <v/>
      </c>
      <c r="C294" s="81" t="e">
        <f>IF(VLOOKUP($A294,Osnova!$A:$C,1)=$A294,VLOOKUP($A294,Osnova!$A:$F,4),0)</f>
        <v>#N/A</v>
      </c>
      <c r="D294" s="77"/>
      <c r="E294" s="82"/>
      <c r="F294" s="70">
        <f t="shared" si="8"/>
        <v>0</v>
      </c>
      <c r="G294" s="77"/>
      <c r="H294" s="77"/>
      <c r="I294" s="53">
        <f t="shared" si="9"/>
        <v>0</v>
      </c>
    </row>
    <row r="295" spans="1:9" x14ac:dyDescent="0.25">
      <c r="A295" s="80"/>
      <c r="B295" s="67" t="str">
        <f>IFERROR(IF(VLOOKUP($A295,Osnova!$A:$E,1)=$A295,VLOOKUP($A295,Osnova!$A:$E,$E$10)),"")</f>
        <v/>
      </c>
      <c r="C295" s="81" t="e">
        <f>IF(VLOOKUP($A295,Osnova!$A:$C,1)=$A295,VLOOKUP($A295,Osnova!$A:$F,4),0)</f>
        <v>#N/A</v>
      </c>
      <c r="D295" s="77"/>
      <c r="E295" s="82"/>
      <c r="F295" s="70">
        <f t="shared" si="8"/>
        <v>0</v>
      </c>
      <c r="G295" s="77"/>
      <c r="H295" s="77"/>
      <c r="I295" s="53">
        <f t="shared" si="9"/>
        <v>0</v>
      </c>
    </row>
    <row r="296" spans="1:9" x14ac:dyDescent="0.25">
      <c r="A296" s="80"/>
      <c r="B296" s="67" t="str">
        <f>IFERROR(IF(VLOOKUP($A296,Osnova!$A:$E,1)=$A296,VLOOKUP($A296,Osnova!$A:$E,$E$10)),"")</f>
        <v/>
      </c>
      <c r="C296" s="81" t="e">
        <f>IF(VLOOKUP($A296,Osnova!$A:$C,1)=$A296,VLOOKUP($A296,Osnova!$A:$F,4),0)</f>
        <v>#N/A</v>
      </c>
      <c r="D296" s="77"/>
      <c r="E296" s="82"/>
      <c r="F296" s="70">
        <f t="shared" si="8"/>
        <v>0</v>
      </c>
      <c r="G296" s="77"/>
      <c r="H296" s="77"/>
      <c r="I296" s="53">
        <f t="shared" si="9"/>
        <v>0</v>
      </c>
    </row>
    <row r="297" spans="1:9" x14ac:dyDescent="0.25">
      <c r="A297" s="80"/>
      <c r="B297" s="67" t="str">
        <f>IFERROR(IF(VLOOKUP($A297,Osnova!$A:$E,1)=$A297,VLOOKUP($A297,Osnova!$A:$E,$E$10)),"")</f>
        <v/>
      </c>
      <c r="C297" s="81" t="e">
        <f>IF(VLOOKUP($A297,Osnova!$A:$C,1)=$A297,VLOOKUP($A297,Osnova!$A:$F,4),0)</f>
        <v>#N/A</v>
      </c>
      <c r="D297" s="77"/>
      <c r="E297" s="82"/>
      <c r="F297" s="70">
        <f t="shared" si="8"/>
        <v>0</v>
      </c>
      <c r="G297" s="77"/>
      <c r="H297" s="77"/>
      <c r="I297" s="53">
        <f t="shared" si="9"/>
        <v>0</v>
      </c>
    </row>
    <row r="298" spans="1:9" x14ac:dyDescent="0.25">
      <c r="A298" s="80"/>
      <c r="B298" s="67" t="str">
        <f>IFERROR(IF(VLOOKUP($A298,Osnova!$A:$E,1)=$A298,VLOOKUP($A298,Osnova!$A:$E,$E$10)),"")</f>
        <v/>
      </c>
      <c r="C298" s="81" t="e">
        <f>IF(VLOOKUP($A298,Osnova!$A:$C,1)=$A298,VLOOKUP($A298,Osnova!$A:$F,4),0)</f>
        <v>#N/A</v>
      </c>
      <c r="D298" s="77"/>
      <c r="E298" s="82"/>
      <c r="F298" s="70">
        <f t="shared" si="8"/>
        <v>0</v>
      </c>
      <c r="G298" s="77"/>
      <c r="H298" s="77"/>
      <c r="I298" s="53">
        <f t="shared" si="9"/>
        <v>0</v>
      </c>
    </row>
    <row r="299" spans="1:9" x14ac:dyDescent="0.25">
      <c r="A299" s="80"/>
      <c r="B299" s="67" t="str">
        <f>IFERROR(IF(VLOOKUP($A299,Osnova!$A:$E,1)=$A299,VLOOKUP($A299,Osnova!$A:$E,$E$10)),"")</f>
        <v/>
      </c>
      <c r="C299" s="81" t="e">
        <f>IF(VLOOKUP($A299,Osnova!$A:$C,1)=$A299,VLOOKUP($A299,Osnova!$A:$F,4),0)</f>
        <v>#N/A</v>
      </c>
      <c r="D299" s="77"/>
      <c r="E299" s="82"/>
      <c r="F299" s="70">
        <f t="shared" si="8"/>
        <v>0</v>
      </c>
      <c r="G299" s="77"/>
      <c r="H299" s="77"/>
      <c r="I299" s="53">
        <f t="shared" si="9"/>
        <v>0</v>
      </c>
    </row>
    <row r="300" spans="1:9" x14ac:dyDescent="0.25">
      <c r="A300" s="80"/>
      <c r="B300" s="67" t="str">
        <f>IFERROR(IF(VLOOKUP($A300,Osnova!$A:$E,1)=$A300,VLOOKUP($A300,Osnova!$A:$E,$E$10)),"")</f>
        <v/>
      </c>
      <c r="C300" s="81" t="e">
        <f>IF(VLOOKUP($A300,Osnova!$A:$C,1)=$A300,VLOOKUP($A300,Osnova!$A:$F,4),0)</f>
        <v>#N/A</v>
      </c>
      <c r="D300" s="77"/>
      <c r="E300" s="82"/>
      <c r="F300" s="70">
        <f t="shared" si="8"/>
        <v>0</v>
      </c>
      <c r="G300" s="77"/>
      <c r="H300" s="77"/>
      <c r="I300" s="53">
        <f t="shared" si="9"/>
        <v>0</v>
      </c>
    </row>
    <row r="301" spans="1:9" x14ac:dyDescent="0.25">
      <c r="A301" s="80"/>
      <c r="B301" s="67" t="str">
        <f>IFERROR(IF(VLOOKUP($A301,Osnova!$A:$E,1)=$A301,VLOOKUP($A301,Osnova!$A:$E,$E$10)),"")</f>
        <v/>
      </c>
      <c r="C301" s="81" t="e">
        <f>IF(VLOOKUP($A301,Osnova!$A:$C,1)=$A301,VLOOKUP($A301,Osnova!$A:$F,4),0)</f>
        <v>#N/A</v>
      </c>
      <c r="D301" s="77"/>
      <c r="E301" s="82"/>
      <c r="F301" s="70">
        <f t="shared" si="8"/>
        <v>0</v>
      </c>
      <c r="G301" s="77"/>
      <c r="H301" s="77"/>
      <c r="I301" s="53">
        <f t="shared" si="9"/>
        <v>0</v>
      </c>
    </row>
    <row r="302" spans="1:9" x14ac:dyDescent="0.25">
      <c r="A302" s="80"/>
      <c r="B302" s="67" t="str">
        <f>IFERROR(IF(VLOOKUP($A302,Osnova!$A:$E,1)=$A302,VLOOKUP($A302,Osnova!$A:$E,$E$10)),"")</f>
        <v/>
      </c>
      <c r="C302" s="81" t="e">
        <f>IF(VLOOKUP($A302,Osnova!$A:$C,1)=$A302,VLOOKUP($A302,Osnova!$A:$F,4),0)</f>
        <v>#N/A</v>
      </c>
      <c r="D302" s="77"/>
      <c r="E302" s="82"/>
      <c r="F302" s="70">
        <f t="shared" si="8"/>
        <v>0</v>
      </c>
      <c r="G302" s="77"/>
      <c r="H302" s="77"/>
      <c r="I302" s="53">
        <f t="shared" si="9"/>
        <v>0</v>
      </c>
    </row>
    <row r="303" spans="1:9" x14ac:dyDescent="0.25">
      <c r="A303" s="80"/>
      <c r="B303" s="67" t="str">
        <f>IFERROR(IF(VLOOKUP($A303,Osnova!$A:$E,1)=$A303,VLOOKUP($A303,Osnova!$A:$E,$E$10)),"")</f>
        <v/>
      </c>
      <c r="C303" s="81" t="e">
        <f>IF(VLOOKUP($A303,Osnova!$A:$C,1)=$A303,VLOOKUP($A303,Osnova!$A:$F,4),0)</f>
        <v>#N/A</v>
      </c>
      <c r="D303" s="77"/>
      <c r="E303" s="82"/>
      <c r="F303" s="70">
        <f t="shared" si="8"/>
        <v>0</v>
      </c>
      <c r="G303" s="77"/>
      <c r="H303" s="77"/>
      <c r="I303" s="53">
        <f t="shared" si="9"/>
        <v>0</v>
      </c>
    </row>
    <row r="304" spans="1:9" x14ac:dyDescent="0.25">
      <c r="A304" s="80"/>
      <c r="B304" s="67" t="str">
        <f>IFERROR(IF(VLOOKUP($A304,Osnova!$A:$E,1)=$A304,VLOOKUP($A304,Osnova!$A:$E,$E$10)),"")</f>
        <v/>
      </c>
      <c r="C304" s="81" t="e">
        <f>IF(VLOOKUP($A304,Osnova!$A:$C,1)=$A304,VLOOKUP($A304,Osnova!$A:$F,4),0)</f>
        <v>#N/A</v>
      </c>
      <c r="D304" s="77"/>
      <c r="E304" s="82"/>
      <c r="F304" s="70">
        <f t="shared" si="8"/>
        <v>0</v>
      </c>
      <c r="G304" s="77"/>
      <c r="H304" s="77"/>
      <c r="I304" s="53">
        <f t="shared" si="9"/>
        <v>0</v>
      </c>
    </row>
    <row r="305" spans="1:9" x14ac:dyDescent="0.25">
      <c r="A305" s="80"/>
      <c r="B305" s="67" t="str">
        <f>IFERROR(IF(VLOOKUP($A305,Osnova!$A:$E,1)=$A305,VLOOKUP($A305,Osnova!$A:$E,$E$10)),"")</f>
        <v/>
      </c>
      <c r="C305" s="81" t="e">
        <f>IF(VLOOKUP($A305,Osnova!$A:$C,1)=$A305,VLOOKUP($A305,Osnova!$A:$F,4),0)</f>
        <v>#N/A</v>
      </c>
      <c r="D305" s="77"/>
      <c r="E305" s="82"/>
      <c r="F305" s="70">
        <f t="shared" si="8"/>
        <v>0</v>
      </c>
      <c r="G305" s="77"/>
      <c r="H305" s="77"/>
      <c r="I305" s="53">
        <f t="shared" si="9"/>
        <v>0</v>
      </c>
    </row>
    <row r="306" spans="1:9" x14ac:dyDescent="0.25">
      <c r="A306" s="80"/>
      <c r="B306" s="67" t="str">
        <f>IFERROR(IF(VLOOKUP($A306,Osnova!$A:$E,1)=$A306,VLOOKUP($A306,Osnova!$A:$E,$E$10)),"")</f>
        <v/>
      </c>
      <c r="C306" s="81" t="e">
        <f>IF(VLOOKUP($A306,Osnova!$A:$C,1)=$A306,VLOOKUP($A306,Osnova!$A:$F,4),0)</f>
        <v>#N/A</v>
      </c>
      <c r="D306" s="77"/>
      <c r="E306" s="82"/>
      <c r="F306" s="70">
        <f t="shared" si="8"/>
        <v>0</v>
      </c>
      <c r="G306" s="77"/>
      <c r="H306" s="77"/>
      <c r="I306" s="53">
        <f t="shared" si="9"/>
        <v>0</v>
      </c>
    </row>
    <row r="307" spans="1:9" x14ac:dyDescent="0.25">
      <c r="A307" s="80"/>
      <c r="B307" s="67" t="str">
        <f>IFERROR(IF(VLOOKUP($A307,Osnova!$A:$E,1)=$A307,VLOOKUP($A307,Osnova!$A:$E,$E$10)),"")</f>
        <v/>
      </c>
      <c r="C307" s="81" t="e">
        <f>IF(VLOOKUP($A307,Osnova!$A:$C,1)=$A307,VLOOKUP($A307,Osnova!$A:$F,4),0)</f>
        <v>#N/A</v>
      </c>
      <c r="D307" s="77"/>
      <c r="E307" s="82"/>
      <c r="F307" s="70">
        <f t="shared" si="8"/>
        <v>0</v>
      </c>
      <c r="G307" s="77"/>
      <c r="H307" s="77"/>
      <c r="I307" s="53">
        <f t="shared" si="9"/>
        <v>0</v>
      </c>
    </row>
    <row r="308" spans="1:9" x14ac:dyDescent="0.25">
      <c r="A308" s="80"/>
      <c r="B308" s="67" t="str">
        <f>IFERROR(IF(VLOOKUP($A308,Osnova!$A:$E,1)=$A308,VLOOKUP($A308,Osnova!$A:$E,$E$10)),"")</f>
        <v/>
      </c>
      <c r="C308" s="81" t="e">
        <f>IF(VLOOKUP($A308,Osnova!$A:$C,1)=$A308,VLOOKUP($A308,Osnova!$A:$F,4),0)</f>
        <v>#N/A</v>
      </c>
      <c r="D308" s="77"/>
      <c r="E308" s="82"/>
      <c r="F308" s="70">
        <f t="shared" si="8"/>
        <v>0</v>
      </c>
      <c r="G308" s="77"/>
      <c r="H308" s="77"/>
      <c r="I308" s="53">
        <f t="shared" si="9"/>
        <v>0</v>
      </c>
    </row>
    <row r="309" spans="1:9" x14ac:dyDescent="0.25">
      <c r="A309" s="80"/>
      <c r="B309" s="67" t="str">
        <f>IFERROR(IF(VLOOKUP($A309,Osnova!$A:$E,1)=$A309,VLOOKUP($A309,Osnova!$A:$E,$E$10)),"")</f>
        <v/>
      </c>
      <c r="C309" s="81" t="e">
        <f>IF(VLOOKUP($A309,Osnova!$A:$C,1)=$A309,VLOOKUP($A309,Osnova!$A:$F,4),0)</f>
        <v>#N/A</v>
      </c>
      <c r="D309" s="77"/>
      <c r="E309" s="82"/>
      <c r="F309" s="70">
        <f t="shared" si="8"/>
        <v>0</v>
      </c>
      <c r="G309" s="77"/>
      <c r="H309" s="77"/>
      <c r="I309" s="53">
        <f t="shared" si="9"/>
        <v>0</v>
      </c>
    </row>
    <row r="310" spans="1:9" x14ac:dyDescent="0.25">
      <c r="A310" s="80"/>
      <c r="B310" s="67" t="str">
        <f>IFERROR(IF(VLOOKUP($A310,Osnova!$A:$E,1)=$A310,VLOOKUP($A310,Osnova!$A:$E,$E$10)),"")</f>
        <v/>
      </c>
      <c r="C310" s="81" t="e">
        <f>IF(VLOOKUP($A310,Osnova!$A:$C,1)=$A310,VLOOKUP($A310,Osnova!$A:$F,4),0)</f>
        <v>#N/A</v>
      </c>
      <c r="D310" s="77"/>
      <c r="E310" s="82"/>
      <c r="F310" s="70">
        <f t="shared" si="8"/>
        <v>0</v>
      </c>
      <c r="G310" s="77"/>
      <c r="H310" s="77"/>
      <c r="I310" s="53">
        <f t="shared" si="9"/>
        <v>0</v>
      </c>
    </row>
    <row r="311" spans="1:9" x14ac:dyDescent="0.25">
      <c r="A311" s="80"/>
      <c r="B311" s="67" t="str">
        <f>IFERROR(IF(VLOOKUP($A311,Osnova!$A:$E,1)=$A311,VLOOKUP($A311,Osnova!$A:$E,$E$10)),"")</f>
        <v/>
      </c>
      <c r="C311" s="81" t="e">
        <f>IF(VLOOKUP($A311,Osnova!$A:$C,1)=$A311,VLOOKUP($A311,Osnova!$A:$F,4),0)</f>
        <v>#N/A</v>
      </c>
      <c r="D311" s="77"/>
      <c r="E311" s="82"/>
      <c r="F311" s="70">
        <f t="shared" si="8"/>
        <v>0</v>
      </c>
      <c r="G311" s="77"/>
      <c r="H311" s="77"/>
      <c r="I311" s="53">
        <f t="shared" si="9"/>
        <v>0</v>
      </c>
    </row>
    <row r="312" spans="1:9" x14ac:dyDescent="0.25">
      <c r="A312" s="80"/>
      <c r="B312" s="67" t="str">
        <f>IFERROR(IF(VLOOKUP($A312,Osnova!$A:$E,1)=$A312,VLOOKUP($A312,Osnova!$A:$E,$E$10)),"")</f>
        <v/>
      </c>
      <c r="C312" s="81" t="e">
        <f>IF(VLOOKUP($A312,Osnova!$A:$C,1)=$A312,VLOOKUP($A312,Osnova!$A:$F,4),0)</f>
        <v>#N/A</v>
      </c>
      <c r="D312" s="77"/>
      <c r="E312" s="82"/>
      <c r="F312" s="70">
        <f t="shared" si="8"/>
        <v>0</v>
      </c>
      <c r="G312" s="77"/>
      <c r="H312" s="77"/>
      <c r="I312" s="53">
        <f t="shared" si="9"/>
        <v>0</v>
      </c>
    </row>
    <row r="313" spans="1:9" x14ac:dyDescent="0.25">
      <c r="A313" s="80"/>
      <c r="B313" s="67" t="str">
        <f>IFERROR(IF(VLOOKUP($A313,Osnova!$A:$E,1)=$A313,VLOOKUP($A313,Osnova!$A:$E,$E$10)),"")</f>
        <v/>
      </c>
      <c r="C313" s="81" t="e">
        <f>IF(VLOOKUP($A313,Osnova!$A:$C,1)=$A313,VLOOKUP($A313,Osnova!$A:$F,4),0)</f>
        <v>#N/A</v>
      </c>
      <c r="D313" s="77"/>
      <c r="E313" s="82"/>
      <c r="F313" s="70">
        <f t="shared" si="8"/>
        <v>0</v>
      </c>
      <c r="G313" s="77"/>
      <c r="H313" s="77"/>
      <c r="I313" s="53">
        <f t="shared" si="9"/>
        <v>0</v>
      </c>
    </row>
    <row r="314" spans="1:9" x14ac:dyDescent="0.25">
      <c r="A314" s="80"/>
      <c r="B314" s="67" t="str">
        <f>IFERROR(IF(VLOOKUP($A314,Osnova!$A:$E,1)=$A314,VLOOKUP($A314,Osnova!$A:$E,$E$10)),"")</f>
        <v/>
      </c>
      <c r="C314" s="81" t="e">
        <f>IF(VLOOKUP($A314,Osnova!$A:$C,1)=$A314,VLOOKUP($A314,Osnova!$A:$F,4),0)</f>
        <v>#N/A</v>
      </c>
      <c r="D314" s="77"/>
      <c r="E314" s="82"/>
      <c r="F314" s="70">
        <f t="shared" si="8"/>
        <v>0</v>
      </c>
      <c r="G314" s="77"/>
      <c r="H314" s="77"/>
      <c r="I314" s="53">
        <f t="shared" si="9"/>
        <v>0</v>
      </c>
    </row>
    <row r="315" spans="1:9" hidden="1" x14ac:dyDescent="0.25">
      <c r="A315" s="58"/>
      <c r="C315" s="54"/>
      <c r="D315" s="83"/>
      <c r="E315" s="83"/>
      <c r="F315" s="83"/>
      <c r="G315" s="83"/>
      <c r="H315" s="83"/>
      <c r="I315" s="83"/>
    </row>
    <row r="316" spans="1:9" hidden="1" x14ac:dyDescent="0.25">
      <c r="A316" s="58"/>
      <c r="C316" s="54"/>
      <c r="D316" s="83"/>
      <c r="E316" s="83"/>
      <c r="F316" s="83"/>
      <c r="G316" s="83"/>
      <c r="H316" s="83"/>
      <c r="I316" s="83"/>
    </row>
    <row r="317" spans="1:9" hidden="1" x14ac:dyDescent="0.25">
      <c r="A317" s="689"/>
      <c r="B317" s="689"/>
      <c r="C317" s="689"/>
      <c r="D317" s="689"/>
      <c r="E317" s="689"/>
      <c r="F317" s="689"/>
      <c r="G317" s="689"/>
      <c r="H317" s="689"/>
      <c r="I317" s="689"/>
    </row>
    <row r="318" spans="1:9" hidden="1" x14ac:dyDescent="0.25">
      <c r="A318" s="84"/>
      <c r="B318" s="84"/>
      <c r="C318" s="84"/>
      <c r="D318" s="84"/>
      <c r="E318" s="84"/>
      <c r="F318" s="84"/>
      <c r="G318" s="84"/>
      <c r="H318" s="84"/>
      <c r="I318" s="84"/>
    </row>
    <row r="319" spans="1:9" hidden="1" x14ac:dyDescent="0.25">
      <c r="A319" s="84"/>
      <c r="B319" s="84"/>
      <c r="C319" s="84"/>
      <c r="D319" s="84"/>
      <c r="E319" s="84"/>
      <c r="F319" s="84"/>
      <c r="G319" s="84"/>
      <c r="H319" s="84"/>
      <c r="I319" s="84"/>
    </row>
    <row r="320" spans="1:9" hidden="1" x14ac:dyDescent="0.25">
      <c r="A320" s="58"/>
      <c r="C320" s="54"/>
      <c r="D320" s="85">
        <v>3</v>
      </c>
      <c r="E320" s="85" t="s">
        <v>54</v>
      </c>
      <c r="F320" s="83"/>
      <c r="G320" s="83"/>
      <c r="H320" s="83"/>
      <c r="I320" s="83"/>
    </row>
    <row r="321" spans="1:9" hidden="1" x14ac:dyDescent="0.25">
      <c r="A321" s="58"/>
      <c r="C321" s="54"/>
      <c r="D321" s="85">
        <v>2</v>
      </c>
      <c r="E321" s="85" t="s">
        <v>140</v>
      </c>
      <c r="F321" s="83"/>
      <c r="G321" s="83"/>
      <c r="H321" s="83"/>
      <c r="I321" s="83"/>
    </row>
    <row r="322" spans="1:9" hidden="1" x14ac:dyDescent="0.25">
      <c r="A322" s="58"/>
      <c r="C322" s="54"/>
      <c r="D322" s="85">
        <v>4</v>
      </c>
      <c r="E322" s="85" t="s">
        <v>141</v>
      </c>
      <c r="F322" s="83"/>
      <c r="G322" s="83"/>
      <c r="H322" s="83"/>
      <c r="I322" s="83"/>
    </row>
    <row r="323" spans="1:9" hidden="1" x14ac:dyDescent="0.25"/>
    <row r="324" spans="1:9" hidden="1" x14ac:dyDescent="0.25"/>
    <row r="325" spans="1:9" hidden="1" x14ac:dyDescent="0.25"/>
    <row r="326" spans="1:9" hidden="1" x14ac:dyDescent="0.25"/>
    <row r="327" spans="1:9" hidden="1" x14ac:dyDescent="0.25"/>
    <row r="328" spans="1:9" hidden="1" x14ac:dyDescent="0.25"/>
    <row r="329" spans="1:9" hidden="1" x14ac:dyDescent="0.25"/>
    <row r="330" spans="1:9" hidden="1" x14ac:dyDescent="0.25"/>
    <row r="331" spans="1:9" hidden="1" x14ac:dyDescent="0.25"/>
    <row r="332" spans="1:9" hidden="1" x14ac:dyDescent="0.25"/>
    <row r="333" spans="1:9" hidden="1" x14ac:dyDescent="0.25"/>
    <row r="334" spans="1:9" hidden="1" x14ac:dyDescent="0.25"/>
    <row r="335" spans="1:9" hidden="1" x14ac:dyDescent="0.25"/>
    <row r="336" spans="1:9"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sheetData>
  <mergeCells count="17">
    <mergeCell ref="A317:I317"/>
    <mergeCell ref="B10:D10"/>
    <mergeCell ref="B11:C11"/>
    <mergeCell ref="D11:F11"/>
    <mergeCell ref="G11:H11"/>
    <mergeCell ref="B12:C12"/>
    <mergeCell ref="D1:F1"/>
    <mergeCell ref="J1:M1"/>
    <mergeCell ref="B2:D2"/>
    <mergeCell ref="L2:L9"/>
    <mergeCell ref="B3:D3"/>
    <mergeCell ref="B4:D4"/>
    <mergeCell ref="B5:D5"/>
    <mergeCell ref="B6:D6"/>
    <mergeCell ref="B7:D7"/>
    <mergeCell ref="B8:D8"/>
    <mergeCell ref="B9:D9"/>
  </mergeCells>
  <dataValidations count="1">
    <dataValidation type="list" allowBlank="1" showInputMessage="1" showErrorMessage="1" sqref="B10:D10">
      <formula1>$E$320:$E$322</formula1>
      <formula2>0</formula2>
    </dataValidation>
  </dataValidations>
  <pageMargins left="0.75" right="0.75" top="1" bottom="1" header="0.51180555555555496" footer="0.51180555555555496"/>
  <pageSetup paperSize="9" firstPageNumber="0" orientation="landscape" horizontalDpi="300" verticalDpi="300"/>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5E0B4"/>
  </sheetPr>
  <dimension ref="A1:AZ351"/>
  <sheetViews>
    <sheetView zoomScaleNormal="100" workbookViewId="0">
      <selection activeCell="H16" sqref="H16"/>
    </sheetView>
  </sheetViews>
  <sheetFormatPr defaultRowHeight="15" x14ac:dyDescent="0.25"/>
  <cols>
    <col min="1" max="1" width="6.42578125" customWidth="1"/>
    <col min="2" max="2" width="45.85546875" customWidth="1"/>
    <col min="3" max="3" width="11.5703125" hidden="1"/>
    <col min="4" max="6" width="16.5703125" customWidth="1"/>
    <col min="7" max="9" width="15.7109375" customWidth="1"/>
    <col min="10" max="10" width="11.5703125" hidden="1"/>
    <col min="11" max="11" width="3" customWidth="1"/>
    <col min="12" max="12" width="15.140625" customWidth="1"/>
    <col min="13" max="15" width="13.42578125" customWidth="1"/>
    <col min="16" max="1025" width="9.140625" customWidth="1"/>
  </cols>
  <sheetData>
    <row r="1" spans="1:52" ht="12" customHeight="1" x14ac:dyDescent="0.25">
      <c r="A1" s="50" t="s">
        <v>39</v>
      </c>
      <c r="B1" s="51" t="s">
        <v>40</v>
      </c>
      <c r="C1" s="51"/>
      <c r="D1" s="86"/>
      <c r="E1" s="87"/>
      <c r="F1" s="88" t="s">
        <v>41</v>
      </c>
      <c r="G1" s="52" t="s">
        <v>42</v>
      </c>
      <c r="H1" s="52" t="s">
        <v>43</v>
      </c>
      <c r="I1" s="53" t="s">
        <v>44</v>
      </c>
      <c r="J1" s="681"/>
      <c r="K1" s="681"/>
      <c r="L1" s="681"/>
      <c r="M1" s="681"/>
      <c r="N1" s="54"/>
      <c r="O1" s="54"/>
      <c r="AZ1" s="55"/>
    </row>
    <row r="2" spans="1:52" ht="12" customHeight="1" x14ac:dyDescent="0.25">
      <c r="A2" s="89"/>
      <c r="B2" s="682" t="s">
        <v>142</v>
      </c>
      <c r="C2" s="682"/>
      <c r="D2" s="682"/>
      <c r="E2" s="55"/>
      <c r="F2" s="56">
        <f>'HL KNIHA VYPOC'!H4</f>
        <v>448375.28000000014</v>
      </c>
      <c r="G2" s="56">
        <f>'HL KNIHA VYPOC'!I4</f>
        <v>39495.57</v>
      </c>
      <c r="H2" s="56">
        <f>'HL KNIHA VYPOC'!J4</f>
        <v>80363.760000000009</v>
      </c>
      <c r="I2" s="56">
        <f>'HL KNIHA VYPOC'!K4</f>
        <v>407507.09000000008</v>
      </c>
      <c r="J2" s="57"/>
      <c r="K2" s="57"/>
      <c r="L2" s="683" t="s">
        <v>46</v>
      </c>
      <c r="M2" s="57"/>
      <c r="N2" s="54"/>
      <c r="O2" s="54"/>
    </row>
    <row r="3" spans="1:52" ht="12" customHeight="1" x14ac:dyDescent="0.25">
      <c r="A3" s="89"/>
      <c r="B3" s="682" t="s">
        <v>143</v>
      </c>
      <c r="C3" s="682"/>
      <c r="D3" s="682"/>
      <c r="E3" s="55"/>
      <c r="F3" s="56">
        <f>'HL KNIHA VYPOC'!H80</f>
        <v>68699.340000000011</v>
      </c>
      <c r="G3" s="56">
        <f>'HL KNIHA VYPOC'!I80</f>
        <v>184750.1</v>
      </c>
      <c r="H3" s="56">
        <f>'HL KNIHA VYPOC'!J80</f>
        <v>204320.36</v>
      </c>
      <c r="I3" s="56">
        <f>'HL KNIHA VYPOC'!K80</f>
        <v>49129.079999999994</v>
      </c>
      <c r="J3" s="57"/>
      <c r="K3" s="57"/>
      <c r="L3" s="683"/>
      <c r="M3" s="57"/>
      <c r="N3" s="54"/>
      <c r="O3" s="54"/>
    </row>
    <row r="4" spans="1:52" ht="12" customHeight="1" x14ac:dyDescent="0.25">
      <c r="A4" s="89"/>
      <c r="B4" s="682" t="s">
        <v>48</v>
      </c>
      <c r="C4" s="682"/>
      <c r="D4" s="682"/>
      <c r="E4" s="55"/>
      <c r="F4" s="56">
        <f>'HL KNIHA VYPOC'!H107</f>
        <v>-126477.13999999998</v>
      </c>
      <c r="G4" s="56">
        <f>'HL KNIHA VYPOC'!I107</f>
        <v>1295586.67</v>
      </c>
      <c r="H4" s="56">
        <f>'HL KNIHA VYPOC'!J107</f>
        <v>1311916.7000000002</v>
      </c>
      <c r="I4" s="56">
        <f>'HL KNIHA VYPOC'!K107</f>
        <v>-142807.1700000001</v>
      </c>
      <c r="J4" s="57"/>
      <c r="K4" s="57"/>
      <c r="L4" s="683"/>
      <c r="M4" s="57"/>
      <c r="N4" s="54"/>
      <c r="O4" s="54"/>
    </row>
    <row r="5" spans="1:52" ht="12" customHeight="1" x14ac:dyDescent="0.25">
      <c r="A5" s="89"/>
      <c r="B5" s="682" t="s">
        <v>49</v>
      </c>
      <c r="C5" s="682"/>
      <c r="D5" s="682"/>
      <c r="E5" s="55"/>
      <c r="F5" s="56">
        <f>'HL KNIHA VYPOC'!H140</f>
        <v>-234476.02000000002</v>
      </c>
      <c r="G5" s="56">
        <f>'HL KNIHA VYPOC'!I140</f>
        <v>915886.64999999991</v>
      </c>
      <c r="H5" s="56">
        <f>'HL KNIHA VYPOC'!J140</f>
        <v>852225.31999999983</v>
      </c>
      <c r="I5" s="56">
        <f>'HL KNIHA VYPOC'!K140</f>
        <v>-170814.68999999997</v>
      </c>
      <c r="J5" s="57"/>
      <c r="K5" s="57"/>
      <c r="L5" s="683"/>
      <c r="M5" s="57"/>
      <c r="N5" s="54"/>
      <c r="O5" s="54"/>
    </row>
    <row r="6" spans="1:52" ht="12" customHeight="1" x14ac:dyDescent="0.25">
      <c r="A6" s="89"/>
      <c r="B6" s="682" t="s">
        <v>50</v>
      </c>
      <c r="C6" s="682"/>
      <c r="D6" s="682"/>
      <c r="E6" s="55"/>
      <c r="F6" s="56">
        <f>'HL KNIHA VYPOC'!H213</f>
        <v>-156121.46</v>
      </c>
      <c r="G6" s="56">
        <f>'HL KNIHA VYPOC'!I213</f>
        <v>31096.260000000002</v>
      </c>
      <c r="H6" s="56">
        <f>'HL KNIHA VYPOC'!J213</f>
        <v>2045.9699999999998</v>
      </c>
      <c r="I6" s="56">
        <f>'HL KNIHA VYPOC'!K213</f>
        <v>-127071.16999999998</v>
      </c>
      <c r="J6" s="57"/>
      <c r="K6" s="57"/>
      <c r="L6" s="683"/>
      <c r="M6" s="57"/>
      <c r="N6" s="54"/>
      <c r="O6" s="54"/>
    </row>
    <row r="7" spans="1:52" ht="12" customHeight="1" x14ac:dyDescent="0.25">
      <c r="A7" s="89"/>
      <c r="B7" s="682" t="s">
        <v>51</v>
      </c>
      <c r="C7" s="682"/>
      <c r="D7" s="682"/>
      <c r="E7" s="55"/>
      <c r="F7" s="56">
        <f>'HL KNIHA VYPOC'!H262</f>
        <v>0</v>
      </c>
      <c r="G7" s="56">
        <f>'HL KNIHA VYPOC'!I262</f>
        <v>386834.72</v>
      </c>
      <c r="H7" s="56">
        <f>'HL KNIHA VYPOC'!J262</f>
        <v>994.94999999999993</v>
      </c>
      <c r="I7" s="56">
        <f>'HL KNIHA VYPOC'!K262</f>
        <v>385839.76999999996</v>
      </c>
      <c r="J7" s="57"/>
      <c r="K7" s="57"/>
      <c r="L7" s="683"/>
      <c r="M7" s="57"/>
      <c r="N7" s="54"/>
      <c r="O7" s="54"/>
    </row>
    <row r="8" spans="1:52" ht="12" customHeight="1" x14ac:dyDescent="0.25">
      <c r="A8" s="89"/>
      <c r="B8" s="682" t="s">
        <v>52</v>
      </c>
      <c r="C8" s="682"/>
      <c r="D8" s="682"/>
      <c r="E8" s="55"/>
      <c r="F8" s="56">
        <f>'HL KNIHA VYPOC'!H349</f>
        <v>0</v>
      </c>
      <c r="G8" s="56">
        <f>'HL KNIHA VYPOC'!I349</f>
        <v>153783.13</v>
      </c>
      <c r="H8" s="56">
        <f>'HL KNIHA VYPOC'!J349</f>
        <v>555566.04</v>
      </c>
      <c r="I8" s="56">
        <f>'HL KNIHA VYPOC'!K349</f>
        <v>-401782.91000000003</v>
      </c>
      <c r="J8" s="57"/>
      <c r="K8" s="57"/>
      <c r="L8" s="683"/>
      <c r="M8" s="57"/>
      <c r="N8" s="54"/>
      <c r="O8" s="54"/>
    </row>
    <row r="9" spans="1:52" ht="12" customHeight="1" x14ac:dyDescent="0.25">
      <c r="A9" s="89"/>
      <c r="B9" s="682" t="s">
        <v>53</v>
      </c>
      <c r="C9" s="682"/>
      <c r="D9" s="682"/>
      <c r="E9" s="55"/>
      <c r="F9" s="56">
        <f>SUM(F2:F8)</f>
        <v>2.0372681319713593E-10</v>
      </c>
      <c r="G9" s="56">
        <f>SUM(G2:G8)</f>
        <v>3007433.0999999996</v>
      </c>
      <c r="H9" s="56">
        <f>SUM(H2:H8)</f>
        <v>3007433.1000000006</v>
      </c>
      <c r="I9" s="56">
        <f>SUM(I2:I8)</f>
        <v>0</v>
      </c>
      <c r="J9" s="57"/>
      <c r="K9" s="57"/>
      <c r="L9" s="683"/>
      <c r="M9" s="57"/>
      <c r="N9" s="54"/>
      <c r="O9" s="54"/>
    </row>
    <row r="10" spans="1:52" ht="18" customHeight="1" x14ac:dyDescent="0.25">
      <c r="A10" s="89"/>
      <c r="B10" s="684" t="s">
        <v>54</v>
      </c>
      <c r="C10" s="684"/>
      <c r="D10" s="684"/>
      <c r="E10" s="59">
        <f>IF(E322=B10,D322,IF(E321=B10,D321,IF(E323=B10,D323)))</f>
        <v>3</v>
      </c>
      <c r="F10" s="56"/>
      <c r="G10" s="56"/>
      <c r="H10" s="56"/>
      <c r="I10" s="56">
        <f>SUM(I8*-1-I7)</f>
        <v>15943.140000000072</v>
      </c>
      <c r="J10" s="57"/>
      <c r="K10" s="57"/>
      <c r="L10" s="683"/>
      <c r="M10" s="57"/>
      <c r="N10" s="54"/>
      <c r="O10" s="54"/>
    </row>
    <row r="11" spans="1:52" s="55" customFormat="1" ht="12" customHeight="1" x14ac:dyDescent="0.25">
      <c r="A11" s="89"/>
      <c r="B11" s="90"/>
      <c r="C11" s="90"/>
      <c r="D11" s="690" t="s">
        <v>41</v>
      </c>
      <c r="E11" s="690"/>
      <c r="F11" s="690"/>
      <c r="G11" s="691" t="s">
        <v>144</v>
      </c>
      <c r="H11" s="691"/>
      <c r="I11" s="62" t="s">
        <v>58</v>
      </c>
      <c r="J11" s="57"/>
      <c r="K11" s="57"/>
      <c r="L11" s="683"/>
      <c r="M11" s="57"/>
      <c r="N11" s="54"/>
      <c r="O11" s="54"/>
    </row>
    <row r="12" spans="1:52" ht="96" customHeight="1" x14ac:dyDescent="0.25">
      <c r="A12" s="50" t="s">
        <v>31</v>
      </c>
      <c r="B12" s="91" t="s">
        <v>145</v>
      </c>
      <c r="C12" s="51"/>
      <c r="D12" s="53" t="s">
        <v>146</v>
      </c>
      <c r="E12" s="53" t="s">
        <v>147</v>
      </c>
      <c r="F12" s="53" t="s">
        <v>148</v>
      </c>
      <c r="G12" s="52" t="s">
        <v>149</v>
      </c>
      <c r="H12" s="52" t="s">
        <v>150</v>
      </c>
      <c r="I12" s="52" t="s">
        <v>59</v>
      </c>
      <c r="J12" s="55"/>
      <c r="K12" s="55"/>
      <c r="L12" s="55"/>
      <c r="M12" s="55"/>
      <c r="N12" s="55"/>
      <c r="O12" s="55"/>
    </row>
    <row r="13" spans="1:52" s="83" customFormat="1" ht="12" customHeight="1" x14ac:dyDescent="0.25">
      <c r="A13" s="66" t="s">
        <v>60</v>
      </c>
      <c r="B13" s="53" t="str">
        <f>IFERROR(IF(VLOOKUP($A13,Osnova!$A:$E,1)=$A13,VLOOKUP($A13,Osnova!$A:$E,$E$10)),"")</f>
        <v xml:space="preserve">Software </v>
      </c>
      <c r="C13" s="92" t="str">
        <f>IF(VLOOKUP($A13,Osnova!$A:$C,1)=$A13,VLOOKUP($A13,Osnova!$A:$F,4),0)</f>
        <v>Software</v>
      </c>
      <c r="D13" s="77">
        <v>99.58</v>
      </c>
      <c r="E13" s="78">
        <v>0</v>
      </c>
      <c r="F13" s="93">
        <f t="shared" ref="F13:F76" si="0">SUM(D13-E13)</f>
        <v>99.58</v>
      </c>
      <c r="G13" s="69">
        <v>0</v>
      </c>
      <c r="H13" s="69">
        <v>0</v>
      </c>
      <c r="I13" s="53">
        <f t="shared" ref="I13:I76" si="1">SUM(F13+G13-H13)</f>
        <v>99.58</v>
      </c>
    </row>
    <row r="14" spans="1:52" s="83" customFormat="1" ht="12" customHeight="1" x14ac:dyDescent="0.25">
      <c r="A14" s="66" t="s">
        <v>61</v>
      </c>
      <c r="B14" s="53" t="str">
        <f>IFERROR(IF(VLOOKUP($A14,Osnova!$A:$E,1)=$A14,VLOOKUP($A14,Osnova!$A:$E,$E$10)),"")</f>
        <v xml:space="preserve">Ostatný dlhodobý nehmotný majetok </v>
      </c>
      <c r="C14" s="92" t="str">
        <f>IF(VLOOKUP($A14,Osnova!$A:$C,1)=$A14,VLOOKUP($A14,Osnova!$A:$F,4),0)</f>
        <v>Sonstiges langfristiges immaterielles Eigentum</v>
      </c>
      <c r="D14" s="77">
        <v>3525.13</v>
      </c>
      <c r="E14" s="78">
        <v>0</v>
      </c>
      <c r="F14" s="93">
        <f t="shared" si="0"/>
        <v>3525.13</v>
      </c>
      <c r="G14" s="69">
        <v>0</v>
      </c>
      <c r="H14" s="69">
        <v>0</v>
      </c>
      <c r="I14" s="53">
        <f t="shared" si="1"/>
        <v>3525.13</v>
      </c>
      <c r="J14" s="94"/>
    </row>
    <row r="15" spans="1:52" s="83" customFormat="1" ht="12" customHeight="1" x14ac:dyDescent="0.25">
      <c r="A15" s="66" t="s">
        <v>62</v>
      </c>
      <c r="B15" s="53" t="str">
        <f>IFERROR(IF(VLOOKUP($A15,Osnova!$A:$E,1)=$A15,VLOOKUP($A15,Osnova!$A:$E,$E$10)),"")</f>
        <v xml:space="preserve">Stavby </v>
      </c>
      <c r="C15" s="92" t="str">
        <f>IF(VLOOKUP($A15,Osnova!$A:$C,1)=$A15,VLOOKUP($A15,Osnova!$A:$F,4),0)</f>
        <v>Bauten</v>
      </c>
      <c r="D15" s="77">
        <v>726899.76</v>
      </c>
      <c r="E15" s="78">
        <v>0</v>
      </c>
      <c r="F15" s="93">
        <f t="shared" si="0"/>
        <v>726899.76</v>
      </c>
      <c r="G15" s="69">
        <v>0</v>
      </c>
      <c r="H15" s="69">
        <v>0</v>
      </c>
      <c r="I15" s="53">
        <f t="shared" si="1"/>
        <v>726899.76</v>
      </c>
    </row>
    <row r="16" spans="1:52" s="83" customFormat="1" ht="15" customHeight="1" x14ac:dyDescent="0.25">
      <c r="A16" s="66" t="s">
        <v>63</v>
      </c>
      <c r="B16" s="53" t="str">
        <f>IFERROR(IF(VLOOKUP($A16,Osnova!$A:$E,1)=$A16,VLOOKUP($A16,Osnova!$A:$E,$E$10)),"")</f>
        <v xml:space="preserve">Samostatné hnuteľné veci a súbory hnuteľných vecí </v>
      </c>
      <c r="C16" s="92" t="str">
        <f>IF(VLOOKUP($A16,Osnova!$A:$C,1)=$A16,VLOOKUP($A16,Osnova!$A:$F,4),0)</f>
        <v>Eigenständige Mobilien und Mobilienkomplexe</v>
      </c>
      <c r="D16" s="77">
        <v>538007.88</v>
      </c>
      <c r="E16" s="78">
        <v>0</v>
      </c>
      <c r="F16" s="93">
        <f t="shared" si="0"/>
        <v>538007.88</v>
      </c>
      <c r="G16" s="69">
        <v>0</v>
      </c>
      <c r="H16" s="69">
        <v>0</v>
      </c>
      <c r="I16" s="53">
        <f t="shared" si="1"/>
        <v>538007.88</v>
      </c>
      <c r="J16" s="94"/>
    </row>
    <row r="17" spans="1:12" s="83" customFormat="1" ht="12" customHeight="1" x14ac:dyDescent="0.25">
      <c r="A17" s="66" t="s">
        <v>64</v>
      </c>
      <c r="B17" s="53" t="str">
        <f>IFERROR(IF(VLOOKUP($A17,Osnova!$A:$E,1)=$A17,VLOOKUP($A17,Osnova!$A:$E,$E$10)),"")</f>
        <v xml:space="preserve">Pestovateľské celky trvalých porastov </v>
      </c>
      <c r="C17" s="92" t="str">
        <f>IF(VLOOKUP($A17,Osnova!$A:$C,1)=$A17,VLOOKUP($A17,Osnova!$A:$F,4),0)</f>
        <v>Anbaukomplexe der Dauerkulturen</v>
      </c>
      <c r="D17" s="77">
        <v>0</v>
      </c>
      <c r="E17" s="78">
        <v>0</v>
      </c>
      <c r="F17" s="93">
        <f t="shared" si="0"/>
        <v>0</v>
      </c>
      <c r="G17" s="69">
        <v>1000</v>
      </c>
      <c r="H17" s="69">
        <v>0</v>
      </c>
      <c r="I17" s="53">
        <f t="shared" si="1"/>
        <v>1000</v>
      </c>
      <c r="J17" s="95"/>
    </row>
    <row r="18" spans="1:12" s="83" customFormat="1" ht="12" customHeight="1" x14ac:dyDescent="0.25">
      <c r="A18" s="66" t="s">
        <v>65</v>
      </c>
      <c r="B18" s="53" t="str">
        <f>IFERROR(IF(VLOOKUP($A18,Osnova!$A:$E,1)=$A18,VLOOKUP($A18,Osnova!$A:$E,$E$10)),"")</f>
        <v xml:space="preserve">Základné stádo a ťažné zvieratá </v>
      </c>
      <c r="C18" s="92" t="str">
        <f>IF(VLOOKUP($A18,Osnova!$A:$C,1)=$A18,VLOOKUP($A18,Osnova!$A:$F,4),0)</f>
        <v>Grundherde und Lasttiere</v>
      </c>
      <c r="D18" s="77">
        <v>109079.25</v>
      </c>
      <c r="E18" s="78">
        <v>0</v>
      </c>
      <c r="F18" s="93">
        <f t="shared" si="0"/>
        <v>109079.25</v>
      </c>
      <c r="G18" s="69">
        <v>14548.1</v>
      </c>
      <c r="H18" s="69">
        <v>8399.3700000000008</v>
      </c>
      <c r="I18" s="53">
        <f t="shared" si="1"/>
        <v>115227.98000000001</v>
      </c>
      <c r="J18" s="94"/>
    </row>
    <row r="19" spans="1:12" s="83" customFormat="1" ht="12" customHeight="1" x14ac:dyDescent="0.25">
      <c r="A19" s="66" t="s">
        <v>66</v>
      </c>
      <c r="B19" s="53" t="str">
        <f>IFERROR(IF(VLOOKUP($A19,Osnova!$A:$E,1)=$A19,VLOOKUP($A19,Osnova!$A:$E,$E$10)),"")</f>
        <v xml:space="preserve">Obstaranie dlhodobého hmotného majetku </v>
      </c>
      <c r="C19" s="92" t="str">
        <f>IF(VLOOKUP($A19,Osnova!$A:$C,1)=$A19,VLOOKUP($A19,Osnova!$A:$F,4),0)</f>
        <v>Anlagen im Bau (Langfrist.mat..Anlag.)</v>
      </c>
      <c r="D19" s="77">
        <v>0</v>
      </c>
      <c r="E19" s="78">
        <v>0</v>
      </c>
      <c r="F19" s="93">
        <f t="shared" si="0"/>
        <v>0</v>
      </c>
      <c r="G19" s="69">
        <v>15548.1</v>
      </c>
      <c r="H19" s="69">
        <v>15548.1</v>
      </c>
      <c r="I19" s="53">
        <f t="shared" si="1"/>
        <v>0</v>
      </c>
      <c r="J19"/>
    </row>
    <row r="20" spans="1:12" s="83" customFormat="1" ht="12" customHeight="1" x14ac:dyDescent="0.25">
      <c r="A20" s="66" t="s">
        <v>67</v>
      </c>
      <c r="B20" s="53" t="str">
        <f>IFERROR(IF(VLOOKUP($A20,Osnova!$A:$E,1)=$A20,VLOOKUP($A20,Osnova!$A:$E,$E$10)),"")</f>
        <v xml:space="preserve">Oprávky k softwaru </v>
      </c>
      <c r="C20" s="92" t="str">
        <f>IF(VLOOKUP($A20,Osnova!$A:$C,1)=$A20,VLOOKUP($A20,Osnova!$A:$F,4),0)</f>
        <v>Berichtigungen zum Software</v>
      </c>
      <c r="D20" s="77">
        <v>0</v>
      </c>
      <c r="E20" s="78">
        <v>99.58</v>
      </c>
      <c r="F20" s="93">
        <f t="shared" si="0"/>
        <v>-99.58</v>
      </c>
      <c r="G20" s="69">
        <v>0</v>
      </c>
      <c r="H20" s="69">
        <v>0</v>
      </c>
      <c r="I20" s="53">
        <f t="shared" si="1"/>
        <v>-99.58</v>
      </c>
      <c r="J20"/>
    </row>
    <row r="21" spans="1:12" s="83" customFormat="1" ht="12" customHeight="1" x14ac:dyDescent="0.25">
      <c r="A21" s="66" t="s">
        <v>68</v>
      </c>
      <c r="B21" s="53" t="str">
        <f>IFERROR(IF(VLOOKUP($A21,Osnova!$A:$E,1)=$A21,VLOOKUP($A21,Osnova!$A:$E,$E$10)),"")</f>
        <v xml:space="preserve">Oprávky k ostatnému dlhodobému nehmotnému majetku </v>
      </c>
      <c r="C21" s="92" t="str">
        <f>IF(VLOOKUP($A21,Osnova!$A:$C,1)=$A21,VLOOKUP($A21,Osnova!$A:$F,4),0)</f>
        <v>Berichtigungen zu sonstigem langfristigem immateriellem Eigentum</v>
      </c>
      <c r="D21" s="77">
        <v>0</v>
      </c>
      <c r="E21" s="78">
        <v>3525.13</v>
      </c>
      <c r="F21" s="93">
        <f t="shared" si="0"/>
        <v>-3525.13</v>
      </c>
      <c r="G21" s="69">
        <v>0</v>
      </c>
      <c r="H21" s="69">
        <v>0</v>
      </c>
      <c r="I21" s="53">
        <f t="shared" si="1"/>
        <v>-3525.13</v>
      </c>
      <c r="J21"/>
    </row>
    <row r="22" spans="1:12" s="83" customFormat="1" ht="12" customHeight="1" x14ac:dyDescent="0.25">
      <c r="A22" s="66" t="s">
        <v>69</v>
      </c>
      <c r="B22" s="53" t="str">
        <f>IFERROR(IF(VLOOKUP($A22,Osnova!$A:$E,1)=$A22,VLOOKUP($A22,Osnova!$A:$E,$E$10)),"")</f>
        <v xml:space="preserve">Oprávky k stavbám </v>
      </c>
      <c r="C22" s="92" t="str">
        <f>IF(VLOOKUP($A22,Osnova!$A:$C,1)=$A22,VLOOKUP($A22,Osnova!$A:$F,4),0)</f>
        <v>Berichtigungen zu Bauten</v>
      </c>
      <c r="D22" s="77">
        <v>0</v>
      </c>
      <c r="E22" s="78">
        <v>325524.28999999998</v>
      </c>
      <c r="F22" s="93">
        <f t="shared" si="0"/>
        <v>-325524.28999999998</v>
      </c>
      <c r="G22" s="69">
        <v>0</v>
      </c>
      <c r="H22" s="69">
        <v>33563.79</v>
      </c>
      <c r="I22" s="53">
        <f t="shared" si="1"/>
        <v>-359088.07999999996</v>
      </c>
      <c r="J22"/>
    </row>
    <row r="23" spans="1:12" s="83" customFormat="1" ht="12" customHeight="1" x14ac:dyDescent="0.25">
      <c r="A23" s="66" t="s">
        <v>70</v>
      </c>
      <c r="B23" s="53" t="str">
        <f>IFERROR(IF(VLOOKUP($A23,Osnova!$A:$E,1)=$A23,VLOOKUP($A23,Osnova!$A:$E,$E$10)),"")</f>
        <v xml:space="preserve">Oprávky k samostatným hnuteľným veciam a k súboru hnuteľných vecí </v>
      </c>
      <c r="C23" s="92" t="str">
        <f>IF(VLOOKUP($A23,Osnova!$A:$C,1)=$A23,VLOOKUP($A23,Osnova!$A:$F,4),0)</f>
        <v>Berichtigungen zu eigenständigen Mobilien und zum Mobilienkomplex</v>
      </c>
      <c r="D23" s="77">
        <v>0</v>
      </c>
      <c r="E23" s="78">
        <v>531436.48</v>
      </c>
      <c r="F23" s="93">
        <f t="shared" si="0"/>
        <v>-531436.48</v>
      </c>
      <c r="G23" s="69">
        <v>0</v>
      </c>
      <c r="H23" s="69">
        <v>3430.8</v>
      </c>
      <c r="I23" s="53">
        <f t="shared" si="1"/>
        <v>-534867.28</v>
      </c>
      <c r="J23"/>
    </row>
    <row r="24" spans="1:12" s="83" customFormat="1" ht="12" customHeight="1" x14ac:dyDescent="0.25">
      <c r="A24" s="66" t="s">
        <v>71</v>
      </c>
      <c r="B24" s="53" t="str">
        <f>IFERROR(IF(VLOOKUP($A24,Osnova!$A:$E,1)=$A24,VLOOKUP($A24,Osnova!$A:$E,$E$10)),"")</f>
        <v xml:space="preserve">Oprávky k základnému stádu a ťažným zvieratám </v>
      </c>
      <c r="C24" s="92" t="str">
        <f>IF(VLOOKUP($A24,Osnova!$A:$C,1)=$A24,VLOOKUP($A24,Osnova!$A:$F,4),0)</f>
        <v>Berichtigungen zur Grundherde und zu Lasttieren</v>
      </c>
      <c r="D24" s="77">
        <v>0</v>
      </c>
      <c r="E24" s="78">
        <v>68650.84</v>
      </c>
      <c r="F24" s="93">
        <f t="shared" si="0"/>
        <v>-68650.84</v>
      </c>
      <c r="G24" s="69">
        <v>8399.3700000000008</v>
      </c>
      <c r="H24" s="69">
        <v>19421.7</v>
      </c>
      <c r="I24" s="53">
        <f t="shared" si="1"/>
        <v>-79673.17</v>
      </c>
      <c r="J24"/>
    </row>
    <row r="25" spans="1:12" s="83" customFormat="1" ht="12" customHeight="1" x14ac:dyDescent="0.25">
      <c r="A25" s="66" t="s">
        <v>72</v>
      </c>
      <c r="B25" s="53" t="str">
        <f>IFERROR(IF(VLOOKUP($A25,Osnova!$A:$E,1)=$A25,VLOOKUP($A25,Osnova!$A:$E,$E$10)),"")</f>
        <v xml:space="preserve">Obstaranie materiálu </v>
      </c>
      <c r="C25" s="92" t="str">
        <f>IF(VLOOKUP($A25,Osnova!$A:$C,1)=$A25,VLOOKUP($A25,Osnova!$A:$F,4),0)</f>
        <v>Materialbeschaffung</v>
      </c>
      <c r="D25" s="77">
        <v>0</v>
      </c>
      <c r="E25" s="78">
        <v>0</v>
      </c>
      <c r="F25" s="93">
        <f t="shared" si="0"/>
        <v>0</v>
      </c>
      <c r="G25" s="69">
        <v>39624.199999999997</v>
      </c>
      <c r="H25" s="69">
        <v>39624.199999999997</v>
      </c>
      <c r="I25" s="53">
        <f t="shared" si="1"/>
        <v>0</v>
      </c>
      <c r="J25"/>
      <c r="K25" s="692"/>
      <c r="L25" s="692"/>
    </row>
    <row r="26" spans="1:12" s="83" customFormat="1" ht="12" customHeight="1" x14ac:dyDescent="0.25">
      <c r="A26" s="66" t="s">
        <v>73</v>
      </c>
      <c r="B26" s="53" t="str">
        <f>IFERROR(IF(VLOOKUP($A26,Osnova!$A:$E,1)=$A26,VLOOKUP($A26,Osnova!$A:$E,$E$10)),"")</f>
        <v xml:space="preserve">Materiál na sklade </v>
      </c>
      <c r="C26" s="92" t="str">
        <f>IF(VLOOKUP($A26,Osnova!$A:$C,1)=$A26,VLOOKUP($A26,Osnova!$A:$F,4),0)</f>
        <v>Material auf Lager</v>
      </c>
      <c r="D26" s="77">
        <v>5304.99</v>
      </c>
      <c r="E26" s="78">
        <v>0</v>
      </c>
      <c r="F26" s="93">
        <f t="shared" si="0"/>
        <v>5304.99</v>
      </c>
      <c r="G26" s="69">
        <v>39302.65</v>
      </c>
      <c r="H26" s="69">
        <v>39062.480000000003</v>
      </c>
      <c r="I26" s="53">
        <f t="shared" si="1"/>
        <v>5545.1599999999962</v>
      </c>
      <c r="J26"/>
      <c r="L26"/>
    </row>
    <row r="27" spans="1:12" s="83" customFormat="1" ht="12" customHeight="1" x14ac:dyDescent="0.25">
      <c r="A27" s="66" t="s">
        <v>74</v>
      </c>
      <c r="B27" s="53" t="str">
        <f>IFERROR(IF(VLOOKUP($A27,Osnova!$A:$E,1)=$A27,VLOOKUP($A27,Osnova!$A:$E,$E$10)),"")</f>
        <v xml:space="preserve">Nedokončená výroba </v>
      </c>
      <c r="C27" s="92" t="str">
        <f>IF(VLOOKUP($A27,Osnova!$A:$C,1)=$A27,VLOOKUP($A27,Osnova!$A:$F,4),0)</f>
        <v>Unvollendete Produktion</v>
      </c>
      <c r="D27" s="77">
        <v>14149.86</v>
      </c>
      <c r="E27" s="78">
        <v>0</v>
      </c>
      <c r="F27" s="93">
        <f t="shared" si="0"/>
        <v>14149.86</v>
      </c>
      <c r="G27" s="69">
        <v>-11752.96</v>
      </c>
      <c r="H27" s="69">
        <v>0</v>
      </c>
      <c r="I27" s="53">
        <f t="shared" si="1"/>
        <v>2396.9000000000015</v>
      </c>
      <c r="J27"/>
      <c r="L27"/>
    </row>
    <row r="28" spans="1:12" s="83" customFormat="1" ht="12" customHeight="1" x14ac:dyDescent="0.25">
      <c r="A28" s="66" t="s">
        <v>75</v>
      </c>
      <c r="B28" s="53" t="str">
        <f>IFERROR(IF(VLOOKUP($A28,Osnova!$A:$E,1)=$A28,VLOOKUP($A28,Osnova!$A:$E,$E$10)),"")</f>
        <v xml:space="preserve">Výrobky </v>
      </c>
      <c r="C28" s="92" t="str">
        <f>IF(VLOOKUP($A28,Osnova!$A:$C,1)=$A28,VLOOKUP($A28,Osnova!$A:$F,4),0)</f>
        <v>Erzeugnisse</v>
      </c>
      <c r="D28" s="77">
        <v>42656.4</v>
      </c>
      <c r="E28" s="96">
        <v>0</v>
      </c>
      <c r="F28" s="93">
        <f t="shared" si="0"/>
        <v>42656.4</v>
      </c>
      <c r="G28" s="69">
        <v>96829.93</v>
      </c>
      <c r="H28" s="69">
        <v>100639.79</v>
      </c>
      <c r="I28" s="53">
        <f t="shared" si="1"/>
        <v>38846.539999999994</v>
      </c>
      <c r="J28"/>
      <c r="L28"/>
    </row>
    <row r="29" spans="1:12" s="83" customFormat="1" ht="12" customHeight="1" x14ac:dyDescent="0.25">
      <c r="A29" s="66" t="s">
        <v>76</v>
      </c>
      <c r="B29" s="53" t="str">
        <f>IFERROR(IF(VLOOKUP($A29,Osnova!$A:$E,1)=$A29,VLOOKUP($A29,Osnova!$A:$E,$E$10)),"")</f>
        <v xml:space="preserve">Zvieratá </v>
      </c>
      <c r="C29" s="92" t="str">
        <f>IF(VLOOKUP($A29,Osnova!$A:$C,1)=$A29,VLOOKUP($A29,Osnova!$A:$F,4),0)</f>
        <v>Tiere</v>
      </c>
      <c r="D29" s="77">
        <v>6588.09</v>
      </c>
      <c r="E29" s="96">
        <v>0</v>
      </c>
      <c r="F29" s="93">
        <f t="shared" si="0"/>
        <v>6588.09</v>
      </c>
      <c r="G29" s="69">
        <v>20746.28</v>
      </c>
      <c r="H29" s="69">
        <v>24993.89</v>
      </c>
      <c r="I29" s="53">
        <f t="shared" si="1"/>
        <v>2340.4799999999996</v>
      </c>
      <c r="J29"/>
      <c r="L29"/>
    </row>
    <row r="30" spans="1:12" s="83" customFormat="1" ht="12" customHeight="1" x14ac:dyDescent="0.25">
      <c r="A30" s="66" t="s">
        <v>77</v>
      </c>
      <c r="B30" s="53" t="str">
        <f>IFERROR(IF(VLOOKUP($A30,Osnova!$A:$E,1)=$A30,VLOOKUP($A30,Osnova!$A:$E,$E$10)),"")</f>
        <v xml:space="preserve">Pokladnica </v>
      </c>
      <c r="C30" s="92" t="str">
        <f>IF(VLOOKUP($A30,Osnova!$A:$C,1)=$A30,VLOOKUP($A30,Osnova!$A:$F,4),0)</f>
        <v>Kasse</v>
      </c>
      <c r="D30" s="77">
        <v>385.7</v>
      </c>
      <c r="E30" s="96">
        <v>0</v>
      </c>
      <c r="F30" s="93">
        <f t="shared" si="0"/>
        <v>385.7</v>
      </c>
      <c r="G30" s="69">
        <v>120313.21</v>
      </c>
      <c r="H30" s="69">
        <v>102030.22</v>
      </c>
      <c r="I30" s="53">
        <f t="shared" si="1"/>
        <v>18668.690000000002</v>
      </c>
      <c r="J30"/>
      <c r="L30"/>
    </row>
    <row r="31" spans="1:12" s="83" customFormat="1" ht="12" customHeight="1" x14ac:dyDescent="0.25">
      <c r="A31" s="66" t="s">
        <v>78</v>
      </c>
      <c r="B31" s="53" t="str">
        <f>IFERROR(IF(VLOOKUP($A31,Osnova!$A:$E,1)=$A31,VLOOKUP($A31,Osnova!$A:$E,$E$10)),"")</f>
        <v xml:space="preserve">Ceniny </v>
      </c>
      <c r="C31" s="92" t="str">
        <f>IF(VLOOKUP($A31,Osnova!$A:$C,1)=$A31,VLOOKUP($A31,Osnova!$A:$F,4),0)</f>
        <v>Werte</v>
      </c>
      <c r="D31" s="77">
        <v>19.57</v>
      </c>
      <c r="E31" s="96">
        <v>1536.5</v>
      </c>
      <c r="F31" s="93">
        <f t="shared" si="0"/>
        <v>-1516.93</v>
      </c>
      <c r="G31" s="69">
        <v>16373.49</v>
      </c>
      <c r="H31" s="69">
        <v>13247.07</v>
      </c>
      <c r="I31" s="53">
        <f t="shared" si="1"/>
        <v>1609.4899999999998</v>
      </c>
      <c r="J31"/>
      <c r="L31"/>
    </row>
    <row r="32" spans="1:12" s="83" customFormat="1" ht="12" customHeight="1" x14ac:dyDescent="0.25">
      <c r="A32" s="66" t="s">
        <v>79</v>
      </c>
      <c r="B32" s="53" t="str">
        <f>IFERROR(IF(VLOOKUP($A32,Osnova!$A:$E,1)=$A32,VLOOKUP($A32,Osnova!$A:$E,$E$10)),"")</f>
        <v xml:space="preserve">Bankové účty </v>
      </c>
      <c r="C32" s="92" t="str">
        <f>IF(VLOOKUP($A32,Osnova!$A:$C,1)=$A32,VLOOKUP($A32,Osnova!$A:$F,4),0)</f>
        <v>Bankkonten</v>
      </c>
      <c r="D32" s="77">
        <v>2148.85</v>
      </c>
      <c r="E32" s="96">
        <v>121454.76</v>
      </c>
      <c r="F32" s="93">
        <f t="shared" si="0"/>
        <v>-119305.90999999999</v>
      </c>
      <c r="G32" s="69">
        <v>713346.48</v>
      </c>
      <c r="H32" s="69">
        <v>751085.92</v>
      </c>
      <c r="I32" s="53">
        <f t="shared" si="1"/>
        <v>-157045.35000000009</v>
      </c>
      <c r="J32"/>
      <c r="L32"/>
    </row>
    <row r="33" spans="1:12" s="83" customFormat="1" ht="12" customHeight="1" x14ac:dyDescent="0.25">
      <c r="A33" s="66" t="s">
        <v>80</v>
      </c>
      <c r="B33" s="53" t="str">
        <f>IFERROR(IF(VLOOKUP($A33,Osnova!$A:$E,1)=$A33,VLOOKUP($A33,Osnova!$A:$E,$E$10)),"")</f>
        <v xml:space="preserve">Ostatné krátkodobé finančné výpomoci </v>
      </c>
      <c r="C33" s="92" t="str">
        <f>IF(VLOOKUP($A33,Osnova!$A:$C,1)=$A33,VLOOKUP($A33,Osnova!$A:$F,4),0)</f>
        <v>Sonstige kurzfristige Finanzaushilfen</v>
      </c>
      <c r="D33" s="77">
        <v>0</v>
      </c>
      <c r="E33" s="96">
        <v>6040</v>
      </c>
      <c r="F33" s="93">
        <f t="shared" si="0"/>
        <v>-6040</v>
      </c>
      <c r="G33" s="69">
        <v>0</v>
      </c>
      <c r="H33" s="69">
        <v>0</v>
      </c>
      <c r="I33" s="53">
        <f t="shared" si="1"/>
        <v>-6040</v>
      </c>
      <c r="J33"/>
      <c r="L33"/>
    </row>
    <row r="34" spans="1:12" s="83" customFormat="1" ht="12" customHeight="1" x14ac:dyDescent="0.25">
      <c r="A34" s="66" t="s">
        <v>81</v>
      </c>
      <c r="B34" s="53" t="str">
        <f>IFERROR(IF(VLOOKUP($A34,Osnova!$A:$E,1)=$A34,VLOOKUP($A34,Osnova!$A:$E,$E$10)),"")</f>
        <v xml:space="preserve">Peniaze na ceste </v>
      </c>
      <c r="C34" s="92" t="str">
        <f>IF(VLOOKUP($A34,Osnova!$A:$C,1)=$A34,VLOOKUP($A34,Osnova!$A:$F,4),0)</f>
        <v>Geld unterwegs</v>
      </c>
      <c r="D34" s="77">
        <v>0</v>
      </c>
      <c r="E34" s="96">
        <v>0</v>
      </c>
      <c r="F34" s="93">
        <f t="shared" si="0"/>
        <v>0</v>
      </c>
      <c r="G34" s="69">
        <v>445553.49</v>
      </c>
      <c r="H34" s="69">
        <v>445553.49</v>
      </c>
      <c r="I34" s="53">
        <f t="shared" si="1"/>
        <v>0</v>
      </c>
      <c r="J34"/>
      <c r="L34"/>
    </row>
    <row r="35" spans="1:12" s="83" customFormat="1" ht="12" customHeight="1" x14ac:dyDescent="0.25">
      <c r="A35" s="66" t="s">
        <v>82</v>
      </c>
      <c r="B35" s="53" t="str">
        <f>IFERROR(IF(VLOOKUP($A35,Osnova!$A:$E,1)=$A35,VLOOKUP($A35,Osnova!$A:$E,$E$10)),"")</f>
        <v xml:space="preserve">Odberatelia </v>
      </c>
      <c r="C35" s="92" t="str">
        <f>IF(VLOOKUP($A35,Osnova!$A:$C,1)=$A35,VLOOKUP($A35,Osnova!$A:$F,4),0)</f>
        <v>Abnehmer</v>
      </c>
      <c r="D35" s="77">
        <v>12507.64</v>
      </c>
      <c r="E35" s="96">
        <v>309.93</v>
      </c>
      <c r="F35" s="93">
        <f t="shared" si="0"/>
        <v>12197.71</v>
      </c>
      <c r="G35" s="69">
        <v>52958.29</v>
      </c>
      <c r="H35" s="69">
        <v>48089.57</v>
      </c>
      <c r="I35" s="53">
        <f t="shared" si="1"/>
        <v>17066.43</v>
      </c>
      <c r="J35"/>
      <c r="L35"/>
    </row>
    <row r="36" spans="1:12" s="83" customFormat="1" ht="12" customHeight="1" x14ac:dyDescent="0.25">
      <c r="A36" s="66" t="s">
        <v>84</v>
      </c>
      <c r="B36" s="53" t="str">
        <f>IFERROR(IF(VLOOKUP($A36,Osnova!$A:$E,1)=$A36,VLOOKUP($A36,Osnova!$A:$E,$E$10)),"")</f>
        <v xml:space="preserve">Ostatné pohľadávky </v>
      </c>
      <c r="C36" s="92"/>
      <c r="D36" s="77">
        <v>924.73</v>
      </c>
      <c r="E36" s="96">
        <v>0</v>
      </c>
      <c r="F36" s="93">
        <f t="shared" si="0"/>
        <v>924.73</v>
      </c>
      <c r="G36" s="69">
        <v>0</v>
      </c>
      <c r="H36" s="69">
        <v>0</v>
      </c>
      <c r="I36" s="53">
        <f t="shared" si="1"/>
        <v>924.73</v>
      </c>
      <c r="J36"/>
      <c r="L36"/>
    </row>
    <row r="37" spans="1:12" s="83" customFormat="1" ht="12" customHeight="1" x14ac:dyDescent="0.25">
      <c r="A37" s="97" t="s">
        <v>85</v>
      </c>
      <c r="B37" s="53" t="str">
        <f>IFERROR(IF(VLOOKUP($A37,Osnova!$A:$E,1)=$A37,VLOOKUP($A37,Osnova!$A:$E,$E$10)),"")</f>
        <v xml:space="preserve">Dodávatelia </v>
      </c>
      <c r="C37" s="92" t="str">
        <f>IF(VLOOKUP($A37,Osnova!$A:$C,1)=$A37,VLOOKUP($A37,Osnova!$A:$F,4),0)</f>
        <v>Lieferanten</v>
      </c>
      <c r="D37" s="77">
        <v>8726.81</v>
      </c>
      <c r="E37" s="96">
        <v>41662.81</v>
      </c>
      <c r="F37" s="93">
        <f t="shared" si="0"/>
        <v>-32936</v>
      </c>
      <c r="G37" s="69">
        <v>118476.14</v>
      </c>
      <c r="H37" s="69">
        <v>116374.46</v>
      </c>
      <c r="I37" s="53">
        <f t="shared" si="1"/>
        <v>-30834.320000000007</v>
      </c>
      <c r="J37"/>
    </row>
    <row r="38" spans="1:12" s="83" customFormat="1" ht="12" customHeight="1" x14ac:dyDescent="0.25">
      <c r="A38" s="97" t="s">
        <v>86</v>
      </c>
      <c r="B38" s="53" t="str">
        <f>IFERROR(IF(VLOOKUP($A38,Osnova!$A:$E,1)=$A38,VLOOKUP($A38,Osnova!$A:$E,$E$10)),"")</f>
        <v xml:space="preserve">Krátkodobé rezervy </v>
      </c>
      <c r="C38" s="92" t="str">
        <f>IF(VLOOKUP($A38,Osnova!$A:$C,1)=$A38,VLOOKUP($A38,Osnova!$A:$F,4),0)</f>
        <v>Kurzfristige Reserven</v>
      </c>
      <c r="D38" s="77">
        <v>0</v>
      </c>
      <c r="E38" s="96">
        <v>11672.53</v>
      </c>
      <c r="F38" s="93">
        <f t="shared" si="0"/>
        <v>-11672.53</v>
      </c>
      <c r="G38" s="69">
        <v>11743.44</v>
      </c>
      <c r="H38" s="69">
        <v>19748.47</v>
      </c>
      <c r="I38" s="53">
        <f t="shared" si="1"/>
        <v>-19677.560000000001</v>
      </c>
      <c r="J38"/>
      <c r="L38"/>
    </row>
    <row r="39" spans="1:12" ht="12" customHeight="1" x14ac:dyDescent="0.25">
      <c r="A39" s="97" t="s">
        <v>87</v>
      </c>
      <c r="B39" s="53" t="str">
        <f>IFERROR(IF(VLOOKUP($A39,Osnova!$A:$E,1)=$A39,VLOOKUP($A39,Osnova!$A:$E,$E$10)),"")</f>
        <v xml:space="preserve">Ostatné záväzky </v>
      </c>
      <c r="C39" s="92">
        <f>IF(VLOOKUP($A39,Osnova!$A:$C,1)=$A39,VLOOKUP($A39,Osnova!$A:$F,4),0)</f>
        <v>0</v>
      </c>
      <c r="D39" s="77">
        <v>0</v>
      </c>
      <c r="E39" s="96">
        <v>4209.5200000000004</v>
      </c>
      <c r="F39" s="93">
        <f t="shared" si="0"/>
        <v>-4209.5200000000004</v>
      </c>
      <c r="G39" s="69">
        <v>0</v>
      </c>
      <c r="H39" s="69">
        <v>0</v>
      </c>
      <c r="I39" s="53">
        <f t="shared" si="1"/>
        <v>-4209.5200000000004</v>
      </c>
      <c r="K39" s="83"/>
    </row>
    <row r="40" spans="1:12" ht="12" customHeight="1" x14ac:dyDescent="0.25">
      <c r="A40" s="97" t="s">
        <v>88</v>
      </c>
      <c r="B40" s="53" t="str">
        <f>IFERROR(IF(VLOOKUP($A40,Osnova!$A:$E,1)=$A40,VLOOKUP($A40,Osnova!$A:$E,$E$10)),"")</f>
        <v xml:space="preserve">Zamestnanci </v>
      </c>
      <c r="C40" s="92" t="str">
        <f>IF(VLOOKUP($A40,Osnova!$A:$C,1)=$A40,VLOOKUP($A40,Osnova!$A:$F,4),0)</f>
        <v>Angestellten</v>
      </c>
      <c r="D40" s="77">
        <v>0</v>
      </c>
      <c r="E40" s="96">
        <v>13788.36</v>
      </c>
      <c r="F40" s="93">
        <f t="shared" si="0"/>
        <v>-13788.36</v>
      </c>
      <c r="G40" s="69">
        <v>155951.29999999999</v>
      </c>
      <c r="H40" s="69">
        <v>149278.85999999999</v>
      </c>
      <c r="I40" s="53">
        <f t="shared" si="1"/>
        <v>-7115.9199999999837</v>
      </c>
      <c r="K40" s="83"/>
    </row>
    <row r="41" spans="1:12" ht="12" customHeight="1" x14ac:dyDescent="0.25">
      <c r="A41" s="97" t="s">
        <v>89</v>
      </c>
      <c r="B41" s="53" t="str">
        <f>IFERROR(IF(VLOOKUP($A41,Osnova!$A:$E,1)=$A41,VLOOKUP($A41,Osnova!$A:$E,$E$10)),"")</f>
        <v xml:space="preserve">Ostatné záväzky voči zamestnancom </v>
      </c>
      <c r="C41" s="92">
        <f>IF(VLOOKUP($A41,Osnova!$A:$C,1)=$A41,VLOOKUP($A41,Osnova!$A:$F,4),0)</f>
        <v>0</v>
      </c>
      <c r="D41" s="77">
        <v>0</v>
      </c>
      <c r="E41" s="96">
        <v>7309.65</v>
      </c>
      <c r="F41" s="93">
        <f t="shared" si="0"/>
        <v>-7309.65</v>
      </c>
      <c r="G41" s="69">
        <v>0</v>
      </c>
      <c r="H41" s="69">
        <v>0</v>
      </c>
      <c r="I41" s="53">
        <f t="shared" si="1"/>
        <v>-7309.65</v>
      </c>
      <c r="K41" s="83"/>
    </row>
    <row r="42" spans="1:12" ht="12" customHeight="1" x14ac:dyDescent="0.25">
      <c r="A42" s="97" t="s">
        <v>90</v>
      </c>
      <c r="B42" s="53" t="str">
        <f>IFERROR(IF(VLOOKUP($A42,Osnova!$A:$E,1)=$A42,VLOOKUP($A42,Osnova!$A:$E,$E$10)),"")</f>
        <v xml:space="preserve">Pohľadávky voči zamestnancom </v>
      </c>
      <c r="C42" s="92" t="str">
        <f>IF(VLOOKUP($A42,Osnova!$A:$C,1)=$A42,VLOOKUP($A42,Osnova!$A:$F,4),0)</f>
        <v>Forderungen gegenüber den Angestellten</v>
      </c>
      <c r="D42" s="77">
        <v>0</v>
      </c>
      <c r="E42" s="96">
        <v>402.11</v>
      </c>
      <c r="F42" s="93">
        <f t="shared" si="0"/>
        <v>-402.11</v>
      </c>
      <c r="G42" s="69">
        <v>3519.75</v>
      </c>
      <c r="H42" s="69">
        <v>3452.06</v>
      </c>
      <c r="I42" s="53">
        <f t="shared" si="1"/>
        <v>-334.42000000000007</v>
      </c>
      <c r="K42" s="83"/>
    </row>
    <row r="43" spans="1:12" ht="12" customHeight="1" x14ac:dyDescent="0.25">
      <c r="A43" s="97" t="s">
        <v>91</v>
      </c>
      <c r="B43" s="53" t="str">
        <f>IFERROR(IF(VLOOKUP($A43,Osnova!$A:$E,1)=$A43,VLOOKUP($A43,Osnova!$A:$E,$E$10)),"")</f>
        <v xml:space="preserve">Zúčtovanie s orgánmi sociálneho zabezpečenia a zdravotného poistenia </v>
      </c>
      <c r="C43" s="92" t="str">
        <f>IF(VLOOKUP($A43,Osnova!$A:$C,1)=$A43,VLOOKUP($A43,Osnova!$A:$F,4),0)</f>
        <v>Abrechnung mit Behörden der Sozialfürsorge und der Krankversicherung</v>
      </c>
      <c r="D43" s="77">
        <v>0</v>
      </c>
      <c r="E43" s="96">
        <v>8401.36</v>
      </c>
      <c r="F43" s="93">
        <f t="shared" si="0"/>
        <v>-8401.36</v>
      </c>
      <c r="G43" s="69">
        <v>74336.42</v>
      </c>
      <c r="H43" s="69">
        <v>75479.06</v>
      </c>
      <c r="I43" s="53">
        <f t="shared" si="1"/>
        <v>-9544</v>
      </c>
      <c r="K43" s="83"/>
    </row>
    <row r="44" spans="1:12" ht="12" customHeight="1" x14ac:dyDescent="0.25">
      <c r="A44" s="97" t="s">
        <v>92</v>
      </c>
      <c r="B44" s="53" t="str">
        <f>IFERROR(IF(VLOOKUP($A44,Osnova!$A:$E,1)=$A44,VLOOKUP($A44,Osnova!$A:$E,$E$10)),"")</f>
        <v xml:space="preserve">Daň z príjmov </v>
      </c>
      <c r="C44" s="92" t="str">
        <f>IF(VLOOKUP($A44,Osnova!$A:$C,1)=$A44,VLOOKUP($A44,Osnova!$A:$F,4),0)</f>
        <v>Einkommensteuer</v>
      </c>
      <c r="D44" s="77">
        <v>960</v>
      </c>
      <c r="E44" s="96">
        <v>960</v>
      </c>
      <c r="F44" s="93">
        <f t="shared" si="0"/>
        <v>0</v>
      </c>
      <c r="G44" s="69">
        <v>2395.94</v>
      </c>
      <c r="H44" s="69">
        <v>960</v>
      </c>
      <c r="I44" s="53">
        <f t="shared" si="1"/>
        <v>1435.94</v>
      </c>
      <c r="K44" s="83"/>
    </row>
    <row r="45" spans="1:12" ht="12" customHeight="1" x14ac:dyDescent="0.25">
      <c r="A45" s="97" t="s">
        <v>93</v>
      </c>
      <c r="B45" s="53" t="str">
        <f>IFERROR(IF(VLOOKUP($A45,Osnova!$A:$E,1)=$A45,VLOOKUP($A45,Osnova!$A:$E,$E$10)),"")</f>
        <v xml:space="preserve">Ostatné priame dane </v>
      </c>
      <c r="C45" s="92" t="str">
        <f>IF(VLOOKUP($A45,Osnova!$A:$C,1)=$A45,VLOOKUP($A45,Osnova!$A:$F,4),0)</f>
        <v>Sonstige direkte Steuern</v>
      </c>
      <c r="D45" s="77">
        <v>0</v>
      </c>
      <c r="E45" s="96">
        <v>6862.62</v>
      </c>
      <c r="F45" s="93">
        <f t="shared" si="0"/>
        <v>-6862.62</v>
      </c>
      <c r="G45" s="69">
        <v>13870.58</v>
      </c>
      <c r="H45" s="69">
        <v>14292.97</v>
      </c>
      <c r="I45" s="53">
        <f t="shared" si="1"/>
        <v>-7285.0099999999993</v>
      </c>
      <c r="K45" s="83"/>
    </row>
    <row r="46" spans="1:12" ht="12" customHeight="1" x14ac:dyDescent="0.25">
      <c r="A46" s="97" t="s">
        <v>94</v>
      </c>
      <c r="B46" s="53" t="str">
        <f>IFERROR(IF(VLOOKUP($A46,Osnova!$A:$E,1)=$A46,VLOOKUP($A46,Osnova!$A:$E,$E$10)),"")</f>
        <v xml:space="preserve">Daň z pridanej hodnoty </v>
      </c>
      <c r="C46" s="92" t="str">
        <f>IF(VLOOKUP($A46,Osnova!$A:$C,1)=$A46,VLOOKUP($A46,Osnova!$A:$F,4),0)</f>
        <v>Mehrwertsteuer</v>
      </c>
      <c r="D46" s="77">
        <v>0</v>
      </c>
      <c r="E46" s="96">
        <v>11809.3</v>
      </c>
      <c r="F46" s="93">
        <f t="shared" si="0"/>
        <v>-11809.3</v>
      </c>
      <c r="G46" s="69">
        <v>17993.37</v>
      </c>
      <c r="H46" s="69">
        <v>18791.97</v>
      </c>
      <c r="I46" s="53">
        <f t="shared" si="1"/>
        <v>-12607.900000000001</v>
      </c>
      <c r="K46" s="83"/>
    </row>
    <row r="47" spans="1:12" ht="12" customHeight="1" x14ac:dyDescent="0.25">
      <c r="A47" s="97" t="s">
        <v>95</v>
      </c>
      <c r="B47" s="53" t="str">
        <f>IFERROR(IF(VLOOKUP($A47,Osnova!$A:$E,1)=$A47,VLOOKUP($A47,Osnova!$A:$E,$E$10)),"")</f>
        <v xml:space="preserve">Ostatné dane a poplatky </v>
      </c>
      <c r="C47" s="92" t="str">
        <f>IF(VLOOKUP($A47,Osnova!$A:$C,1)=$A47,VLOOKUP($A47,Osnova!$A:$F,4),0)</f>
        <v>Sonstige Steuern und Gebühren</v>
      </c>
      <c r="D47" s="77">
        <v>0</v>
      </c>
      <c r="E47" s="96">
        <v>1540.52</v>
      </c>
      <c r="F47" s="93">
        <f t="shared" si="0"/>
        <v>-1540.52</v>
      </c>
      <c r="G47" s="69">
        <v>3145.98</v>
      </c>
      <c r="H47" s="69">
        <v>1605.46</v>
      </c>
      <c r="I47" s="53">
        <f t="shared" si="1"/>
        <v>0</v>
      </c>
      <c r="K47" s="83"/>
    </row>
    <row r="48" spans="1:12" ht="12" customHeight="1" x14ac:dyDescent="0.25">
      <c r="A48" s="97" t="s">
        <v>96</v>
      </c>
      <c r="B48" s="53" t="str">
        <f>IFERROR(IF(VLOOKUP($A48,Osnova!$A:$E,1)=$A48,VLOOKUP($A48,Osnova!$A:$E,$E$10)),"")</f>
        <v xml:space="preserve">Dotácie zo štátneho rozpočtu </v>
      </c>
      <c r="C48" s="92" t="str">
        <f>IF(VLOOKUP($A48,Osnova!$A:$C,1)=$A48,VLOOKUP($A48,Osnova!$A:$F,4),0)</f>
        <v>Haushaltzuschüsse</v>
      </c>
      <c r="D48" s="77">
        <v>0</v>
      </c>
      <c r="E48" s="96">
        <v>0</v>
      </c>
      <c r="F48" s="93">
        <f t="shared" si="0"/>
        <v>0</v>
      </c>
      <c r="G48" s="69">
        <v>359218.8</v>
      </c>
      <c r="H48" s="69">
        <v>359218.8</v>
      </c>
      <c r="I48" s="53">
        <f t="shared" si="1"/>
        <v>0</v>
      </c>
      <c r="K48" s="83"/>
    </row>
    <row r="49" spans="1:11" ht="12" customHeight="1" x14ac:dyDescent="0.25">
      <c r="A49" s="97" t="s">
        <v>97</v>
      </c>
      <c r="B49" s="53" t="str">
        <f>IFERROR(IF(VLOOKUP($A49,Osnova!$A:$E,1)=$A49,VLOOKUP($A49,Osnova!$A:$E,$E$10)),"")</f>
        <v xml:space="preserve"> Ostatné záväzky voči spoločníkom a členom</v>
      </c>
      <c r="C49" s="92"/>
      <c r="D49" s="77">
        <v>0</v>
      </c>
      <c r="E49" s="96">
        <v>11000</v>
      </c>
      <c r="F49" s="93">
        <f t="shared" si="0"/>
        <v>-11000</v>
      </c>
      <c r="G49" s="69">
        <v>0</v>
      </c>
      <c r="H49" s="69">
        <v>0</v>
      </c>
      <c r="I49" s="53">
        <f t="shared" si="1"/>
        <v>-11000</v>
      </c>
      <c r="K49" s="83"/>
    </row>
    <row r="50" spans="1:11" ht="12" customHeight="1" x14ac:dyDescent="0.25">
      <c r="A50" s="97" t="s">
        <v>99</v>
      </c>
      <c r="B50" s="53" t="str">
        <f>IFERROR(IF(VLOOKUP($A50,Osnova!$A:$E,1)=$A50,VLOOKUP($A50,Osnova!$A:$E,$E$10)),"")</f>
        <v xml:space="preserve">Iné záväzky </v>
      </c>
      <c r="C50" s="92" t="str">
        <f>IF(VLOOKUP($A50,Osnova!$A:$C,1)=$A50,VLOOKUP($A50,Osnova!$A:$F,4),0)</f>
        <v>Sonstige Verbindlichkeiten</v>
      </c>
      <c r="D50" s="77">
        <v>242.08</v>
      </c>
      <c r="E50" s="96">
        <v>7260.3</v>
      </c>
      <c r="F50" s="93">
        <f t="shared" si="0"/>
        <v>-7018.22</v>
      </c>
      <c r="G50" s="69">
        <v>32257.99</v>
      </c>
      <c r="H50" s="69">
        <v>40849.32</v>
      </c>
      <c r="I50" s="53">
        <f t="shared" si="1"/>
        <v>-15609.55</v>
      </c>
      <c r="K50" s="83"/>
    </row>
    <row r="51" spans="1:11" ht="12" customHeight="1" x14ac:dyDescent="0.25">
      <c r="A51" s="97" t="s">
        <v>151</v>
      </c>
      <c r="B51" s="53" t="str">
        <f>IFERROR(IF(VLOOKUP($A51,Osnova!$A:$E,1)=$A51,VLOOKUP($A51,Osnova!$A:$E,$E$10)),"")</f>
        <v xml:space="preserve">Výdavky budúcich období </v>
      </c>
      <c r="C51" s="92" t="str">
        <f>IF(VLOOKUP($A51,Osnova!$A:$C,1)=$A51,VLOOKUP($A51,Osnova!$A:$F,4),0)</f>
        <v>Ausgaben für künftige Abrechnungszeiträume</v>
      </c>
      <c r="D51" s="77">
        <v>0</v>
      </c>
      <c r="E51" s="96">
        <v>250.6</v>
      </c>
      <c r="F51" s="93">
        <f t="shared" si="0"/>
        <v>-250.6</v>
      </c>
      <c r="G51" s="69">
        <v>250.6</v>
      </c>
      <c r="H51" s="69">
        <v>0</v>
      </c>
      <c r="I51" s="53">
        <f t="shared" si="1"/>
        <v>0</v>
      </c>
      <c r="K51" s="83"/>
    </row>
    <row r="52" spans="1:11" ht="12" customHeight="1" x14ac:dyDescent="0.25">
      <c r="A52" s="97" t="s">
        <v>100</v>
      </c>
      <c r="B52" s="53" t="str">
        <f>IFERROR(IF(VLOOKUP($A52,Osnova!$A:$E,1)=$A52,VLOOKUP($A52,Osnova!$A:$E,$E$10)),"")</f>
        <v xml:space="preserve">Výnosy budúcich období </v>
      </c>
      <c r="C52" s="92" t="str">
        <f>IF(VLOOKUP($A52,Osnova!$A:$C,1)=$A52,VLOOKUP($A52,Osnova!$A:$F,4),0)</f>
        <v>Erlöse für künftige Abrechnungszeiträume</v>
      </c>
      <c r="D52" s="77">
        <v>0</v>
      </c>
      <c r="E52" s="96">
        <v>130397.67</v>
      </c>
      <c r="F52" s="93">
        <f t="shared" si="0"/>
        <v>-130397.67</v>
      </c>
      <c r="G52" s="69">
        <v>13548.21</v>
      </c>
      <c r="H52" s="69">
        <v>0</v>
      </c>
      <c r="I52" s="53">
        <f t="shared" si="1"/>
        <v>-116849.45999999999</v>
      </c>
      <c r="K52" s="83"/>
    </row>
    <row r="53" spans="1:11" ht="12" customHeight="1" x14ac:dyDescent="0.25">
      <c r="A53" s="97" t="s">
        <v>101</v>
      </c>
      <c r="B53" s="53" t="str">
        <f>IFERROR(IF(VLOOKUP($A53,Osnova!$A:$E,1)=$A53,VLOOKUP($A53,Osnova!$A:$E,$E$10)),"")</f>
        <v xml:space="preserve">Príjmy budúcich období </v>
      </c>
      <c r="C53" s="92" t="str">
        <f>IF(VLOOKUP($A53,Osnova!$A:$C,1)=$A53,VLOOKUP($A53,Osnova!$A:$F,4),0)</f>
        <v>Einnahmen für künftige Abrechnungszeiträume</v>
      </c>
      <c r="D53" s="77">
        <v>0</v>
      </c>
      <c r="E53" s="96">
        <v>0</v>
      </c>
      <c r="F53" s="93">
        <f t="shared" si="0"/>
        <v>0</v>
      </c>
      <c r="G53" s="69">
        <v>52135.519999999997</v>
      </c>
      <c r="H53" s="69">
        <v>0</v>
      </c>
      <c r="I53" s="53">
        <f t="shared" si="1"/>
        <v>52135.519999999997</v>
      </c>
      <c r="K53" s="83"/>
    </row>
    <row r="54" spans="1:11" ht="12" customHeight="1" x14ac:dyDescent="0.25">
      <c r="A54" s="97" t="s">
        <v>102</v>
      </c>
      <c r="B54" s="53" t="str">
        <f>IFERROR(IF(VLOOKUP($A54,Osnova!$A:$E,1)=$A54,VLOOKUP($A54,Osnova!$A:$E,$E$10)),"")</f>
        <v xml:space="preserve">Vnútorné zúčtovanie </v>
      </c>
      <c r="C54" s="92" t="str">
        <f>IF(VLOOKUP($A54,Osnova!$A:$C,1)=$A54,VLOOKUP($A54,Osnova!$A:$F,4),0)</f>
        <v>Innerbetriebliche Verrechnung</v>
      </c>
      <c r="D54" s="77">
        <v>0</v>
      </c>
      <c r="E54" s="96">
        <v>0</v>
      </c>
      <c r="F54" s="93">
        <f t="shared" si="0"/>
        <v>0</v>
      </c>
      <c r="G54" s="69">
        <v>4084.32</v>
      </c>
      <c r="H54" s="69">
        <v>4084.32</v>
      </c>
      <c r="I54" s="53">
        <f t="shared" si="1"/>
        <v>0</v>
      </c>
      <c r="K54" s="83"/>
    </row>
    <row r="55" spans="1:11" ht="12" customHeight="1" x14ac:dyDescent="0.25">
      <c r="A55" s="97" t="s">
        <v>103</v>
      </c>
      <c r="B55" s="53" t="str">
        <f>IFERROR(IF(VLOOKUP($A55,Osnova!$A:$E,1)=$A55,VLOOKUP($A55,Osnova!$A:$E,$E$10)),"")</f>
        <v xml:space="preserve">Základné imanie </v>
      </c>
      <c r="C55" s="92" t="str">
        <f>IF(VLOOKUP($A55,Osnova!$A:$C,1)=$A55,VLOOKUP($A55,Osnova!$A:$F,4),0)</f>
        <v>Grundkapital</v>
      </c>
      <c r="D55" s="77">
        <v>0</v>
      </c>
      <c r="E55" s="96">
        <v>92666.77</v>
      </c>
      <c r="F55" s="93">
        <f t="shared" si="0"/>
        <v>-92666.77</v>
      </c>
      <c r="G55" s="69">
        <v>0</v>
      </c>
      <c r="H55" s="69">
        <v>0</v>
      </c>
      <c r="I55" s="53">
        <f t="shared" si="1"/>
        <v>-92666.77</v>
      </c>
      <c r="K55" s="83"/>
    </row>
    <row r="56" spans="1:11" ht="12" customHeight="1" x14ac:dyDescent="0.25">
      <c r="A56" s="97" t="s">
        <v>104</v>
      </c>
      <c r="B56" s="53" t="str">
        <f>IFERROR(IF(VLOOKUP($A56,Osnova!$A:$E,1)=$A56,VLOOKUP($A56,Osnova!$A:$E,$E$10)),"")</f>
        <v xml:space="preserve">Ostatné kapitálové fondy </v>
      </c>
      <c r="C56" s="92" t="str">
        <f>IF(VLOOKUP($A56,Osnova!$A:$C,1)=$A56,VLOOKUP($A56,Osnova!$A:$F,4),0)</f>
        <v>Sonstige Kapitalfonds</v>
      </c>
      <c r="D56" s="77">
        <v>0</v>
      </c>
      <c r="E56" s="96">
        <v>100010.42</v>
      </c>
      <c r="F56" s="93">
        <f t="shared" si="0"/>
        <v>-100010.42</v>
      </c>
      <c r="G56" s="69">
        <v>0</v>
      </c>
      <c r="H56" s="69">
        <v>0</v>
      </c>
      <c r="I56" s="53">
        <f t="shared" si="1"/>
        <v>-100010.42</v>
      </c>
      <c r="K56" s="83"/>
    </row>
    <row r="57" spans="1:11" ht="12" customHeight="1" x14ac:dyDescent="0.25">
      <c r="A57" s="97" t="s">
        <v>105</v>
      </c>
      <c r="B57" s="53" t="str">
        <f>IFERROR(IF(VLOOKUP($A57,Osnova!$A:$E,1)=$A57,VLOOKUP($A57,Osnova!$A:$E,$E$10)),"")</f>
        <v xml:space="preserve">Zákonný rezervný fond </v>
      </c>
      <c r="C57" s="92" t="str">
        <f>IF(VLOOKUP($A57,Osnova!$A:$C,1)=$A57,VLOOKUP($A57,Osnova!$A:$F,4),0)</f>
        <v>Rücklage</v>
      </c>
      <c r="D57" s="77">
        <v>0</v>
      </c>
      <c r="E57" s="96">
        <v>15612.46</v>
      </c>
      <c r="F57" s="93">
        <f t="shared" si="0"/>
        <v>-15612.46</v>
      </c>
      <c r="G57" s="69">
        <v>0</v>
      </c>
      <c r="H57" s="69">
        <v>0</v>
      </c>
      <c r="I57" s="53">
        <f t="shared" si="1"/>
        <v>-15612.46</v>
      </c>
      <c r="K57" s="83"/>
    </row>
    <row r="58" spans="1:11" ht="12" customHeight="1" x14ac:dyDescent="0.25">
      <c r="A58" s="97" t="s">
        <v>106</v>
      </c>
      <c r="B58" s="53" t="str">
        <f>IFERROR(IF(VLOOKUP($A58,Osnova!$A:$E,1)=$A58,VLOOKUP($A58,Osnova!$A:$E,$E$10)),"")</f>
        <v xml:space="preserve">Nedeliteľný fond </v>
      </c>
      <c r="C58" s="92" t="str">
        <f>IF(VLOOKUP($A58,Osnova!$A:$C,1)=$A58,VLOOKUP($A58,Osnova!$A:$F,4),0)</f>
        <v>Unteilbarer Fonds</v>
      </c>
      <c r="D58" s="77">
        <v>0</v>
      </c>
      <c r="E58" s="96">
        <v>19085.28</v>
      </c>
      <c r="F58" s="93">
        <f t="shared" si="0"/>
        <v>-19085.28</v>
      </c>
      <c r="G58" s="69">
        <v>0</v>
      </c>
      <c r="H58" s="69">
        <v>0</v>
      </c>
      <c r="I58" s="53">
        <f t="shared" si="1"/>
        <v>-19085.28</v>
      </c>
      <c r="K58" s="83"/>
    </row>
    <row r="59" spans="1:11" ht="12" customHeight="1" x14ac:dyDescent="0.25">
      <c r="A59" s="97" t="s">
        <v>107</v>
      </c>
      <c r="B59" s="53" t="str">
        <f>IFERROR(IF(VLOOKUP($A59,Osnova!$A:$E,1)=$A59,VLOOKUP($A59,Osnova!$A:$E,$E$10)),"")</f>
        <v xml:space="preserve">Ostatné fondy </v>
      </c>
      <c r="C59" s="92" t="str">
        <f>IF(VLOOKUP($A59,Osnova!$A:$C,1)=$A59,VLOOKUP($A59,Osnova!$A:$F,4),0)</f>
        <v>Sonstige Fonds</v>
      </c>
      <c r="D59" s="77">
        <v>0</v>
      </c>
      <c r="E59" s="96">
        <v>93424.19</v>
      </c>
      <c r="F59" s="93">
        <f t="shared" si="0"/>
        <v>-93424.19</v>
      </c>
      <c r="G59" s="69">
        <v>0</v>
      </c>
      <c r="H59" s="69">
        <v>0</v>
      </c>
      <c r="I59" s="53">
        <f t="shared" si="1"/>
        <v>-93424.19</v>
      </c>
      <c r="K59" s="83"/>
    </row>
    <row r="60" spans="1:11" ht="12" customHeight="1" x14ac:dyDescent="0.25">
      <c r="A60" s="97" t="s">
        <v>108</v>
      </c>
      <c r="B60" s="53" t="str">
        <f>IFERROR(IF(VLOOKUP($A60,Osnova!$A:$E,1)=$A60,VLOOKUP($A60,Osnova!$A:$E,$E$10)),"")</f>
        <v xml:space="preserve">Neuhradená strata minulých rokov </v>
      </c>
      <c r="C60" s="92" t="str">
        <f>IF(VLOOKUP($A60,Osnova!$A:$C,1)=$A60,VLOOKUP($A60,Osnova!$A:$F,4),0)</f>
        <v>Verlustvortrag</v>
      </c>
      <c r="D60" s="77">
        <v>225645.5</v>
      </c>
      <c r="E60" s="96">
        <v>0</v>
      </c>
      <c r="F60" s="93">
        <f t="shared" si="0"/>
        <v>225645.5</v>
      </c>
      <c r="G60" s="69">
        <v>0</v>
      </c>
      <c r="H60" s="69">
        <v>1261.58</v>
      </c>
      <c r="I60" s="53">
        <f t="shared" si="1"/>
        <v>224383.92</v>
      </c>
      <c r="K60" s="83"/>
    </row>
    <row r="61" spans="1:11" ht="12" customHeight="1" x14ac:dyDescent="0.25">
      <c r="A61" s="97" t="s">
        <v>109</v>
      </c>
      <c r="B61" s="53" t="str">
        <f>IFERROR(IF(VLOOKUP($A61,Osnova!$A:$E,1)=$A61,VLOOKUP($A61,Osnova!$A:$E,$E$10)),"")</f>
        <v xml:space="preserve">Výsledok hospodárenia v schvaľovaní </v>
      </c>
      <c r="C61" s="92" t="str">
        <f>IF(VLOOKUP($A61,Osnova!$A:$C,1)=$A61,VLOOKUP($A61,Osnova!$A:$F,4),0)</f>
        <v>Wirtschafsergebnis im Genehmigungsprocess</v>
      </c>
      <c r="D61" s="77">
        <v>0</v>
      </c>
      <c r="E61" s="96">
        <v>1261.58</v>
      </c>
      <c r="F61" s="93">
        <f t="shared" si="0"/>
        <v>-1261.58</v>
      </c>
      <c r="G61" s="69">
        <v>1261.58</v>
      </c>
      <c r="H61" s="69">
        <v>0</v>
      </c>
      <c r="I61" s="53">
        <f t="shared" si="1"/>
        <v>0</v>
      </c>
      <c r="K61" s="83"/>
    </row>
    <row r="62" spans="1:11" ht="12" customHeight="1" x14ac:dyDescent="0.25">
      <c r="A62" s="97" t="s">
        <v>110</v>
      </c>
      <c r="B62" s="53" t="str">
        <f>IFERROR(IF(VLOOKUP($A62,Osnova!$A:$E,1)=$A62,VLOOKUP($A62,Osnova!$A:$E,$E$10)),"")</f>
        <v xml:space="preserve">Záväzky zo sociálneho fondu </v>
      </c>
      <c r="C62" s="92" t="str">
        <f>IF(VLOOKUP($A62,Osnova!$A:$C,1)=$A62,VLOOKUP($A62,Osnova!$A:$F,4),0)</f>
        <v>Verbindlichkeiten vom Sozialfonds</v>
      </c>
      <c r="D62" s="77">
        <v>0</v>
      </c>
      <c r="E62" s="96">
        <v>1515.54</v>
      </c>
      <c r="F62" s="93">
        <f t="shared" si="0"/>
        <v>-1515.54</v>
      </c>
      <c r="G62" s="69">
        <v>1061.72</v>
      </c>
      <c r="H62" s="69">
        <v>784.39</v>
      </c>
      <c r="I62" s="53">
        <f t="shared" si="1"/>
        <v>-1238.21</v>
      </c>
      <c r="K62" s="83"/>
    </row>
    <row r="63" spans="1:11" ht="12" customHeight="1" x14ac:dyDescent="0.25">
      <c r="A63" s="97" t="s">
        <v>111</v>
      </c>
      <c r="B63" s="53" t="str">
        <f>IFERROR(IF(VLOOKUP($A63,Osnova!$A:$E,1)=$A63,VLOOKUP($A63,Osnova!$A:$E,$E$10)),"")</f>
        <v xml:space="preserve">Ostatné dlhodobé záväzky </v>
      </c>
      <c r="C63" s="92" t="str">
        <f>IF(VLOOKUP($A63,Osnova!$A:$C,1)=$A63,VLOOKUP($A63,Osnova!$A:$F,4),0)</f>
        <v>Sonstige langfristige Verbindlichkeiten</v>
      </c>
      <c r="D63" s="77">
        <v>0</v>
      </c>
      <c r="E63" s="96">
        <v>58190.720000000001</v>
      </c>
      <c r="F63" s="93">
        <f t="shared" si="0"/>
        <v>-58190.720000000001</v>
      </c>
      <c r="G63" s="69">
        <v>28772.959999999999</v>
      </c>
      <c r="H63" s="69">
        <v>0</v>
      </c>
      <c r="I63" s="53">
        <f t="shared" si="1"/>
        <v>-29417.760000000002</v>
      </c>
      <c r="K63" s="83"/>
    </row>
    <row r="64" spans="1:11" ht="12" customHeight="1" x14ac:dyDescent="0.25">
      <c r="A64" s="97" t="s">
        <v>112</v>
      </c>
      <c r="B64" s="53" t="str">
        <f>IFERROR(IF(VLOOKUP($A64,Osnova!$A:$E,1)=$A64,VLOOKUP($A64,Osnova!$A:$E,$E$10)),"")</f>
        <v xml:space="preserve">Spotreba materiálu </v>
      </c>
      <c r="C64" s="92" t="str">
        <f>IF(VLOOKUP($A64,Osnova!$A:$C,1)=$A64,VLOOKUP($A64,Osnova!$A:$F,4),0)</f>
        <v>Materialverbrauch</v>
      </c>
      <c r="D64" s="77">
        <v>0</v>
      </c>
      <c r="E64" s="96">
        <v>0</v>
      </c>
      <c r="F64" s="93">
        <f t="shared" si="0"/>
        <v>0</v>
      </c>
      <c r="G64" s="69">
        <v>54924.39</v>
      </c>
      <c r="H64" s="69">
        <v>64.62</v>
      </c>
      <c r="I64" s="53">
        <f t="shared" si="1"/>
        <v>54859.77</v>
      </c>
      <c r="K64" s="83"/>
    </row>
    <row r="65" spans="1:11" ht="12" customHeight="1" x14ac:dyDescent="0.25">
      <c r="A65" s="97" t="s">
        <v>113</v>
      </c>
      <c r="B65" s="53" t="str">
        <f>IFERROR(IF(VLOOKUP($A65,Osnova!$A:$E,1)=$A65,VLOOKUP($A65,Osnova!$A:$E,$E$10)),"")</f>
        <v xml:space="preserve">Spotreba energie </v>
      </c>
      <c r="C65" s="92" t="str">
        <f>IF(VLOOKUP($A65,Osnova!$A:$C,1)=$A65,VLOOKUP($A65,Osnova!$A:$F,4),0)</f>
        <v>Energieverbrauch</v>
      </c>
      <c r="D65" s="77">
        <v>0</v>
      </c>
      <c r="E65" s="96">
        <v>0</v>
      </c>
      <c r="F65" s="93">
        <f t="shared" si="0"/>
        <v>0</v>
      </c>
      <c r="G65" s="69">
        <v>5324.61</v>
      </c>
      <c r="H65" s="69">
        <v>377.07</v>
      </c>
      <c r="I65" s="53">
        <f t="shared" si="1"/>
        <v>4947.54</v>
      </c>
      <c r="K65" s="83"/>
    </row>
    <row r="66" spans="1:11" ht="12" customHeight="1" x14ac:dyDescent="0.25">
      <c r="A66" s="97" t="s">
        <v>114</v>
      </c>
      <c r="B66" s="53" t="str">
        <f>IFERROR(IF(VLOOKUP($A66,Osnova!$A:$E,1)=$A66,VLOOKUP($A66,Osnova!$A:$E,$E$10)),"")</f>
        <v xml:space="preserve">Opravy a udržiavanie </v>
      </c>
      <c r="C66" s="92" t="str">
        <f>IF(VLOOKUP($A66,Osnova!$A:$C,1)=$A66,VLOOKUP($A66,Osnova!$A:$F,4),0)</f>
        <v>Instandstellung und Instandhaltung</v>
      </c>
      <c r="D66" s="77">
        <v>0</v>
      </c>
      <c r="E66" s="96">
        <v>0</v>
      </c>
      <c r="F66" s="93">
        <f t="shared" si="0"/>
        <v>0</v>
      </c>
      <c r="G66" s="69">
        <v>8412.4599999999991</v>
      </c>
      <c r="H66" s="69">
        <v>0</v>
      </c>
      <c r="I66" s="53">
        <f t="shared" si="1"/>
        <v>8412.4599999999991</v>
      </c>
      <c r="K66" s="83"/>
    </row>
    <row r="67" spans="1:11" ht="12" customHeight="1" x14ac:dyDescent="0.25">
      <c r="A67" s="97" t="s">
        <v>152</v>
      </c>
      <c r="B67" s="53" t="str">
        <f>IFERROR(IF(VLOOKUP($A67,Osnova!$A:$E,1)=$A67,VLOOKUP($A67,Osnova!$A:$E,$E$10)),"")</f>
        <v xml:space="preserve">Cestovné </v>
      </c>
      <c r="C67" s="92" t="str">
        <f>IF(VLOOKUP($A67,Osnova!$A:$C,1)=$A67,VLOOKUP($A67,Osnova!$A:$F,4),0)</f>
        <v>Fahrgeld</v>
      </c>
      <c r="D67" s="77">
        <v>0</v>
      </c>
      <c r="E67" s="96">
        <v>0</v>
      </c>
      <c r="F67" s="93">
        <f t="shared" si="0"/>
        <v>0</v>
      </c>
      <c r="G67" s="69">
        <v>22.4</v>
      </c>
      <c r="H67" s="69">
        <v>0</v>
      </c>
      <c r="I67" s="53">
        <f t="shared" si="1"/>
        <v>22.4</v>
      </c>
      <c r="K67" s="83"/>
    </row>
    <row r="68" spans="1:11" ht="12" customHeight="1" x14ac:dyDescent="0.25">
      <c r="A68" s="97" t="s">
        <v>115</v>
      </c>
      <c r="B68" s="53" t="str">
        <f>IFERROR(IF(VLOOKUP($A68,Osnova!$A:$E,1)=$A68,VLOOKUP($A68,Osnova!$A:$E,$E$10)),"")</f>
        <v xml:space="preserve">Náklady na reprezentáciu </v>
      </c>
      <c r="C68" s="92" t="str">
        <f>IF(VLOOKUP($A68,Osnova!$A:$C,1)=$A68,VLOOKUP($A68,Osnova!$A:$F,4),0)</f>
        <v>Repräsentationskosten</v>
      </c>
      <c r="D68" s="77">
        <v>0</v>
      </c>
      <c r="E68" s="96">
        <v>0</v>
      </c>
      <c r="F68" s="93">
        <f t="shared" si="0"/>
        <v>0</v>
      </c>
      <c r="G68" s="69">
        <v>1373.79</v>
      </c>
      <c r="H68" s="69">
        <v>0</v>
      </c>
      <c r="I68" s="53">
        <f t="shared" si="1"/>
        <v>1373.79</v>
      </c>
      <c r="K68" s="83"/>
    </row>
    <row r="69" spans="1:11" ht="12" customHeight="1" x14ac:dyDescent="0.25">
      <c r="A69" s="97" t="s">
        <v>116</v>
      </c>
      <c r="B69" s="53" t="str">
        <f>IFERROR(IF(VLOOKUP($A69,Osnova!$A:$E,1)=$A69,VLOOKUP($A69,Osnova!$A:$E,$E$10)),"")</f>
        <v xml:space="preserve">Ostatné služby </v>
      </c>
      <c r="C69" s="92" t="str">
        <f>IF(VLOOKUP($A69,Osnova!$A:$C,1)=$A69,VLOOKUP($A69,Osnova!$A:$F,4),0)</f>
        <v>Sonstige Dienstleistungen</v>
      </c>
      <c r="D69" s="77">
        <v>0</v>
      </c>
      <c r="E69" s="96">
        <v>0</v>
      </c>
      <c r="F69" s="93">
        <f t="shared" si="0"/>
        <v>0</v>
      </c>
      <c r="G69" s="69">
        <v>27795.23</v>
      </c>
      <c r="H69" s="69">
        <v>0</v>
      </c>
      <c r="I69" s="53">
        <f t="shared" si="1"/>
        <v>27795.23</v>
      </c>
      <c r="K69" s="83"/>
    </row>
    <row r="70" spans="1:11" ht="12" customHeight="1" x14ac:dyDescent="0.25">
      <c r="A70" s="97" t="s">
        <v>117</v>
      </c>
      <c r="B70" s="53" t="str">
        <f>IFERROR(IF(VLOOKUP($A70,Osnova!$A:$E,1)=$A70,VLOOKUP($A70,Osnova!$A:$E,$E$10)),"")</f>
        <v xml:space="preserve">Mzdové náklady </v>
      </c>
      <c r="C70" s="92" t="str">
        <f>IF(VLOOKUP($A70,Osnova!$A:$C,1)=$A70,VLOOKUP($A70,Osnova!$A:$F,4),0)</f>
        <v>Lohnkosten</v>
      </c>
      <c r="D70" s="77">
        <v>0</v>
      </c>
      <c r="E70" s="96">
        <v>0</v>
      </c>
      <c r="F70" s="93">
        <f t="shared" si="0"/>
        <v>0</v>
      </c>
      <c r="G70" s="69">
        <v>154126.04</v>
      </c>
      <c r="H70" s="69">
        <v>0</v>
      </c>
      <c r="I70" s="53">
        <f t="shared" si="1"/>
        <v>154126.04</v>
      </c>
      <c r="K70" s="83"/>
    </row>
    <row r="71" spans="1:11" ht="12" customHeight="1" x14ac:dyDescent="0.25">
      <c r="A71" s="97" t="s">
        <v>119</v>
      </c>
      <c r="B71" s="53" t="str">
        <f>IFERROR(IF(VLOOKUP($A71,Osnova!$A:$E,1)=$A71,VLOOKUP($A71,Osnova!$A:$E,$E$10)),"")</f>
        <v xml:space="preserve">Zákonné sociálne poistenie </v>
      </c>
      <c r="C71" s="92" t="str">
        <f>IF(VLOOKUP($A71,Osnova!$A:$C,1)=$A71,VLOOKUP($A71,Osnova!$A:$F,4),0)</f>
        <v>Gesetzliche Sozialfürsorge</v>
      </c>
      <c r="D71" s="77">
        <v>0</v>
      </c>
      <c r="E71" s="96">
        <v>0</v>
      </c>
      <c r="F71" s="93">
        <f t="shared" si="0"/>
        <v>0</v>
      </c>
      <c r="G71" s="69">
        <v>54078.75</v>
      </c>
      <c r="H71" s="69">
        <v>546.91</v>
      </c>
      <c r="I71" s="53">
        <f t="shared" si="1"/>
        <v>53531.839999999997</v>
      </c>
      <c r="K71" s="83"/>
    </row>
    <row r="72" spans="1:11" ht="12" customHeight="1" x14ac:dyDescent="0.25">
      <c r="A72" s="76" t="s">
        <v>120</v>
      </c>
      <c r="B72" s="53" t="str">
        <f>IFERROR(IF(VLOOKUP($A72,Osnova!$A:$E,1)=$A72,VLOOKUP($A72,Osnova!$A:$E,$E$10)),"")</f>
        <v xml:space="preserve">Ostatné sociálne zabezpečenie </v>
      </c>
      <c r="C72" s="92" t="str">
        <f>IF(VLOOKUP($A72,Osnova!$A:$C,1)=$A72,VLOOKUP($A72,Osnova!$A:$F,4),0)</f>
        <v>Sonstige Sozialfürsorge</v>
      </c>
      <c r="D72" s="77">
        <v>0</v>
      </c>
      <c r="E72" s="96">
        <v>0</v>
      </c>
      <c r="F72" s="93">
        <f t="shared" si="0"/>
        <v>0</v>
      </c>
      <c r="G72" s="69">
        <v>2354.92</v>
      </c>
      <c r="H72" s="69">
        <v>0</v>
      </c>
      <c r="I72" s="53">
        <f t="shared" si="1"/>
        <v>2354.92</v>
      </c>
      <c r="K72" s="83"/>
    </row>
    <row r="73" spans="1:11" ht="12" customHeight="1" x14ac:dyDescent="0.25">
      <c r="A73" s="76" t="s">
        <v>121</v>
      </c>
      <c r="B73" s="53" t="str">
        <f>IFERROR(IF(VLOOKUP($A73,Osnova!$A:$E,1)=$A73,VLOOKUP($A73,Osnova!$A:$E,$E$10)),"")</f>
        <v xml:space="preserve">Zákonné sociálne náklady </v>
      </c>
      <c r="C73" s="92" t="str">
        <f>IF(VLOOKUP($A73,Osnova!$A:$C,1)=$A73,VLOOKUP($A73,Osnova!$A:$F,4),0)</f>
        <v>Gesetzliche Sozialkosten</v>
      </c>
      <c r="D73" s="77">
        <v>0</v>
      </c>
      <c r="E73" s="96">
        <v>0</v>
      </c>
      <c r="F73" s="93">
        <f t="shared" si="0"/>
        <v>0</v>
      </c>
      <c r="G73" s="69">
        <v>8487.27</v>
      </c>
      <c r="H73" s="69">
        <v>0</v>
      </c>
      <c r="I73" s="53">
        <f t="shared" si="1"/>
        <v>8487.27</v>
      </c>
      <c r="K73" s="83"/>
    </row>
    <row r="74" spans="1:11" ht="12" customHeight="1" x14ac:dyDescent="0.25">
      <c r="A74" s="76" t="s">
        <v>122</v>
      </c>
      <c r="B74" s="53" t="str">
        <f>IFERROR(IF(VLOOKUP($A74,Osnova!$A:$E,1)=$A74,VLOOKUP($A74,Osnova!$A:$E,$E$10)),"")</f>
        <v xml:space="preserve">Ostatné sociálne náklady </v>
      </c>
      <c r="C74" s="92" t="str">
        <f>IF(VLOOKUP($A74,Osnova!$A:$C,1)=$A74,VLOOKUP($A74,Osnova!$A:$F,4),0)</f>
        <v>Sonstige Sozialkosten</v>
      </c>
      <c r="D74" s="77">
        <v>0</v>
      </c>
      <c r="E74" s="96">
        <v>0</v>
      </c>
      <c r="F74" s="93">
        <f t="shared" si="0"/>
        <v>0</v>
      </c>
      <c r="G74" s="69">
        <v>259.99</v>
      </c>
      <c r="H74" s="69">
        <v>0</v>
      </c>
      <c r="I74" s="53">
        <f t="shared" si="1"/>
        <v>259.99</v>
      </c>
      <c r="K74" s="83"/>
    </row>
    <row r="75" spans="1:11" ht="12" customHeight="1" x14ac:dyDescent="0.25">
      <c r="A75" s="76" t="s">
        <v>123</v>
      </c>
      <c r="B75" s="53" t="str">
        <f>IFERROR(IF(VLOOKUP($A75,Osnova!$A:$E,1)=$A75,VLOOKUP($A75,Osnova!$A:$E,$E$10)),"")</f>
        <v xml:space="preserve">Daň z nehnuteľností </v>
      </c>
      <c r="C75" s="92" t="str">
        <f>IF(VLOOKUP($A75,Osnova!$A:$C,1)=$A75,VLOOKUP($A75,Osnova!$A:$F,4),0)</f>
        <v>Immobiliensteuer</v>
      </c>
      <c r="D75" s="77">
        <v>0</v>
      </c>
      <c r="E75" s="96">
        <v>0</v>
      </c>
      <c r="F75" s="93">
        <f t="shared" si="0"/>
        <v>0</v>
      </c>
      <c r="G75" s="69">
        <v>1605.46</v>
      </c>
      <c r="H75" s="69">
        <v>0</v>
      </c>
      <c r="I75" s="53">
        <f t="shared" si="1"/>
        <v>1605.46</v>
      </c>
      <c r="K75" s="83"/>
    </row>
    <row r="76" spans="1:11" ht="12" customHeight="1" x14ac:dyDescent="0.25">
      <c r="A76" s="76" t="s">
        <v>124</v>
      </c>
      <c r="B76" s="53" t="str">
        <f>IFERROR(IF(VLOOKUP($A76,Osnova!$A:$E,1)=$A76,VLOOKUP($A76,Osnova!$A:$E,$E$10)),"")</f>
        <v xml:space="preserve">Ostatné dane a poplatky </v>
      </c>
      <c r="C76" s="92" t="str">
        <f>IF(VLOOKUP($A76,Osnova!$A:$C,1)=$A76,VLOOKUP($A76,Osnova!$A:$F,4),0)</f>
        <v>Sonstige Steuern und Gebühren</v>
      </c>
      <c r="D76" s="77">
        <v>0</v>
      </c>
      <c r="E76" s="96">
        <v>0</v>
      </c>
      <c r="F76" s="93">
        <f t="shared" si="0"/>
        <v>0</v>
      </c>
      <c r="G76" s="69">
        <v>31</v>
      </c>
      <c r="H76" s="69">
        <v>0</v>
      </c>
      <c r="I76" s="53">
        <f t="shared" si="1"/>
        <v>31</v>
      </c>
      <c r="K76" s="83"/>
    </row>
    <row r="77" spans="1:11" ht="12" customHeight="1" x14ac:dyDescent="0.25">
      <c r="A77" s="76" t="s">
        <v>125</v>
      </c>
      <c r="B77" s="53" t="str">
        <f>IFERROR(IF(VLOOKUP($A77,Osnova!$A:$E,1)=$A77,VLOOKUP($A77,Osnova!$A:$E,$E$10)),"")</f>
        <v xml:space="preserve">Ostatné pokuty, penále a úroky z omeškania </v>
      </c>
      <c r="C77" s="92" t="str">
        <f>IF(VLOOKUP($A77,Osnova!$A:$C,1)=$A77,VLOOKUP($A77,Osnova!$A:$F,4),0)</f>
        <v>Sonstige Strafen, Geldbußen und Verzugszinsen</v>
      </c>
      <c r="D77" s="77">
        <v>0</v>
      </c>
      <c r="E77" s="96">
        <v>0</v>
      </c>
      <c r="F77" s="93">
        <f t="shared" ref="F77:F140" si="2">SUM(D77-E77)</f>
        <v>0</v>
      </c>
      <c r="G77" s="69">
        <v>362.26</v>
      </c>
      <c r="H77" s="69">
        <v>0</v>
      </c>
      <c r="I77" s="53">
        <f t="shared" ref="I77:I140" si="3">SUM(F77+G77-H77)</f>
        <v>362.26</v>
      </c>
      <c r="K77" s="83"/>
    </row>
    <row r="78" spans="1:11" ht="12" customHeight="1" x14ac:dyDescent="0.25">
      <c r="A78" s="76" t="s">
        <v>126</v>
      </c>
      <c r="B78" s="53" t="str">
        <f>IFERROR(IF(VLOOKUP($A78,Osnova!$A:$E,1)=$A78,VLOOKUP($A78,Osnova!$A:$E,$E$10)),"")</f>
        <v xml:space="preserve">Ostatné náklady na hospodársku činnosť </v>
      </c>
      <c r="C78" s="92" t="str">
        <f>IF(VLOOKUP($A78,Osnova!$A:$C,1)=$A78,VLOOKUP($A78,Osnova!$A:$F,4),0)</f>
        <v>Sonstige Wirtschaftstätigkeitskosten</v>
      </c>
      <c r="D78" s="77">
        <v>0</v>
      </c>
      <c r="E78" s="96">
        <v>0</v>
      </c>
      <c r="F78" s="93">
        <f t="shared" si="2"/>
        <v>0</v>
      </c>
      <c r="G78" s="69">
        <v>55.06</v>
      </c>
      <c r="H78" s="69">
        <v>6.35</v>
      </c>
      <c r="I78" s="53">
        <f t="shared" si="3"/>
        <v>48.71</v>
      </c>
      <c r="K78" s="83"/>
    </row>
    <row r="79" spans="1:11" ht="12" customHeight="1" x14ac:dyDescent="0.25">
      <c r="A79" s="76" t="s">
        <v>127</v>
      </c>
      <c r="B79" s="53" t="str">
        <f>IFERROR(IF(VLOOKUP($A79,Osnova!$A:$E,1)=$A79,VLOOKUP($A79,Osnova!$A:$E,$E$10)),"")</f>
        <v xml:space="preserve">Odpisy dlhodobého mehmotného majetku a dlhodobého hmotného majetku </v>
      </c>
      <c r="C79" s="92"/>
      <c r="D79" s="77">
        <v>0</v>
      </c>
      <c r="E79" s="96">
        <v>0</v>
      </c>
      <c r="F79" s="93">
        <f t="shared" si="2"/>
        <v>0</v>
      </c>
      <c r="G79" s="69">
        <v>56416.29</v>
      </c>
      <c r="H79" s="69">
        <v>0</v>
      </c>
      <c r="I79" s="53">
        <f t="shared" si="3"/>
        <v>56416.29</v>
      </c>
      <c r="K79" s="83"/>
    </row>
    <row r="80" spans="1:11" ht="12" customHeight="1" x14ac:dyDescent="0.25">
      <c r="A80" s="66" t="s">
        <v>128</v>
      </c>
      <c r="B80" s="53" t="str">
        <f>IFERROR(IF(VLOOKUP($A80,Osnova!$A:$E,1)=$A80,VLOOKUP($A80,Osnova!$A:$E,$E$10)),"")</f>
        <v xml:space="preserve">Úroky </v>
      </c>
      <c r="C80" s="92" t="str">
        <f>IF(VLOOKUP($A80,Osnova!$A:$C,1)=$A80,VLOOKUP($A80,Osnova!$A:$F,4),0)</f>
        <v>Zinsen</v>
      </c>
      <c r="D80" s="77">
        <v>0</v>
      </c>
      <c r="E80" s="96">
        <v>0</v>
      </c>
      <c r="F80" s="93">
        <f t="shared" si="2"/>
        <v>0</v>
      </c>
      <c r="G80" s="69">
        <v>7980.57</v>
      </c>
      <c r="H80" s="69">
        <v>0</v>
      </c>
      <c r="I80" s="53">
        <f t="shared" si="3"/>
        <v>7980.57</v>
      </c>
      <c r="K80" s="83"/>
    </row>
    <row r="81" spans="1:11" ht="12" customHeight="1" x14ac:dyDescent="0.25">
      <c r="A81" s="66" t="s">
        <v>129</v>
      </c>
      <c r="B81" s="53" t="str">
        <f>IFERROR(IF(VLOOKUP($A81,Osnova!$A:$E,1)=$A81,VLOOKUP($A81,Osnova!$A:$E,$E$10)),"")</f>
        <v xml:space="preserve">Ostatné finančné náklady </v>
      </c>
      <c r="C81" s="92" t="str">
        <f>IF(VLOOKUP($A81,Osnova!$A:$C,1)=$A81,VLOOKUP($A81,Osnova!$A:$F,4),0)</f>
        <v>Sonstige Finanzkosten</v>
      </c>
      <c r="D81" s="77">
        <v>0</v>
      </c>
      <c r="E81" s="96">
        <v>0</v>
      </c>
      <c r="F81" s="93">
        <f t="shared" si="2"/>
        <v>0</v>
      </c>
      <c r="G81" s="69">
        <v>2264.23</v>
      </c>
      <c r="H81" s="69">
        <v>0</v>
      </c>
      <c r="I81" s="53">
        <f t="shared" si="3"/>
        <v>2264.23</v>
      </c>
      <c r="K81" s="83"/>
    </row>
    <row r="82" spans="1:11" ht="12" customHeight="1" x14ac:dyDescent="0.25">
      <c r="A82" s="66" t="s">
        <v>153</v>
      </c>
      <c r="B82" s="53" t="str">
        <f>IFERROR(IF(VLOOKUP($A82,Osnova!$A:$E,1)=$A82,VLOOKUP($A82,Osnova!$A:$E,$E$10)),"")</f>
        <v xml:space="preserve">Splatná daň z príjmov bežnej činnosti </v>
      </c>
      <c r="C82" s="92" t="str">
        <f>IF(VLOOKUP($A82,Osnova!$A:$C,1)=$A82,VLOOKUP($A82,Osnova!$A:$F,4),0)</f>
        <v>Fällige Einkommensteuer von ordentlicher Tätigkeit</v>
      </c>
      <c r="D82" s="77">
        <v>0</v>
      </c>
      <c r="E82" s="96">
        <v>0</v>
      </c>
      <c r="F82" s="93">
        <f t="shared" si="2"/>
        <v>0</v>
      </c>
      <c r="G82" s="69">
        <v>960</v>
      </c>
      <c r="H82" s="69">
        <v>0</v>
      </c>
      <c r="I82" s="53">
        <f t="shared" si="3"/>
        <v>960</v>
      </c>
      <c r="K82" s="83"/>
    </row>
    <row r="83" spans="1:11" ht="12" customHeight="1" x14ac:dyDescent="0.25">
      <c r="A83" s="66" t="s">
        <v>154</v>
      </c>
      <c r="B83" s="53" t="b">
        <f>IFERROR(IF(VLOOKUP($A83,Osnova!$A:$E,1)=$A83,VLOOKUP($A83,Osnova!$A:$E,$E$10)),"")</f>
        <v>0</v>
      </c>
      <c r="C83" s="92"/>
      <c r="D83" s="77">
        <v>0</v>
      </c>
      <c r="E83" s="96">
        <v>0</v>
      </c>
      <c r="F83" s="93">
        <f t="shared" si="2"/>
        <v>0</v>
      </c>
      <c r="G83" s="69">
        <v>2.1</v>
      </c>
      <c r="H83" s="69">
        <v>2.1</v>
      </c>
      <c r="I83" s="53">
        <f t="shared" si="3"/>
        <v>0</v>
      </c>
      <c r="K83" s="83"/>
    </row>
    <row r="84" spans="1:11" ht="12" customHeight="1" x14ac:dyDescent="0.25">
      <c r="A84" s="66" t="s">
        <v>130</v>
      </c>
      <c r="B84" s="53" t="str">
        <f>IFERROR(IF(VLOOKUP($A84,Osnova!$A:$E,1)=$A84,VLOOKUP($A84,Osnova!$A:$E,$E$10)),"")</f>
        <v xml:space="preserve">Tržby za vlastné výrobky </v>
      </c>
      <c r="C84" s="92" t="str">
        <f>IF(VLOOKUP($A84,Osnova!$A:$C,1)=$A84,VLOOKUP($A84,Osnova!$A:$F,4),0)</f>
        <v>Erlöse für eigene Produkte</v>
      </c>
      <c r="D84" s="77">
        <v>0</v>
      </c>
      <c r="E84" s="96">
        <v>0</v>
      </c>
      <c r="F84" s="93">
        <f t="shared" si="2"/>
        <v>0</v>
      </c>
      <c r="G84" s="69">
        <v>0</v>
      </c>
      <c r="H84" s="69">
        <v>42721.78</v>
      </c>
      <c r="I84" s="53">
        <f t="shared" si="3"/>
        <v>-42721.78</v>
      </c>
      <c r="K84" s="83"/>
    </row>
    <row r="85" spans="1:11" ht="12" customHeight="1" x14ac:dyDescent="0.25">
      <c r="A85" s="66" t="s">
        <v>131</v>
      </c>
      <c r="B85" s="53" t="str">
        <f>IFERROR(IF(VLOOKUP($A85,Osnova!$A:$E,1)=$A85,VLOOKUP($A85,Osnova!$A:$E,$E$10)),"")</f>
        <v xml:space="preserve">Tržby z predaja služieb </v>
      </c>
      <c r="C85" s="92" t="str">
        <f>IF(VLOOKUP($A85,Osnova!$A:$C,1)=$A85,VLOOKUP($A85,Osnova!$A:$F,4),0)</f>
        <v>Erlöse aus Verkauf von Diensteistungen</v>
      </c>
      <c r="D85" s="77">
        <v>0</v>
      </c>
      <c r="E85" s="96">
        <v>0</v>
      </c>
      <c r="F85" s="93">
        <f t="shared" si="2"/>
        <v>0</v>
      </c>
      <c r="G85" s="69">
        <v>0</v>
      </c>
      <c r="H85" s="69">
        <v>2130.5700000000002</v>
      </c>
      <c r="I85" s="53">
        <f t="shared" si="3"/>
        <v>-2130.5700000000002</v>
      </c>
      <c r="K85" s="83"/>
    </row>
    <row r="86" spans="1:11" ht="12" customHeight="1" x14ac:dyDescent="0.25">
      <c r="A86" s="66" t="s">
        <v>132</v>
      </c>
      <c r="B86" s="53" t="str">
        <f>IFERROR(IF(VLOOKUP($A86,Osnova!$A:$E,1)=$A86,VLOOKUP($A86,Osnova!$A:$E,$E$10)),"")</f>
        <v xml:space="preserve">Zmena stavu nedokončenej výroby </v>
      </c>
      <c r="C86" s="92" t="str">
        <f>IF(VLOOKUP($A86,Osnova!$A:$C,1)=$A86,VLOOKUP($A86,Osnova!$A:$F,4),0)</f>
        <v>Bestandsveränderung unvollendeter Produktion</v>
      </c>
      <c r="D86" s="77">
        <v>0</v>
      </c>
      <c r="E86" s="96">
        <v>0</v>
      </c>
      <c r="F86" s="93">
        <f t="shared" si="2"/>
        <v>0</v>
      </c>
      <c r="G86" s="69">
        <v>0</v>
      </c>
      <c r="H86" s="69">
        <v>-11752.96</v>
      </c>
      <c r="I86" s="53">
        <f t="shared" si="3"/>
        <v>11752.96</v>
      </c>
      <c r="K86" s="83"/>
    </row>
    <row r="87" spans="1:11" ht="12" customHeight="1" x14ac:dyDescent="0.25">
      <c r="A87" s="66" t="s">
        <v>133</v>
      </c>
      <c r="B87" s="53" t="str">
        <f>IFERROR(IF(VLOOKUP($A87,Osnova!$A:$E,1)=$A87,VLOOKUP($A87,Osnova!$A:$E,$E$10)),"")</f>
        <v xml:space="preserve">Zmena stavu výrobkov </v>
      </c>
      <c r="C87" s="92" t="str">
        <f>IF(VLOOKUP($A87,Osnova!$A:$C,1)=$A87,VLOOKUP($A87,Osnova!$A:$F,4),0)</f>
        <v>Bestandveränderung der Erzeugnisse</v>
      </c>
      <c r="D87" s="77">
        <v>0</v>
      </c>
      <c r="E87" s="96">
        <v>0</v>
      </c>
      <c r="F87" s="93">
        <f t="shared" si="2"/>
        <v>0</v>
      </c>
      <c r="G87" s="69">
        <v>100639.79</v>
      </c>
      <c r="H87" s="69">
        <v>96829.93</v>
      </c>
      <c r="I87" s="53">
        <f t="shared" si="3"/>
        <v>3809.8600000000006</v>
      </c>
      <c r="K87" s="83"/>
    </row>
    <row r="88" spans="1:11" ht="12" customHeight="1" x14ac:dyDescent="0.25">
      <c r="A88" s="66" t="s">
        <v>134</v>
      </c>
      <c r="B88" s="53" t="str">
        <f>IFERROR(IF(VLOOKUP($A88,Osnova!$A:$E,1)=$A88,VLOOKUP($A88,Osnova!$A:$E,$E$10)),"")</f>
        <v xml:space="preserve">Zmena stavu zvierat </v>
      </c>
      <c r="C88" s="92" t="str">
        <f>IF(VLOOKUP($A88,Osnova!$A:$C,1)=$A88,VLOOKUP($A88,Osnova!$A:$F,4),0)</f>
        <v>Bestandveränderung der Tiere</v>
      </c>
      <c r="D88" s="77">
        <v>0</v>
      </c>
      <c r="E88" s="96">
        <v>0</v>
      </c>
      <c r="F88" s="93">
        <f t="shared" si="2"/>
        <v>0</v>
      </c>
      <c r="G88" s="69">
        <v>22380.02</v>
      </c>
      <c r="H88" s="69">
        <v>18132.41</v>
      </c>
      <c r="I88" s="53">
        <f t="shared" si="3"/>
        <v>4247.6100000000006</v>
      </c>
      <c r="K88" s="83"/>
    </row>
    <row r="89" spans="1:11" ht="12" customHeight="1" x14ac:dyDescent="0.25">
      <c r="A89" s="66" t="s">
        <v>135</v>
      </c>
      <c r="B89" s="53" t="str">
        <f>IFERROR(IF(VLOOKUP($A89,Osnova!$A:$E,1)=$A89,VLOOKUP($A89,Osnova!$A:$E,$E$10)),"")</f>
        <v xml:space="preserve">Aktivácia dlhodobého hmotného majetku </v>
      </c>
      <c r="C89" s="92" t="str">
        <f>IF(VLOOKUP($A89,Osnova!$A:$C,1)=$A89,VLOOKUP($A89,Osnova!$A:$F,4),0)</f>
        <v>Aktivierung langfristiges materielles Eigentums</v>
      </c>
      <c r="D89" s="77">
        <v>0</v>
      </c>
      <c r="E89" s="96">
        <v>0</v>
      </c>
      <c r="F89" s="93">
        <f t="shared" si="2"/>
        <v>0</v>
      </c>
      <c r="G89" s="69">
        <v>0</v>
      </c>
      <c r="H89" s="69">
        <v>12048.1</v>
      </c>
      <c r="I89" s="53">
        <f t="shared" si="3"/>
        <v>-12048.1</v>
      </c>
      <c r="K89" s="83"/>
    </row>
    <row r="90" spans="1:11" ht="12" customHeight="1" x14ac:dyDescent="0.25">
      <c r="A90" s="66" t="s">
        <v>136</v>
      </c>
      <c r="B90" s="53" t="str">
        <f>IFERROR(IF(VLOOKUP($A90,Osnova!$A:$E,1)=$A90,VLOOKUP($A90,Osnova!$A:$E,$E$10)),"")</f>
        <v xml:space="preserve">Tržby z predaja dlhodobého nehmotného majetku a dlhodobého hmotného majetku </v>
      </c>
      <c r="C90" s="92" t="str">
        <f>IF(VLOOKUP($A90,Osnova!$A:$C,1)=$A90,VLOOKUP($A90,Osnova!$A:$F,4),0)</f>
        <v>Erlöse aus Verkauf von langfrist. immater. und materiellen Eigentum</v>
      </c>
      <c r="D90" s="77">
        <v>0</v>
      </c>
      <c r="E90" s="96">
        <v>0</v>
      </c>
      <c r="F90" s="93">
        <f t="shared" si="2"/>
        <v>0</v>
      </c>
      <c r="G90" s="69">
        <v>0</v>
      </c>
      <c r="H90" s="69">
        <v>1317</v>
      </c>
      <c r="I90" s="53">
        <f t="shared" si="3"/>
        <v>-1317</v>
      </c>
      <c r="K90" s="83"/>
    </row>
    <row r="91" spans="1:11" ht="12" customHeight="1" x14ac:dyDescent="0.25">
      <c r="A91" s="66" t="s">
        <v>137</v>
      </c>
      <c r="B91" s="53" t="str">
        <f>IFERROR(IF(VLOOKUP($A91,Osnova!$A:$E,1)=$A91,VLOOKUP($A91,Osnova!$A:$E,$E$10)),"")</f>
        <v xml:space="preserve">Ostatné výnosy z hospodárskej činnosti </v>
      </c>
      <c r="C91" s="92" t="str">
        <f>IF(VLOOKUP($A91,Osnova!$A:$C,1)=$A91,VLOOKUP($A91,Osnova!$A:$F,4),0)</f>
        <v>Sonstige Erträge aus der Wirtschaftstätigkeit</v>
      </c>
      <c r="D91" s="77">
        <v>0</v>
      </c>
      <c r="E91" s="96">
        <v>0</v>
      </c>
      <c r="F91" s="93">
        <f t="shared" si="2"/>
        <v>0</v>
      </c>
      <c r="G91" s="69">
        <v>30763.32</v>
      </c>
      <c r="H91" s="69">
        <v>394139.21</v>
      </c>
      <c r="I91" s="53">
        <f t="shared" si="3"/>
        <v>-363375.89</v>
      </c>
      <c r="K91" s="83"/>
    </row>
    <row r="92" spans="1:11" ht="12" customHeight="1" x14ac:dyDescent="0.25">
      <c r="A92" s="66" t="s">
        <v>138</v>
      </c>
      <c r="B92" s="53" t="b">
        <f>IFERROR(IF(VLOOKUP($A92,Osnova!$A:$E,1)=$A92,VLOOKUP($A92,Osnova!$A:$E,$E$10)),"")</f>
        <v>0</v>
      </c>
      <c r="C92" s="92">
        <f>IF(VLOOKUP($A92,Osnova!$A:$C,1)=$A92,VLOOKUP($A92,Osnova!$A:$F,4),0)</f>
        <v>0</v>
      </c>
      <c r="D92" s="77">
        <v>0</v>
      </c>
      <c r="E92" s="96">
        <v>0</v>
      </c>
      <c r="F92" s="93">
        <f t="shared" si="2"/>
        <v>0</v>
      </c>
      <c r="G92" s="69">
        <v>7167.6</v>
      </c>
      <c r="H92" s="69">
        <v>0</v>
      </c>
      <c r="I92" s="53">
        <f t="shared" si="3"/>
        <v>7167.6</v>
      </c>
      <c r="K92" s="83"/>
    </row>
    <row r="93" spans="1:11" ht="12" customHeight="1" x14ac:dyDescent="0.25">
      <c r="A93" s="66" t="s">
        <v>139</v>
      </c>
      <c r="B93" s="53" t="b">
        <f>IFERROR(IF(VLOOKUP($A93,Osnova!$A:$E,1)=$A93,VLOOKUP($A93,Osnova!$A:$E,$E$10)),"")</f>
        <v>0</v>
      </c>
      <c r="C93" s="92">
        <f>IF(VLOOKUP($A93,Osnova!$A:$C,1)=$A93,VLOOKUP($A93,Osnova!$A:$F,4),0)</f>
        <v>0</v>
      </c>
      <c r="D93" s="77">
        <v>0</v>
      </c>
      <c r="E93" s="96">
        <v>0</v>
      </c>
      <c r="F93" s="93">
        <f t="shared" si="2"/>
        <v>0</v>
      </c>
      <c r="G93" s="69">
        <v>0</v>
      </c>
      <c r="H93" s="69">
        <v>7167.6</v>
      </c>
      <c r="I93" s="53">
        <f t="shared" si="3"/>
        <v>-7167.6</v>
      </c>
      <c r="K93" s="83"/>
    </row>
    <row r="94" spans="1:11" ht="12" customHeight="1" x14ac:dyDescent="0.25">
      <c r="A94" s="66"/>
      <c r="B94" s="53" t="str">
        <f>IFERROR(IF(VLOOKUP($A94,Osnova!$A:$E,1)=$A94,VLOOKUP($A94,Osnova!$A:$E,$E$10)),"")</f>
        <v/>
      </c>
      <c r="C94" s="92" t="e">
        <f>IF(VLOOKUP($A94,Osnova!$A:$C,1)=$A94,VLOOKUP($A94,Osnova!$A:$F,4),0)</f>
        <v>#N/A</v>
      </c>
      <c r="D94" s="77"/>
      <c r="E94" s="96"/>
      <c r="F94" s="93">
        <f t="shared" si="2"/>
        <v>0</v>
      </c>
      <c r="G94" s="77"/>
      <c r="H94" s="77"/>
      <c r="I94" s="53">
        <f t="shared" si="3"/>
        <v>0</v>
      </c>
      <c r="K94" s="83"/>
    </row>
    <row r="95" spans="1:11" ht="12" customHeight="1" x14ac:dyDescent="0.25">
      <c r="A95" s="66"/>
      <c r="B95" s="53" t="str">
        <f>IFERROR(IF(VLOOKUP($A95,Osnova!$A:$E,1)=$A95,VLOOKUP($A95,Osnova!$A:$E,$E$10)),"")</f>
        <v/>
      </c>
      <c r="C95" s="92" t="e">
        <f>IF(VLOOKUP($A95,Osnova!$A:$C,1)=$A95,VLOOKUP($A95,Osnova!$A:$F,4),0)</f>
        <v>#N/A</v>
      </c>
      <c r="D95" s="77"/>
      <c r="E95" s="96"/>
      <c r="F95" s="93">
        <f t="shared" si="2"/>
        <v>0</v>
      </c>
      <c r="G95" s="77"/>
      <c r="H95" s="77"/>
      <c r="I95" s="53">
        <f t="shared" si="3"/>
        <v>0</v>
      </c>
      <c r="K95" s="83"/>
    </row>
    <row r="96" spans="1:11" ht="12" customHeight="1" x14ac:dyDescent="0.25">
      <c r="A96" s="66"/>
      <c r="B96" s="53" t="str">
        <f>IFERROR(IF(VLOOKUP($A96,Osnova!$A:$E,1)=$A96,VLOOKUP($A96,Osnova!$A:$E,$E$10)),"")</f>
        <v/>
      </c>
      <c r="C96" s="92" t="e">
        <f>IF(VLOOKUP($A96,Osnova!$A:$C,1)=$A96,VLOOKUP($A96,Osnova!$A:$F,4),0)</f>
        <v>#N/A</v>
      </c>
      <c r="D96" s="77"/>
      <c r="E96" s="96"/>
      <c r="F96" s="93">
        <f t="shared" si="2"/>
        <v>0</v>
      </c>
      <c r="G96" s="77"/>
      <c r="H96" s="77"/>
      <c r="I96" s="53">
        <f t="shared" si="3"/>
        <v>0</v>
      </c>
      <c r="K96" s="83"/>
    </row>
    <row r="97" spans="1:11" ht="12" customHeight="1" x14ac:dyDescent="0.25">
      <c r="A97" s="66"/>
      <c r="B97" s="53" t="str">
        <f>IFERROR(IF(VLOOKUP($A97,Osnova!$A:$E,1)=$A97,VLOOKUP($A97,Osnova!$A:$E,$E$10)),"")</f>
        <v/>
      </c>
      <c r="C97" s="92" t="e">
        <f>IF(VLOOKUP($A97,Osnova!$A:$C,1)=$A97,VLOOKUP($A97,Osnova!$A:$F,4),0)</f>
        <v>#N/A</v>
      </c>
      <c r="D97" s="77"/>
      <c r="E97" s="96"/>
      <c r="F97" s="93">
        <f t="shared" si="2"/>
        <v>0</v>
      </c>
      <c r="G97" s="77"/>
      <c r="H97" s="77"/>
      <c r="I97" s="53">
        <f t="shared" si="3"/>
        <v>0</v>
      </c>
      <c r="K97" s="83"/>
    </row>
    <row r="98" spans="1:11" ht="12" customHeight="1" x14ac:dyDescent="0.25">
      <c r="A98" s="66"/>
      <c r="B98" s="53" t="str">
        <f>IFERROR(IF(VLOOKUP($A98,Osnova!$A:$E,1)=$A98,VLOOKUP($A98,Osnova!$A:$E,$E$10)),"")</f>
        <v/>
      </c>
      <c r="C98" s="92" t="e">
        <f>IF(VLOOKUP($A98,Osnova!$A:$C,1)=$A98,VLOOKUP($A98,Osnova!$A:$F,4),0)</f>
        <v>#N/A</v>
      </c>
      <c r="D98" s="77"/>
      <c r="E98" s="96"/>
      <c r="F98" s="93">
        <f t="shared" si="2"/>
        <v>0</v>
      </c>
      <c r="G98" s="77"/>
      <c r="H98" s="77"/>
      <c r="I98" s="53">
        <f t="shared" si="3"/>
        <v>0</v>
      </c>
      <c r="K98" s="83"/>
    </row>
    <row r="99" spans="1:11" ht="12" customHeight="1" x14ac:dyDescent="0.25">
      <c r="A99" s="66"/>
      <c r="B99" s="53" t="str">
        <f>IFERROR(IF(VLOOKUP($A99,Osnova!$A:$E,1)=$A99,VLOOKUP($A99,Osnova!$A:$E,$E$10)),"")</f>
        <v/>
      </c>
      <c r="C99" s="92" t="e">
        <f>IF(VLOOKUP($A99,Osnova!$A:$C,1)=$A99,VLOOKUP($A99,Osnova!$A:$F,4),0)</f>
        <v>#N/A</v>
      </c>
      <c r="D99" s="77"/>
      <c r="E99" s="96"/>
      <c r="F99" s="93">
        <f t="shared" si="2"/>
        <v>0</v>
      </c>
      <c r="G99" s="77"/>
      <c r="H99" s="77"/>
      <c r="I99" s="53">
        <f t="shared" si="3"/>
        <v>0</v>
      </c>
      <c r="K99" s="83"/>
    </row>
    <row r="100" spans="1:11" ht="12" customHeight="1" x14ac:dyDescent="0.25">
      <c r="A100" s="66"/>
      <c r="B100" s="53" t="str">
        <f>IFERROR(IF(VLOOKUP($A100,Osnova!$A:$E,1)=$A100,VLOOKUP($A100,Osnova!$A:$E,$E$10)),"")</f>
        <v/>
      </c>
      <c r="C100" s="92" t="e">
        <f>IF(VLOOKUP($A100,Osnova!$A:$C,1)=$A100,VLOOKUP($A100,Osnova!$A:$F,4),0)</f>
        <v>#N/A</v>
      </c>
      <c r="D100" s="77"/>
      <c r="E100" s="96"/>
      <c r="F100" s="93">
        <f t="shared" si="2"/>
        <v>0</v>
      </c>
      <c r="G100" s="77"/>
      <c r="H100" s="77"/>
      <c r="I100" s="53">
        <f t="shared" si="3"/>
        <v>0</v>
      </c>
      <c r="K100" s="83"/>
    </row>
    <row r="101" spans="1:11" ht="12" customHeight="1" x14ac:dyDescent="0.25">
      <c r="A101" s="66"/>
      <c r="B101" s="53" t="str">
        <f>IFERROR(IF(VLOOKUP($A101,Osnova!$A:$E,1)=$A101,VLOOKUP($A101,Osnova!$A:$E,$E$10)),"")</f>
        <v/>
      </c>
      <c r="C101" s="92" t="e">
        <f>IF(VLOOKUP($A101,Osnova!$A:$C,1)=$A101,VLOOKUP($A101,Osnova!$A:$F,4),0)</f>
        <v>#N/A</v>
      </c>
      <c r="D101" s="77"/>
      <c r="E101" s="96"/>
      <c r="F101" s="93">
        <f t="shared" si="2"/>
        <v>0</v>
      </c>
      <c r="G101" s="77"/>
      <c r="H101" s="77"/>
      <c r="I101" s="53">
        <f t="shared" si="3"/>
        <v>0</v>
      </c>
      <c r="K101" s="83"/>
    </row>
    <row r="102" spans="1:11" ht="12" customHeight="1" x14ac:dyDescent="0.25">
      <c r="A102" s="76"/>
      <c r="B102" s="53" t="str">
        <f>IFERROR(IF(VLOOKUP($A102,Osnova!$A:$E,1)=$A102,VLOOKUP($A102,Osnova!$A:$E,$E$10)),"")</f>
        <v/>
      </c>
      <c r="C102" s="92" t="e">
        <f>IF(VLOOKUP($A102,Osnova!$A:$C,1)=$A102,VLOOKUP($A102,Osnova!$A:$F,4),0)</f>
        <v>#N/A</v>
      </c>
      <c r="D102" s="77"/>
      <c r="E102" s="96"/>
      <c r="F102" s="93">
        <f t="shared" si="2"/>
        <v>0</v>
      </c>
      <c r="G102" s="77"/>
      <c r="H102" s="77"/>
      <c r="I102" s="53">
        <f t="shared" si="3"/>
        <v>0</v>
      </c>
      <c r="K102" s="83"/>
    </row>
    <row r="103" spans="1:11" ht="12" customHeight="1" x14ac:dyDescent="0.25">
      <c r="A103" s="76"/>
      <c r="B103" s="53" t="str">
        <f>IFERROR(IF(VLOOKUP($A103,Osnova!$A:$E,1)=$A103,VLOOKUP($A103,Osnova!$A:$E,$E$10)),"")</f>
        <v/>
      </c>
      <c r="C103" s="92" t="e">
        <f>IF(VLOOKUP($A103,Osnova!$A:$C,1)=$A103,VLOOKUP($A103,Osnova!$A:$F,4),0)</f>
        <v>#N/A</v>
      </c>
      <c r="D103" s="77"/>
      <c r="E103" s="96"/>
      <c r="F103" s="93">
        <f t="shared" si="2"/>
        <v>0</v>
      </c>
      <c r="G103" s="77"/>
      <c r="H103" s="77"/>
      <c r="I103" s="53">
        <f t="shared" si="3"/>
        <v>0</v>
      </c>
      <c r="K103" s="83"/>
    </row>
    <row r="104" spans="1:11" ht="12" customHeight="1" x14ac:dyDescent="0.25">
      <c r="A104" s="80"/>
      <c r="B104" s="53" t="str">
        <f>IFERROR(IF(VLOOKUP($A104,Osnova!$A:$E,1)=$A104,VLOOKUP($A104,Osnova!$A:$E,$E$10)),"")</f>
        <v/>
      </c>
      <c r="C104" s="92" t="e">
        <f>IF(VLOOKUP($A104,Osnova!$A:$C,1)=$A104,VLOOKUP($A104,Osnova!$A:$F,4),0)</f>
        <v>#N/A</v>
      </c>
      <c r="D104" s="77"/>
      <c r="E104" s="96"/>
      <c r="F104" s="93">
        <f t="shared" si="2"/>
        <v>0</v>
      </c>
      <c r="G104" s="77"/>
      <c r="H104" s="77"/>
      <c r="I104" s="53">
        <f t="shared" si="3"/>
        <v>0</v>
      </c>
      <c r="K104" s="83"/>
    </row>
    <row r="105" spans="1:11" ht="12" customHeight="1" x14ac:dyDescent="0.25">
      <c r="A105" s="80"/>
      <c r="B105" s="53" t="str">
        <f>IFERROR(IF(VLOOKUP($A105,Osnova!$A:$E,1)=$A105,VLOOKUP($A105,Osnova!$A:$E,$E$10)),"")</f>
        <v/>
      </c>
      <c r="C105" s="92" t="e">
        <f>IF(VLOOKUP($A105,Osnova!$A:$C,1)=$A105,VLOOKUP($A105,Osnova!$A:$F,4),0)</f>
        <v>#N/A</v>
      </c>
      <c r="D105" s="77"/>
      <c r="E105" s="96"/>
      <c r="F105" s="93">
        <f t="shared" si="2"/>
        <v>0</v>
      </c>
      <c r="G105" s="77"/>
      <c r="H105" s="77"/>
      <c r="I105" s="53">
        <f t="shared" si="3"/>
        <v>0</v>
      </c>
      <c r="K105" s="83"/>
    </row>
    <row r="106" spans="1:11" ht="12" customHeight="1" x14ac:dyDescent="0.25">
      <c r="A106" s="80"/>
      <c r="B106" s="53" t="str">
        <f>IFERROR(IF(VLOOKUP($A106,Osnova!$A:$E,1)=$A106,VLOOKUP($A106,Osnova!$A:$E,$E$10)),"")</f>
        <v/>
      </c>
      <c r="C106" s="92" t="e">
        <f>IF(VLOOKUP($A106,Osnova!$A:$C,1)=$A106,VLOOKUP($A106,Osnova!$A:$F,4),0)</f>
        <v>#N/A</v>
      </c>
      <c r="D106" s="77"/>
      <c r="E106" s="96"/>
      <c r="F106" s="93">
        <f t="shared" si="2"/>
        <v>0</v>
      </c>
      <c r="G106" s="77"/>
      <c r="H106" s="77"/>
      <c r="I106" s="53">
        <f t="shared" si="3"/>
        <v>0</v>
      </c>
      <c r="K106" s="83"/>
    </row>
    <row r="107" spans="1:11" ht="12" customHeight="1" x14ac:dyDescent="0.25">
      <c r="A107" s="80"/>
      <c r="B107" s="53" t="str">
        <f>IFERROR(IF(VLOOKUP($A107,Osnova!$A:$E,1)=$A107,VLOOKUP($A107,Osnova!$A:$E,$E$10)),"")</f>
        <v/>
      </c>
      <c r="C107" s="92" t="e">
        <f>IF(VLOOKUP($A107,Osnova!$A:$C,1)=$A107,VLOOKUP($A107,Osnova!$A:$F,4),0)</f>
        <v>#N/A</v>
      </c>
      <c r="D107" s="77"/>
      <c r="E107" s="96"/>
      <c r="F107" s="93">
        <f t="shared" si="2"/>
        <v>0</v>
      </c>
      <c r="G107" s="77"/>
      <c r="H107" s="77"/>
      <c r="I107" s="53">
        <f t="shared" si="3"/>
        <v>0</v>
      </c>
      <c r="K107" s="83"/>
    </row>
    <row r="108" spans="1:11" ht="12" customHeight="1" x14ac:dyDescent="0.25">
      <c r="A108" s="80"/>
      <c r="B108" s="53" t="str">
        <f>IFERROR(IF(VLOOKUP($A108,Osnova!$A:$E,1)=$A108,VLOOKUP($A108,Osnova!$A:$E,$E$10)),"")</f>
        <v/>
      </c>
      <c r="C108" s="92" t="e">
        <f>IF(VLOOKUP($A108,Osnova!$A:$C,1)=$A108,VLOOKUP($A108,Osnova!$A:$F,4),0)</f>
        <v>#N/A</v>
      </c>
      <c r="D108" s="77"/>
      <c r="E108" s="96"/>
      <c r="F108" s="93">
        <f t="shared" si="2"/>
        <v>0</v>
      </c>
      <c r="G108" s="77"/>
      <c r="H108" s="77"/>
      <c r="I108" s="53">
        <f t="shared" si="3"/>
        <v>0</v>
      </c>
      <c r="K108" s="83"/>
    </row>
    <row r="109" spans="1:11" ht="12" customHeight="1" x14ac:dyDescent="0.25">
      <c r="A109" s="80"/>
      <c r="B109" s="53" t="str">
        <f>IFERROR(IF(VLOOKUP($A109,Osnova!$A:$E,1)=$A109,VLOOKUP($A109,Osnova!$A:$E,$E$10)),"")</f>
        <v/>
      </c>
      <c r="C109" s="92" t="e">
        <f>IF(VLOOKUP($A109,Osnova!$A:$C,1)=$A109,VLOOKUP($A109,Osnova!$A:$F,4),0)</f>
        <v>#N/A</v>
      </c>
      <c r="D109" s="77"/>
      <c r="E109" s="96"/>
      <c r="F109" s="93">
        <f t="shared" si="2"/>
        <v>0</v>
      </c>
      <c r="G109" s="77"/>
      <c r="H109" s="77"/>
      <c r="I109" s="53">
        <f t="shared" si="3"/>
        <v>0</v>
      </c>
      <c r="K109" s="83"/>
    </row>
    <row r="110" spans="1:11" ht="12" customHeight="1" x14ac:dyDescent="0.25">
      <c r="A110" s="80"/>
      <c r="B110" s="53" t="str">
        <f>IFERROR(IF(VLOOKUP($A110,Osnova!$A:$E,1)=$A110,VLOOKUP($A110,Osnova!$A:$E,$E$10)),"")</f>
        <v/>
      </c>
      <c r="C110" s="92" t="e">
        <f>IF(VLOOKUP($A110,Osnova!$A:$C,1)=$A110,VLOOKUP($A110,Osnova!$A:$F,4),0)</f>
        <v>#N/A</v>
      </c>
      <c r="D110" s="77"/>
      <c r="E110" s="96"/>
      <c r="F110" s="93">
        <f t="shared" si="2"/>
        <v>0</v>
      </c>
      <c r="G110" s="77"/>
      <c r="H110" s="77"/>
      <c r="I110" s="53">
        <f t="shared" si="3"/>
        <v>0</v>
      </c>
      <c r="K110" s="83"/>
    </row>
    <row r="111" spans="1:11" ht="12" customHeight="1" x14ac:dyDescent="0.25">
      <c r="A111" s="80"/>
      <c r="B111" s="53" t="str">
        <f>IFERROR(IF(VLOOKUP($A111,Osnova!$A:$E,1)=$A111,VLOOKUP($A111,Osnova!$A:$E,$E$10)),"")</f>
        <v/>
      </c>
      <c r="C111" s="92" t="e">
        <f>IF(VLOOKUP($A111,Osnova!$A:$C,1)=$A111,VLOOKUP($A111,Osnova!$A:$F,4),0)</f>
        <v>#N/A</v>
      </c>
      <c r="D111" s="77"/>
      <c r="E111" s="96"/>
      <c r="F111" s="93">
        <f t="shared" si="2"/>
        <v>0</v>
      </c>
      <c r="G111" s="77"/>
      <c r="H111" s="77"/>
      <c r="I111" s="53">
        <f t="shared" si="3"/>
        <v>0</v>
      </c>
      <c r="K111" s="83"/>
    </row>
    <row r="112" spans="1:11" ht="12" customHeight="1" x14ac:dyDescent="0.25">
      <c r="A112" s="80"/>
      <c r="B112" s="53" t="str">
        <f>IFERROR(IF(VLOOKUP($A112,Osnova!$A:$E,1)=$A112,VLOOKUP($A112,Osnova!$A:$E,$E$10)),"")</f>
        <v/>
      </c>
      <c r="C112" s="92" t="e">
        <f>IF(VLOOKUP($A112,Osnova!$A:$C,1)=$A112,VLOOKUP($A112,Osnova!$A:$F,4),0)</f>
        <v>#N/A</v>
      </c>
      <c r="D112" s="77"/>
      <c r="E112" s="96"/>
      <c r="F112" s="93">
        <f t="shared" si="2"/>
        <v>0</v>
      </c>
      <c r="G112" s="77"/>
      <c r="H112" s="77"/>
      <c r="I112" s="53">
        <f t="shared" si="3"/>
        <v>0</v>
      </c>
      <c r="K112" s="83"/>
    </row>
    <row r="113" spans="1:11" ht="12" customHeight="1" x14ac:dyDescent="0.25">
      <c r="A113" s="80"/>
      <c r="B113" s="53" t="str">
        <f>IFERROR(IF(VLOOKUP($A113,Osnova!$A:$E,1)=$A113,VLOOKUP($A113,Osnova!$A:$E,$E$10)),"")</f>
        <v/>
      </c>
      <c r="C113" s="92" t="e">
        <f>IF(VLOOKUP($A113,Osnova!$A:$C,1)=$A113,VLOOKUP($A113,Osnova!$A:$F,4),0)</f>
        <v>#N/A</v>
      </c>
      <c r="D113" s="77"/>
      <c r="E113" s="96"/>
      <c r="F113" s="93">
        <f t="shared" si="2"/>
        <v>0</v>
      </c>
      <c r="G113" s="77"/>
      <c r="H113" s="77"/>
      <c r="I113" s="53">
        <f t="shared" si="3"/>
        <v>0</v>
      </c>
      <c r="K113" s="83"/>
    </row>
    <row r="114" spans="1:11" ht="12" customHeight="1" x14ac:dyDescent="0.25">
      <c r="A114" s="80"/>
      <c r="B114" s="53" t="str">
        <f>IFERROR(IF(VLOOKUP($A114,Osnova!$A:$E,1)=$A114,VLOOKUP($A114,Osnova!$A:$E,$E$10)),"")</f>
        <v/>
      </c>
      <c r="C114" s="92" t="e">
        <f>IF(VLOOKUP($A114,Osnova!$A:$C,1)=$A114,VLOOKUP($A114,Osnova!$A:$F,4),0)</f>
        <v>#N/A</v>
      </c>
      <c r="D114" s="77"/>
      <c r="E114" s="96"/>
      <c r="F114" s="93">
        <f t="shared" si="2"/>
        <v>0</v>
      </c>
      <c r="G114" s="77"/>
      <c r="H114" s="77"/>
      <c r="I114" s="53">
        <f t="shared" si="3"/>
        <v>0</v>
      </c>
      <c r="K114" s="83"/>
    </row>
    <row r="115" spans="1:11" ht="12" customHeight="1" x14ac:dyDescent="0.25">
      <c r="A115" s="80"/>
      <c r="B115" s="53" t="str">
        <f>IFERROR(IF(VLOOKUP($A115,Osnova!$A:$E,1)=$A115,VLOOKUP($A115,Osnova!$A:$E,$E$10)),"")</f>
        <v/>
      </c>
      <c r="C115" s="92" t="e">
        <f>IF(VLOOKUP($A115,Osnova!$A:$C,1)=$A115,VLOOKUP($A115,Osnova!$A:$F,4),0)</f>
        <v>#N/A</v>
      </c>
      <c r="D115" s="77"/>
      <c r="E115" s="96"/>
      <c r="F115" s="93">
        <f t="shared" si="2"/>
        <v>0</v>
      </c>
      <c r="G115" s="77"/>
      <c r="H115" s="77"/>
      <c r="I115" s="53">
        <f t="shared" si="3"/>
        <v>0</v>
      </c>
      <c r="K115" s="83"/>
    </row>
    <row r="116" spans="1:11" ht="12" customHeight="1" x14ac:dyDescent="0.25">
      <c r="A116" s="80"/>
      <c r="B116" s="53" t="str">
        <f>IFERROR(IF(VLOOKUP($A116,Osnova!$A:$E,1)=$A116,VLOOKUP($A116,Osnova!$A:$E,$E$10)),"")</f>
        <v/>
      </c>
      <c r="C116" s="92" t="e">
        <f>IF(VLOOKUP($A116,Osnova!$A:$C,1)=$A116,VLOOKUP($A116,Osnova!$A:$F,4),0)</f>
        <v>#N/A</v>
      </c>
      <c r="D116" s="77"/>
      <c r="E116" s="96"/>
      <c r="F116" s="93">
        <f t="shared" si="2"/>
        <v>0</v>
      </c>
      <c r="G116" s="77"/>
      <c r="H116" s="77"/>
      <c r="I116" s="53">
        <f t="shared" si="3"/>
        <v>0</v>
      </c>
      <c r="K116" s="83"/>
    </row>
    <row r="117" spans="1:11" ht="12" customHeight="1" x14ac:dyDescent="0.25">
      <c r="A117" s="80"/>
      <c r="B117" s="53" t="str">
        <f>IFERROR(IF(VLOOKUP($A117,Osnova!$A:$E,1)=$A117,VLOOKUP($A117,Osnova!$A:$E,$E$10)),"")</f>
        <v/>
      </c>
      <c r="C117" s="92" t="e">
        <f>IF(VLOOKUP($A117,Osnova!$A:$C,1)=$A117,VLOOKUP($A117,Osnova!$A:$F,4),0)</f>
        <v>#N/A</v>
      </c>
      <c r="D117" s="77"/>
      <c r="E117" s="96"/>
      <c r="F117" s="93">
        <f t="shared" si="2"/>
        <v>0</v>
      </c>
      <c r="G117" s="77"/>
      <c r="H117" s="77"/>
      <c r="I117" s="53">
        <f t="shared" si="3"/>
        <v>0</v>
      </c>
      <c r="K117" s="83"/>
    </row>
    <row r="118" spans="1:11" ht="12" customHeight="1" x14ac:dyDescent="0.25">
      <c r="A118" s="80"/>
      <c r="B118" s="53" t="str">
        <f>IFERROR(IF(VLOOKUP($A118,Osnova!$A:$E,1)=$A118,VLOOKUP($A118,Osnova!$A:$E,$E$10)),"")</f>
        <v/>
      </c>
      <c r="C118" s="92" t="e">
        <f>IF(VLOOKUP($A118,Osnova!$A:$C,1)=$A118,VLOOKUP($A118,Osnova!$A:$F,4),0)</f>
        <v>#N/A</v>
      </c>
      <c r="D118" s="77"/>
      <c r="E118" s="96"/>
      <c r="F118" s="93">
        <f t="shared" si="2"/>
        <v>0</v>
      </c>
      <c r="G118" s="77"/>
      <c r="H118" s="77"/>
      <c r="I118" s="53">
        <f t="shared" si="3"/>
        <v>0</v>
      </c>
      <c r="K118" s="83"/>
    </row>
    <row r="119" spans="1:11" ht="12" customHeight="1" x14ac:dyDescent="0.25">
      <c r="A119" s="80"/>
      <c r="B119" s="53" t="str">
        <f>IFERROR(IF(VLOOKUP($A119,Osnova!$A:$E,1)=$A119,VLOOKUP($A119,Osnova!$A:$E,$E$10)),"")</f>
        <v/>
      </c>
      <c r="C119" s="92" t="e">
        <f>IF(VLOOKUP($A119,Osnova!$A:$C,1)=$A119,VLOOKUP($A119,Osnova!$A:$F,4),0)</f>
        <v>#N/A</v>
      </c>
      <c r="D119" s="77"/>
      <c r="E119" s="96"/>
      <c r="F119" s="93">
        <f t="shared" si="2"/>
        <v>0</v>
      </c>
      <c r="G119" s="77"/>
      <c r="H119" s="77"/>
      <c r="I119" s="53">
        <f t="shared" si="3"/>
        <v>0</v>
      </c>
      <c r="K119" s="83"/>
    </row>
    <row r="120" spans="1:11" ht="12" customHeight="1" x14ac:dyDescent="0.25">
      <c r="A120" s="80"/>
      <c r="B120" s="53" t="str">
        <f>IFERROR(IF(VLOOKUP($A120,Osnova!$A:$E,1)=$A120,VLOOKUP($A120,Osnova!$A:$E,$E$10)),"")</f>
        <v/>
      </c>
      <c r="C120" s="92" t="e">
        <f>IF(VLOOKUP($A120,Osnova!$A:$C,1)=$A120,VLOOKUP($A120,Osnova!$A:$F,4),0)</f>
        <v>#N/A</v>
      </c>
      <c r="D120" s="77"/>
      <c r="E120" s="96"/>
      <c r="F120" s="93">
        <f t="shared" si="2"/>
        <v>0</v>
      </c>
      <c r="G120" s="77"/>
      <c r="H120" s="77"/>
      <c r="I120" s="53">
        <f t="shared" si="3"/>
        <v>0</v>
      </c>
      <c r="K120" s="83"/>
    </row>
    <row r="121" spans="1:11" ht="12" customHeight="1" x14ac:dyDescent="0.25">
      <c r="A121" s="80"/>
      <c r="B121" s="53" t="str">
        <f>IFERROR(IF(VLOOKUP($A121,Osnova!$A:$E,1)=$A121,VLOOKUP($A121,Osnova!$A:$E,$E$10)),"")</f>
        <v/>
      </c>
      <c r="C121" s="92" t="e">
        <f>IF(VLOOKUP($A121,Osnova!$A:$C,1)=$A121,VLOOKUP($A121,Osnova!$A:$F,4),0)</f>
        <v>#N/A</v>
      </c>
      <c r="D121" s="77"/>
      <c r="E121" s="96"/>
      <c r="F121" s="93">
        <f t="shared" si="2"/>
        <v>0</v>
      </c>
      <c r="G121" s="77"/>
      <c r="H121" s="77"/>
      <c r="I121" s="53">
        <f t="shared" si="3"/>
        <v>0</v>
      </c>
      <c r="K121" s="83"/>
    </row>
    <row r="122" spans="1:11" ht="12" customHeight="1" x14ac:dyDescent="0.25">
      <c r="A122" s="80"/>
      <c r="B122" s="53" t="str">
        <f>IFERROR(IF(VLOOKUP($A122,Osnova!$A:$E,1)=$A122,VLOOKUP($A122,Osnova!$A:$E,$E$10)),"")</f>
        <v/>
      </c>
      <c r="C122" s="92" t="e">
        <f>IF(VLOOKUP($A122,Osnova!$A:$C,1)=$A122,VLOOKUP($A122,Osnova!$A:$F,4),0)</f>
        <v>#N/A</v>
      </c>
      <c r="D122" s="77"/>
      <c r="E122" s="96"/>
      <c r="F122" s="93">
        <f t="shared" si="2"/>
        <v>0</v>
      </c>
      <c r="G122" s="77"/>
      <c r="H122" s="77"/>
      <c r="I122" s="53">
        <f t="shared" si="3"/>
        <v>0</v>
      </c>
      <c r="K122" s="83"/>
    </row>
    <row r="123" spans="1:11" ht="12" customHeight="1" x14ac:dyDescent="0.25">
      <c r="A123" s="80"/>
      <c r="B123" s="53" t="str">
        <f>IFERROR(IF(VLOOKUP($A123,Osnova!$A:$E,1)=$A123,VLOOKUP($A123,Osnova!$A:$E,$E$10)),"")</f>
        <v/>
      </c>
      <c r="C123" s="92" t="e">
        <f>IF(VLOOKUP($A123,Osnova!$A:$C,1)=$A123,VLOOKUP($A123,Osnova!$A:$F,4),0)</f>
        <v>#N/A</v>
      </c>
      <c r="D123" s="77"/>
      <c r="E123" s="96"/>
      <c r="F123" s="93">
        <f t="shared" si="2"/>
        <v>0</v>
      </c>
      <c r="G123" s="77"/>
      <c r="H123" s="77"/>
      <c r="I123" s="53">
        <f t="shared" si="3"/>
        <v>0</v>
      </c>
      <c r="K123" s="83"/>
    </row>
    <row r="124" spans="1:11" ht="12" customHeight="1" x14ac:dyDescent="0.25">
      <c r="A124" s="80"/>
      <c r="B124" s="53" t="str">
        <f>IFERROR(IF(VLOOKUP($A124,Osnova!$A:$E,1)=$A124,VLOOKUP($A124,Osnova!$A:$E,$E$10)),"")</f>
        <v/>
      </c>
      <c r="C124" s="92" t="e">
        <f>IF(VLOOKUP($A124,Osnova!$A:$C,1)=$A124,VLOOKUP($A124,Osnova!$A:$F,4),0)</f>
        <v>#N/A</v>
      </c>
      <c r="D124" s="77"/>
      <c r="E124" s="96"/>
      <c r="F124" s="93">
        <f t="shared" si="2"/>
        <v>0</v>
      </c>
      <c r="G124" s="77"/>
      <c r="H124" s="77"/>
      <c r="I124" s="53">
        <f t="shared" si="3"/>
        <v>0</v>
      </c>
      <c r="K124" s="83"/>
    </row>
    <row r="125" spans="1:11" ht="12" customHeight="1" x14ac:dyDescent="0.25">
      <c r="A125" s="80"/>
      <c r="B125" s="53" t="str">
        <f>IFERROR(IF(VLOOKUP($A125,Osnova!$A:$E,1)=$A125,VLOOKUP($A125,Osnova!$A:$E,$E$10)),"")</f>
        <v/>
      </c>
      <c r="C125" s="92" t="e">
        <f>IF(VLOOKUP($A125,Osnova!$A:$C,1)=$A125,VLOOKUP($A125,Osnova!$A:$F,4),0)</f>
        <v>#N/A</v>
      </c>
      <c r="D125" s="77"/>
      <c r="E125" s="96"/>
      <c r="F125" s="93">
        <f t="shared" si="2"/>
        <v>0</v>
      </c>
      <c r="G125" s="77"/>
      <c r="H125" s="77"/>
      <c r="I125" s="53">
        <f t="shared" si="3"/>
        <v>0</v>
      </c>
      <c r="K125" s="83"/>
    </row>
    <row r="126" spans="1:11" ht="12" customHeight="1" x14ac:dyDescent="0.25">
      <c r="A126" s="80"/>
      <c r="B126" s="53" t="str">
        <f>IFERROR(IF(VLOOKUP($A126,Osnova!$A:$E,1)=$A126,VLOOKUP($A126,Osnova!$A:$E,$E$10)),"")</f>
        <v/>
      </c>
      <c r="C126" s="92" t="e">
        <f>IF(VLOOKUP($A126,Osnova!$A:$C,1)=$A126,VLOOKUP($A126,Osnova!$A:$F,4),0)</f>
        <v>#N/A</v>
      </c>
      <c r="D126" s="77"/>
      <c r="E126" s="96"/>
      <c r="F126" s="93">
        <f t="shared" si="2"/>
        <v>0</v>
      </c>
      <c r="G126" s="77"/>
      <c r="H126" s="77"/>
      <c r="I126" s="53">
        <f t="shared" si="3"/>
        <v>0</v>
      </c>
      <c r="K126" s="83"/>
    </row>
    <row r="127" spans="1:11" ht="12" customHeight="1" x14ac:dyDescent="0.25">
      <c r="A127" s="80"/>
      <c r="B127" s="53" t="str">
        <f>IFERROR(IF(VLOOKUP($A127,Osnova!$A:$E,1)=$A127,VLOOKUP($A127,Osnova!$A:$E,$E$10)),"")</f>
        <v/>
      </c>
      <c r="C127" s="92" t="e">
        <f>IF(VLOOKUP($A127,Osnova!$A:$C,1)=$A127,VLOOKUP($A127,Osnova!$A:$F,4),0)</f>
        <v>#N/A</v>
      </c>
      <c r="D127" s="77"/>
      <c r="E127" s="96"/>
      <c r="F127" s="93">
        <f t="shared" si="2"/>
        <v>0</v>
      </c>
      <c r="G127" s="77"/>
      <c r="H127" s="77"/>
      <c r="I127" s="53">
        <f t="shared" si="3"/>
        <v>0</v>
      </c>
      <c r="K127" s="83"/>
    </row>
    <row r="128" spans="1:11" ht="12" customHeight="1" x14ac:dyDescent="0.25">
      <c r="A128" s="80"/>
      <c r="B128" s="53" t="str">
        <f>IFERROR(IF(VLOOKUP($A128,Osnova!$A:$E,1)=$A128,VLOOKUP($A128,Osnova!$A:$E,$E$10)),"")</f>
        <v/>
      </c>
      <c r="C128" s="92" t="e">
        <f>IF(VLOOKUP($A128,Osnova!$A:$C,1)=$A128,VLOOKUP($A128,Osnova!$A:$F,4),0)</f>
        <v>#N/A</v>
      </c>
      <c r="D128" s="77"/>
      <c r="E128" s="96"/>
      <c r="F128" s="93">
        <f t="shared" si="2"/>
        <v>0</v>
      </c>
      <c r="G128" s="77"/>
      <c r="H128" s="77"/>
      <c r="I128" s="53">
        <f t="shared" si="3"/>
        <v>0</v>
      </c>
      <c r="K128" s="83"/>
    </row>
    <row r="129" spans="1:11" ht="12" customHeight="1" x14ac:dyDescent="0.25">
      <c r="A129" s="80"/>
      <c r="B129" s="53" t="str">
        <f>IFERROR(IF(VLOOKUP($A129,Osnova!$A:$E,1)=$A129,VLOOKUP($A129,Osnova!$A:$E,$E$10)),"")</f>
        <v/>
      </c>
      <c r="C129" s="92" t="e">
        <f>IF(VLOOKUP($A129,Osnova!$A:$C,1)=$A129,VLOOKUP($A129,Osnova!$A:$F,4),0)</f>
        <v>#N/A</v>
      </c>
      <c r="D129" s="77"/>
      <c r="E129" s="96"/>
      <c r="F129" s="93">
        <f t="shared" si="2"/>
        <v>0</v>
      </c>
      <c r="G129" s="77"/>
      <c r="H129" s="77"/>
      <c r="I129" s="53">
        <f t="shared" si="3"/>
        <v>0</v>
      </c>
      <c r="K129" s="83"/>
    </row>
    <row r="130" spans="1:11" ht="12" customHeight="1" x14ac:dyDescent="0.25">
      <c r="A130" s="80"/>
      <c r="B130" s="53" t="str">
        <f>IFERROR(IF(VLOOKUP($A130,Osnova!$A:$E,1)=$A130,VLOOKUP($A130,Osnova!$A:$E,$E$10)),"")</f>
        <v/>
      </c>
      <c r="C130" s="92" t="e">
        <f>IF(VLOOKUP($A130,Osnova!$A:$C,1)=$A130,VLOOKUP($A130,Osnova!$A:$F,4),0)</f>
        <v>#N/A</v>
      </c>
      <c r="D130" s="77"/>
      <c r="E130" s="96"/>
      <c r="F130" s="93">
        <f t="shared" si="2"/>
        <v>0</v>
      </c>
      <c r="G130" s="77"/>
      <c r="H130" s="77"/>
      <c r="I130" s="53">
        <f t="shared" si="3"/>
        <v>0</v>
      </c>
      <c r="K130" s="83"/>
    </row>
    <row r="131" spans="1:11" ht="12" customHeight="1" x14ac:dyDescent="0.25">
      <c r="A131" s="80"/>
      <c r="B131" s="53" t="str">
        <f>IFERROR(IF(VLOOKUP($A131,Osnova!$A:$E,1)=$A131,VLOOKUP($A131,Osnova!$A:$E,$E$10)),"")</f>
        <v/>
      </c>
      <c r="C131" s="92" t="e">
        <f>IF(VLOOKUP($A131,Osnova!$A:$C,1)=$A131,VLOOKUP($A131,Osnova!$A:$F,4),0)</f>
        <v>#N/A</v>
      </c>
      <c r="D131" s="77"/>
      <c r="E131" s="96"/>
      <c r="F131" s="93">
        <f t="shared" si="2"/>
        <v>0</v>
      </c>
      <c r="G131" s="77"/>
      <c r="H131" s="77"/>
      <c r="I131" s="53">
        <f t="shared" si="3"/>
        <v>0</v>
      </c>
      <c r="K131" s="83"/>
    </row>
    <row r="132" spans="1:11" ht="12" customHeight="1" x14ac:dyDescent="0.25">
      <c r="A132" s="80"/>
      <c r="B132" s="53" t="str">
        <f>IFERROR(IF(VLOOKUP($A132,Osnova!$A:$E,1)=$A132,VLOOKUP($A132,Osnova!$A:$E,$E$10)),"")</f>
        <v/>
      </c>
      <c r="C132" s="92" t="e">
        <f>IF(VLOOKUP($A132,Osnova!$A:$C,1)=$A132,VLOOKUP($A132,Osnova!$A:$F,4),0)</f>
        <v>#N/A</v>
      </c>
      <c r="D132" s="77"/>
      <c r="E132" s="96"/>
      <c r="F132" s="93">
        <f t="shared" si="2"/>
        <v>0</v>
      </c>
      <c r="G132" s="77"/>
      <c r="H132" s="77"/>
      <c r="I132" s="53">
        <f t="shared" si="3"/>
        <v>0</v>
      </c>
      <c r="K132" s="83"/>
    </row>
    <row r="133" spans="1:11" ht="12" customHeight="1" x14ac:dyDescent="0.25">
      <c r="A133" s="80"/>
      <c r="B133" s="53" t="str">
        <f>IFERROR(IF(VLOOKUP($A133,Osnova!$A:$E,1)=$A133,VLOOKUP($A133,Osnova!$A:$E,$E$10)),"")</f>
        <v/>
      </c>
      <c r="C133" s="92" t="e">
        <f>IF(VLOOKUP($A133,Osnova!$A:$C,1)=$A133,VLOOKUP($A133,Osnova!$A:$F,4),0)</f>
        <v>#N/A</v>
      </c>
      <c r="D133" s="77"/>
      <c r="E133" s="96"/>
      <c r="F133" s="93">
        <f t="shared" si="2"/>
        <v>0</v>
      </c>
      <c r="G133" s="77"/>
      <c r="H133" s="77"/>
      <c r="I133" s="53">
        <f t="shared" si="3"/>
        <v>0</v>
      </c>
      <c r="K133" s="83"/>
    </row>
    <row r="134" spans="1:11" ht="12" customHeight="1" x14ac:dyDescent="0.25">
      <c r="A134" s="80"/>
      <c r="B134" s="53" t="str">
        <f>IFERROR(IF(VLOOKUP($A134,Osnova!$A:$E,1)=$A134,VLOOKUP($A134,Osnova!$A:$E,$E$10)),"")</f>
        <v/>
      </c>
      <c r="C134" s="92" t="e">
        <f>IF(VLOOKUP($A134,Osnova!$A:$C,1)=$A134,VLOOKUP($A134,Osnova!$A:$F,4),0)</f>
        <v>#N/A</v>
      </c>
      <c r="D134" s="77"/>
      <c r="E134" s="96"/>
      <c r="F134" s="93">
        <f t="shared" si="2"/>
        <v>0</v>
      </c>
      <c r="G134" s="77"/>
      <c r="H134" s="77"/>
      <c r="I134" s="53">
        <f t="shared" si="3"/>
        <v>0</v>
      </c>
      <c r="K134" s="83"/>
    </row>
    <row r="135" spans="1:11" ht="12" customHeight="1" x14ac:dyDescent="0.25">
      <c r="A135" s="80"/>
      <c r="B135" s="53" t="str">
        <f>IFERROR(IF(VLOOKUP($A135,Osnova!$A:$E,1)=$A135,VLOOKUP($A135,Osnova!$A:$E,$E$10)),"")</f>
        <v/>
      </c>
      <c r="C135" s="92" t="e">
        <f>IF(VLOOKUP($A135,Osnova!$A:$C,1)=$A135,VLOOKUP($A135,Osnova!$A:$F,4),0)</f>
        <v>#N/A</v>
      </c>
      <c r="D135" s="77"/>
      <c r="E135" s="96"/>
      <c r="F135" s="93">
        <f t="shared" si="2"/>
        <v>0</v>
      </c>
      <c r="G135" s="77"/>
      <c r="H135" s="77"/>
      <c r="I135" s="53">
        <f t="shared" si="3"/>
        <v>0</v>
      </c>
      <c r="K135" s="83"/>
    </row>
    <row r="136" spans="1:11" ht="12" customHeight="1" x14ac:dyDescent="0.25">
      <c r="A136" s="80"/>
      <c r="B136" s="53" t="str">
        <f>IFERROR(IF(VLOOKUP($A136,Osnova!$A:$E,1)=$A136,VLOOKUP($A136,Osnova!$A:$E,$E$10)),"")</f>
        <v/>
      </c>
      <c r="C136" s="92" t="e">
        <f>IF(VLOOKUP($A136,Osnova!$A:$C,1)=$A136,VLOOKUP($A136,Osnova!$A:$F,4),0)</f>
        <v>#N/A</v>
      </c>
      <c r="D136" s="77"/>
      <c r="E136" s="96"/>
      <c r="F136" s="93">
        <f t="shared" si="2"/>
        <v>0</v>
      </c>
      <c r="G136" s="77"/>
      <c r="H136" s="77"/>
      <c r="I136" s="53">
        <f t="shared" si="3"/>
        <v>0</v>
      </c>
      <c r="K136" s="83"/>
    </row>
    <row r="137" spans="1:11" ht="12" customHeight="1" x14ac:dyDescent="0.25">
      <c r="A137" s="80"/>
      <c r="B137" s="53" t="str">
        <f>IFERROR(IF(VLOOKUP($A137,Osnova!$A:$E,1)=$A137,VLOOKUP($A137,Osnova!$A:$E,$E$10)),"")</f>
        <v/>
      </c>
      <c r="C137" s="92" t="e">
        <f>IF(VLOOKUP($A137,Osnova!$A:$C,1)=$A137,VLOOKUP($A137,Osnova!$A:$F,4),0)</f>
        <v>#N/A</v>
      </c>
      <c r="D137" s="77"/>
      <c r="E137" s="96"/>
      <c r="F137" s="93">
        <f t="shared" si="2"/>
        <v>0</v>
      </c>
      <c r="G137" s="77"/>
      <c r="H137" s="77"/>
      <c r="I137" s="53">
        <f t="shared" si="3"/>
        <v>0</v>
      </c>
      <c r="K137" s="83"/>
    </row>
    <row r="138" spans="1:11" ht="12" customHeight="1" x14ac:dyDescent="0.25">
      <c r="A138" s="80"/>
      <c r="B138" s="53" t="str">
        <f>IFERROR(IF(VLOOKUP($A138,Osnova!$A:$E,1)=$A138,VLOOKUP($A138,Osnova!$A:$E,$E$10)),"")</f>
        <v/>
      </c>
      <c r="C138" s="92" t="e">
        <f>IF(VLOOKUP($A138,Osnova!$A:$C,1)=$A138,VLOOKUP($A138,Osnova!$A:$F,4),0)</f>
        <v>#N/A</v>
      </c>
      <c r="D138" s="77"/>
      <c r="E138" s="96"/>
      <c r="F138" s="93">
        <f t="shared" si="2"/>
        <v>0</v>
      </c>
      <c r="G138" s="77"/>
      <c r="H138" s="77"/>
      <c r="I138" s="53">
        <f t="shared" si="3"/>
        <v>0</v>
      </c>
      <c r="K138" s="83"/>
    </row>
    <row r="139" spans="1:11" ht="12" customHeight="1" x14ac:dyDescent="0.25">
      <c r="A139" s="80"/>
      <c r="B139" s="53" t="str">
        <f>IFERROR(IF(VLOOKUP($A139,Osnova!$A:$E,1)=$A139,VLOOKUP($A139,Osnova!$A:$E,$E$10)),"")</f>
        <v/>
      </c>
      <c r="C139" s="92" t="e">
        <f>IF(VLOOKUP($A139,Osnova!$A:$C,1)=$A139,VLOOKUP($A139,Osnova!$A:$F,4),0)</f>
        <v>#N/A</v>
      </c>
      <c r="D139" s="77"/>
      <c r="E139" s="96"/>
      <c r="F139" s="93">
        <f t="shared" si="2"/>
        <v>0</v>
      </c>
      <c r="G139" s="77"/>
      <c r="H139" s="77"/>
      <c r="I139" s="53">
        <f t="shared" si="3"/>
        <v>0</v>
      </c>
      <c r="K139" s="83"/>
    </row>
    <row r="140" spans="1:11" ht="12" customHeight="1" x14ac:dyDescent="0.25">
      <c r="A140" s="80"/>
      <c r="B140" s="53" t="str">
        <f>IFERROR(IF(VLOOKUP($A140,Osnova!$A:$E,1)=$A140,VLOOKUP($A140,Osnova!$A:$E,$E$10)),"")</f>
        <v/>
      </c>
      <c r="C140" s="92" t="e">
        <f>IF(VLOOKUP($A140,Osnova!$A:$C,1)=$A140,VLOOKUP($A140,Osnova!$A:$F,4),0)</f>
        <v>#N/A</v>
      </c>
      <c r="D140" s="77"/>
      <c r="E140" s="96"/>
      <c r="F140" s="93">
        <f t="shared" si="2"/>
        <v>0</v>
      </c>
      <c r="G140" s="77"/>
      <c r="H140" s="77"/>
      <c r="I140" s="53">
        <f t="shared" si="3"/>
        <v>0</v>
      </c>
      <c r="K140" s="83"/>
    </row>
    <row r="141" spans="1:11" ht="12" customHeight="1" x14ac:dyDescent="0.25">
      <c r="A141" s="80"/>
      <c r="B141" s="53" t="str">
        <f>IFERROR(IF(VLOOKUP($A141,Osnova!$A:$E,1)=$A141,VLOOKUP($A141,Osnova!$A:$E,$E$10)),"")</f>
        <v/>
      </c>
      <c r="C141" s="92" t="e">
        <f>IF(VLOOKUP($A141,Osnova!$A:$C,1)=$A141,VLOOKUP($A141,Osnova!$A:$F,4),0)</f>
        <v>#N/A</v>
      </c>
      <c r="D141" s="77"/>
      <c r="E141" s="96"/>
      <c r="F141" s="93">
        <f t="shared" ref="F141:F204" si="4">SUM(D141-E141)</f>
        <v>0</v>
      </c>
      <c r="G141" s="77"/>
      <c r="H141" s="77"/>
      <c r="I141" s="53">
        <f t="shared" ref="I141:I204" si="5">SUM(F141+G141-H141)</f>
        <v>0</v>
      </c>
      <c r="K141" s="83"/>
    </row>
    <row r="142" spans="1:11" ht="12" customHeight="1" x14ac:dyDescent="0.25">
      <c r="A142" s="80"/>
      <c r="B142" s="53" t="str">
        <f>IFERROR(IF(VLOOKUP($A142,Osnova!$A:$E,1)=$A142,VLOOKUP($A142,Osnova!$A:$E,$E$10)),"")</f>
        <v/>
      </c>
      <c r="C142" s="92" t="e">
        <f>IF(VLOOKUP($A142,Osnova!$A:$C,1)=$A142,VLOOKUP($A142,Osnova!$A:$F,4),0)</f>
        <v>#N/A</v>
      </c>
      <c r="D142" s="77"/>
      <c r="E142" s="96"/>
      <c r="F142" s="93">
        <f t="shared" si="4"/>
        <v>0</v>
      </c>
      <c r="G142" s="77"/>
      <c r="H142" s="77"/>
      <c r="I142" s="53">
        <f t="shared" si="5"/>
        <v>0</v>
      </c>
      <c r="K142" s="83"/>
    </row>
    <row r="143" spans="1:11" ht="12" customHeight="1" x14ac:dyDescent="0.25">
      <c r="A143" s="80"/>
      <c r="B143" s="53" t="str">
        <f>IFERROR(IF(VLOOKUP($A143,Osnova!$A:$E,1)=$A143,VLOOKUP($A143,Osnova!$A:$E,$E$10)),"")</f>
        <v/>
      </c>
      <c r="C143" s="92" t="e">
        <f>IF(VLOOKUP($A143,Osnova!$A:$C,1)=$A143,VLOOKUP($A143,Osnova!$A:$F,4),0)</f>
        <v>#N/A</v>
      </c>
      <c r="D143" s="77"/>
      <c r="E143" s="96"/>
      <c r="F143" s="93">
        <f t="shared" si="4"/>
        <v>0</v>
      </c>
      <c r="G143" s="77"/>
      <c r="H143" s="77"/>
      <c r="I143" s="53">
        <f t="shared" si="5"/>
        <v>0</v>
      </c>
      <c r="K143" s="83"/>
    </row>
    <row r="144" spans="1:11" ht="12" customHeight="1" x14ac:dyDescent="0.25">
      <c r="A144" s="80"/>
      <c r="B144" s="53" t="str">
        <f>IFERROR(IF(VLOOKUP($A144,Osnova!$A:$E,1)=$A144,VLOOKUP($A144,Osnova!$A:$E,$E$10)),"")</f>
        <v/>
      </c>
      <c r="C144" s="92" t="e">
        <f>IF(VLOOKUP($A144,Osnova!$A:$C,1)=$A144,VLOOKUP($A144,Osnova!$A:$F,4),0)</f>
        <v>#N/A</v>
      </c>
      <c r="D144" s="77"/>
      <c r="E144" s="96"/>
      <c r="F144" s="93">
        <f t="shared" si="4"/>
        <v>0</v>
      </c>
      <c r="G144" s="77"/>
      <c r="H144" s="77"/>
      <c r="I144" s="53">
        <f t="shared" si="5"/>
        <v>0</v>
      </c>
      <c r="K144" s="83"/>
    </row>
    <row r="145" spans="1:11" ht="12" customHeight="1" x14ac:dyDescent="0.25">
      <c r="A145" s="80"/>
      <c r="B145" s="53" t="str">
        <f>IFERROR(IF(VLOOKUP($A145,Osnova!$A:$E,1)=$A145,VLOOKUP($A145,Osnova!$A:$E,$E$10)),"")</f>
        <v/>
      </c>
      <c r="C145" s="92" t="e">
        <f>IF(VLOOKUP($A145,Osnova!$A:$C,1)=$A145,VLOOKUP($A145,Osnova!$A:$F,4),0)</f>
        <v>#N/A</v>
      </c>
      <c r="D145" s="77"/>
      <c r="E145" s="96"/>
      <c r="F145" s="93">
        <f t="shared" si="4"/>
        <v>0</v>
      </c>
      <c r="G145" s="77"/>
      <c r="H145" s="77"/>
      <c r="I145" s="53">
        <f t="shared" si="5"/>
        <v>0</v>
      </c>
      <c r="K145" s="83"/>
    </row>
    <row r="146" spans="1:11" ht="12" customHeight="1" x14ac:dyDescent="0.25">
      <c r="A146" s="80"/>
      <c r="B146" s="53" t="str">
        <f>IFERROR(IF(VLOOKUP($A146,Osnova!$A:$E,1)=$A146,VLOOKUP($A146,Osnova!$A:$E,$E$10)),"")</f>
        <v/>
      </c>
      <c r="C146" s="92" t="e">
        <f>IF(VLOOKUP($A146,Osnova!$A:$C,1)=$A146,VLOOKUP($A146,Osnova!$A:$F,4),0)</f>
        <v>#N/A</v>
      </c>
      <c r="D146" s="77"/>
      <c r="E146" s="96"/>
      <c r="F146" s="93">
        <f t="shared" si="4"/>
        <v>0</v>
      </c>
      <c r="G146" s="77"/>
      <c r="H146" s="77"/>
      <c r="I146" s="53">
        <f t="shared" si="5"/>
        <v>0</v>
      </c>
      <c r="K146" s="83"/>
    </row>
    <row r="147" spans="1:11" ht="12" customHeight="1" x14ac:dyDescent="0.25">
      <c r="A147" s="80"/>
      <c r="B147" s="53" t="str">
        <f>IFERROR(IF(VLOOKUP($A147,Osnova!$A:$E,1)=$A147,VLOOKUP($A147,Osnova!$A:$E,$E$10)),"")</f>
        <v/>
      </c>
      <c r="C147" s="92" t="e">
        <f>IF(VLOOKUP($A147,Osnova!$A:$C,1)=$A147,VLOOKUP($A147,Osnova!$A:$F,4),0)</f>
        <v>#N/A</v>
      </c>
      <c r="D147" s="77"/>
      <c r="E147" s="96"/>
      <c r="F147" s="93">
        <f t="shared" si="4"/>
        <v>0</v>
      </c>
      <c r="G147" s="77"/>
      <c r="H147" s="77"/>
      <c r="I147" s="53">
        <f t="shared" si="5"/>
        <v>0</v>
      </c>
      <c r="K147" s="83"/>
    </row>
    <row r="148" spans="1:11" ht="12" customHeight="1" x14ac:dyDescent="0.25">
      <c r="A148" s="80"/>
      <c r="B148" s="53" t="str">
        <f>IFERROR(IF(VLOOKUP($A148,Osnova!$A:$E,1)=$A148,VLOOKUP($A148,Osnova!$A:$E,$E$10)),"")</f>
        <v/>
      </c>
      <c r="C148" s="92" t="e">
        <f>IF(VLOOKUP($A148,Osnova!$A:$C,1)=$A148,VLOOKUP($A148,Osnova!$A:$F,4),0)</f>
        <v>#N/A</v>
      </c>
      <c r="D148" s="77"/>
      <c r="E148" s="96"/>
      <c r="F148" s="93">
        <f t="shared" si="4"/>
        <v>0</v>
      </c>
      <c r="G148" s="77"/>
      <c r="H148" s="77"/>
      <c r="I148" s="53">
        <f t="shared" si="5"/>
        <v>0</v>
      </c>
      <c r="K148" s="83"/>
    </row>
    <row r="149" spans="1:11" ht="12" customHeight="1" x14ac:dyDescent="0.25">
      <c r="A149" s="80"/>
      <c r="B149" s="53" t="str">
        <f>IFERROR(IF(VLOOKUP($A149,Osnova!$A:$E,1)=$A149,VLOOKUP($A149,Osnova!$A:$E,$E$10)),"")</f>
        <v/>
      </c>
      <c r="C149" s="92" t="e">
        <f>IF(VLOOKUP($A149,Osnova!$A:$C,1)=$A149,VLOOKUP($A149,Osnova!$A:$F,4),0)</f>
        <v>#N/A</v>
      </c>
      <c r="D149" s="77"/>
      <c r="E149" s="96"/>
      <c r="F149" s="93">
        <f t="shared" si="4"/>
        <v>0</v>
      </c>
      <c r="G149" s="77"/>
      <c r="H149" s="77"/>
      <c r="I149" s="53">
        <f t="shared" si="5"/>
        <v>0</v>
      </c>
      <c r="K149" s="83"/>
    </row>
    <row r="150" spans="1:11" ht="12" customHeight="1" x14ac:dyDescent="0.25">
      <c r="A150" s="80"/>
      <c r="B150" s="53" t="str">
        <f>IFERROR(IF(VLOOKUP($A150,Osnova!$A:$E,1)=$A150,VLOOKUP($A150,Osnova!$A:$E,$E$10)),"")</f>
        <v/>
      </c>
      <c r="C150" s="92" t="e">
        <f>IF(VLOOKUP($A150,Osnova!$A:$C,1)=$A150,VLOOKUP($A150,Osnova!$A:$F,4),0)</f>
        <v>#N/A</v>
      </c>
      <c r="D150" s="77"/>
      <c r="E150" s="96"/>
      <c r="F150" s="93">
        <f t="shared" si="4"/>
        <v>0</v>
      </c>
      <c r="G150" s="77"/>
      <c r="H150" s="77"/>
      <c r="I150" s="53">
        <f t="shared" si="5"/>
        <v>0</v>
      </c>
      <c r="K150" s="83"/>
    </row>
    <row r="151" spans="1:11" ht="12" customHeight="1" x14ac:dyDescent="0.25">
      <c r="A151" s="80"/>
      <c r="B151" s="53" t="str">
        <f>IFERROR(IF(VLOOKUP($A151,Osnova!$A:$E,1)=$A151,VLOOKUP($A151,Osnova!$A:$E,$E$10)),"")</f>
        <v/>
      </c>
      <c r="C151" s="92" t="e">
        <f>IF(VLOOKUP($A151,Osnova!$A:$C,1)=$A151,VLOOKUP($A151,Osnova!$A:$F,4),0)</f>
        <v>#N/A</v>
      </c>
      <c r="D151" s="77"/>
      <c r="E151" s="96"/>
      <c r="F151" s="93">
        <f t="shared" si="4"/>
        <v>0</v>
      </c>
      <c r="G151" s="77"/>
      <c r="H151" s="77"/>
      <c r="I151" s="53">
        <f t="shared" si="5"/>
        <v>0</v>
      </c>
      <c r="K151" s="83"/>
    </row>
    <row r="152" spans="1:11" ht="12" customHeight="1" x14ac:dyDescent="0.25">
      <c r="A152" s="80"/>
      <c r="B152" s="53" t="str">
        <f>IFERROR(IF(VLOOKUP($A152,Osnova!$A:$E,1)=$A152,VLOOKUP($A152,Osnova!$A:$E,$E$10)),"")</f>
        <v/>
      </c>
      <c r="C152" s="92" t="e">
        <f>IF(VLOOKUP($A152,Osnova!$A:$C,1)=$A152,VLOOKUP($A152,Osnova!$A:$F,4),0)</f>
        <v>#N/A</v>
      </c>
      <c r="D152" s="77"/>
      <c r="E152" s="96"/>
      <c r="F152" s="93">
        <f t="shared" si="4"/>
        <v>0</v>
      </c>
      <c r="G152" s="77"/>
      <c r="H152" s="77"/>
      <c r="I152" s="53">
        <f t="shared" si="5"/>
        <v>0</v>
      </c>
      <c r="K152" s="83"/>
    </row>
    <row r="153" spans="1:11" ht="12" customHeight="1" x14ac:dyDescent="0.25">
      <c r="A153" s="80"/>
      <c r="B153" s="53" t="str">
        <f>IFERROR(IF(VLOOKUP($A153,Osnova!$A:$E,1)=$A153,VLOOKUP($A153,Osnova!$A:$E,$E$10)),"")</f>
        <v/>
      </c>
      <c r="C153" s="92" t="e">
        <f>IF(VLOOKUP($A153,Osnova!$A:$C,1)=$A153,VLOOKUP($A153,Osnova!$A:$F,4),0)</f>
        <v>#N/A</v>
      </c>
      <c r="D153" s="77"/>
      <c r="E153" s="96"/>
      <c r="F153" s="93">
        <f t="shared" si="4"/>
        <v>0</v>
      </c>
      <c r="G153" s="77"/>
      <c r="H153" s="77"/>
      <c r="I153" s="53">
        <f t="shared" si="5"/>
        <v>0</v>
      </c>
      <c r="K153" s="83"/>
    </row>
    <row r="154" spans="1:11" ht="12" customHeight="1" x14ac:dyDescent="0.25">
      <c r="A154" s="80"/>
      <c r="B154" s="53" t="str">
        <f>IFERROR(IF(VLOOKUP($A154,Osnova!$A:$E,1)=$A154,VLOOKUP($A154,Osnova!$A:$E,$E$10)),"")</f>
        <v/>
      </c>
      <c r="C154" s="92" t="e">
        <f>IF(VLOOKUP($A154,Osnova!$A:$C,1)=$A154,VLOOKUP($A154,Osnova!$A:$F,4),0)</f>
        <v>#N/A</v>
      </c>
      <c r="D154" s="77"/>
      <c r="E154" s="96"/>
      <c r="F154" s="93">
        <f t="shared" si="4"/>
        <v>0</v>
      </c>
      <c r="G154" s="77"/>
      <c r="H154" s="77"/>
      <c r="I154" s="53">
        <f t="shared" si="5"/>
        <v>0</v>
      </c>
      <c r="K154" s="83"/>
    </row>
    <row r="155" spans="1:11" ht="12" customHeight="1" x14ac:dyDescent="0.25">
      <c r="A155" s="80"/>
      <c r="B155" s="53" t="str">
        <f>IFERROR(IF(VLOOKUP($A155,Osnova!$A:$E,1)=$A155,VLOOKUP($A155,Osnova!$A:$E,$E$10)),"")</f>
        <v/>
      </c>
      <c r="C155" s="92" t="e">
        <f>IF(VLOOKUP($A155,Osnova!$A:$C,1)=$A155,VLOOKUP($A155,Osnova!$A:$F,4),0)</f>
        <v>#N/A</v>
      </c>
      <c r="D155" s="77"/>
      <c r="E155" s="96"/>
      <c r="F155" s="93">
        <f t="shared" si="4"/>
        <v>0</v>
      </c>
      <c r="G155" s="77"/>
      <c r="H155" s="77"/>
      <c r="I155" s="53">
        <f t="shared" si="5"/>
        <v>0</v>
      </c>
      <c r="K155" s="83"/>
    </row>
    <row r="156" spans="1:11" ht="12" customHeight="1" x14ac:dyDescent="0.25">
      <c r="A156" s="80"/>
      <c r="B156" s="53" t="str">
        <f>IFERROR(IF(VLOOKUP($A156,Osnova!$A:$E,1)=$A156,VLOOKUP($A156,Osnova!$A:$E,$E$10)),"")</f>
        <v/>
      </c>
      <c r="C156" s="92" t="e">
        <f>IF(VLOOKUP($A156,Osnova!$A:$C,1)=$A156,VLOOKUP($A156,Osnova!$A:$F,4),0)</f>
        <v>#N/A</v>
      </c>
      <c r="D156" s="77"/>
      <c r="E156" s="96"/>
      <c r="F156" s="93">
        <f t="shared" si="4"/>
        <v>0</v>
      </c>
      <c r="G156" s="77"/>
      <c r="H156" s="77"/>
      <c r="I156" s="53">
        <f t="shared" si="5"/>
        <v>0</v>
      </c>
      <c r="K156" s="83"/>
    </row>
    <row r="157" spans="1:11" ht="12" customHeight="1" x14ac:dyDescent="0.25">
      <c r="A157" s="80"/>
      <c r="B157" s="53" t="str">
        <f>IFERROR(IF(VLOOKUP($A157,Osnova!$A:$E,1)=$A157,VLOOKUP($A157,Osnova!$A:$E,$E$10)),"")</f>
        <v/>
      </c>
      <c r="C157" s="92" t="e">
        <f>IF(VLOOKUP($A157,Osnova!$A:$C,1)=$A157,VLOOKUP($A157,Osnova!$A:$F,4),0)</f>
        <v>#N/A</v>
      </c>
      <c r="D157" s="77"/>
      <c r="E157" s="96"/>
      <c r="F157" s="93">
        <f t="shared" si="4"/>
        <v>0</v>
      </c>
      <c r="G157" s="77"/>
      <c r="H157" s="77"/>
      <c r="I157" s="53">
        <f t="shared" si="5"/>
        <v>0</v>
      </c>
      <c r="K157" s="83"/>
    </row>
    <row r="158" spans="1:11" ht="12" customHeight="1" x14ac:dyDescent="0.25">
      <c r="A158" s="80"/>
      <c r="B158" s="53" t="str">
        <f>IFERROR(IF(VLOOKUP($A158,Osnova!$A:$E,1)=$A158,VLOOKUP($A158,Osnova!$A:$E,$E$10)),"")</f>
        <v/>
      </c>
      <c r="C158" s="92" t="e">
        <f>IF(VLOOKUP($A158,Osnova!$A:$C,1)=$A158,VLOOKUP($A158,Osnova!$A:$F,4),0)</f>
        <v>#N/A</v>
      </c>
      <c r="D158" s="77"/>
      <c r="E158" s="96"/>
      <c r="F158" s="93">
        <f t="shared" si="4"/>
        <v>0</v>
      </c>
      <c r="G158" s="77"/>
      <c r="H158" s="77"/>
      <c r="I158" s="53">
        <f t="shared" si="5"/>
        <v>0</v>
      </c>
      <c r="K158" s="83"/>
    </row>
    <row r="159" spans="1:11" ht="12" customHeight="1" x14ac:dyDescent="0.25">
      <c r="A159" s="80"/>
      <c r="B159" s="53" t="str">
        <f>IFERROR(IF(VLOOKUP($A159,Osnova!$A:$E,1)=$A159,VLOOKUP($A159,Osnova!$A:$E,$E$10)),"")</f>
        <v/>
      </c>
      <c r="C159" s="92" t="e">
        <f>IF(VLOOKUP($A159,Osnova!$A:$C,1)=$A159,VLOOKUP($A159,Osnova!$A:$F,4),0)</f>
        <v>#N/A</v>
      </c>
      <c r="D159" s="77"/>
      <c r="E159" s="96"/>
      <c r="F159" s="93">
        <f t="shared" si="4"/>
        <v>0</v>
      </c>
      <c r="G159" s="77"/>
      <c r="H159" s="77"/>
      <c r="I159" s="53">
        <f t="shared" si="5"/>
        <v>0</v>
      </c>
      <c r="K159" s="83"/>
    </row>
    <row r="160" spans="1:11" ht="12" customHeight="1" x14ac:dyDescent="0.25">
      <c r="A160" s="80"/>
      <c r="B160" s="53" t="str">
        <f>IFERROR(IF(VLOOKUP($A160,Osnova!$A:$E,1)=$A160,VLOOKUP($A160,Osnova!$A:$E,$E$10)),"")</f>
        <v/>
      </c>
      <c r="C160" s="92" t="e">
        <f>IF(VLOOKUP($A160,Osnova!$A:$C,1)=$A160,VLOOKUP($A160,Osnova!$A:$F,4),0)</f>
        <v>#N/A</v>
      </c>
      <c r="D160" s="77"/>
      <c r="E160" s="96"/>
      <c r="F160" s="93">
        <f t="shared" si="4"/>
        <v>0</v>
      </c>
      <c r="G160" s="77"/>
      <c r="H160" s="77"/>
      <c r="I160" s="53">
        <f t="shared" si="5"/>
        <v>0</v>
      </c>
      <c r="K160" s="83"/>
    </row>
    <row r="161" spans="1:11" ht="12" customHeight="1" x14ac:dyDescent="0.25">
      <c r="A161" s="80"/>
      <c r="B161" s="53" t="str">
        <f>IFERROR(IF(VLOOKUP($A161,Osnova!$A:$E,1)=$A161,VLOOKUP($A161,Osnova!$A:$E,$E$10)),"")</f>
        <v/>
      </c>
      <c r="C161" s="92" t="e">
        <f>IF(VLOOKUP($A161,Osnova!$A:$C,1)=$A161,VLOOKUP($A161,Osnova!$A:$F,4),0)</f>
        <v>#N/A</v>
      </c>
      <c r="D161" s="77"/>
      <c r="E161" s="96"/>
      <c r="F161" s="93">
        <f t="shared" si="4"/>
        <v>0</v>
      </c>
      <c r="G161" s="77"/>
      <c r="H161" s="77"/>
      <c r="I161" s="53">
        <f t="shared" si="5"/>
        <v>0</v>
      </c>
      <c r="K161" s="83"/>
    </row>
    <row r="162" spans="1:11" ht="12" customHeight="1" x14ac:dyDescent="0.25">
      <c r="A162" s="80"/>
      <c r="B162" s="53" t="str">
        <f>IFERROR(IF(VLOOKUP($A162,Osnova!$A:$E,1)=$A162,VLOOKUP($A162,Osnova!$A:$E,$E$10)),"")</f>
        <v/>
      </c>
      <c r="C162" s="92" t="e">
        <f>IF(VLOOKUP($A162,Osnova!$A:$C,1)=$A162,VLOOKUP($A162,Osnova!$A:$F,4),0)</f>
        <v>#N/A</v>
      </c>
      <c r="D162" s="77"/>
      <c r="E162" s="96"/>
      <c r="F162" s="93">
        <f t="shared" si="4"/>
        <v>0</v>
      </c>
      <c r="G162" s="77"/>
      <c r="H162" s="77"/>
      <c r="I162" s="53">
        <f t="shared" si="5"/>
        <v>0</v>
      </c>
      <c r="K162" s="83"/>
    </row>
    <row r="163" spans="1:11" ht="12" customHeight="1" x14ac:dyDescent="0.25">
      <c r="A163" s="80"/>
      <c r="B163" s="53" t="str">
        <f>IFERROR(IF(VLOOKUP($A163,Osnova!$A:$E,1)=$A163,VLOOKUP($A163,Osnova!$A:$E,$E$10)),"")</f>
        <v/>
      </c>
      <c r="C163" s="92" t="e">
        <f>IF(VLOOKUP($A163,Osnova!$A:$C,1)=$A163,VLOOKUP($A163,Osnova!$A:$F,4),0)</f>
        <v>#N/A</v>
      </c>
      <c r="D163" s="77"/>
      <c r="E163" s="96"/>
      <c r="F163" s="93">
        <f t="shared" si="4"/>
        <v>0</v>
      </c>
      <c r="G163" s="77"/>
      <c r="H163" s="77"/>
      <c r="I163" s="53">
        <f t="shared" si="5"/>
        <v>0</v>
      </c>
      <c r="K163" s="83"/>
    </row>
    <row r="164" spans="1:11" ht="12" customHeight="1" x14ac:dyDescent="0.25">
      <c r="A164" s="80"/>
      <c r="B164" s="53" t="str">
        <f>IFERROR(IF(VLOOKUP($A164,Osnova!$A:$E,1)=$A164,VLOOKUP($A164,Osnova!$A:$E,$E$10)),"")</f>
        <v/>
      </c>
      <c r="C164" s="92" t="e">
        <f>IF(VLOOKUP($A164,Osnova!$A:$C,1)=$A164,VLOOKUP($A164,Osnova!$A:$F,4),0)</f>
        <v>#N/A</v>
      </c>
      <c r="D164" s="77"/>
      <c r="E164" s="96"/>
      <c r="F164" s="93">
        <f t="shared" si="4"/>
        <v>0</v>
      </c>
      <c r="G164" s="77"/>
      <c r="H164" s="77"/>
      <c r="I164" s="53">
        <f t="shared" si="5"/>
        <v>0</v>
      </c>
      <c r="K164" s="83"/>
    </row>
    <row r="165" spans="1:11" ht="12" customHeight="1" x14ac:dyDescent="0.25">
      <c r="A165" s="80"/>
      <c r="B165" s="53" t="str">
        <f>IFERROR(IF(VLOOKUP($A165,Osnova!$A:$E,1)=$A165,VLOOKUP($A165,Osnova!$A:$E,$E$10)),"")</f>
        <v/>
      </c>
      <c r="C165" s="92" t="e">
        <f>IF(VLOOKUP($A165,Osnova!$A:$C,1)=$A165,VLOOKUP($A165,Osnova!$A:$F,4),0)</f>
        <v>#N/A</v>
      </c>
      <c r="D165" s="77"/>
      <c r="E165" s="96"/>
      <c r="F165" s="93">
        <f t="shared" si="4"/>
        <v>0</v>
      </c>
      <c r="G165" s="77"/>
      <c r="H165" s="77"/>
      <c r="I165" s="53">
        <f t="shared" si="5"/>
        <v>0</v>
      </c>
      <c r="K165" s="83"/>
    </row>
    <row r="166" spans="1:11" ht="12" customHeight="1" x14ac:dyDescent="0.25">
      <c r="A166" s="80"/>
      <c r="B166" s="53" t="str">
        <f>IFERROR(IF(VLOOKUP($A166,Osnova!$A:$E,1)=$A166,VLOOKUP($A166,Osnova!$A:$E,$E$10)),"")</f>
        <v/>
      </c>
      <c r="C166" s="92" t="e">
        <f>IF(VLOOKUP($A166,Osnova!$A:$C,1)=$A166,VLOOKUP($A166,Osnova!$A:$F,4),0)</f>
        <v>#N/A</v>
      </c>
      <c r="D166" s="77"/>
      <c r="E166" s="96"/>
      <c r="F166" s="93">
        <f t="shared" si="4"/>
        <v>0</v>
      </c>
      <c r="G166" s="77"/>
      <c r="H166" s="77"/>
      <c r="I166" s="53">
        <f t="shared" si="5"/>
        <v>0</v>
      </c>
      <c r="K166" s="83"/>
    </row>
    <row r="167" spans="1:11" ht="12" customHeight="1" x14ac:dyDescent="0.25">
      <c r="A167" s="80"/>
      <c r="B167" s="53" t="str">
        <f>IFERROR(IF(VLOOKUP($A167,Osnova!$A:$E,1)=$A167,VLOOKUP($A167,Osnova!$A:$E,$E$10)),"")</f>
        <v/>
      </c>
      <c r="C167" s="92" t="e">
        <f>IF(VLOOKUP($A167,Osnova!$A:$C,1)=$A167,VLOOKUP($A167,Osnova!$A:$F,4),0)</f>
        <v>#N/A</v>
      </c>
      <c r="D167" s="77"/>
      <c r="E167" s="96"/>
      <c r="F167" s="93">
        <f t="shared" si="4"/>
        <v>0</v>
      </c>
      <c r="G167" s="77"/>
      <c r="H167" s="77"/>
      <c r="I167" s="53">
        <f t="shared" si="5"/>
        <v>0</v>
      </c>
      <c r="K167" s="83"/>
    </row>
    <row r="168" spans="1:11" ht="12" customHeight="1" x14ac:dyDescent="0.25">
      <c r="A168" s="80"/>
      <c r="B168" s="53" t="str">
        <f>IFERROR(IF(VLOOKUP($A168,Osnova!$A:$E,1)=$A168,VLOOKUP($A168,Osnova!$A:$E,$E$10)),"")</f>
        <v/>
      </c>
      <c r="C168" s="92" t="e">
        <f>IF(VLOOKUP($A168,Osnova!$A:$C,1)=$A168,VLOOKUP($A168,Osnova!$A:$F,4),0)</f>
        <v>#N/A</v>
      </c>
      <c r="D168" s="77"/>
      <c r="E168" s="96"/>
      <c r="F168" s="93">
        <f t="shared" si="4"/>
        <v>0</v>
      </c>
      <c r="G168" s="77"/>
      <c r="H168" s="77"/>
      <c r="I168" s="53">
        <f t="shared" si="5"/>
        <v>0</v>
      </c>
      <c r="K168" s="83"/>
    </row>
    <row r="169" spans="1:11" ht="12" customHeight="1" x14ac:dyDescent="0.25">
      <c r="A169" s="80"/>
      <c r="B169" s="53" t="str">
        <f>IFERROR(IF(VLOOKUP($A169,Osnova!$A:$E,1)=$A169,VLOOKUP($A169,Osnova!$A:$E,$E$10)),"")</f>
        <v/>
      </c>
      <c r="C169" s="92" t="e">
        <f>IF(VLOOKUP($A169,Osnova!$A:$C,1)=$A169,VLOOKUP($A169,Osnova!$A:$F,4),0)</f>
        <v>#N/A</v>
      </c>
      <c r="D169" s="77"/>
      <c r="E169" s="96"/>
      <c r="F169" s="93">
        <f t="shared" si="4"/>
        <v>0</v>
      </c>
      <c r="G169" s="77"/>
      <c r="H169" s="77"/>
      <c r="I169" s="53">
        <f t="shared" si="5"/>
        <v>0</v>
      </c>
      <c r="K169" s="83"/>
    </row>
    <row r="170" spans="1:11" ht="12" customHeight="1" x14ac:dyDescent="0.25">
      <c r="A170" s="80"/>
      <c r="B170" s="53" t="str">
        <f>IFERROR(IF(VLOOKUP($A170,Osnova!$A:$E,1)=$A170,VLOOKUP($A170,Osnova!$A:$E,$E$10)),"")</f>
        <v/>
      </c>
      <c r="C170" s="92" t="e">
        <f>IF(VLOOKUP($A170,Osnova!$A:$C,1)=$A170,VLOOKUP($A170,Osnova!$A:$F,4),0)</f>
        <v>#N/A</v>
      </c>
      <c r="D170" s="77"/>
      <c r="E170" s="96"/>
      <c r="F170" s="93">
        <f t="shared" si="4"/>
        <v>0</v>
      </c>
      <c r="G170" s="77"/>
      <c r="H170" s="77"/>
      <c r="I170" s="53">
        <f t="shared" si="5"/>
        <v>0</v>
      </c>
      <c r="K170" s="83"/>
    </row>
    <row r="171" spans="1:11" ht="12" customHeight="1" x14ac:dyDescent="0.25">
      <c r="A171" s="80"/>
      <c r="B171" s="53" t="str">
        <f>IFERROR(IF(VLOOKUP($A171,Osnova!$A:$E,1)=$A171,VLOOKUP($A171,Osnova!$A:$E,$E$10)),"")</f>
        <v/>
      </c>
      <c r="C171" s="92" t="e">
        <f>IF(VLOOKUP($A171,Osnova!$A:$C,1)=$A171,VLOOKUP($A171,Osnova!$A:$F,4),0)</f>
        <v>#N/A</v>
      </c>
      <c r="D171" s="77"/>
      <c r="E171" s="96"/>
      <c r="F171" s="93">
        <f t="shared" si="4"/>
        <v>0</v>
      </c>
      <c r="G171" s="77"/>
      <c r="H171" s="77"/>
      <c r="I171" s="53">
        <f t="shared" si="5"/>
        <v>0</v>
      </c>
      <c r="K171" s="83"/>
    </row>
    <row r="172" spans="1:11" ht="12" customHeight="1" x14ac:dyDescent="0.25">
      <c r="A172" s="80"/>
      <c r="B172" s="53" t="str">
        <f>IFERROR(IF(VLOOKUP($A172,Osnova!$A:$E,1)=$A172,VLOOKUP($A172,Osnova!$A:$E,$E$10)),"")</f>
        <v/>
      </c>
      <c r="C172" s="92" t="e">
        <f>IF(VLOOKUP($A172,Osnova!$A:$C,1)=$A172,VLOOKUP($A172,Osnova!$A:$F,4),0)</f>
        <v>#N/A</v>
      </c>
      <c r="D172" s="77"/>
      <c r="E172" s="96"/>
      <c r="F172" s="93">
        <f t="shared" si="4"/>
        <v>0</v>
      </c>
      <c r="G172" s="77"/>
      <c r="H172" s="77"/>
      <c r="I172" s="53">
        <f t="shared" si="5"/>
        <v>0</v>
      </c>
      <c r="K172" s="83"/>
    </row>
    <row r="173" spans="1:11" ht="12" customHeight="1" x14ac:dyDescent="0.25">
      <c r="A173" s="80"/>
      <c r="B173" s="53" t="str">
        <f>IFERROR(IF(VLOOKUP($A173,Osnova!$A:$E,1)=$A173,VLOOKUP($A173,Osnova!$A:$E,$E$10)),"")</f>
        <v/>
      </c>
      <c r="C173" s="92" t="e">
        <f>IF(VLOOKUP($A173,Osnova!$A:$C,1)=$A173,VLOOKUP($A173,Osnova!$A:$F,4),0)</f>
        <v>#N/A</v>
      </c>
      <c r="D173" s="77"/>
      <c r="E173" s="96"/>
      <c r="F173" s="93">
        <f t="shared" si="4"/>
        <v>0</v>
      </c>
      <c r="G173" s="77"/>
      <c r="H173" s="77"/>
      <c r="I173" s="53">
        <f t="shared" si="5"/>
        <v>0</v>
      </c>
      <c r="K173" s="83"/>
    </row>
    <row r="174" spans="1:11" ht="12" customHeight="1" x14ac:dyDescent="0.25">
      <c r="A174" s="80"/>
      <c r="B174" s="53" t="str">
        <f>IFERROR(IF(VLOOKUP($A174,Osnova!$A:$E,1)=$A174,VLOOKUP($A174,Osnova!$A:$E,$E$10)),"")</f>
        <v/>
      </c>
      <c r="C174" s="92" t="e">
        <f>IF(VLOOKUP($A174,Osnova!$A:$C,1)=$A174,VLOOKUP($A174,Osnova!$A:$F,4),0)</f>
        <v>#N/A</v>
      </c>
      <c r="D174" s="77"/>
      <c r="E174" s="96"/>
      <c r="F174" s="93">
        <f t="shared" si="4"/>
        <v>0</v>
      </c>
      <c r="G174" s="77"/>
      <c r="H174" s="77"/>
      <c r="I174" s="53">
        <f t="shared" si="5"/>
        <v>0</v>
      </c>
      <c r="K174" s="83"/>
    </row>
    <row r="175" spans="1:11" ht="12" customHeight="1" x14ac:dyDescent="0.25">
      <c r="A175" s="80"/>
      <c r="B175" s="53" t="str">
        <f>IFERROR(IF(VLOOKUP($A175,Osnova!$A:$E,1)=$A175,VLOOKUP($A175,Osnova!$A:$E,$E$10)),"")</f>
        <v/>
      </c>
      <c r="C175" s="92" t="e">
        <f>IF(VLOOKUP($A175,Osnova!$A:$C,1)=$A175,VLOOKUP($A175,Osnova!$A:$F,4),0)</f>
        <v>#N/A</v>
      </c>
      <c r="D175" s="77"/>
      <c r="E175" s="96"/>
      <c r="F175" s="93">
        <f t="shared" si="4"/>
        <v>0</v>
      </c>
      <c r="G175" s="77"/>
      <c r="H175" s="77"/>
      <c r="I175" s="53">
        <f t="shared" si="5"/>
        <v>0</v>
      </c>
      <c r="K175" s="83"/>
    </row>
    <row r="176" spans="1:11" ht="12" customHeight="1" x14ac:dyDescent="0.25">
      <c r="A176" s="80"/>
      <c r="B176" s="53" t="str">
        <f>IFERROR(IF(VLOOKUP($A176,Osnova!$A:$E,1)=$A176,VLOOKUP($A176,Osnova!$A:$E,$E$10)),"")</f>
        <v/>
      </c>
      <c r="C176" s="92" t="e">
        <f>IF(VLOOKUP($A176,Osnova!$A:$C,1)=$A176,VLOOKUP($A176,Osnova!$A:$F,4),0)</f>
        <v>#N/A</v>
      </c>
      <c r="D176" s="77"/>
      <c r="E176" s="96"/>
      <c r="F176" s="93">
        <f t="shared" si="4"/>
        <v>0</v>
      </c>
      <c r="G176" s="77"/>
      <c r="H176" s="77"/>
      <c r="I176" s="53">
        <f t="shared" si="5"/>
        <v>0</v>
      </c>
      <c r="K176" s="83"/>
    </row>
    <row r="177" spans="1:11" ht="12" customHeight="1" x14ac:dyDescent="0.25">
      <c r="A177" s="80"/>
      <c r="B177" s="53" t="str">
        <f>IFERROR(IF(VLOOKUP($A177,Osnova!$A:$E,1)=$A177,VLOOKUP($A177,Osnova!$A:$E,$E$10)),"")</f>
        <v/>
      </c>
      <c r="C177" s="92" t="e">
        <f>IF(VLOOKUP($A177,Osnova!$A:$C,1)=$A177,VLOOKUP($A177,Osnova!$A:$F,4),0)</f>
        <v>#N/A</v>
      </c>
      <c r="D177" s="77"/>
      <c r="E177" s="96"/>
      <c r="F177" s="93">
        <f t="shared" si="4"/>
        <v>0</v>
      </c>
      <c r="G177" s="77"/>
      <c r="H177" s="77"/>
      <c r="I177" s="53">
        <f t="shared" si="5"/>
        <v>0</v>
      </c>
      <c r="K177" s="83"/>
    </row>
    <row r="178" spans="1:11" ht="12" customHeight="1" x14ac:dyDescent="0.25">
      <c r="A178" s="80"/>
      <c r="B178" s="53" t="str">
        <f>IFERROR(IF(VLOOKUP($A178,Osnova!$A:$E,1)=$A178,VLOOKUP($A178,Osnova!$A:$E,$E$10)),"")</f>
        <v/>
      </c>
      <c r="C178" s="92" t="e">
        <f>IF(VLOOKUP($A178,Osnova!$A:$C,1)=$A178,VLOOKUP($A178,Osnova!$A:$F,4),0)</f>
        <v>#N/A</v>
      </c>
      <c r="D178" s="77"/>
      <c r="E178" s="82"/>
      <c r="F178" s="93">
        <f t="shared" si="4"/>
        <v>0</v>
      </c>
      <c r="G178" s="77"/>
      <c r="H178" s="77"/>
      <c r="I178" s="53">
        <f t="shared" si="5"/>
        <v>0</v>
      </c>
      <c r="K178" s="83"/>
    </row>
    <row r="179" spans="1:11" ht="12" customHeight="1" x14ac:dyDescent="0.25">
      <c r="A179" s="80"/>
      <c r="B179" s="53" t="str">
        <f>IFERROR(IF(VLOOKUP($A179,Osnova!$A:$E,1)=$A179,VLOOKUP($A179,Osnova!$A:$E,$E$10)),"")</f>
        <v/>
      </c>
      <c r="C179" s="92" t="e">
        <f>IF(VLOOKUP($A179,Osnova!$A:$C,1)=$A179,VLOOKUP($A179,Osnova!$A:$F,4),0)</f>
        <v>#N/A</v>
      </c>
      <c r="D179" s="77"/>
      <c r="E179" s="82"/>
      <c r="F179" s="93">
        <f t="shared" si="4"/>
        <v>0</v>
      </c>
      <c r="G179" s="77"/>
      <c r="H179" s="77"/>
      <c r="I179" s="53">
        <f t="shared" si="5"/>
        <v>0</v>
      </c>
      <c r="K179" s="83"/>
    </row>
    <row r="180" spans="1:11" ht="12" customHeight="1" x14ac:dyDescent="0.25">
      <c r="A180" s="80"/>
      <c r="B180" s="53" t="str">
        <f>IFERROR(IF(VLOOKUP($A180,Osnova!$A:$E,1)=$A180,VLOOKUP($A180,Osnova!$A:$E,$E$10)),"")</f>
        <v/>
      </c>
      <c r="C180" s="92" t="e">
        <f>IF(VLOOKUP($A180,Osnova!$A:$C,1)=$A180,VLOOKUP($A180,Osnova!$A:$F,4),0)</f>
        <v>#N/A</v>
      </c>
      <c r="D180" s="77"/>
      <c r="E180" s="82"/>
      <c r="F180" s="93">
        <f t="shared" si="4"/>
        <v>0</v>
      </c>
      <c r="G180" s="77"/>
      <c r="H180" s="77"/>
      <c r="I180" s="53">
        <f t="shared" si="5"/>
        <v>0</v>
      </c>
      <c r="K180" s="83"/>
    </row>
    <row r="181" spans="1:11" ht="12" customHeight="1" x14ac:dyDescent="0.25">
      <c r="A181" s="80"/>
      <c r="B181" s="53" t="str">
        <f>IFERROR(IF(VLOOKUP($A181,Osnova!$A:$E,1)=$A181,VLOOKUP($A181,Osnova!$A:$E,$E$10)),"")</f>
        <v/>
      </c>
      <c r="C181" s="92" t="e">
        <f>IF(VLOOKUP($A181,Osnova!$A:$C,1)=$A181,VLOOKUP($A181,Osnova!$A:$F,4),0)</f>
        <v>#N/A</v>
      </c>
      <c r="D181" s="77"/>
      <c r="E181" s="82"/>
      <c r="F181" s="93">
        <f t="shared" si="4"/>
        <v>0</v>
      </c>
      <c r="G181" s="77"/>
      <c r="H181" s="77"/>
      <c r="I181" s="53">
        <f t="shared" si="5"/>
        <v>0</v>
      </c>
      <c r="K181" s="83"/>
    </row>
    <row r="182" spans="1:11" ht="12" customHeight="1" x14ac:dyDescent="0.25">
      <c r="A182" s="80"/>
      <c r="B182" s="53" t="str">
        <f>IFERROR(IF(VLOOKUP($A182,Osnova!$A:$E,1)=$A182,VLOOKUP($A182,Osnova!$A:$E,$E$10)),"")</f>
        <v/>
      </c>
      <c r="C182" s="92" t="e">
        <f>IF(VLOOKUP($A182,Osnova!$A:$C,1)=$A182,VLOOKUP($A182,Osnova!$A:$F,4),0)</f>
        <v>#N/A</v>
      </c>
      <c r="D182" s="77"/>
      <c r="E182" s="82"/>
      <c r="F182" s="93">
        <f t="shared" si="4"/>
        <v>0</v>
      </c>
      <c r="G182" s="77"/>
      <c r="H182" s="77"/>
      <c r="I182" s="53">
        <f t="shared" si="5"/>
        <v>0</v>
      </c>
      <c r="K182" s="83"/>
    </row>
    <row r="183" spans="1:11" ht="12" customHeight="1" x14ac:dyDescent="0.25">
      <c r="A183" s="80"/>
      <c r="B183" s="53" t="str">
        <f>IFERROR(IF(VLOOKUP($A183,Osnova!$A:$E,1)=$A183,VLOOKUP($A183,Osnova!$A:$E,$E$10)),"")</f>
        <v/>
      </c>
      <c r="C183" s="92" t="e">
        <f>IF(VLOOKUP($A183,Osnova!$A:$C,1)=$A183,VLOOKUP($A183,Osnova!$A:$F,4),0)</f>
        <v>#N/A</v>
      </c>
      <c r="D183" s="77"/>
      <c r="E183" s="82"/>
      <c r="F183" s="93">
        <f t="shared" si="4"/>
        <v>0</v>
      </c>
      <c r="G183" s="77"/>
      <c r="H183" s="77"/>
      <c r="I183" s="53">
        <f t="shared" si="5"/>
        <v>0</v>
      </c>
      <c r="K183" s="83"/>
    </row>
    <row r="184" spans="1:11" ht="12" customHeight="1" x14ac:dyDescent="0.25">
      <c r="A184" s="80"/>
      <c r="B184" s="53" t="str">
        <f>IFERROR(IF(VLOOKUP($A184,Osnova!$A:$E,1)=$A184,VLOOKUP($A184,Osnova!$A:$E,$E$10)),"")</f>
        <v/>
      </c>
      <c r="C184" s="92" t="e">
        <f>IF(VLOOKUP($A184,Osnova!$A:$C,1)=$A184,VLOOKUP($A184,Osnova!$A:$F,4),0)</f>
        <v>#N/A</v>
      </c>
      <c r="D184" s="77"/>
      <c r="E184" s="82"/>
      <c r="F184" s="93">
        <f t="shared" si="4"/>
        <v>0</v>
      </c>
      <c r="G184" s="77"/>
      <c r="H184" s="77"/>
      <c r="I184" s="53">
        <f t="shared" si="5"/>
        <v>0</v>
      </c>
      <c r="K184" s="83"/>
    </row>
    <row r="185" spans="1:11" ht="12" customHeight="1" x14ac:dyDescent="0.25">
      <c r="A185" s="80"/>
      <c r="B185" s="53" t="str">
        <f>IFERROR(IF(VLOOKUP($A185,Osnova!$A:$E,1)=$A185,VLOOKUP($A185,Osnova!$A:$E,$E$10)),"")</f>
        <v/>
      </c>
      <c r="C185" s="92" t="e">
        <f>IF(VLOOKUP($A185,Osnova!$A:$C,1)=$A185,VLOOKUP($A185,Osnova!$A:$F,4),0)</f>
        <v>#N/A</v>
      </c>
      <c r="D185" s="77"/>
      <c r="E185" s="82"/>
      <c r="F185" s="93">
        <f t="shared" si="4"/>
        <v>0</v>
      </c>
      <c r="G185" s="77"/>
      <c r="H185" s="77"/>
      <c r="I185" s="53">
        <f t="shared" si="5"/>
        <v>0</v>
      </c>
      <c r="K185" s="83"/>
    </row>
    <row r="186" spans="1:11" ht="12" customHeight="1" x14ac:dyDescent="0.25">
      <c r="A186" s="80"/>
      <c r="B186" s="53" t="str">
        <f>IFERROR(IF(VLOOKUP($A186,Osnova!$A:$E,1)=$A186,VLOOKUP($A186,Osnova!$A:$E,$E$10)),"")</f>
        <v/>
      </c>
      <c r="C186" s="92" t="e">
        <f>IF(VLOOKUP($A186,Osnova!$A:$C,1)=$A186,VLOOKUP($A186,Osnova!$A:$F,4),0)</f>
        <v>#N/A</v>
      </c>
      <c r="D186" s="77"/>
      <c r="E186" s="82"/>
      <c r="F186" s="93">
        <f t="shared" si="4"/>
        <v>0</v>
      </c>
      <c r="G186" s="77"/>
      <c r="H186" s="77"/>
      <c r="I186" s="53">
        <f t="shared" si="5"/>
        <v>0</v>
      </c>
      <c r="K186" s="83"/>
    </row>
    <row r="187" spans="1:11" ht="12" customHeight="1" x14ac:dyDescent="0.25">
      <c r="A187" s="80"/>
      <c r="B187" s="53" t="str">
        <f>IFERROR(IF(VLOOKUP($A187,Osnova!$A:$E,1)=$A187,VLOOKUP($A187,Osnova!$A:$E,$E$10)),"")</f>
        <v/>
      </c>
      <c r="C187" s="92" t="e">
        <f>IF(VLOOKUP($A187,Osnova!$A:$C,1)=$A187,VLOOKUP($A187,Osnova!$A:$F,4),0)</f>
        <v>#N/A</v>
      </c>
      <c r="D187" s="77"/>
      <c r="E187" s="82"/>
      <c r="F187" s="93">
        <f t="shared" si="4"/>
        <v>0</v>
      </c>
      <c r="G187" s="77"/>
      <c r="H187" s="77"/>
      <c r="I187" s="53">
        <f t="shared" si="5"/>
        <v>0</v>
      </c>
      <c r="K187" s="83"/>
    </row>
    <row r="188" spans="1:11" ht="12" customHeight="1" x14ac:dyDescent="0.25">
      <c r="A188" s="80"/>
      <c r="B188" s="53" t="str">
        <f>IFERROR(IF(VLOOKUP($A188,Osnova!$A:$E,1)=$A188,VLOOKUP($A188,Osnova!$A:$E,$E$10)),"")</f>
        <v/>
      </c>
      <c r="C188" s="92" t="e">
        <f>IF(VLOOKUP($A188,Osnova!$A:$C,1)=$A188,VLOOKUP($A188,Osnova!$A:$F,4),0)</f>
        <v>#N/A</v>
      </c>
      <c r="D188" s="77"/>
      <c r="E188" s="82"/>
      <c r="F188" s="93">
        <f t="shared" si="4"/>
        <v>0</v>
      </c>
      <c r="G188" s="77"/>
      <c r="H188" s="77"/>
      <c r="I188" s="53">
        <f t="shared" si="5"/>
        <v>0</v>
      </c>
      <c r="K188" s="83"/>
    </row>
    <row r="189" spans="1:11" ht="12" customHeight="1" x14ac:dyDescent="0.25">
      <c r="A189" s="80"/>
      <c r="B189" s="53" t="str">
        <f>IFERROR(IF(VLOOKUP($A189,Osnova!$A:$E,1)=$A189,VLOOKUP($A189,Osnova!$A:$E,$E$10)),"")</f>
        <v/>
      </c>
      <c r="C189" s="92" t="e">
        <f>IF(VLOOKUP($A189,Osnova!$A:$C,1)=$A189,VLOOKUP($A189,Osnova!$A:$F,4),0)</f>
        <v>#N/A</v>
      </c>
      <c r="D189" s="77"/>
      <c r="E189" s="82"/>
      <c r="F189" s="93">
        <f t="shared" si="4"/>
        <v>0</v>
      </c>
      <c r="G189" s="77"/>
      <c r="H189" s="77"/>
      <c r="I189" s="53">
        <f t="shared" si="5"/>
        <v>0</v>
      </c>
      <c r="K189" s="83"/>
    </row>
    <row r="190" spans="1:11" ht="12" customHeight="1" x14ac:dyDescent="0.25">
      <c r="A190" s="80"/>
      <c r="B190" s="53" t="str">
        <f>IFERROR(IF(VLOOKUP($A190,Osnova!$A:$E,1)=$A190,VLOOKUP($A190,Osnova!$A:$E,$E$10)),"")</f>
        <v/>
      </c>
      <c r="C190" s="92" t="e">
        <f>IF(VLOOKUP($A190,Osnova!$A:$C,1)=$A190,VLOOKUP($A190,Osnova!$A:$F,4),0)</f>
        <v>#N/A</v>
      </c>
      <c r="D190" s="77"/>
      <c r="E190" s="82"/>
      <c r="F190" s="93">
        <f t="shared" si="4"/>
        <v>0</v>
      </c>
      <c r="G190" s="77"/>
      <c r="H190" s="77"/>
      <c r="I190" s="53">
        <f t="shared" si="5"/>
        <v>0</v>
      </c>
      <c r="K190" s="83"/>
    </row>
    <row r="191" spans="1:11" ht="12" customHeight="1" x14ac:dyDescent="0.25">
      <c r="A191" s="80"/>
      <c r="B191" s="53" t="str">
        <f>IFERROR(IF(VLOOKUP($A191,Osnova!$A:$E,1)=$A191,VLOOKUP($A191,Osnova!$A:$E,$E$10)),"")</f>
        <v/>
      </c>
      <c r="C191" s="92" t="e">
        <f>IF(VLOOKUP($A191,Osnova!$A:$C,1)=$A191,VLOOKUP($A191,Osnova!$A:$F,4),0)</f>
        <v>#N/A</v>
      </c>
      <c r="D191" s="77"/>
      <c r="E191" s="82"/>
      <c r="F191" s="93">
        <f t="shared" si="4"/>
        <v>0</v>
      </c>
      <c r="G191" s="77"/>
      <c r="H191" s="77"/>
      <c r="I191" s="53">
        <f t="shared" si="5"/>
        <v>0</v>
      </c>
      <c r="K191" s="83"/>
    </row>
    <row r="192" spans="1:11" ht="12" customHeight="1" x14ac:dyDescent="0.25">
      <c r="A192" s="80"/>
      <c r="B192" s="53" t="str">
        <f>IFERROR(IF(VLOOKUP($A192,Osnova!$A:$E,1)=$A192,VLOOKUP($A192,Osnova!$A:$E,$E$10)),"")</f>
        <v/>
      </c>
      <c r="C192" s="92" t="e">
        <f>IF(VLOOKUP($A192,Osnova!$A:$C,1)=$A192,VLOOKUP($A192,Osnova!$A:$F,4),0)</f>
        <v>#N/A</v>
      </c>
      <c r="D192" s="77"/>
      <c r="E192" s="82"/>
      <c r="F192" s="93">
        <f t="shared" si="4"/>
        <v>0</v>
      </c>
      <c r="G192" s="77"/>
      <c r="H192" s="77"/>
      <c r="I192" s="53">
        <f t="shared" si="5"/>
        <v>0</v>
      </c>
      <c r="K192" s="83"/>
    </row>
    <row r="193" spans="1:11" ht="12" customHeight="1" x14ac:dyDescent="0.25">
      <c r="A193" s="80"/>
      <c r="B193" s="53" t="str">
        <f>IFERROR(IF(VLOOKUP($A193,Osnova!$A:$E,1)=$A193,VLOOKUP($A193,Osnova!$A:$E,$E$10)),"")</f>
        <v/>
      </c>
      <c r="C193" s="92" t="e">
        <f>IF(VLOOKUP($A193,Osnova!$A:$C,1)=$A193,VLOOKUP($A193,Osnova!$A:$F,4),0)</f>
        <v>#N/A</v>
      </c>
      <c r="D193" s="77"/>
      <c r="E193" s="82"/>
      <c r="F193" s="93">
        <f t="shared" si="4"/>
        <v>0</v>
      </c>
      <c r="G193" s="77"/>
      <c r="H193" s="77"/>
      <c r="I193" s="53">
        <f t="shared" si="5"/>
        <v>0</v>
      </c>
      <c r="K193" s="83"/>
    </row>
    <row r="194" spans="1:11" ht="12" customHeight="1" x14ac:dyDescent="0.25">
      <c r="A194" s="80"/>
      <c r="B194" s="53" t="str">
        <f>IFERROR(IF(VLOOKUP($A194,Osnova!$A:$E,1)=$A194,VLOOKUP($A194,Osnova!$A:$E,$E$10)),"")</f>
        <v/>
      </c>
      <c r="C194" s="92" t="e">
        <f>IF(VLOOKUP($A194,Osnova!$A:$C,1)=$A194,VLOOKUP($A194,Osnova!$A:$F,4),0)</f>
        <v>#N/A</v>
      </c>
      <c r="D194" s="77"/>
      <c r="E194" s="82"/>
      <c r="F194" s="93">
        <f t="shared" si="4"/>
        <v>0</v>
      </c>
      <c r="G194" s="77"/>
      <c r="H194" s="77"/>
      <c r="I194" s="53">
        <f t="shared" si="5"/>
        <v>0</v>
      </c>
      <c r="K194" s="83"/>
    </row>
    <row r="195" spans="1:11" ht="12" customHeight="1" x14ac:dyDescent="0.25">
      <c r="A195" s="80"/>
      <c r="B195" s="53" t="str">
        <f>IFERROR(IF(VLOOKUP($A195,Osnova!$A:$E,1)=$A195,VLOOKUP($A195,Osnova!$A:$E,$E$10)),"")</f>
        <v/>
      </c>
      <c r="C195" s="92" t="e">
        <f>IF(VLOOKUP($A195,Osnova!$A:$C,1)=$A195,VLOOKUP($A195,Osnova!$A:$F,4),0)</f>
        <v>#N/A</v>
      </c>
      <c r="D195" s="77"/>
      <c r="E195" s="82"/>
      <c r="F195" s="93">
        <f t="shared" si="4"/>
        <v>0</v>
      </c>
      <c r="G195" s="77"/>
      <c r="H195" s="77"/>
      <c r="I195" s="53">
        <f t="shared" si="5"/>
        <v>0</v>
      </c>
      <c r="K195" s="83"/>
    </row>
    <row r="196" spans="1:11" ht="12" customHeight="1" x14ac:dyDescent="0.25">
      <c r="A196" s="80"/>
      <c r="B196" s="53" t="str">
        <f>IFERROR(IF(VLOOKUP($A196,Osnova!$A:$E,1)=$A196,VLOOKUP($A196,Osnova!$A:$E,$E$10)),"")</f>
        <v/>
      </c>
      <c r="C196" s="92" t="e">
        <f>IF(VLOOKUP($A196,Osnova!$A:$C,1)=$A196,VLOOKUP($A196,Osnova!$A:$F,4),0)</f>
        <v>#N/A</v>
      </c>
      <c r="D196" s="77"/>
      <c r="E196" s="82"/>
      <c r="F196" s="93">
        <f t="shared" si="4"/>
        <v>0</v>
      </c>
      <c r="G196" s="77"/>
      <c r="H196" s="77"/>
      <c r="I196" s="53">
        <f t="shared" si="5"/>
        <v>0</v>
      </c>
      <c r="K196" s="83"/>
    </row>
    <row r="197" spans="1:11" ht="12" customHeight="1" x14ac:dyDescent="0.25">
      <c r="A197" s="80"/>
      <c r="B197" s="53" t="str">
        <f>IFERROR(IF(VLOOKUP($A197,Osnova!$A:$E,1)=$A197,VLOOKUP($A197,Osnova!$A:$E,$E$10)),"")</f>
        <v/>
      </c>
      <c r="C197" s="92" t="e">
        <f>IF(VLOOKUP($A197,Osnova!$A:$C,1)=$A197,VLOOKUP($A197,Osnova!$A:$F,4),0)</f>
        <v>#N/A</v>
      </c>
      <c r="D197" s="77"/>
      <c r="E197" s="82"/>
      <c r="F197" s="93">
        <f t="shared" si="4"/>
        <v>0</v>
      </c>
      <c r="G197" s="77"/>
      <c r="H197" s="77"/>
      <c r="I197" s="53">
        <f t="shared" si="5"/>
        <v>0</v>
      </c>
      <c r="K197" s="83"/>
    </row>
    <row r="198" spans="1:11" ht="12" customHeight="1" x14ac:dyDescent="0.25">
      <c r="A198" s="80"/>
      <c r="B198" s="53" t="str">
        <f>IFERROR(IF(VLOOKUP($A198,Osnova!$A:$E,1)=$A198,VLOOKUP($A198,Osnova!$A:$E,$E$10)),"")</f>
        <v/>
      </c>
      <c r="C198" s="98" t="e">
        <f>IF(VLOOKUP($A198,Osnova!$A:$C,1)=$A198,VLOOKUP($A198,Osnova!$A:$F,4),0)</f>
        <v>#N/A</v>
      </c>
      <c r="D198" s="77"/>
      <c r="E198" s="82"/>
      <c r="F198" s="93">
        <f t="shared" si="4"/>
        <v>0</v>
      </c>
      <c r="G198" s="77"/>
      <c r="H198" s="77"/>
      <c r="I198" s="53">
        <f t="shared" si="5"/>
        <v>0</v>
      </c>
      <c r="K198" s="83"/>
    </row>
    <row r="199" spans="1:11" ht="12" customHeight="1" x14ac:dyDescent="0.25">
      <c r="A199" s="80"/>
      <c r="B199" s="53" t="str">
        <f>IFERROR(IF(VLOOKUP($A199,Osnova!$A:$E,1)=$A199,VLOOKUP($A199,Osnova!$A:$E,$E$10)),"")</f>
        <v/>
      </c>
      <c r="C199" s="98" t="e">
        <f>IF(VLOOKUP($A199,Osnova!$A:$C,1)=$A199,VLOOKUP($A199,Osnova!$A:$F,4),0)</f>
        <v>#N/A</v>
      </c>
      <c r="D199" s="77"/>
      <c r="E199" s="82"/>
      <c r="F199" s="93">
        <f t="shared" si="4"/>
        <v>0</v>
      </c>
      <c r="G199" s="77"/>
      <c r="H199" s="77"/>
      <c r="I199" s="53">
        <f t="shared" si="5"/>
        <v>0</v>
      </c>
      <c r="K199" s="83"/>
    </row>
    <row r="200" spans="1:11" ht="12" customHeight="1" x14ac:dyDescent="0.25">
      <c r="A200" s="80"/>
      <c r="B200" s="53" t="str">
        <f>IFERROR(IF(VLOOKUP($A200,Osnova!$A:$E,1)=$A200,VLOOKUP($A200,Osnova!$A:$E,$E$10)),"")</f>
        <v/>
      </c>
      <c r="C200" s="98" t="e">
        <f>IF(VLOOKUP($A200,Osnova!$A:$C,1)=$A200,VLOOKUP($A200,Osnova!$A:$F,4),0)</f>
        <v>#N/A</v>
      </c>
      <c r="D200" s="77"/>
      <c r="E200" s="82"/>
      <c r="F200" s="93">
        <f t="shared" si="4"/>
        <v>0</v>
      </c>
      <c r="G200" s="77"/>
      <c r="H200" s="77"/>
      <c r="I200" s="53">
        <f t="shared" si="5"/>
        <v>0</v>
      </c>
      <c r="K200" s="83"/>
    </row>
    <row r="201" spans="1:11" ht="12" customHeight="1" x14ac:dyDescent="0.25">
      <c r="A201" s="80"/>
      <c r="B201" s="53" t="str">
        <f>IFERROR(IF(VLOOKUP($A201,Osnova!$A:$E,1)=$A201,VLOOKUP($A201,Osnova!$A:$E,$E$10)),"")</f>
        <v/>
      </c>
      <c r="C201" s="98" t="e">
        <f>IF(VLOOKUP($A201,Osnova!$A:$C,1)=$A201,VLOOKUP($A201,Osnova!$A:$F,4),0)</f>
        <v>#N/A</v>
      </c>
      <c r="D201" s="77"/>
      <c r="E201" s="82"/>
      <c r="F201" s="93">
        <f t="shared" si="4"/>
        <v>0</v>
      </c>
      <c r="G201" s="77"/>
      <c r="H201" s="77"/>
      <c r="I201" s="53">
        <f t="shared" si="5"/>
        <v>0</v>
      </c>
      <c r="K201" s="83"/>
    </row>
    <row r="202" spans="1:11" ht="12" customHeight="1" x14ac:dyDescent="0.25">
      <c r="A202" s="80"/>
      <c r="B202" s="53" t="str">
        <f>IFERROR(IF(VLOOKUP($A202,Osnova!$A:$E,1)=$A202,VLOOKUP($A202,Osnova!$A:$E,$E$10)),"")</f>
        <v/>
      </c>
      <c r="C202" s="98" t="e">
        <f>IF(VLOOKUP($A202,Osnova!$A:$C,1)=$A202,VLOOKUP($A202,Osnova!$A:$F,4),0)</f>
        <v>#N/A</v>
      </c>
      <c r="D202" s="77"/>
      <c r="E202" s="82"/>
      <c r="F202" s="93">
        <f t="shared" si="4"/>
        <v>0</v>
      </c>
      <c r="G202" s="77"/>
      <c r="H202" s="77"/>
      <c r="I202" s="53">
        <f t="shared" si="5"/>
        <v>0</v>
      </c>
      <c r="K202" s="83"/>
    </row>
    <row r="203" spans="1:11" ht="12" customHeight="1" x14ac:dyDescent="0.25">
      <c r="A203" s="80"/>
      <c r="B203" s="53" t="str">
        <f>IFERROR(IF(VLOOKUP($A203,Osnova!$A:$E,1)=$A203,VLOOKUP($A203,Osnova!$A:$E,$E$10)),"")</f>
        <v/>
      </c>
      <c r="C203" s="98" t="e">
        <f>IF(VLOOKUP($A203,Osnova!$A:$C,1)=$A203,VLOOKUP($A203,Osnova!$A:$F,4),0)</f>
        <v>#N/A</v>
      </c>
      <c r="D203" s="77"/>
      <c r="E203" s="82"/>
      <c r="F203" s="93">
        <f t="shared" si="4"/>
        <v>0</v>
      </c>
      <c r="G203" s="77"/>
      <c r="H203" s="77"/>
      <c r="I203" s="53">
        <f t="shared" si="5"/>
        <v>0</v>
      </c>
      <c r="K203" s="83"/>
    </row>
    <row r="204" spans="1:11" ht="12" customHeight="1" x14ac:dyDescent="0.25">
      <c r="A204" s="80"/>
      <c r="B204" s="53" t="str">
        <f>IFERROR(IF(VLOOKUP($A204,Osnova!$A:$E,1)=$A204,VLOOKUP($A204,Osnova!$A:$E,$E$10)),"")</f>
        <v/>
      </c>
      <c r="C204" s="98" t="e">
        <f>IF(VLOOKUP($A204,Osnova!$A:$C,1)=$A204,VLOOKUP($A204,Osnova!$A:$F,4),0)</f>
        <v>#N/A</v>
      </c>
      <c r="D204" s="77"/>
      <c r="E204" s="82"/>
      <c r="F204" s="93">
        <f t="shared" si="4"/>
        <v>0</v>
      </c>
      <c r="G204" s="77"/>
      <c r="H204" s="77"/>
      <c r="I204" s="53">
        <f t="shared" si="5"/>
        <v>0</v>
      </c>
      <c r="K204" s="83"/>
    </row>
    <row r="205" spans="1:11" ht="12" customHeight="1" x14ac:dyDescent="0.25">
      <c r="A205" s="80"/>
      <c r="B205" s="53" t="str">
        <f>IFERROR(IF(VLOOKUP($A205,Osnova!$A:$E,1)=$A205,VLOOKUP($A205,Osnova!$A:$E,$E$10)),"")</f>
        <v/>
      </c>
      <c r="C205" s="98" t="e">
        <f>IF(VLOOKUP($A205,Osnova!$A:$C,1)=$A205,VLOOKUP($A205,Osnova!$A:$F,4),0)</f>
        <v>#N/A</v>
      </c>
      <c r="D205" s="77"/>
      <c r="E205" s="82"/>
      <c r="F205" s="93">
        <f t="shared" ref="F205:F268" si="6">SUM(D205-E205)</f>
        <v>0</v>
      </c>
      <c r="G205" s="77"/>
      <c r="H205" s="77"/>
      <c r="I205" s="53">
        <f t="shared" ref="I205:I268" si="7">SUM(F205+G205-H205)</f>
        <v>0</v>
      </c>
      <c r="K205" s="83"/>
    </row>
    <row r="206" spans="1:11" ht="12" customHeight="1" x14ac:dyDescent="0.25">
      <c r="A206" s="80"/>
      <c r="B206" s="53" t="str">
        <f>IFERROR(IF(VLOOKUP($A206,Osnova!$A:$E,1)=$A206,VLOOKUP($A206,Osnova!$A:$E,$E$10)),"")</f>
        <v/>
      </c>
      <c r="C206" s="98" t="e">
        <f>IF(VLOOKUP($A206,Osnova!$A:$C,1)=$A206,VLOOKUP($A206,Osnova!$A:$F,4),0)</f>
        <v>#N/A</v>
      </c>
      <c r="D206" s="77"/>
      <c r="E206" s="82"/>
      <c r="F206" s="93">
        <f t="shared" si="6"/>
        <v>0</v>
      </c>
      <c r="G206" s="77"/>
      <c r="H206" s="77"/>
      <c r="I206" s="53">
        <f t="shared" si="7"/>
        <v>0</v>
      </c>
      <c r="K206" s="83"/>
    </row>
    <row r="207" spans="1:11" ht="12" customHeight="1" x14ac:dyDescent="0.25">
      <c r="A207" s="80"/>
      <c r="B207" s="53" t="str">
        <f>IFERROR(IF(VLOOKUP($A207,Osnova!$A:$E,1)=$A207,VLOOKUP($A207,Osnova!$A:$E,$E$10)),"")</f>
        <v/>
      </c>
      <c r="C207" s="98" t="e">
        <f>IF(VLOOKUP($A207,Osnova!$A:$C,1)=$A207,VLOOKUP($A207,Osnova!$A:$F,4),0)</f>
        <v>#N/A</v>
      </c>
      <c r="D207" s="77"/>
      <c r="E207" s="82"/>
      <c r="F207" s="93">
        <f t="shared" si="6"/>
        <v>0</v>
      </c>
      <c r="G207" s="77"/>
      <c r="H207" s="77"/>
      <c r="I207" s="53">
        <f t="shared" si="7"/>
        <v>0</v>
      </c>
      <c r="K207" s="83"/>
    </row>
    <row r="208" spans="1:11" ht="12" customHeight="1" x14ac:dyDescent="0.25">
      <c r="A208" s="80"/>
      <c r="B208" s="53" t="str">
        <f>IFERROR(IF(VLOOKUP($A208,Osnova!$A:$E,1)=$A208,VLOOKUP($A208,Osnova!$A:$E,$E$10)),"")</f>
        <v/>
      </c>
      <c r="C208" s="98" t="e">
        <f>IF(VLOOKUP($A208,Osnova!$A:$C,1)=$A208,VLOOKUP($A208,Osnova!$A:$F,4),0)</f>
        <v>#N/A</v>
      </c>
      <c r="D208" s="77"/>
      <c r="E208" s="82"/>
      <c r="F208" s="93">
        <f t="shared" si="6"/>
        <v>0</v>
      </c>
      <c r="G208" s="77"/>
      <c r="H208" s="77"/>
      <c r="I208" s="53">
        <f t="shared" si="7"/>
        <v>0</v>
      </c>
      <c r="K208" s="83"/>
    </row>
    <row r="209" spans="1:11" ht="12" customHeight="1" x14ac:dyDescent="0.25">
      <c r="A209" s="80"/>
      <c r="B209" s="53" t="str">
        <f>IFERROR(IF(VLOOKUP($A209,Osnova!$A:$E,1)=$A209,VLOOKUP($A209,Osnova!$A:$E,$E$10)),"")</f>
        <v/>
      </c>
      <c r="C209" s="98" t="e">
        <f>IF(VLOOKUP($A209,Osnova!$A:$C,1)=$A209,VLOOKUP($A209,Osnova!$A:$F,4),0)</f>
        <v>#N/A</v>
      </c>
      <c r="D209" s="77"/>
      <c r="E209" s="82"/>
      <c r="F209" s="93">
        <f t="shared" si="6"/>
        <v>0</v>
      </c>
      <c r="G209" s="77"/>
      <c r="H209" s="77"/>
      <c r="I209" s="53">
        <f t="shared" si="7"/>
        <v>0</v>
      </c>
      <c r="K209" s="83"/>
    </row>
    <row r="210" spans="1:11" ht="12" customHeight="1" x14ac:dyDescent="0.25">
      <c r="A210" s="80"/>
      <c r="B210" s="53" t="str">
        <f>IFERROR(IF(VLOOKUP($A210,Osnova!$A:$E,1)=$A210,VLOOKUP($A210,Osnova!$A:$E,$E$10)),"")</f>
        <v/>
      </c>
      <c r="C210" s="98" t="e">
        <f>IF(VLOOKUP($A210,Osnova!$A:$C,1)=$A210,VLOOKUP($A210,Osnova!$A:$F,4),0)</f>
        <v>#N/A</v>
      </c>
      <c r="D210" s="77"/>
      <c r="E210" s="82"/>
      <c r="F210" s="93">
        <f t="shared" si="6"/>
        <v>0</v>
      </c>
      <c r="G210" s="77"/>
      <c r="H210" s="77"/>
      <c r="I210" s="53">
        <f t="shared" si="7"/>
        <v>0</v>
      </c>
      <c r="K210" s="83"/>
    </row>
    <row r="211" spans="1:11" ht="12" customHeight="1" x14ac:dyDescent="0.25">
      <c r="A211" s="80"/>
      <c r="B211" s="53" t="str">
        <f>IFERROR(IF(VLOOKUP($A211,Osnova!$A:$E,1)=$A211,VLOOKUP($A211,Osnova!$A:$E,$E$10)),"")</f>
        <v/>
      </c>
      <c r="C211" s="98" t="e">
        <f>IF(VLOOKUP($A211,Osnova!$A:$C,1)=$A211,VLOOKUP($A211,Osnova!$A:$F,4),0)</f>
        <v>#N/A</v>
      </c>
      <c r="D211" s="77"/>
      <c r="E211" s="82"/>
      <c r="F211" s="93">
        <f t="shared" si="6"/>
        <v>0</v>
      </c>
      <c r="G211" s="77"/>
      <c r="H211" s="77"/>
      <c r="I211" s="53">
        <f t="shared" si="7"/>
        <v>0</v>
      </c>
      <c r="K211" s="83"/>
    </row>
    <row r="212" spans="1:11" ht="12" customHeight="1" x14ac:dyDescent="0.25">
      <c r="A212" s="80"/>
      <c r="B212" s="53" t="str">
        <f>IFERROR(IF(VLOOKUP($A212,Osnova!$A:$E,1)=$A212,VLOOKUP($A212,Osnova!$A:$E,$E$10)),"")</f>
        <v/>
      </c>
      <c r="C212" s="98" t="e">
        <f>IF(VLOOKUP($A212,Osnova!$A:$C,1)=$A212,VLOOKUP($A212,Osnova!$A:$F,4),0)</f>
        <v>#N/A</v>
      </c>
      <c r="D212" s="77"/>
      <c r="E212" s="82"/>
      <c r="F212" s="93">
        <f t="shared" si="6"/>
        <v>0</v>
      </c>
      <c r="G212" s="77"/>
      <c r="H212" s="77"/>
      <c r="I212" s="53">
        <f t="shared" si="7"/>
        <v>0</v>
      </c>
      <c r="K212" s="83"/>
    </row>
    <row r="213" spans="1:11" ht="12" customHeight="1" x14ac:dyDescent="0.25">
      <c r="A213" s="80"/>
      <c r="B213" s="53" t="str">
        <f>IFERROR(IF(VLOOKUP($A213,Osnova!$A:$E,1)=$A213,VLOOKUP($A213,Osnova!$A:$E,$E$10)),"")</f>
        <v/>
      </c>
      <c r="C213" s="98" t="e">
        <f>IF(VLOOKUP($A213,Osnova!$A:$C,1)=$A213,VLOOKUP($A213,Osnova!$A:$F,4),0)</f>
        <v>#N/A</v>
      </c>
      <c r="D213" s="77"/>
      <c r="E213" s="82"/>
      <c r="F213" s="93">
        <f t="shared" si="6"/>
        <v>0</v>
      </c>
      <c r="G213" s="77"/>
      <c r="H213" s="77"/>
      <c r="I213" s="53">
        <f t="shared" si="7"/>
        <v>0</v>
      </c>
      <c r="K213" s="83"/>
    </row>
    <row r="214" spans="1:11" ht="12" customHeight="1" x14ac:dyDescent="0.25">
      <c r="A214" s="80"/>
      <c r="B214" s="53" t="str">
        <f>IFERROR(IF(VLOOKUP($A214,Osnova!$A:$E,1)=$A214,VLOOKUP($A214,Osnova!$A:$E,$E$10)),"")</f>
        <v/>
      </c>
      <c r="C214" s="98" t="e">
        <f>IF(VLOOKUP($A214,Osnova!$A:$C,1)=$A214,VLOOKUP($A214,Osnova!$A:$F,4),0)</f>
        <v>#N/A</v>
      </c>
      <c r="D214" s="77"/>
      <c r="E214" s="82"/>
      <c r="F214" s="93">
        <f t="shared" si="6"/>
        <v>0</v>
      </c>
      <c r="G214" s="77"/>
      <c r="H214" s="77"/>
      <c r="I214" s="53">
        <f t="shared" si="7"/>
        <v>0</v>
      </c>
      <c r="K214" s="83"/>
    </row>
    <row r="215" spans="1:11" ht="12" customHeight="1" x14ac:dyDescent="0.25">
      <c r="A215" s="80"/>
      <c r="B215" s="53" t="str">
        <f>IFERROR(IF(VLOOKUP($A215,Osnova!$A:$E,1)=$A215,VLOOKUP($A215,Osnova!$A:$E,$E$10)),"")</f>
        <v/>
      </c>
      <c r="C215" s="98" t="e">
        <f>IF(VLOOKUP($A215,Osnova!$A:$C,1)=$A215,VLOOKUP($A215,Osnova!$A:$F,4),0)</f>
        <v>#N/A</v>
      </c>
      <c r="D215" s="77"/>
      <c r="E215" s="82"/>
      <c r="F215" s="93">
        <f t="shared" si="6"/>
        <v>0</v>
      </c>
      <c r="G215" s="77"/>
      <c r="H215" s="77"/>
      <c r="I215" s="53">
        <f t="shared" si="7"/>
        <v>0</v>
      </c>
      <c r="K215" s="83"/>
    </row>
    <row r="216" spans="1:11" ht="12" customHeight="1" x14ac:dyDescent="0.25">
      <c r="A216" s="80"/>
      <c r="B216" s="53" t="str">
        <f>IFERROR(IF(VLOOKUP($A216,Osnova!$A:$E,1)=$A216,VLOOKUP($A216,Osnova!$A:$E,$E$10)),"")</f>
        <v/>
      </c>
      <c r="C216" s="98" t="e">
        <f>IF(VLOOKUP($A216,Osnova!$A:$C,1)=$A216,VLOOKUP($A216,Osnova!$A:$F,4),0)</f>
        <v>#N/A</v>
      </c>
      <c r="D216" s="77"/>
      <c r="E216" s="82"/>
      <c r="F216" s="93">
        <f t="shared" si="6"/>
        <v>0</v>
      </c>
      <c r="G216" s="77"/>
      <c r="H216" s="77"/>
      <c r="I216" s="53">
        <f t="shared" si="7"/>
        <v>0</v>
      </c>
      <c r="K216" s="83"/>
    </row>
    <row r="217" spans="1:11" ht="12" customHeight="1" x14ac:dyDescent="0.25">
      <c r="A217" s="80"/>
      <c r="B217" s="53" t="str">
        <f>IFERROR(IF(VLOOKUP($A217,Osnova!$A:$E,1)=$A217,VLOOKUP($A217,Osnova!$A:$E,$E$10)),"")</f>
        <v/>
      </c>
      <c r="C217" s="98" t="e">
        <f>IF(VLOOKUP($A217,Osnova!$A:$C,1)=$A217,VLOOKUP($A217,Osnova!$A:$F,4),0)</f>
        <v>#N/A</v>
      </c>
      <c r="D217" s="77"/>
      <c r="E217" s="82"/>
      <c r="F217" s="93">
        <f t="shared" si="6"/>
        <v>0</v>
      </c>
      <c r="G217" s="77"/>
      <c r="H217" s="77"/>
      <c r="I217" s="53">
        <f t="shared" si="7"/>
        <v>0</v>
      </c>
      <c r="K217" s="83"/>
    </row>
    <row r="218" spans="1:11" ht="12" customHeight="1" x14ac:dyDescent="0.25">
      <c r="A218" s="80"/>
      <c r="B218" s="53" t="str">
        <f>IFERROR(IF(VLOOKUP($A218,Osnova!$A:$E,1)=$A218,VLOOKUP($A218,Osnova!$A:$E,$E$10)),"")</f>
        <v/>
      </c>
      <c r="C218" s="98" t="e">
        <f>IF(VLOOKUP($A218,Osnova!$A:$C,1)=$A218,VLOOKUP($A218,Osnova!$A:$F,4),0)</f>
        <v>#N/A</v>
      </c>
      <c r="D218" s="77"/>
      <c r="E218" s="82"/>
      <c r="F218" s="93">
        <f t="shared" si="6"/>
        <v>0</v>
      </c>
      <c r="G218" s="77"/>
      <c r="H218" s="77"/>
      <c r="I218" s="53">
        <f t="shared" si="7"/>
        <v>0</v>
      </c>
      <c r="K218" s="83"/>
    </row>
    <row r="219" spans="1:11" ht="12" customHeight="1" x14ac:dyDescent="0.25">
      <c r="A219" s="80"/>
      <c r="B219" s="53" t="str">
        <f>IFERROR(IF(VLOOKUP($A219,Osnova!$A:$E,1)=$A219,VLOOKUP($A219,Osnova!$A:$E,$E$10)),"")</f>
        <v/>
      </c>
      <c r="C219" s="98" t="e">
        <f>IF(VLOOKUP($A219,Osnova!$A:$C,1)=$A219,VLOOKUP($A219,Osnova!$A:$F,4),0)</f>
        <v>#N/A</v>
      </c>
      <c r="D219" s="77"/>
      <c r="E219" s="82"/>
      <c r="F219" s="93">
        <f t="shared" si="6"/>
        <v>0</v>
      </c>
      <c r="G219" s="77"/>
      <c r="H219" s="77"/>
      <c r="I219" s="53">
        <f t="shared" si="7"/>
        <v>0</v>
      </c>
      <c r="K219" s="83"/>
    </row>
    <row r="220" spans="1:11" ht="12" customHeight="1" x14ac:dyDescent="0.25">
      <c r="A220" s="80"/>
      <c r="B220" s="53" t="str">
        <f>IFERROR(IF(VLOOKUP($A220,Osnova!$A:$E,1)=$A220,VLOOKUP($A220,Osnova!$A:$E,$E$10)),"")</f>
        <v/>
      </c>
      <c r="C220" s="98" t="e">
        <f>IF(VLOOKUP($A220,Osnova!$A:$C,1)=$A220,VLOOKUP($A220,Osnova!$A:$F,4),0)</f>
        <v>#N/A</v>
      </c>
      <c r="D220" s="77"/>
      <c r="E220" s="82"/>
      <c r="F220" s="93">
        <f t="shared" si="6"/>
        <v>0</v>
      </c>
      <c r="G220" s="77"/>
      <c r="H220" s="77"/>
      <c r="I220" s="53">
        <f t="shared" si="7"/>
        <v>0</v>
      </c>
      <c r="K220" s="83"/>
    </row>
    <row r="221" spans="1:11" ht="12" customHeight="1" x14ac:dyDescent="0.25">
      <c r="A221" s="80"/>
      <c r="B221" s="53" t="str">
        <f>IFERROR(IF(VLOOKUP($A221,Osnova!$A:$E,1)=$A221,VLOOKUP($A221,Osnova!$A:$E,$E$10)),"")</f>
        <v/>
      </c>
      <c r="C221" s="98" t="e">
        <f>IF(VLOOKUP($A221,Osnova!$A:$C,1)=$A221,VLOOKUP($A221,Osnova!$A:$F,4),0)</f>
        <v>#N/A</v>
      </c>
      <c r="D221" s="77"/>
      <c r="E221" s="82"/>
      <c r="F221" s="93">
        <f t="shared" si="6"/>
        <v>0</v>
      </c>
      <c r="G221" s="77"/>
      <c r="H221" s="77"/>
      <c r="I221" s="53">
        <f t="shared" si="7"/>
        <v>0</v>
      </c>
      <c r="K221" s="83"/>
    </row>
    <row r="222" spans="1:11" ht="12" customHeight="1" x14ac:dyDescent="0.25">
      <c r="A222" s="80"/>
      <c r="B222" s="53" t="str">
        <f>IFERROR(IF(VLOOKUP($A222,Osnova!$A:$E,1)=$A222,VLOOKUP($A222,Osnova!$A:$E,$E$10)),"")</f>
        <v/>
      </c>
      <c r="C222" s="98" t="e">
        <f>IF(VLOOKUP($A222,Osnova!$A:$C,1)=$A222,VLOOKUP($A222,Osnova!$A:$F,4),0)</f>
        <v>#N/A</v>
      </c>
      <c r="D222" s="77"/>
      <c r="E222" s="82"/>
      <c r="F222" s="93">
        <f t="shared" si="6"/>
        <v>0</v>
      </c>
      <c r="G222" s="77"/>
      <c r="H222" s="77"/>
      <c r="I222" s="53">
        <f t="shared" si="7"/>
        <v>0</v>
      </c>
      <c r="K222" s="83"/>
    </row>
    <row r="223" spans="1:11" ht="12" customHeight="1" x14ac:dyDescent="0.25">
      <c r="A223" s="80"/>
      <c r="B223" s="53" t="str">
        <f>IFERROR(IF(VLOOKUP($A223,Osnova!$A:$E,1)=$A223,VLOOKUP($A223,Osnova!$A:$E,$E$10)),"")</f>
        <v/>
      </c>
      <c r="C223" s="98" t="e">
        <f>IF(VLOOKUP($A223,Osnova!$A:$C,1)=$A223,VLOOKUP($A223,Osnova!$A:$F,4),0)</f>
        <v>#N/A</v>
      </c>
      <c r="D223" s="77"/>
      <c r="E223" s="82"/>
      <c r="F223" s="93">
        <f t="shared" si="6"/>
        <v>0</v>
      </c>
      <c r="G223" s="77"/>
      <c r="H223" s="77"/>
      <c r="I223" s="53">
        <f t="shared" si="7"/>
        <v>0</v>
      </c>
      <c r="K223" s="83"/>
    </row>
    <row r="224" spans="1:11" ht="12" customHeight="1" x14ac:dyDescent="0.25">
      <c r="A224" s="80"/>
      <c r="B224" s="53" t="str">
        <f>IFERROR(IF(VLOOKUP($A224,Osnova!$A:$E,1)=$A224,VLOOKUP($A224,Osnova!$A:$E,$E$10)),"")</f>
        <v/>
      </c>
      <c r="C224" s="98" t="e">
        <f>IF(VLOOKUP($A224,Osnova!$A:$C,1)=$A224,VLOOKUP($A224,Osnova!$A:$F,4),0)</f>
        <v>#N/A</v>
      </c>
      <c r="D224" s="77"/>
      <c r="E224" s="82"/>
      <c r="F224" s="93">
        <f t="shared" si="6"/>
        <v>0</v>
      </c>
      <c r="G224" s="77"/>
      <c r="H224" s="77"/>
      <c r="I224" s="53">
        <f t="shared" si="7"/>
        <v>0</v>
      </c>
      <c r="K224" s="83"/>
    </row>
    <row r="225" spans="1:11" ht="12" customHeight="1" x14ac:dyDescent="0.25">
      <c r="A225" s="80"/>
      <c r="B225" s="53" t="str">
        <f>IFERROR(IF(VLOOKUP($A225,Osnova!$A:$E,1)=$A225,VLOOKUP($A225,Osnova!$A:$E,$E$10)),"")</f>
        <v/>
      </c>
      <c r="C225" s="98" t="e">
        <f>IF(VLOOKUP($A225,Osnova!$A:$C,1)=$A225,VLOOKUP($A225,Osnova!$A:$F,4),0)</f>
        <v>#N/A</v>
      </c>
      <c r="D225" s="77"/>
      <c r="E225" s="82"/>
      <c r="F225" s="93">
        <f t="shared" si="6"/>
        <v>0</v>
      </c>
      <c r="G225" s="77"/>
      <c r="H225" s="77"/>
      <c r="I225" s="53">
        <f t="shared" si="7"/>
        <v>0</v>
      </c>
      <c r="K225" s="83"/>
    </row>
    <row r="226" spans="1:11" ht="12" customHeight="1" x14ac:dyDescent="0.25">
      <c r="A226" s="80"/>
      <c r="B226" s="53" t="str">
        <f>IFERROR(IF(VLOOKUP($A226,Osnova!$A:$E,1)=$A226,VLOOKUP($A226,Osnova!$A:$E,$E$10)),"")</f>
        <v/>
      </c>
      <c r="C226" s="98" t="e">
        <f>IF(VLOOKUP($A226,Osnova!$A:$C,1)=$A226,VLOOKUP($A226,Osnova!$A:$F,4),0)</f>
        <v>#N/A</v>
      </c>
      <c r="D226" s="77"/>
      <c r="E226" s="82"/>
      <c r="F226" s="93">
        <f t="shared" si="6"/>
        <v>0</v>
      </c>
      <c r="G226" s="77"/>
      <c r="H226" s="77"/>
      <c r="I226" s="53">
        <f t="shared" si="7"/>
        <v>0</v>
      </c>
      <c r="K226" s="83"/>
    </row>
    <row r="227" spans="1:11" ht="12" customHeight="1" x14ac:dyDescent="0.25">
      <c r="A227" s="80"/>
      <c r="B227" s="53" t="str">
        <f>IFERROR(IF(VLOOKUP($A227,Osnova!$A:$E,1)=$A227,VLOOKUP($A227,Osnova!$A:$E,$E$10)),"")</f>
        <v/>
      </c>
      <c r="C227" s="98" t="e">
        <f>IF(VLOOKUP($A227,Osnova!$A:$C,1)=$A227,VLOOKUP($A227,Osnova!$A:$F,4),0)</f>
        <v>#N/A</v>
      </c>
      <c r="D227" s="77"/>
      <c r="E227" s="82"/>
      <c r="F227" s="93">
        <f t="shared" si="6"/>
        <v>0</v>
      </c>
      <c r="G227" s="77"/>
      <c r="H227" s="77"/>
      <c r="I227" s="53">
        <f t="shared" si="7"/>
        <v>0</v>
      </c>
      <c r="K227" s="83"/>
    </row>
    <row r="228" spans="1:11" ht="12" customHeight="1" x14ac:dyDescent="0.25">
      <c r="A228" s="80"/>
      <c r="B228" s="53" t="str">
        <f>IFERROR(IF(VLOOKUP($A228,Osnova!$A:$E,1)=$A228,VLOOKUP($A228,Osnova!$A:$E,$E$10)),"")</f>
        <v/>
      </c>
      <c r="C228" s="98" t="e">
        <f>IF(VLOOKUP($A228,Osnova!$A:$C,1)=$A228,VLOOKUP($A228,Osnova!$A:$F,4),0)</f>
        <v>#N/A</v>
      </c>
      <c r="D228" s="77"/>
      <c r="E228" s="82"/>
      <c r="F228" s="93">
        <f t="shared" si="6"/>
        <v>0</v>
      </c>
      <c r="G228" s="77"/>
      <c r="H228" s="77"/>
      <c r="I228" s="53">
        <f t="shared" si="7"/>
        <v>0</v>
      </c>
      <c r="K228" s="83"/>
    </row>
    <row r="229" spans="1:11" ht="12" customHeight="1" x14ac:dyDescent="0.25">
      <c r="A229" s="80"/>
      <c r="B229" s="53" t="str">
        <f>IFERROR(IF(VLOOKUP($A229,Osnova!$A:$E,1)=$A229,VLOOKUP($A229,Osnova!$A:$E,$E$10)),"")</f>
        <v/>
      </c>
      <c r="C229" s="98" t="e">
        <f>IF(VLOOKUP($A229,Osnova!$A:$C,1)=$A229,VLOOKUP($A229,Osnova!$A:$F,4),0)</f>
        <v>#N/A</v>
      </c>
      <c r="D229" s="77"/>
      <c r="E229" s="82"/>
      <c r="F229" s="93">
        <f t="shared" si="6"/>
        <v>0</v>
      </c>
      <c r="G229" s="77"/>
      <c r="H229" s="77"/>
      <c r="I229" s="53">
        <f t="shared" si="7"/>
        <v>0</v>
      </c>
      <c r="K229" s="83"/>
    </row>
    <row r="230" spans="1:11" ht="12" customHeight="1" x14ac:dyDescent="0.25">
      <c r="A230" s="80"/>
      <c r="B230" s="53" t="str">
        <f>IFERROR(IF(VLOOKUP($A230,Osnova!$A:$E,1)=$A230,VLOOKUP($A230,Osnova!$A:$E,$E$10)),"")</f>
        <v/>
      </c>
      <c r="C230" s="98" t="e">
        <f>IF(VLOOKUP($A230,Osnova!$A:$C,1)=$A230,VLOOKUP($A230,Osnova!$A:$F,4),0)</f>
        <v>#N/A</v>
      </c>
      <c r="D230" s="77"/>
      <c r="E230" s="82"/>
      <c r="F230" s="93">
        <f t="shared" si="6"/>
        <v>0</v>
      </c>
      <c r="G230" s="77"/>
      <c r="H230" s="77"/>
      <c r="I230" s="53">
        <f t="shared" si="7"/>
        <v>0</v>
      </c>
      <c r="K230" s="83"/>
    </row>
    <row r="231" spans="1:11" ht="12" customHeight="1" x14ac:dyDescent="0.25">
      <c r="A231" s="80"/>
      <c r="B231" s="53" t="str">
        <f>IFERROR(IF(VLOOKUP($A231,Osnova!$A:$E,1)=$A231,VLOOKUP($A231,Osnova!$A:$E,$E$10)),"")</f>
        <v/>
      </c>
      <c r="C231" s="98" t="e">
        <f>IF(VLOOKUP($A231,Osnova!$A:$C,1)=$A231,VLOOKUP($A231,Osnova!$A:$F,4),0)</f>
        <v>#N/A</v>
      </c>
      <c r="D231" s="77"/>
      <c r="E231" s="82"/>
      <c r="F231" s="93">
        <f t="shared" si="6"/>
        <v>0</v>
      </c>
      <c r="G231" s="77"/>
      <c r="H231" s="77"/>
      <c r="I231" s="53">
        <f t="shared" si="7"/>
        <v>0</v>
      </c>
      <c r="K231" s="83"/>
    </row>
    <row r="232" spans="1:11" ht="12" customHeight="1" x14ac:dyDescent="0.25">
      <c r="A232" s="76"/>
      <c r="B232" s="53" t="str">
        <f>IFERROR(IF(VLOOKUP($A232,Osnova!$A:$E,1)=$A232,VLOOKUP($A232,Osnova!$A:$E,$E$10)),"")</f>
        <v/>
      </c>
      <c r="C232" s="98" t="e">
        <f>IF(VLOOKUP($A232,Osnova!$A:$C,1)=$A232,VLOOKUP($A232,Osnova!$A:$F,4),0)</f>
        <v>#N/A</v>
      </c>
      <c r="D232" s="77"/>
      <c r="E232" s="82"/>
      <c r="F232" s="93">
        <f t="shared" si="6"/>
        <v>0</v>
      </c>
      <c r="G232" s="77"/>
      <c r="H232" s="77"/>
      <c r="I232" s="53">
        <f t="shared" si="7"/>
        <v>0</v>
      </c>
      <c r="K232" s="83"/>
    </row>
    <row r="233" spans="1:11" ht="12" customHeight="1" x14ac:dyDescent="0.25">
      <c r="A233" s="80"/>
      <c r="B233" s="53" t="str">
        <f>IFERROR(IF(VLOOKUP($A233,Osnova!$A:$E,1)=$A233,VLOOKUP($A233,Osnova!$A:$E,$E$10)),"")</f>
        <v/>
      </c>
      <c r="C233" s="98" t="e">
        <f>IF(VLOOKUP($A233,Osnova!$A:$C,1)=$A233,VLOOKUP($A233,Osnova!$A:$F,4),0)</f>
        <v>#N/A</v>
      </c>
      <c r="D233" s="77"/>
      <c r="E233" s="82"/>
      <c r="F233" s="93">
        <f t="shared" si="6"/>
        <v>0</v>
      </c>
      <c r="G233" s="77"/>
      <c r="H233" s="77"/>
      <c r="I233" s="53">
        <f t="shared" si="7"/>
        <v>0</v>
      </c>
      <c r="K233" s="83"/>
    </row>
    <row r="234" spans="1:11" ht="12" customHeight="1" x14ac:dyDescent="0.25">
      <c r="A234" s="80"/>
      <c r="B234" s="53" t="str">
        <f>IFERROR(IF(VLOOKUP($A234,Osnova!$A:$E,1)=$A234,VLOOKUP($A234,Osnova!$A:$E,$E$10)),"")</f>
        <v/>
      </c>
      <c r="C234" s="98" t="e">
        <f>IF(VLOOKUP($A234,Osnova!$A:$C,1)=$A234,VLOOKUP($A234,Osnova!$A:$F,4),0)</f>
        <v>#N/A</v>
      </c>
      <c r="D234" s="77"/>
      <c r="E234" s="82"/>
      <c r="F234" s="93">
        <f t="shared" si="6"/>
        <v>0</v>
      </c>
      <c r="G234" s="77"/>
      <c r="H234" s="77"/>
      <c r="I234" s="53">
        <f t="shared" si="7"/>
        <v>0</v>
      </c>
      <c r="K234" s="83"/>
    </row>
    <row r="235" spans="1:11" ht="12" customHeight="1" x14ac:dyDescent="0.25">
      <c r="A235" s="80"/>
      <c r="B235" s="53" t="str">
        <f>IFERROR(IF(VLOOKUP($A235,Osnova!$A:$E,1)=$A235,VLOOKUP($A235,Osnova!$A:$E,$E$10)),"")</f>
        <v/>
      </c>
      <c r="C235" s="98" t="e">
        <f>IF(VLOOKUP($A235,Osnova!$A:$C,1)=$A235,VLOOKUP($A235,Osnova!$A:$F,4),0)</f>
        <v>#N/A</v>
      </c>
      <c r="D235" s="77"/>
      <c r="E235" s="82"/>
      <c r="F235" s="93">
        <f t="shared" si="6"/>
        <v>0</v>
      </c>
      <c r="G235" s="77"/>
      <c r="H235" s="77"/>
      <c r="I235" s="53">
        <f t="shared" si="7"/>
        <v>0</v>
      </c>
      <c r="K235" s="83"/>
    </row>
    <row r="236" spans="1:11" ht="12" customHeight="1" x14ac:dyDescent="0.25">
      <c r="A236" s="80"/>
      <c r="B236" s="53" t="str">
        <f>IFERROR(IF(VLOOKUP($A236,Osnova!$A:$E,1)=$A236,VLOOKUP($A236,Osnova!$A:$E,$E$10)),"")</f>
        <v/>
      </c>
      <c r="C236" s="98" t="e">
        <f>IF(VLOOKUP($A236,Osnova!$A:$C,1)=$A236,VLOOKUP($A236,Osnova!$A:$F,4),0)</f>
        <v>#N/A</v>
      </c>
      <c r="D236" s="77"/>
      <c r="E236" s="82"/>
      <c r="F236" s="93">
        <f t="shared" si="6"/>
        <v>0</v>
      </c>
      <c r="G236" s="77"/>
      <c r="H236" s="77"/>
      <c r="I236" s="53">
        <f t="shared" si="7"/>
        <v>0</v>
      </c>
      <c r="K236" s="83"/>
    </row>
    <row r="237" spans="1:11" ht="12" customHeight="1" x14ac:dyDescent="0.25">
      <c r="A237" s="80"/>
      <c r="B237" s="53" t="str">
        <f>IFERROR(IF(VLOOKUP($A237,Osnova!$A:$E,1)=$A237,VLOOKUP($A237,Osnova!$A:$E,$E$10)),"")</f>
        <v/>
      </c>
      <c r="C237" s="98" t="e">
        <f>IF(VLOOKUP($A237,Osnova!$A:$C,1)=$A237,VLOOKUP($A237,Osnova!$A:$F,4),0)</f>
        <v>#N/A</v>
      </c>
      <c r="D237" s="77"/>
      <c r="E237" s="82"/>
      <c r="F237" s="93">
        <f t="shared" si="6"/>
        <v>0</v>
      </c>
      <c r="G237" s="77"/>
      <c r="H237" s="77"/>
      <c r="I237" s="53">
        <f t="shared" si="7"/>
        <v>0</v>
      </c>
      <c r="K237" s="83"/>
    </row>
    <row r="238" spans="1:11" ht="12" customHeight="1" x14ac:dyDescent="0.25">
      <c r="A238" s="80"/>
      <c r="B238" s="53" t="str">
        <f>IFERROR(IF(VLOOKUP($A238,Osnova!$A:$E,1)=$A238,VLOOKUP($A238,Osnova!$A:$E,$E$10)),"")</f>
        <v/>
      </c>
      <c r="C238" s="98" t="e">
        <f>IF(VLOOKUP($A238,Osnova!$A:$C,1)=$A238,VLOOKUP($A238,Osnova!$A:$F,4),0)</f>
        <v>#N/A</v>
      </c>
      <c r="D238" s="77"/>
      <c r="E238" s="82"/>
      <c r="F238" s="93">
        <f t="shared" si="6"/>
        <v>0</v>
      </c>
      <c r="G238" s="77"/>
      <c r="H238" s="77"/>
      <c r="I238" s="53">
        <f t="shared" si="7"/>
        <v>0</v>
      </c>
      <c r="K238" s="83"/>
    </row>
    <row r="239" spans="1:11" ht="12" customHeight="1" x14ac:dyDescent="0.25">
      <c r="A239" s="80"/>
      <c r="B239" s="53" t="str">
        <f>IFERROR(IF(VLOOKUP($A239,Osnova!$A:$E,1)=$A239,VLOOKUP($A239,Osnova!$A:$E,$E$10)),"")</f>
        <v/>
      </c>
      <c r="C239" s="98" t="e">
        <f>IF(VLOOKUP($A239,Osnova!$A:$C,1)=$A239,VLOOKUP($A239,Osnova!$A:$F,4),0)</f>
        <v>#N/A</v>
      </c>
      <c r="D239" s="77"/>
      <c r="E239" s="82"/>
      <c r="F239" s="93">
        <f t="shared" si="6"/>
        <v>0</v>
      </c>
      <c r="G239" s="77"/>
      <c r="H239" s="77"/>
      <c r="I239" s="53">
        <f t="shared" si="7"/>
        <v>0</v>
      </c>
      <c r="K239" s="83"/>
    </row>
    <row r="240" spans="1:11" ht="12" customHeight="1" x14ac:dyDescent="0.25">
      <c r="A240" s="80"/>
      <c r="B240" s="53" t="str">
        <f>IFERROR(IF(VLOOKUP($A240,Osnova!$A:$E,1)=$A240,VLOOKUP($A240,Osnova!$A:$E,$E$10)),"")</f>
        <v/>
      </c>
      <c r="C240" s="98" t="e">
        <f>IF(VLOOKUP($A240,Osnova!$A:$C,1)=$A240,VLOOKUP($A240,Osnova!$A:$F,4),0)</f>
        <v>#N/A</v>
      </c>
      <c r="D240" s="77"/>
      <c r="E240" s="82"/>
      <c r="F240" s="93">
        <f t="shared" si="6"/>
        <v>0</v>
      </c>
      <c r="G240" s="77"/>
      <c r="H240" s="77"/>
      <c r="I240" s="53">
        <f t="shared" si="7"/>
        <v>0</v>
      </c>
      <c r="K240" s="83"/>
    </row>
    <row r="241" spans="1:11" ht="12" customHeight="1" x14ac:dyDescent="0.25">
      <c r="A241" s="80"/>
      <c r="B241" s="53" t="str">
        <f>IFERROR(IF(VLOOKUP($A241,Osnova!$A:$E,1)=$A241,VLOOKUP($A241,Osnova!$A:$E,$E$10)),"")</f>
        <v/>
      </c>
      <c r="C241" s="98" t="e">
        <f>IF(VLOOKUP($A241,Osnova!$A:$C,1)=$A241,VLOOKUP($A241,Osnova!$A:$F,4),0)</f>
        <v>#N/A</v>
      </c>
      <c r="D241" s="77"/>
      <c r="E241" s="82"/>
      <c r="F241" s="93">
        <f t="shared" si="6"/>
        <v>0</v>
      </c>
      <c r="G241" s="77"/>
      <c r="H241" s="77"/>
      <c r="I241" s="53">
        <f t="shared" si="7"/>
        <v>0</v>
      </c>
      <c r="K241" s="83"/>
    </row>
    <row r="242" spans="1:11" ht="12" customHeight="1" x14ac:dyDescent="0.25">
      <c r="A242" s="80"/>
      <c r="B242" s="53" t="str">
        <f>IFERROR(IF(VLOOKUP($A242,Osnova!$A:$E,1)=$A242,VLOOKUP($A242,Osnova!$A:$E,$E$10)),"")</f>
        <v/>
      </c>
      <c r="C242" s="98" t="e">
        <f>IF(VLOOKUP($A242,Osnova!$A:$C,1)=$A242,VLOOKUP($A242,Osnova!$A:$F,4),0)</f>
        <v>#N/A</v>
      </c>
      <c r="D242" s="77"/>
      <c r="E242" s="82"/>
      <c r="F242" s="93">
        <f t="shared" si="6"/>
        <v>0</v>
      </c>
      <c r="G242" s="77"/>
      <c r="H242" s="77"/>
      <c r="I242" s="53">
        <f t="shared" si="7"/>
        <v>0</v>
      </c>
      <c r="K242" s="83"/>
    </row>
    <row r="243" spans="1:11" ht="12" customHeight="1" x14ac:dyDescent="0.25">
      <c r="A243" s="80"/>
      <c r="B243" s="53" t="str">
        <f>IFERROR(IF(VLOOKUP($A243,Osnova!$A:$E,1)=$A243,VLOOKUP($A243,Osnova!$A:$E,$E$10)),"")</f>
        <v/>
      </c>
      <c r="C243" s="98" t="e">
        <f>IF(VLOOKUP($A243,Osnova!$A:$C,1)=$A243,VLOOKUP($A243,Osnova!$A:$F,4),0)</f>
        <v>#N/A</v>
      </c>
      <c r="D243" s="77"/>
      <c r="E243" s="82"/>
      <c r="F243" s="93">
        <f t="shared" si="6"/>
        <v>0</v>
      </c>
      <c r="G243" s="77"/>
      <c r="H243" s="77"/>
      <c r="I243" s="53">
        <f t="shared" si="7"/>
        <v>0</v>
      </c>
      <c r="K243" s="83"/>
    </row>
    <row r="244" spans="1:11" ht="12" customHeight="1" x14ac:dyDescent="0.25">
      <c r="A244" s="80"/>
      <c r="B244" s="53" t="str">
        <f>IFERROR(IF(VLOOKUP($A244,Osnova!$A:$E,1)=$A244,VLOOKUP($A244,Osnova!$A:$E,$E$10)),"")</f>
        <v/>
      </c>
      <c r="C244" s="98" t="e">
        <f>IF(VLOOKUP($A244,Osnova!$A:$C,1)=$A244,VLOOKUP($A244,Osnova!$A:$F,4),0)</f>
        <v>#N/A</v>
      </c>
      <c r="D244" s="77"/>
      <c r="E244" s="82"/>
      <c r="F244" s="93">
        <f t="shared" si="6"/>
        <v>0</v>
      </c>
      <c r="G244" s="77"/>
      <c r="H244" s="77"/>
      <c r="I244" s="53">
        <f t="shared" si="7"/>
        <v>0</v>
      </c>
      <c r="K244" s="83"/>
    </row>
    <row r="245" spans="1:11" ht="12" customHeight="1" x14ac:dyDescent="0.25">
      <c r="A245" s="80"/>
      <c r="B245" s="53" t="str">
        <f>IFERROR(IF(VLOOKUP($A245,Osnova!$A:$E,1)=$A245,VLOOKUP($A245,Osnova!$A:$E,$E$10)),"")</f>
        <v/>
      </c>
      <c r="C245" s="98" t="e">
        <f>IF(VLOOKUP($A245,Osnova!$A:$C,1)=$A245,VLOOKUP($A245,Osnova!$A:$F,4),0)</f>
        <v>#N/A</v>
      </c>
      <c r="D245" s="77"/>
      <c r="E245" s="82"/>
      <c r="F245" s="93">
        <f t="shared" si="6"/>
        <v>0</v>
      </c>
      <c r="G245" s="77"/>
      <c r="H245" s="77"/>
      <c r="I245" s="53">
        <f t="shared" si="7"/>
        <v>0</v>
      </c>
      <c r="K245" s="83"/>
    </row>
    <row r="246" spans="1:11" ht="12" customHeight="1" x14ac:dyDescent="0.25">
      <c r="A246" s="80"/>
      <c r="B246" s="53" t="str">
        <f>IFERROR(IF(VLOOKUP($A246,Osnova!$A:$E,1)=$A246,VLOOKUP($A246,Osnova!$A:$E,$E$10)),"")</f>
        <v/>
      </c>
      <c r="C246" s="98" t="e">
        <f>IF(VLOOKUP($A246,Osnova!$A:$C,1)=$A246,VLOOKUP($A246,Osnova!$A:$F,4),0)</f>
        <v>#N/A</v>
      </c>
      <c r="D246" s="77"/>
      <c r="E246" s="82"/>
      <c r="F246" s="93">
        <f t="shared" si="6"/>
        <v>0</v>
      </c>
      <c r="G246" s="77"/>
      <c r="H246" s="77"/>
      <c r="I246" s="53">
        <f t="shared" si="7"/>
        <v>0</v>
      </c>
      <c r="K246" s="83"/>
    </row>
    <row r="247" spans="1:11" ht="12" customHeight="1" x14ac:dyDescent="0.25">
      <c r="A247" s="80"/>
      <c r="B247" s="53" t="str">
        <f>IFERROR(IF(VLOOKUP($A247,Osnova!$A:$E,1)=$A247,VLOOKUP($A247,Osnova!$A:$E,$E$10)),"")</f>
        <v/>
      </c>
      <c r="C247" s="98" t="e">
        <f>IF(VLOOKUP($A247,Osnova!$A:$C,1)=$A247,VLOOKUP($A247,Osnova!$A:$F,4),0)</f>
        <v>#N/A</v>
      </c>
      <c r="D247" s="77"/>
      <c r="E247" s="82"/>
      <c r="F247" s="93">
        <f t="shared" si="6"/>
        <v>0</v>
      </c>
      <c r="G247" s="77"/>
      <c r="H247" s="77"/>
      <c r="I247" s="53">
        <f t="shared" si="7"/>
        <v>0</v>
      </c>
      <c r="K247" s="83"/>
    </row>
    <row r="248" spans="1:11" ht="12" customHeight="1" x14ac:dyDescent="0.25">
      <c r="A248" s="80"/>
      <c r="B248" s="53" t="str">
        <f>IFERROR(IF(VLOOKUP($A248,Osnova!$A:$E,1)=$A248,VLOOKUP($A248,Osnova!$A:$E,$E$10)),"")</f>
        <v/>
      </c>
      <c r="C248" s="98" t="e">
        <f>IF(VLOOKUP($A248,Osnova!$A:$C,1)=$A248,VLOOKUP($A248,Osnova!$A:$F,4),0)</f>
        <v>#N/A</v>
      </c>
      <c r="D248" s="77"/>
      <c r="E248" s="82"/>
      <c r="F248" s="93">
        <f t="shared" si="6"/>
        <v>0</v>
      </c>
      <c r="G248" s="77"/>
      <c r="H248" s="77"/>
      <c r="I248" s="53">
        <f t="shared" si="7"/>
        <v>0</v>
      </c>
      <c r="K248" s="83"/>
    </row>
    <row r="249" spans="1:11" ht="12" customHeight="1" x14ac:dyDescent="0.25">
      <c r="A249" s="80"/>
      <c r="B249" s="53" t="str">
        <f>IFERROR(IF(VLOOKUP($A249,Osnova!$A:$E,1)=$A249,VLOOKUP($A249,Osnova!$A:$E,$E$10)),"")</f>
        <v/>
      </c>
      <c r="C249" s="98" t="e">
        <f>IF(VLOOKUP($A249,Osnova!$A:$C,1)=$A249,VLOOKUP($A249,Osnova!$A:$F,4),0)</f>
        <v>#N/A</v>
      </c>
      <c r="D249" s="77"/>
      <c r="E249" s="82"/>
      <c r="F249" s="93">
        <f t="shared" si="6"/>
        <v>0</v>
      </c>
      <c r="G249" s="77"/>
      <c r="H249" s="77"/>
      <c r="I249" s="53">
        <f t="shared" si="7"/>
        <v>0</v>
      </c>
      <c r="K249" s="83"/>
    </row>
    <row r="250" spans="1:11" ht="12" customHeight="1" x14ac:dyDescent="0.25">
      <c r="A250" s="80"/>
      <c r="B250" s="53" t="str">
        <f>IFERROR(IF(VLOOKUP($A250,Osnova!$A:$E,1)=$A250,VLOOKUP($A250,Osnova!$A:$E,$E$10)),"")</f>
        <v/>
      </c>
      <c r="C250" s="98" t="e">
        <f>IF(VLOOKUP($A250,Osnova!$A:$C,1)=$A250,VLOOKUP($A250,Osnova!$A:$F,4),0)</f>
        <v>#N/A</v>
      </c>
      <c r="D250" s="77"/>
      <c r="E250" s="82"/>
      <c r="F250" s="93">
        <f t="shared" si="6"/>
        <v>0</v>
      </c>
      <c r="G250" s="77"/>
      <c r="H250" s="77"/>
      <c r="I250" s="53">
        <f t="shared" si="7"/>
        <v>0</v>
      </c>
      <c r="K250" s="83"/>
    </row>
    <row r="251" spans="1:11" ht="12" customHeight="1" x14ac:dyDescent="0.25">
      <c r="A251" s="80"/>
      <c r="B251" s="53" t="str">
        <f>IFERROR(IF(VLOOKUP($A251,Osnova!$A:$E,1)=$A251,VLOOKUP($A251,Osnova!$A:$E,$E$10)),"")</f>
        <v/>
      </c>
      <c r="C251" s="98" t="e">
        <f>IF(VLOOKUP($A251,Osnova!$A:$C,1)=$A251,VLOOKUP($A251,Osnova!$A:$F,4),0)</f>
        <v>#N/A</v>
      </c>
      <c r="D251" s="77"/>
      <c r="E251" s="82"/>
      <c r="F251" s="93">
        <f t="shared" si="6"/>
        <v>0</v>
      </c>
      <c r="G251" s="77"/>
      <c r="H251" s="77"/>
      <c r="I251" s="53">
        <f t="shared" si="7"/>
        <v>0</v>
      </c>
      <c r="K251" s="83"/>
    </row>
    <row r="252" spans="1:11" ht="12" customHeight="1" x14ac:dyDescent="0.25">
      <c r="A252" s="80"/>
      <c r="B252" s="53" t="str">
        <f>IFERROR(IF(VLOOKUP($A252,Osnova!$A:$E,1)=$A252,VLOOKUP($A252,Osnova!$A:$E,$E$10)),"")</f>
        <v/>
      </c>
      <c r="C252" s="98" t="e">
        <f>IF(VLOOKUP($A252,Osnova!$A:$C,1)=$A252,VLOOKUP($A252,Osnova!$A:$F,4),0)</f>
        <v>#N/A</v>
      </c>
      <c r="D252" s="77"/>
      <c r="E252" s="82"/>
      <c r="F252" s="93">
        <f t="shared" si="6"/>
        <v>0</v>
      </c>
      <c r="G252" s="77"/>
      <c r="H252" s="77"/>
      <c r="I252" s="53">
        <f t="shared" si="7"/>
        <v>0</v>
      </c>
      <c r="K252" s="83"/>
    </row>
    <row r="253" spans="1:11" ht="12" customHeight="1" x14ac:dyDescent="0.25">
      <c r="A253" s="80"/>
      <c r="B253" s="53" t="str">
        <f>IFERROR(IF(VLOOKUP($A253,Osnova!$A:$E,1)=$A253,VLOOKUP($A253,Osnova!$A:$E,$E$10)),"")</f>
        <v/>
      </c>
      <c r="C253" s="98" t="e">
        <f>IF(VLOOKUP($A253,Osnova!$A:$C,1)=$A253,VLOOKUP($A253,Osnova!$A:$F,4),0)</f>
        <v>#N/A</v>
      </c>
      <c r="D253" s="77"/>
      <c r="E253" s="82"/>
      <c r="F253" s="93">
        <f t="shared" si="6"/>
        <v>0</v>
      </c>
      <c r="G253" s="77"/>
      <c r="H253" s="77"/>
      <c r="I253" s="53">
        <f t="shared" si="7"/>
        <v>0</v>
      </c>
      <c r="K253" s="83"/>
    </row>
    <row r="254" spans="1:11" ht="12" customHeight="1" x14ac:dyDescent="0.25">
      <c r="A254" s="80"/>
      <c r="B254" s="53" t="str">
        <f>IFERROR(IF(VLOOKUP($A254,Osnova!$A:$E,1)=$A254,VLOOKUP($A254,Osnova!$A:$E,$E$10)),"")</f>
        <v/>
      </c>
      <c r="C254" s="98" t="e">
        <f>IF(VLOOKUP($A254,Osnova!$A:$C,1)=$A254,VLOOKUP($A254,Osnova!$A:$F,4),0)</f>
        <v>#N/A</v>
      </c>
      <c r="D254" s="77"/>
      <c r="E254" s="82"/>
      <c r="F254" s="93">
        <f t="shared" si="6"/>
        <v>0</v>
      </c>
      <c r="G254" s="77"/>
      <c r="H254" s="77"/>
      <c r="I254" s="53">
        <f t="shared" si="7"/>
        <v>0</v>
      </c>
      <c r="K254" s="83"/>
    </row>
    <row r="255" spans="1:11" ht="12" customHeight="1" x14ac:dyDescent="0.25">
      <c r="A255" s="80"/>
      <c r="B255" s="53" t="str">
        <f>IFERROR(IF(VLOOKUP($A255,Osnova!$A:$E,1)=$A255,VLOOKUP($A255,Osnova!$A:$E,$E$10)),"")</f>
        <v/>
      </c>
      <c r="C255" s="98" t="e">
        <f>IF(VLOOKUP($A255,Osnova!$A:$C,1)=$A255,VLOOKUP($A255,Osnova!$A:$F,4),0)</f>
        <v>#N/A</v>
      </c>
      <c r="D255" s="77"/>
      <c r="E255" s="82"/>
      <c r="F255" s="93">
        <f t="shared" si="6"/>
        <v>0</v>
      </c>
      <c r="G255" s="77"/>
      <c r="H255" s="77"/>
      <c r="I255" s="53">
        <f t="shared" si="7"/>
        <v>0</v>
      </c>
      <c r="K255" s="83"/>
    </row>
    <row r="256" spans="1:11" ht="12" customHeight="1" x14ac:dyDescent="0.25">
      <c r="A256" s="80"/>
      <c r="B256" s="53" t="str">
        <f>IFERROR(IF(VLOOKUP($A256,Osnova!$A:$E,1)=$A256,VLOOKUP($A256,Osnova!$A:$E,$E$10)),"")</f>
        <v/>
      </c>
      <c r="C256" s="98" t="e">
        <f>IF(VLOOKUP($A256,Osnova!$A:$C,1)=$A256,VLOOKUP($A256,Osnova!$A:$F,4),0)</f>
        <v>#N/A</v>
      </c>
      <c r="D256" s="77"/>
      <c r="E256" s="82"/>
      <c r="F256" s="93">
        <f t="shared" si="6"/>
        <v>0</v>
      </c>
      <c r="G256" s="77"/>
      <c r="H256" s="77"/>
      <c r="I256" s="53">
        <f t="shared" si="7"/>
        <v>0</v>
      </c>
      <c r="K256" s="83"/>
    </row>
    <row r="257" spans="1:11" ht="12" customHeight="1" x14ac:dyDescent="0.25">
      <c r="A257" s="80"/>
      <c r="B257" s="53" t="str">
        <f>IFERROR(IF(VLOOKUP($A257,Osnova!$A:$E,1)=$A257,VLOOKUP($A257,Osnova!$A:$E,$E$10)),"")</f>
        <v/>
      </c>
      <c r="C257" s="98" t="e">
        <f>IF(VLOOKUP($A257,Osnova!$A:$C,1)=$A257,VLOOKUP($A257,Osnova!$A:$F,4),0)</f>
        <v>#N/A</v>
      </c>
      <c r="D257" s="77"/>
      <c r="E257" s="82"/>
      <c r="F257" s="93">
        <f t="shared" si="6"/>
        <v>0</v>
      </c>
      <c r="G257" s="77"/>
      <c r="H257" s="77"/>
      <c r="I257" s="53">
        <f t="shared" si="7"/>
        <v>0</v>
      </c>
      <c r="K257" s="83"/>
    </row>
    <row r="258" spans="1:11" ht="12" customHeight="1" x14ac:dyDescent="0.25">
      <c r="A258" s="80"/>
      <c r="B258" s="53" t="str">
        <f>IFERROR(IF(VLOOKUP($A258,Osnova!$A:$E,1)=$A258,VLOOKUP($A258,Osnova!$A:$E,$E$10)),"")</f>
        <v/>
      </c>
      <c r="C258" s="98" t="e">
        <f>IF(VLOOKUP($A258,Osnova!$A:$C,1)=$A258,VLOOKUP($A258,Osnova!$A:$F,4),0)</f>
        <v>#N/A</v>
      </c>
      <c r="D258" s="77"/>
      <c r="E258" s="82"/>
      <c r="F258" s="93">
        <f t="shared" si="6"/>
        <v>0</v>
      </c>
      <c r="G258" s="77"/>
      <c r="H258" s="77"/>
      <c r="I258" s="53">
        <f t="shared" si="7"/>
        <v>0</v>
      </c>
      <c r="K258" s="83"/>
    </row>
    <row r="259" spans="1:11" ht="12" customHeight="1" x14ac:dyDescent="0.25">
      <c r="A259" s="80"/>
      <c r="B259" s="53" t="str">
        <f>IFERROR(IF(VLOOKUP($A259,Osnova!$A:$E,1)=$A259,VLOOKUP($A259,Osnova!$A:$E,$E$10)),"")</f>
        <v/>
      </c>
      <c r="C259" s="98" t="e">
        <f>IF(VLOOKUP($A259,Osnova!$A:$C,1)=$A259,VLOOKUP($A259,Osnova!$A:$F,4),0)</f>
        <v>#N/A</v>
      </c>
      <c r="D259" s="77"/>
      <c r="E259" s="82"/>
      <c r="F259" s="93">
        <f t="shared" si="6"/>
        <v>0</v>
      </c>
      <c r="G259" s="77"/>
      <c r="H259" s="77"/>
      <c r="I259" s="53">
        <f t="shared" si="7"/>
        <v>0</v>
      </c>
      <c r="K259" s="83"/>
    </row>
    <row r="260" spans="1:11" ht="12" customHeight="1" x14ac:dyDescent="0.25">
      <c r="A260" s="80"/>
      <c r="B260" s="53" t="str">
        <f>IFERROR(IF(VLOOKUP($A260,Osnova!$A:$E,1)=$A260,VLOOKUP($A260,Osnova!$A:$E,$E$10)),"")</f>
        <v/>
      </c>
      <c r="C260" s="98" t="e">
        <f>IF(VLOOKUP($A260,Osnova!$A:$C,1)=$A260,VLOOKUP($A260,Osnova!$A:$F,4),0)</f>
        <v>#N/A</v>
      </c>
      <c r="D260" s="77"/>
      <c r="E260" s="82"/>
      <c r="F260" s="93">
        <f t="shared" si="6"/>
        <v>0</v>
      </c>
      <c r="G260" s="77"/>
      <c r="H260" s="77"/>
      <c r="I260" s="53">
        <f t="shared" si="7"/>
        <v>0</v>
      </c>
      <c r="K260" s="83"/>
    </row>
    <row r="261" spans="1:11" ht="12" customHeight="1" x14ac:dyDescent="0.25">
      <c r="A261" s="80"/>
      <c r="B261" s="53" t="str">
        <f>IFERROR(IF(VLOOKUP($A261,Osnova!$A:$E,1)=$A261,VLOOKUP($A261,Osnova!$A:$E,$E$10)),"")</f>
        <v/>
      </c>
      <c r="C261" s="98" t="e">
        <f>IF(VLOOKUP($A261,Osnova!$A:$C,1)=$A261,VLOOKUP($A261,Osnova!$A:$F,4),0)</f>
        <v>#N/A</v>
      </c>
      <c r="D261" s="77"/>
      <c r="E261" s="82"/>
      <c r="F261" s="93">
        <f t="shared" si="6"/>
        <v>0</v>
      </c>
      <c r="G261" s="77"/>
      <c r="H261" s="77"/>
      <c r="I261" s="53">
        <f t="shared" si="7"/>
        <v>0</v>
      </c>
      <c r="K261" s="83"/>
    </row>
    <row r="262" spans="1:11" ht="12" customHeight="1" x14ac:dyDescent="0.25">
      <c r="A262" s="80"/>
      <c r="B262" s="53" t="str">
        <f>IFERROR(IF(VLOOKUP($A262,Osnova!$A:$E,1)=$A262,VLOOKUP($A262,Osnova!$A:$E,$E$10)),"")</f>
        <v/>
      </c>
      <c r="C262" s="98" t="e">
        <f>IF(VLOOKUP($A262,Osnova!$A:$C,1)=$A262,VLOOKUP($A262,Osnova!$A:$F,4),0)</f>
        <v>#N/A</v>
      </c>
      <c r="D262" s="77"/>
      <c r="E262" s="82"/>
      <c r="F262" s="93">
        <f t="shared" si="6"/>
        <v>0</v>
      </c>
      <c r="G262" s="77"/>
      <c r="H262" s="77"/>
      <c r="I262" s="53">
        <f t="shared" si="7"/>
        <v>0</v>
      </c>
      <c r="K262" s="83"/>
    </row>
    <row r="263" spans="1:11" ht="12" customHeight="1" x14ac:dyDescent="0.25">
      <c r="A263" s="80"/>
      <c r="B263" s="53" t="str">
        <f>IFERROR(IF(VLOOKUP($A263,Osnova!$A:$E,1)=$A263,VLOOKUP($A263,Osnova!$A:$E,$E$10)),"")</f>
        <v/>
      </c>
      <c r="C263" s="98" t="e">
        <f>IF(VLOOKUP($A263,Osnova!$A:$C,1)=$A263,VLOOKUP($A263,Osnova!$A:$F,4),0)</f>
        <v>#N/A</v>
      </c>
      <c r="D263" s="77"/>
      <c r="E263" s="82"/>
      <c r="F263" s="93">
        <f t="shared" si="6"/>
        <v>0</v>
      </c>
      <c r="G263" s="77"/>
      <c r="H263" s="77"/>
      <c r="I263" s="53">
        <f t="shared" si="7"/>
        <v>0</v>
      </c>
      <c r="K263" s="83"/>
    </row>
    <row r="264" spans="1:11" ht="12" customHeight="1" x14ac:dyDescent="0.25">
      <c r="A264" s="80"/>
      <c r="B264" s="53" t="str">
        <f>IFERROR(IF(VLOOKUP($A264,Osnova!$A:$E,1)=$A264,VLOOKUP($A264,Osnova!$A:$E,$E$10)),"")</f>
        <v/>
      </c>
      <c r="C264" s="98" t="e">
        <f>IF(VLOOKUP($A264,Osnova!$A:$C,1)=$A264,VLOOKUP($A264,Osnova!$A:$F,4),0)</f>
        <v>#N/A</v>
      </c>
      <c r="D264" s="77"/>
      <c r="E264" s="82"/>
      <c r="F264" s="93">
        <f t="shared" si="6"/>
        <v>0</v>
      </c>
      <c r="G264" s="77"/>
      <c r="H264" s="77"/>
      <c r="I264" s="53">
        <f t="shared" si="7"/>
        <v>0</v>
      </c>
      <c r="K264" s="83"/>
    </row>
    <row r="265" spans="1:11" ht="12" customHeight="1" x14ac:dyDescent="0.25">
      <c r="A265" s="80"/>
      <c r="B265" s="53" t="str">
        <f>IFERROR(IF(VLOOKUP($A265,Osnova!$A:$E,1)=$A265,VLOOKUP($A265,Osnova!$A:$E,$E$10)),"")</f>
        <v/>
      </c>
      <c r="C265" s="98" t="e">
        <f>IF(VLOOKUP($A265,Osnova!$A:$C,1)=$A265,VLOOKUP($A265,Osnova!$A:$F,4),0)</f>
        <v>#N/A</v>
      </c>
      <c r="D265" s="77"/>
      <c r="E265" s="82"/>
      <c r="F265" s="93">
        <f t="shared" si="6"/>
        <v>0</v>
      </c>
      <c r="G265" s="77"/>
      <c r="H265" s="77"/>
      <c r="I265" s="53">
        <f t="shared" si="7"/>
        <v>0</v>
      </c>
      <c r="K265" s="83"/>
    </row>
    <row r="266" spans="1:11" ht="12" customHeight="1" x14ac:dyDescent="0.25">
      <c r="A266" s="80"/>
      <c r="B266" s="53" t="str">
        <f>IFERROR(IF(VLOOKUP($A266,Osnova!$A:$E,1)=$A266,VLOOKUP($A266,Osnova!$A:$E,$E$10)),"")</f>
        <v/>
      </c>
      <c r="C266" s="98" t="e">
        <f>IF(VLOOKUP($A266,Osnova!$A:$C,1)=$A266,VLOOKUP($A266,Osnova!$A:$F,4),0)</f>
        <v>#N/A</v>
      </c>
      <c r="D266" s="77"/>
      <c r="E266" s="82"/>
      <c r="F266" s="93">
        <f t="shared" si="6"/>
        <v>0</v>
      </c>
      <c r="G266" s="77"/>
      <c r="H266" s="77"/>
      <c r="I266" s="53">
        <f t="shared" si="7"/>
        <v>0</v>
      </c>
      <c r="K266" s="83"/>
    </row>
    <row r="267" spans="1:11" ht="12" customHeight="1" x14ac:dyDescent="0.25">
      <c r="A267" s="80"/>
      <c r="B267" s="53" t="str">
        <f>IFERROR(IF(VLOOKUP($A267,Osnova!$A:$E,1)=$A267,VLOOKUP($A267,Osnova!$A:$E,$E$10)),"")</f>
        <v/>
      </c>
      <c r="C267" s="98" t="e">
        <f>IF(VLOOKUP($A267,Osnova!$A:$C,1)=$A267,VLOOKUP($A267,Osnova!$A:$F,4),0)</f>
        <v>#N/A</v>
      </c>
      <c r="D267" s="77"/>
      <c r="E267" s="82"/>
      <c r="F267" s="93">
        <f t="shared" si="6"/>
        <v>0</v>
      </c>
      <c r="G267" s="77"/>
      <c r="H267" s="77"/>
      <c r="I267" s="53">
        <f t="shared" si="7"/>
        <v>0</v>
      </c>
      <c r="K267" s="83"/>
    </row>
    <row r="268" spans="1:11" ht="12" customHeight="1" x14ac:dyDescent="0.25">
      <c r="A268" s="80"/>
      <c r="B268" s="53" t="str">
        <f>IFERROR(IF(VLOOKUP($A268,Osnova!$A:$E,1)=$A268,VLOOKUP($A268,Osnova!$A:$E,$E$10)),"")</f>
        <v/>
      </c>
      <c r="C268" s="98" t="e">
        <f>IF(VLOOKUP($A268,Osnova!$A:$C,1)=$A268,VLOOKUP($A268,Osnova!$A:$F,4),0)</f>
        <v>#N/A</v>
      </c>
      <c r="D268" s="77"/>
      <c r="E268" s="82"/>
      <c r="F268" s="93">
        <f t="shared" si="6"/>
        <v>0</v>
      </c>
      <c r="G268" s="77"/>
      <c r="H268" s="77"/>
      <c r="I268" s="53">
        <f t="shared" si="7"/>
        <v>0</v>
      </c>
      <c r="K268" s="83"/>
    </row>
    <row r="269" spans="1:11" ht="12" customHeight="1" x14ac:dyDescent="0.25">
      <c r="A269" s="80"/>
      <c r="B269" s="53" t="str">
        <f>IFERROR(IF(VLOOKUP($A269,Osnova!$A:$E,1)=$A269,VLOOKUP($A269,Osnova!$A:$E,$E$10)),"")</f>
        <v/>
      </c>
      <c r="C269" s="98" t="e">
        <f>IF(VLOOKUP($A269,Osnova!$A:$C,1)=$A269,VLOOKUP($A269,Osnova!$A:$F,4),0)</f>
        <v>#N/A</v>
      </c>
      <c r="D269" s="77"/>
      <c r="E269" s="82"/>
      <c r="F269" s="93">
        <f t="shared" ref="F269:F332" si="8">SUM(D269-E269)</f>
        <v>0</v>
      </c>
      <c r="G269" s="77"/>
      <c r="H269" s="77"/>
      <c r="I269" s="53">
        <f t="shared" ref="I269:I332" si="9">SUM(F269+G269-H269)</f>
        <v>0</v>
      </c>
      <c r="K269" s="83"/>
    </row>
    <row r="270" spans="1:11" ht="12" customHeight="1" x14ac:dyDescent="0.25">
      <c r="A270" s="80"/>
      <c r="B270" s="53" t="str">
        <f>IFERROR(IF(VLOOKUP($A270,Osnova!$A:$E,1)=$A270,VLOOKUP($A270,Osnova!$A:$E,$E$10)),"")</f>
        <v/>
      </c>
      <c r="C270" s="98" t="e">
        <f>IF(VLOOKUP($A270,Osnova!$A:$C,1)=$A270,VLOOKUP($A270,Osnova!$A:$F,4),0)</f>
        <v>#N/A</v>
      </c>
      <c r="D270" s="77"/>
      <c r="E270" s="82"/>
      <c r="F270" s="93">
        <f t="shared" si="8"/>
        <v>0</v>
      </c>
      <c r="G270" s="77"/>
      <c r="H270" s="77"/>
      <c r="I270" s="53">
        <f t="shared" si="9"/>
        <v>0</v>
      </c>
      <c r="K270" s="83"/>
    </row>
    <row r="271" spans="1:11" ht="12" customHeight="1" x14ac:dyDescent="0.25">
      <c r="A271" s="80"/>
      <c r="B271" s="53" t="str">
        <f>IFERROR(IF(VLOOKUP($A271,Osnova!$A:$E,1)=$A271,VLOOKUP($A271,Osnova!$A:$E,$E$10)),"")</f>
        <v/>
      </c>
      <c r="C271" s="98" t="e">
        <f>IF(VLOOKUP($A271,Osnova!$A:$C,1)=$A271,VLOOKUP($A271,Osnova!$A:$F,4),0)</f>
        <v>#N/A</v>
      </c>
      <c r="D271" s="77"/>
      <c r="E271" s="82"/>
      <c r="F271" s="93">
        <f t="shared" si="8"/>
        <v>0</v>
      </c>
      <c r="G271" s="77"/>
      <c r="H271" s="77"/>
      <c r="I271" s="53">
        <f t="shared" si="9"/>
        <v>0</v>
      </c>
      <c r="K271" s="83"/>
    </row>
    <row r="272" spans="1:11" ht="12" customHeight="1" x14ac:dyDescent="0.25">
      <c r="A272" s="80"/>
      <c r="B272" s="53" t="str">
        <f>IFERROR(IF(VLOOKUP($A272,Osnova!$A:$E,1)=$A272,VLOOKUP($A272,Osnova!$A:$E,$E$10)),"")</f>
        <v/>
      </c>
      <c r="C272" s="98" t="e">
        <f>IF(VLOOKUP($A272,Osnova!$A:$C,1)=$A272,VLOOKUP($A272,Osnova!$A:$F,4),0)</f>
        <v>#N/A</v>
      </c>
      <c r="D272" s="77"/>
      <c r="E272" s="82"/>
      <c r="F272" s="93">
        <f t="shared" si="8"/>
        <v>0</v>
      </c>
      <c r="G272" s="77"/>
      <c r="H272" s="77"/>
      <c r="I272" s="53">
        <f t="shared" si="9"/>
        <v>0</v>
      </c>
      <c r="K272" s="83"/>
    </row>
    <row r="273" spans="1:11" ht="12" customHeight="1" x14ac:dyDescent="0.25">
      <c r="A273" s="80"/>
      <c r="B273" s="53" t="str">
        <f>IFERROR(IF(VLOOKUP($A273,Osnova!$A:$E,1)=$A273,VLOOKUP($A273,Osnova!$A:$E,$E$10)),"")</f>
        <v/>
      </c>
      <c r="C273" s="98" t="e">
        <f>IF(VLOOKUP($A273,Osnova!$A:$C,1)=$A273,VLOOKUP($A273,Osnova!$A:$F,4),0)</f>
        <v>#N/A</v>
      </c>
      <c r="D273" s="77"/>
      <c r="E273" s="82"/>
      <c r="F273" s="93">
        <f t="shared" si="8"/>
        <v>0</v>
      </c>
      <c r="G273" s="77"/>
      <c r="H273" s="77"/>
      <c r="I273" s="53">
        <f t="shared" si="9"/>
        <v>0</v>
      </c>
      <c r="K273" s="83"/>
    </row>
    <row r="274" spans="1:11" ht="12" customHeight="1" x14ac:dyDescent="0.25">
      <c r="A274" s="80"/>
      <c r="B274" s="53" t="str">
        <f>IFERROR(IF(VLOOKUP($A274,Osnova!$A:$E,1)=$A274,VLOOKUP($A274,Osnova!$A:$E,$E$10)),"")</f>
        <v/>
      </c>
      <c r="C274" s="98" t="e">
        <f>IF(VLOOKUP($A274,Osnova!$A:$C,1)=$A274,VLOOKUP($A274,Osnova!$A:$F,4),0)</f>
        <v>#N/A</v>
      </c>
      <c r="D274" s="77"/>
      <c r="E274" s="82"/>
      <c r="F274" s="93">
        <f t="shared" si="8"/>
        <v>0</v>
      </c>
      <c r="G274" s="77"/>
      <c r="H274" s="77"/>
      <c r="I274" s="53">
        <f t="shared" si="9"/>
        <v>0</v>
      </c>
      <c r="K274" s="83"/>
    </row>
    <row r="275" spans="1:11" ht="12" customHeight="1" x14ac:dyDescent="0.25">
      <c r="A275" s="80"/>
      <c r="B275" s="53" t="str">
        <f>IFERROR(IF(VLOOKUP($A275,Osnova!$A:$E,1)=$A275,VLOOKUP($A275,Osnova!$A:$E,$E$10)),"")</f>
        <v/>
      </c>
      <c r="C275" s="98" t="e">
        <f>IF(VLOOKUP($A275,Osnova!$A:$C,1)=$A275,VLOOKUP($A275,Osnova!$A:$F,4),0)</f>
        <v>#N/A</v>
      </c>
      <c r="D275" s="77"/>
      <c r="E275" s="82"/>
      <c r="F275" s="93">
        <f t="shared" si="8"/>
        <v>0</v>
      </c>
      <c r="G275" s="77"/>
      <c r="H275" s="77"/>
      <c r="I275" s="53">
        <f t="shared" si="9"/>
        <v>0</v>
      </c>
      <c r="K275" s="83"/>
    </row>
    <row r="276" spans="1:11" ht="12" customHeight="1" x14ac:dyDescent="0.25">
      <c r="A276" s="80"/>
      <c r="B276" s="53" t="str">
        <f>IFERROR(IF(VLOOKUP($A276,Osnova!$A:$E,1)=$A276,VLOOKUP($A276,Osnova!$A:$E,$E$10)),"")</f>
        <v/>
      </c>
      <c r="C276" s="98" t="e">
        <f>IF(VLOOKUP($A276,Osnova!$A:$C,1)=$A276,VLOOKUP($A276,Osnova!$A:$F,4),0)</f>
        <v>#N/A</v>
      </c>
      <c r="D276" s="77"/>
      <c r="E276" s="82"/>
      <c r="F276" s="93">
        <f t="shared" si="8"/>
        <v>0</v>
      </c>
      <c r="G276" s="77"/>
      <c r="H276" s="77"/>
      <c r="I276" s="53">
        <f t="shared" si="9"/>
        <v>0</v>
      </c>
      <c r="K276" s="83"/>
    </row>
    <row r="277" spans="1:11" ht="12" customHeight="1" x14ac:dyDescent="0.25">
      <c r="A277" s="80"/>
      <c r="B277" s="53" t="str">
        <f>IFERROR(IF(VLOOKUP($A277,Osnova!$A:$E,1)=$A277,VLOOKUP($A277,Osnova!$A:$E,$E$10)),"")</f>
        <v/>
      </c>
      <c r="C277" s="98" t="e">
        <f>IF(VLOOKUP($A277,Osnova!$A:$C,1)=$A277,VLOOKUP($A277,Osnova!$A:$F,4),0)</f>
        <v>#N/A</v>
      </c>
      <c r="D277" s="77"/>
      <c r="E277" s="82"/>
      <c r="F277" s="93">
        <f t="shared" si="8"/>
        <v>0</v>
      </c>
      <c r="G277" s="77"/>
      <c r="H277" s="77"/>
      <c r="I277" s="53">
        <f t="shared" si="9"/>
        <v>0</v>
      </c>
      <c r="K277" s="83"/>
    </row>
    <row r="278" spans="1:11" ht="12" customHeight="1" x14ac:dyDescent="0.25">
      <c r="A278" s="80"/>
      <c r="B278" s="53" t="str">
        <f>IFERROR(IF(VLOOKUP($A278,Osnova!$A:$E,1)=$A278,VLOOKUP($A278,Osnova!$A:$E,$E$10)),"")</f>
        <v/>
      </c>
      <c r="C278" s="98" t="e">
        <f>IF(VLOOKUP($A278,Osnova!$A:$C,1)=$A278,VLOOKUP($A278,Osnova!$A:$F,4),0)</f>
        <v>#N/A</v>
      </c>
      <c r="D278" s="77"/>
      <c r="E278" s="82"/>
      <c r="F278" s="93">
        <f t="shared" si="8"/>
        <v>0</v>
      </c>
      <c r="G278" s="77"/>
      <c r="H278" s="77"/>
      <c r="I278" s="53">
        <f t="shared" si="9"/>
        <v>0</v>
      </c>
      <c r="K278" s="83"/>
    </row>
    <row r="279" spans="1:11" ht="12" customHeight="1" x14ac:dyDescent="0.25">
      <c r="A279" s="80"/>
      <c r="B279" s="53" t="str">
        <f>IFERROR(IF(VLOOKUP($A279,Osnova!$A:$E,1)=$A279,VLOOKUP($A279,Osnova!$A:$E,$E$10)),"")</f>
        <v/>
      </c>
      <c r="C279" s="98" t="e">
        <f>IF(VLOOKUP($A279,Osnova!$A:$C,1)=$A279,VLOOKUP($A279,Osnova!$A:$F,4),0)</f>
        <v>#N/A</v>
      </c>
      <c r="D279" s="77"/>
      <c r="E279" s="82"/>
      <c r="F279" s="93">
        <f t="shared" si="8"/>
        <v>0</v>
      </c>
      <c r="G279" s="77"/>
      <c r="H279" s="77"/>
      <c r="I279" s="53">
        <f t="shared" si="9"/>
        <v>0</v>
      </c>
      <c r="K279" s="83"/>
    </row>
    <row r="280" spans="1:11" ht="12" customHeight="1" x14ac:dyDescent="0.25">
      <c r="A280" s="80"/>
      <c r="B280" s="53" t="str">
        <f>IFERROR(IF(VLOOKUP($A280,Osnova!$A:$E,1)=$A280,VLOOKUP($A280,Osnova!$A:$E,$E$10)),"")</f>
        <v/>
      </c>
      <c r="C280" s="98" t="e">
        <f>IF(VLOOKUP($A280,Osnova!$A:$C,1)=$A280,VLOOKUP($A280,Osnova!$A:$F,4),0)</f>
        <v>#N/A</v>
      </c>
      <c r="D280" s="77"/>
      <c r="E280" s="82"/>
      <c r="F280" s="93">
        <f t="shared" si="8"/>
        <v>0</v>
      </c>
      <c r="G280" s="77"/>
      <c r="H280" s="77"/>
      <c r="I280" s="53">
        <f t="shared" si="9"/>
        <v>0</v>
      </c>
      <c r="K280" s="83"/>
    </row>
    <row r="281" spans="1:11" ht="12" customHeight="1" x14ac:dyDescent="0.25">
      <c r="A281" s="80"/>
      <c r="B281" s="53" t="str">
        <f>IFERROR(IF(VLOOKUP($A281,Osnova!$A:$E,1)=$A281,VLOOKUP($A281,Osnova!$A:$E,$E$10)),"")</f>
        <v/>
      </c>
      <c r="C281" s="98" t="e">
        <f>IF(VLOOKUP($A281,Osnova!$A:$C,1)=$A281,VLOOKUP($A281,Osnova!$A:$F,4),0)</f>
        <v>#N/A</v>
      </c>
      <c r="D281" s="77"/>
      <c r="E281" s="82"/>
      <c r="F281" s="93">
        <f t="shared" si="8"/>
        <v>0</v>
      </c>
      <c r="G281" s="77"/>
      <c r="H281" s="77"/>
      <c r="I281" s="53">
        <f t="shared" si="9"/>
        <v>0</v>
      </c>
      <c r="K281" s="83"/>
    </row>
    <row r="282" spans="1:11" ht="12" customHeight="1" x14ac:dyDescent="0.25">
      <c r="A282" s="80"/>
      <c r="B282" s="53" t="str">
        <f>IFERROR(IF(VLOOKUP($A282,Osnova!$A:$E,1)=$A282,VLOOKUP($A282,Osnova!$A:$E,$E$10)),"")</f>
        <v/>
      </c>
      <c r="C282" s="98" t="e">
        <f>IF(VLOOKUP($A282,Osnova!$A:$C,1)=$A282,VLOOKUP($A282,Osnova!$A:$F,4),0)</f>
        <v>#N/A</v>
      </c>
      <c r="D282" s="77"/>
      <c r="E282" s="82"/>
      <c r="F282" s="93">
        <f t="shared" si="8"/>
        <v>0</v>
      </c>
      <c r="G282" s="77"/>
      <c r="H282" s="77"/>
      <c r="I282" s="53">
        <f t="shared" si="9"/>
        <v>0</v>
      </c>
      <c r="K282" s="83"/>
    </row>
    <row r="283" spans="1:11" ht="12" customHeight="1" x14ac:dyDescent="0.25">
      <c r="A283" s="80"/>
      <c r="B283" s="53" t="str">
        <f>IFERROR(IF(VLOOKUP($A283,Osnova!$A:$E,1)=$A283,VLOOKUP($A283,Osnova!$A:$E,$E$10)),"")</f>
        <v/>
      </c>
      <c r="C283" s="98" t="e">
        <f>IF(VLOOKUP($A283,Osnova!$A:$C,1)=$A283,VLOOKUP($A283,Osnova!$A:$F,4),0)</f>
        <v>#N/A</v>
      </c>
      <c r="D283" s="77"/>
      <c r="E283" s="82"/>
      <c r="F283" s="93">
        <f t="shared" si="8"/>
        <v>0</v>
      </c>
      <c r="G283" s="77"/>
      <c r="H283" s="77"/>
      <c r="I283" s="53">
        <f t="shared" si="9"/>
        <v>0</v>
      </c>
      <c r="K283" s="83"/>
    </row>
    <row r="284" spans="1:11" ht="12" customHeight="1" x14ac:dyDescent="0.25">
      <c r="A284" s="80"/>
      <c r="B284" s="53" t="str">
        <f>IFERROR(IF(VLOOKUP($A284,Osnova!$A:$E,1)=$A284,VLOOKUP($A284,Osnova!$A:$E,$E$10)),"")</f>
        <v/>
      </c>
      <c r="C284" s="98" t="e">
        <f>IF(VLOOKUP($A284,Osnova!$A:$C,1)=$A284,VLOOKUP($A284,Osnova!$A:$F,4),0)</f>
        <v>#N/A</v>
      </c>
      <c r="D284" s="77"/>
      <c r="E284" s="82"/>
      <c r="F284" s="93">
        <f t="shared" si="8"/>
        <v>0</v>
      </c>
      <c r="G284" s="77"/>
      <c r="H284" s="77"/>
      <c r="I284" s="53">
        <f t="shared" si="9"/>
        <v>0</v>
      </c>
      <c r="K284" s="83"/>
    </row>
    <row r="285" spans="1:11" ht="12" customHeight="1" x14ac:dyDescent="0.25">
      <c r="A285" s="80"/>
      <c r="B285" s="53" t="str">
        <f>IFERROR(IF(VLOOKUP($A285,Osnova!$A:$E,1)=$A285,VLOOKUP($A285,Osnova!$A:$E,$E$10)),"")</f>
        <v/>
      </c>
      <c r="C285" s="98" t="e">
        <f>IF(VLOOKUP($A285,Osnova!$A:$C,1)=$A285,VLOOKUP($A285,Osnova!$A:$F,4),0)</f>
        <v>#N/A</v>
      </c>
      <c r="D285" s="77"/>
      <c r="E285" s="82"/>
      <c r="F285" s="93">
        <f t="shared" si="8"/>
        <v>0</v>
      </c>
      <c r="G285" s="77"/>
      <c r="H285" s="77"/>
      <c r="I285" s="53">
        <f t="shared" si="9"/>
        <v>0</v>
      </c>
      <c r="K285" s="83"/>
    </row>
    <row r="286" spans="1:11" ht="12" customHeight="1" x14ac:dyDescent="0.25">
      <c r="A286" s="80"/>
      <c r="B286" s="53" t="str">
        <f>IFERROR(IF(VLOOKUP($A286,Osnova!$A:$E,1)=$A286,VLOOKUP($A286,Osnova!$A:$E,$E$10)),"")</f>
        <v/>
      </c>
      <c r="C286" s="98" t="e">
        <f>IF(VLOOKUP($A286,Osnova!$A:$C,1)=$A286,VLOOKUP($A286,Osnova!$A:$F,4),0)</f>
        <v>#N/A</v>
      </c>
      <c r="D286" s="77"/>
      <c r="E286" s="82"/>
      <c r="F286" s="93">
        <f t="shared" si="8"/>
        <v>0</v>
      </c>
      <c r="G286" s="77"/>
      <c r="H286" s="77"/>
      <c r="I286" s="53">
        <f t="shared" si="9"/>
        <v>0</v>
      </c>
      <c r="K286" s="83"/>
    </row>
    <row r="287" spans="1:11" ht="12" customHeight="1" x14ac:dyDescent="0.25">
      <c r="A287" s="80"/>
      <c r="B287" s="53" t="str">
        <f>IFERROR(IF(VLOOKUP($A287,Osnova!$A:$E,1)=$A287,VLOOKUP($A287,Osnova!$A:$E,$E$10)),"")</f>
        <v/>
      </c>
      <c r="C287" s="98" t="e">
        <f>IF(VLOOKUP($A287,Osnova!$A:$C,1)=$A287,VLOOKUP($A287,Osnova!$A:$F,4),0)</f>
        <v>#N/A</v>
      </c>
      <c r="D287" s="77"/>
      <c r="E287" s="82"/>
      <c r="F287" s="93">
        <f t="shared" si="8"/>
        <v>0</v>
      </c>
      <c r="G287" s="77"/>
      <c r="H287" s="77"/>
      <c r="I287" s="53">
        <f t="shared" si="9"/>
        <v>0</v>
      </c>
      <c r="K287" s="83"/>
    </row>
    <row r="288" spans="1:11" ht="12" customHeight="1" x14ac:dyDescent="0.25">
      <c r="A288" s="80"/>
      <c r="B288" s="53" t="str">
        <f>IFERROR(IF(VLOOKUP($A288,Osnova!$A:$E,1)=$A288,VLOOKUP($A288,Osnova!$A:$E,$E$10)),"")</f>
        <v/>
      </c>
      <c r="C288" s="98" t="e">
        <f>IF(VLOOKUP($A288,Osnova!$A:$C,1)=$A288,VLOOKUP($A288,Osnova!$A:$F,4),0)</f>
        <v>#N/A</v>
      </c>
      <c r="D288" s="77"/>
      <c r="E288" s="82"/>
      <c r="F288" s="93">
        <f t="shared" si="8"/>
        <v>0</v>
      </c>
      <c r="G288" s="77"/>
      <c r="H288" s="77"/>
      <c r="I288" s="53">
        <f t="shared" si="9"/>
        <v>0</v>
      </c>
      <c r="K288" s="83"/>
    </row>
    <row r="289" spans="1:11" ht="12" customHeight="1" x14ac:dyDescent="0.25">
      <c r="A289" s="80"/>
      <c r="B289" s="53" t="str">
        <f>IFERROR(IF(VLOOKUP($A289,Osnova!$A:$E,1)=$A289,VLOOKUP($A289,Osnova!$A:$E,$E$10)),"")</f>
        <v/>
      </c>
      <c r="C289" s="98" t="e">
        <f>IF(VLOOKUP($A289,Osnova!$A:$C,1)=$A289,VLOOKUP($A289,Osnova!$A:$F,4),0)</f>
        <v>#N/A</v>
      </c>
      <c r="D289" s="77"/>
      <c r="E289" s="82"/>
      <c r="F289" s="93">
        <f t="shared" si="8"/>
        <v>0</v>
      </c>
      <c r="G289" s="77"/>
      <c r="H289" s="77"/>
      <c r="I289" s="53">
        <f t="shared" si="9"/>
        <v>0</v>
      </c>
      <c r="K289" s="83"/>
    </row>
    <row r="290" spans="1:11" ht="12" customHeight="1" x14ac:dyDescent="0.25">
      <c r="A290" s="80"/>
      <c r="B290" s="53" t="str">
        <f>IFERROR(IF(VLOOKUP($A290,Osnova!$A:$E,1)=$A290,VLOOKUP($A290,Osnova!$A:$E,$E$10)),"")</f>
        <v/>
      </c>
      <c r="C290" s="98" t="e">
        <f>IF(VLOOKUP($A290,Osnova!$A:$C,1)=$A290,VLOOKUP($A290,Osnova!$A:$F,4),0)</f>
        <v>#N/A</v>
      </c>
      <c r="D290" s="77"/>
      <c r="E290" s="82"/>
      <c r="F290" s="93">
        <f t="shared" si="8"/>
        <v>0</v>
      </c>
      <c r="G290" s="77"/>
      <c r="H290" s="77"/>
      <c r="I290" s="53">
        <f t="shared" si="9"/>
        <v>0</v>
      </c>
      <c r="K290" s="83"/>
    </row>
    <row r="291" spans="1:11" ht="12" customHeight="1" x14ac:dyDescent="0.25">
      <c r="A291" s="80"/>
      <c r="B291" s="53" t="str">
        <f>IFERROR(IF(VLOOKUP($A291,Osnova!$A:$E,1)=$A291,VLOOKUP($A291,Osnova!$A:$E,$E$10)),"")</f>
        <v/>
      </c>
      <c r="C291" s="98" t="e">
        <f>IF(VLOOKUP($A291,Osnova!$A:$C,1)=$A291,VLOOKUP($A291,Osnova!$A:$F,4),0)</f>
        <v>#N/A</v>
      </c>
      <c r="D291" s="77"/>
      <c r="E291" s="82"/>
      <c r="F291" s="93">
        <f t="shared" si="8"/>
        <v>0</v>
      </c>
      <c r="G291" s="77"/>
      <c r="H291" s="77"/>
      <c r="I291" s="53">
        <f t="shared" si="9"/>
        <v>0</v>
      </c>
      <c r="K291" s="83"/>
    </row>
    <row r="292" spans="1:11" ht="12" customHeight="1" x14ac:dyDescent="0.25">
      <c r="A292" s="80"/>
      <c r="B292" s="53" t="str">
        <f>IFERROR(IF(VLOOKUP($A292,Osnova!$A:$E,1)=$A292,VLOOKUP($A292,Osnova!$A:$E,$E$10)),"")</f>
        <v/>
      </c>
      <c r="C292" s="98" t="e">
        <f>IF(VLOOKUP($A292,Osnova!$A:$C,1)=$A292,VLOOKUP($A292,Osnova!$A:$F,4),0)</f>
        <v>#N/A</v>
      </c>
      <c r="D292" s="77"/>
      <c r="E292" s="82"/>
      <c r="F292" s="93">
        <f t="shared" si="8"/>
        <v>0</v>
      </c>
      <c r="G292" s="77"/>
      <c r="H292" s="77"/>
      <c r="I292" s="53">
        <f t="shared" si="9"/>
        <v>0</v>
      </c>
      <c r="K292" s="83"/>
    </row>
    <row r="293" spans="1:11" ht="12" customHeight="1" x14ac:dyDescent="0.25">
      <c r="A293" s="80"/>
      <c r="B293" s="53" t="str">
        <f>IFERROR(IF(VLOOKUP($A293,Osnova!$A:$E,1)=$A293,VLOOKUP($A293,Osnova!$A:$E,$E$10)),"")</f>
        <v/>
      </c>
      <c r="C293" s="98" t="e">
        <f>IF(VLOOKUP($A293,Osnova!$A:$C,1)=$A293,VLOOKUP($A293,Osnova!$A:$F,4),0)</f>
        <v>#N/A</v>
      </c>
      <c r="D293" s="77"/>
      <c r="E293" s="82"/>
      <c r="F293" s="93">
        <f t="shared" si="8"/>
        <v>0</v>
      </c>
      <c r="G293" s="77"/>
      <c r="H293" s="77"/>
      <c r="I293" s="53">
        <f t="shared" si="9"/>
        <v>0</v>
      </c>
      <c r="K293" s="83"/>
    </row>
    <row r="294" spans="1:11" ht="12" customHeight="1" x14ac:dyDescent="0.25">
      <c r="A294" s="80"/>
      <c r="B294" s="53" t="str">
        <f>IFERROR(IF(VLOOKUP($A294,Osnova!$A:$E,1)=$A294,VLOOKUP($A294,Osnova!$A:$E,$E$10)),"")</f>
        <v/>
      </c>
      <c r="C294" s="98" t="e">
        <f>IF(VLOOKUP($A294,Osnova!$A:$C,1)=$A294,VLOOKUP($A294,Osnova!$A:$F,4),0)</f>
        <v>#N/A</v>
      </c>
      <c r="D294" s="77"/>
      <c r="E294" s="82"/>
      <c r="F294" s="93">
        <f t="shared" si="8"/>
        <v>0</v>
      </c>
      <c r="G294" s="77"/>
      <c r="H294" s="77"/>
      <c r="I294" s="53">
        <f t="shared" si="9"/>
        <v>0</v>
      </c>
      <c r="K294" s="83"/>
    </row>
    <row r="295" spans="1:11" ht="12" customHeight="1" x14ac:dyDescent="0.25">
      <c r="A295" s="80"/>
      <c r="B295" s="53" t="str">
        <f>IFERROR(IF(VLOOKUP($A295,Osnova!$A:$E,1)=$A295,VLOOKUP($A295,Osnova!$A:$E,$E$10)),"")</f>
        <v/>
      </c>
      <c r="C295" s="98" t="e">
        <f>IF(VLOOKUP($A295,Osnova!$A:$C,1)=$A295,VLOOKUP($A295,Osnova!$A:$F,4),0)</f>
        <v>#N/A</v>
      </c>
      <c r="D295" s="77"/>
      <c r="E295" s="82"/>
      <c r="F295" s="93">
        <f t="shared" si="8"/>
        <v>0</v>
      </c>
      <c r="G295" s="77"/>
      <c r="H295" s="77"/>
      <c r="I295" s="53">
        <f t="shared" si="9"/>
        <v>0</v>
      </c>
      <c r="K295" s="83"/>
    </row>
    <row r="296" spans="1:11" ht="12" customHeight="1" x14ac:dyDescent="0.25">
      <c r="A296" s="80"/>
      <c r="B296" s="53" t="str">
        <f>IFERROR(IF(VLOOKUP($A296,Osnova!$A:$E,1)=$A296,VLOOKUP($A296,Osnova!$A:$E,$E$10)),"")</f>
        <v/>
      </c>
      <c r="C296" s="98" t="e">
        <f>IF(VLOOKUP($A296,Osnova!$A:$C,1)=$A296,VLOOKUP($A296,Osnova!$A:$F,4),0)</f>
        <v>#N/A</v>
      </c>
      <c r="D296" s="77"/>
      <c r="E296" s="82"/>
      <c r="F296" s="93">
        <f t="shared" si="8"/>
        <v>0</v>
      </c>
      <c r="G296" s="77"/>
      <c r="H296" s="77"/>
      <c r="I296" s="53">
        <f t="shared" si="9"/>
        <v>0</v>
      </c>
      <c r="K296" s="83"/>
    </row>
    <row r="297" spans="1:11" ht="12" customHeight="1" x14ac:dyDescent="0.25">
      <c r="A297" s="80"/>
      <c r="B297" s="53" t="str">
        <f>IFERROR(IF(VLOOKUP($A297,Osnova!$A:$E,1)=$A297,VLOOKUP($A297,Osnova!$A:$E,$E$10)),"")</f>
        <v/>
      </c>
      <c r="C297" s="98" t="e">
        <f>IF(VLOOKUP($A297,Osnova!$A:$C,1)=$A297,VLOOKUP($A297,Osnova!$A:$F,4),0)</f>
        <v>#N/A</v>
      </c>
      <c r="D297" s="77"/>
      <c r="E297" s="82"/>
      <c r="F297" s="93">
        <f t="shared" si="8"/>
        <v>0</v>
      </c>
      <c r="G297" s="77"/>
      <c r="H297" s="77"/>
      <c r="I297" s="53">
        <f t="shared" si="9"/>
        <v>0</v>
      </c>
      <c r="K297" s="83"/>
    </row>
    <row r="298" spans="1:11" ht="12" customHeight="1" x14ac:dyDescent="0.25">
      <c r="A298" s="80"/>
      <c r="B298" s="53" t="str">
        <f>IFERROR(IF(VLOOKUP($A298,Osnova!$A:$E,1)=$A298,VLOOKUP($A298,Osnova!$A:$E,$E$10)),"")</f>
        <v/>
      </c>
      <c r="C298" s="98" t="e">
        <f>IF(VLOOKUP($A298,Osnova!$A:$C,1)=$A298,VLOOKUP($A298,Osnova!$A:$F,4),0)</f>
        <v>#N/A</v>
      </c>
      <c r="D298" s="77"/>
      <c r="E298" s="82"/>
      <c r="F298" s="93">
        <f t="shared" si="8"/>
        <v>0</v>
      </c>
      <c r="G298" s="77"/>
      <c r="H298" s="77"/>
      <c r="I298" s="53">
        <f t="shared" si="9"/>
        <v>0</v>
      </c>
      <c r="K298" s="83"/>
    </row>
    <row r="299" spans="1:11" ht="12" customHeight="1" x14ac:dyDescent="0.25">
      <c r="A299" s="80"/>
      <c r="B299" s="53" t="str">
        <f>IFERROR(IF(VLOOKUP($A299,Osnova!$A:$E,1)=$A299,VLOOKUP($A299,Osnova!$A:$E,$E$10)),"")</f>
        <v/>
      </c>
      <c r="C299" s="98" t="e">
        <f>IF(VLOOKUP($A299,Osnova!$A:$C,1)=$A299,VLOOKUP($A299,Osnova!$A:$F,4),0)</f>
        <v>#N/A</v>
      </c>
      <c r="D299" s="77"/>
      <c r="E299" s="82"/>
      <c r="F299" s="93">
        <f t="shared" si="8"/>
        <v>0</v>
      </c>
      <c r="G299" s="77"/>
      <c r="H299" s="77"/>
      <c r="I299" s="53">
        <f t="shared" si="9"/>
        <v>0</v>
      </c>
      <c r="K299" s="83"/>
    </row>
    <row r="300" spans="1:11" ht="12" customHeight="1" x14ac:dyDescent="0.25">
      <c r="A300" s="80"/>
      <c r="B300" s="53" t="str">
        <f>IFERROR(IF(VLOOKUP($A300,Osnova!$A:$E,1)=$A300,VLOOKUP($A300,Osnova!$A:$E,$E$10)),"")</f>
        <v/>
      </c>
      <c r="C300" s="98" t="e">
        <f>IF(VLOOKUP($A300,Osnova!$A:$C,1)=$A300,VLOOKUP($A300,Osnova!$A:$F,4),0)</f>
        <v>#N/A</v>
      </c>
      <c r="D300" s="77"/>
      <c r="E300" s="82"/>
      <c r="F300" s="93">
        <f t="shared" si="8"/>
        <v>0</v>
      </c>
      <c r="G300" s="77"/>
      <c r="H300" s="77"/>
      <c r="I300" s="53">
        <f t="shared" si="9"/>
        <v>0</v>
      </c>
      <c r="K300" s="83"/>
    </row>
    <row r="301" spans="1:11" ht="12" customHeight="1" x14ac:dyDescent="0.25">
      <c r="A301" s="80"/>
      <c r="B301" s="53" t="str">
        <f>IFERROR(IF(VLOOKUP($A301,Osnova!$A:$E,1)=$A301,VLOOKUP($A301,Osnova!$A:$E,$E$10)),"")</f>
        <v/>
      </c>
      <c r="C301" s="98" t="e">
        <f>IF(VLOOKUP($A301,Osnova!$A:$C,1)=$A301,VLOOKUP($A301,Osnova!$A:$F,4),0)</f>
        <v>#N/A</v>
      </c>
      <c r="D301" s="77"/>
      <c r="E301" s="82"/>
      <c r="F301" s="93">
        <f t="shared" si="8"/>
        <v>0</v>
      </c>
      <c r="G301" s="77"/>
      <c r="H301" s="77"/>
      <c r="I301" s="53">
        <f t="shared" si="9"/>
        <v>0</v>
      </c>
      <c r="K301" s="83"/>
    </row>
    <row r="302" spans="1:11" ht="12" customHeight="1" x14ac:dyDescent="0.25">
      <c r="A302" s="80"/>
      <c r="B302" s="53" t="str">
        <f>IFERROR(IF(VLOOKUP($A302,Osnova!$A:$E,1)=$A302,VLOOKUP($A302,Osnova!$A:$E,$E$10)),"")</f>
        <v/>
      </c>
      <c r="C302" s="98" t="e">
        <f>IF(VLOOKUP($A302,Osnova!$A:$C,1)=$A302,VLOOKUP($A302,Osnova!$A:$F,4),0)</f>
        <v>#N/A</v>
      </c>
      <c r="D302" s="77"/>
      <c r="E302" s="82"/>
      <c r="F302" s="93">
        <f t="shared" si="8"/>
        <v>0</v>
      </c>
      <c r="G302" s="77"/>
      <c r="H302" s="77"/>
      <c r="I302" s="53">
        <f t="shared" si="9"/>
        <v>0</v>
      </c>
      <c r="K302" s="83"/>
    </row>
    <row r="303" spans="1:11" ht="12" customHeight="1" x14ac:dyDescent="0.25">
      <c r="A303" s="80"/>
      <c r="B303" s="53" t="str">
        <f>IFERROR(IF(VLOOKUP($A303,Osnova!$A:$E,1)=$A303,VLOOKUP($A303,Osnova!$A:$E,$E$10)),"")</f>
        <v/>
      </c>
      <c r="C303" s="98" t="e">
        <f>IF(VLOOKUP($A303,Osnova!$A:$C,1)=$A303,VLOOKUP($A303,Osnova!$A:$F,4),0)</f>
        <v>#N/A</v>
      </c>
      <c r="D303" s="77"/>
      <c r="E303" s="82"/>
      <c r="F303" s="93">
        <f t="shared" si="8"/>
        <v>0</v>
      </c>
      <c r="G303" s="77"/>
      <c r="H303" s="77"/>
      <c r="I303" s="53">
        <f t="shared" si="9"/>
        <v>0</v>
      </c>
      <c r="K303" s="83"/>
    </row>
    <row r="304" spans="1:11" ht="12" customHeight="1" x14ac:dyDescent="0.25">
      <c r="A304" s="80"/>
      <c r="B304" s="53" t="str">
        <f>IFERROR(IF(VLOOKUP($A304,Osnova!$A:$E,1)=$A304,VLOOKUP($A304,Osnova!$A:$E,$E$10)),"")</f>
        <v/>
      </c>
      <c r="C304" s="98" t="e">
        <f>IF(VLOOKUP($A304,Osnova!$A:$C,1)=$A304,VLOOKUP($A304,Osnova!$A:$F,4),0)</f>
        <v>#N/A</v>
      </c>
      <c r="D304" s="77"/>
      <c r="E304" s="82"/>
      <c r="F304" s="93">
        <f t="shared" si="8"/>
        <v>0</v>
      </c>
      <c r="G304" s="77"/>
      <c r="H304" s="77"/>
      <c r="I304" s="53">
        <f t="shared" si="9"/>
        <v>0</v>
      </c>
      <c r="K304" s="83"/>
    </row>
    <row r="305" spans="1:11" ht="12" customHeight="1" x14ac:dyDescent="0.25">
      <c r="A305" s="80"/>
      <c r="B305" s="53" t="str">
        <f>IFERROR(IF(VLOOKUP($A305,Osnova!$A:$E,1)=$A305,VLOOKUP($A305,Osnova!$A:$E,$E$10)),"")</f>
        <v/>
      </c>
      <c r="C305" s="98" t="e">
        <f>IF(VLOOKUP($A305,Osnova!$A:$C,1)=$A305,VLOOKUP($A305,Osnova!$A:$F,4),0)</f>
        <v>#N/A</v>
      </c>
      <c r="D305" s="77"/>
      <c r="E305" s="82"/>
      <c r="F305" s="93">
        <f t="shared" si="8"/>
        <v>0</v>
      </c>
      <c r="G305" s="77"/>
      <c r="H305" s="77"/>
      <c r="I305" s="53">
        <f t="shared" si="9"/>
        <v>0</v>
      </c>
      <c r="K305" s="83"/>
    </row>
    <row r="306" spans="1:11" ht="12" customHeight="1" x14ac:dyDescent="0.25">
      <c r="A306" s="80"/>
      <c r="B306" s="53" t="str">
        <f>IFERROR(IF(VLOOKUP($A306,Osnova!$A:$E,1)=$A306,VLOOKUP($A306,Osnova!$A:$E,$E$10)),"")</f>
        <v/>
      </c>
      <c r="C306" s="98" t="e">
        <f>IF(VLOOKUP($A306,Osnova!$A:$C,1)=$A306,VLOOKUP($A306,Osnova!$A:$F,4),0)</f>
        <v>#N/A</v>
      </c>
      <c r="D306" s="77"/>
      <c r="E306" s="82"/>
      <c r="F306" s="93">
        <f t="shared" si="8"/>
        <v>0</v>
      </c>
      <c r="G306" s="77"/>
      <c r="H306" s="77"/>
      <c r="I306" s="53">
        <f t="shared" si="9"/>
        <v>0</v>
      </c>
      <c r="K306" s="83"/>
    </row>
    <row r="307" spans="1:11" ht="12" customHeight="1" x14ac:dyDescent="0.25">
      <c r="A307" s="80"/>
      <c r="B307" s="53" t="str">
        <f>IFERROR(IF(VLOOKUP($A307,Osnova!$A:$E,1)=$A307,VLOOKUP($A307,Osnova!$A:$E,$E$10)),"")</f>
        <v/>
      </c>
      <c r="C307" s="98" t="e">
        <f>IF(VLOOKUP($A307,Osnova!$A:$C,1)=$A307,VLOOKUP($A307,Osnova!$A:$F,4),0)</f>
        <v>#N/A</v>
      </c>
      <c r="D307" s="77"/>
      <c r="E307" s="82"/>
      <c r="F307" s="93">
        <f t="shared" si="8"/>
        <v>0</v>
      </c>
      <c r="G307" s="77"/>
      <c r="H307" s="77"/>
      <c r="I307" s="53">
        <f t="shared" si="9"/>
        <v>0</v>
      </c>
      <c r="K307" s="83"/>
    </row>
    <row r="308" spans="1:11" ht="12" customHeight="1" x14ac:dyDescent="0.25">
      <c r="A308" s="80"/>
      <c r="B308" s="53" t="str">
        <f>IFERROR(IF(VLOOKUP($A308,Osnova!$A:$E,1)=$A308,VLOOKUP($A308,Osnova!$A:$E,$E$10)),"")</f>
        <v/>
      </c>
      <c r="C308" s="98" t="e">
        <f>IF(VLOOKUP($A308,Osnova!$A:$C,1)=$A308,VLOOKUP($A308,Osnova!$A:$F,4),0)</f>
        <v>#N/A</v>
      </c>
      <c r="D308" s="77"/>
      <c r="E308" s="82"/>
      <c r="F308" s="93">
        <f t="shared" si="8"/>
        <v>0</v>
      </c>
      <c r="G308" s="77"/>
      <c r="H308" s="77"/>
      <c r="I308" s="53">
        <f t="shared" si="9"/>
        <v>0</v>
      </c>
      <c r="K308" s="83"/>
    </row>
    <row r="309" spans="1:11" ht="12" customHeight="1" x14ac:dyDescent="0.25">
      <c r="A309" s="80"/>
      <c r="B309" s="53" t="str">
        <f>IFERROR(IF(VLOOKUP($A309,Osnova!$A:$E,1)=$A309,VLOOKUP($A309,Osnova!$A:$E,$E$10)),"")</f>
        <v/>
      </c>
      <c r="C309" s="98" t="e">
        <f>IF(VLOOKUP($A309,Osnova!$A:$C,1)=$A309,VLOOKUP($A309,Osnova!$A:$F,4),0)</f>
        <v>#N/A</v>
      </c>
      <c r="D309" s="77"/>
      <c r="E309" s="82"/>
      <c r="F309" s="93">
        <f t="shared" si="8"/>
        <v>0</v>
      </c>
      <c r="G309" s="77"/>
      <c r="H309" s="77"/>
      <c r="I309" s="53">
        <f t="shared" si="9"/>
        <v>0</v>
      </c>
      <c r="K309" s="83"/>
    </row>
    <row r="310" spans="1:11" ht="12" customHeight="1" x14ac:dyDescent="0.25">
      <c r="A310" s="80"/>
      <c r="B310" s="53" t="str">
        <f>IFERROR(IF(VLOOKUP($A310,Osnova!$A:$E,1)=$A310,VLOOKUP($A310,Osnova!$A:$E,$E$10)),"")</f>
        <v/>
      </c>
      <c r="C310" s="98" t="e">
        <f>IF(VLOOKUP($A310,Osnova!$A:$C,1)=$A310,VLOOKUP($A310,Osnova!$A:$F,4),0)</f>
        <v>#N/A</v>
      </c>
      <c r="D310" s="77"/>
      <c r="E310" s="82"/>
      <c r="F310" s="93">
        <f t="shared" si="8"/>
        <v>0</v>
      </c>
      <c r="G310" s="77"/>
      <c r="H310" s="77"/>
      <c r="I310" s="53">
        <f t="shared" si="9"/>
        <v>0</v>
      </c>
      <c r="K310" s="83"/>
    </row>
    <row r="311" spans="1:11" ht="12" customHeight="1" x14ac:dyDescent="0.25">
      <c r="A311" s="80"/>
      <c r="B311" s="53" t="str">
        <f>IFERROR(IF(VLOOKUP($A311,Osnova!$A:$E,1)=$A311,VLOOKUP($A311,Osnova!$A:$E,$E$10)),"")</f>
        <v/>
      </c>
      <c r="C311" s="98" t="e">
        <f>IF(VLOOKUP($A311,Osnova!$A:$C,1)=$A311,VLOOKUP($A311,Osnova!$A:$F,4),0)</f>
        <v>#N/A</v>
      </c>
      <c r="D311" s="77"/>
      <c r="E311" s="82"/>
      <c r="F311" s="93">
        <f t="shared" si="8"/>
        <v>0</v>
      </c>
      <c r="G311" s="77"/>
      <c r="H311" s="77"/>
      <c r="I311" s="53">
        <f t="shared" si="9"/>
        <v>0</v>
      </c>
      <c r="K311" s="83"/>
    </row>
    <row r="312" spans="1:11" ht="12" customHeight="1" x14ac:dyDescent="0.25">
      <c r="A312" s="80"/>
      <c r="B312" s="53" t="str">
        <f>IFERROR(IF(VLOOKUP($A312,Osnova!$A:$E,1)=$A312,VLOOKUP($A312,Osnova!$A:$E,$E$10)),"")</f>
        <v/>
      </c>
      <c r="C312" s="98" t="e">
        <f>IF(VLOOKUP($A312,Osnova!$A:$C,1)=$A312,VLOOKUP($A312,Osnova!$A:$F,4),0)</f>
        <v>#N/A</v>
      </c>
      <c r="D312" s="77"/>
      <c r="E312" s="82"/>
      <c r="F312" s="93">
        <f t="shared" si="8"/>
        <v>0</v>
      </c>
      <c r="G312" s="77"/>
      <c r="H312" s="77"/>
      <c r="I312" s="53">
        <f t="shared" si="9"/>
        <v>0</v>
      </c>
      <c r="K312" s="83"/>
    </row>
    <row r="313" spans="1:11" ht="12" customHeight="1" x14ac:dyDescent="0.25">
      <c r="A313" s="99"/>
      <c r="B313" s="60" t="str">
        <f>IFERROR(IF(VLOOKUP($A313,Osnova!$A:$E,1)=$A313,VLOOKUP($A313,Osnova!$A:$E,$E$10)),"")</f>
        <v/>
      </c>
      <c r="C313" s="100" t="e">
        <f>IF(VLOOKUP($A313,Osnova!$A:$C,1)=$A313,VLOOKUP($A313,Osnova!$A:$F,4),0)</f>
        <v>#N/A</v>
      </c>
      <c r="D313" s="101"/>
      <c r="E313" s="102"/>
      <c r="F313" s="103">
        <f t="shared" si="8"/>
        <v>0</v>
      </c>
      <c r="G313" s="101"/>
      <c r="H313" s="101"/>
      <c r="I313" s="60">
        <f t="shared" si="9"/>
        <v>0</v>
      </c>
      <c r="K313" s="83"/>
    </row>
    <row r="314" spans="1:11" s="105" customFormat="1" ht="1.1499999999999999" customHeight="1" x14ac:dyDescent="0.2">
      <c r="A314" s="104"/>
      <c r="D314" s="106" t="s">
        <v>5358</v>
      </c>
      <c r="E314" s="107"/>
      <c r="F314" s="107"/>
      <c r="G314" s="106" t="s">
        <v>5358</v>
      </c>
      <c r="H314" s="106" t="s">
        <v>5358</v>
      </c>
      <c r="I314" s="107"/>
    </row>
    <row r="315" spans="1:11" s="105" customFormat="1" ht="12" hidden="1" customHeight="1" x14ac:dyDescent="0.2">
      <c r="A315" s="104"/>
      <c r="D315" s="106" t="s">
        <v>5358</v>
      </c>
      <c r="E315" s="107"/>
      <c r="F315" s="107"/>
      <c r="G315" s="106" t="s">
        <v>5358</v>
      </c>
      <c r="H315" s="106" t="s">
        <v>5358</v>
      </c>
      <c r="I315" s="107"/>
    </row>
    <row r="316" spans="1:11" s="105" customFormat="1" ht="12" hidden="1" customHeight="1" x14ac:dyDescent="0.2">
      <c r="A316" s="104"/>
      <c r="D316" s="106" t="s">
        <v>5358</v>
      </c>
      <c r="E316" s="107"/>
      <c r="F316" s="107"/>
      <c r="G316" s="106" t="s">
        <v>5358</v>
      </c>
      <c r="H316" s="106" t="s">
        <v>5358</v>
      </c>
      <c r="I316" s="107"/>
    </row>
    <row r="317" spans="1:11" ht="12" hidden="1" customHeight="1" x14ac:dyDescent="0.25">
      <c r="A317" s="108"/>
      <c r="B317" s="108"/>
      <c r="C317" s="108"/>
      <c r="D317" s="106" t="s">
        <v>5358</v>
      </c>
      <c r="E317" s="108"/>
      <c r="F317" s="108"/>
      <c r="G317" s="106" t="s">
        <v>5358</v>
      </c>
      <c r="H317" s="106" t="s">
        <v>5358</v>
      </c>
      <c r="I317" s="108"/>
      <c r="K317" s="105"/>
    </row>
    <row r="318" spans="1:11" ht="12" hidden="1" customHeight="1" x14ac:dyDescent="0.25">
      <c r="A318" s="104"/>
      <c r="C318" s="105"/>
      <c r="D318" s="106" t="s">
        <v>5358</v>
      </c>
      <c r="E318" s="107"/>
      <c r="F318" s="107"/>
      <c r="G318" s="106" t="s">
        <v>5358</v>
      </c>
      <c r="H318" s="106" t="s">
        <v>5358</v>
      </c>
      <c r="I318" s="107"/>
      <c r="K318" s="105"/>
    </row>
    <row r="319" spans="1:11" ht="12" hidden="1" customHeight="1" x14ac:dyDescent="0.25">
      <c r="A319" s="104"/>
      <c r="C319" s="105"/>
      <c r="D319" s="106" t="s">
        <v>5358</v>
      </c>
      <c r="E319" s="107"/>
      <c r="F319" s="107"/>
      <c r="G319" s="106" t="s">
        <v>5358</v>
      </c>
      <c r="H319" s="106" t="s">
        <v>5358</v>
      </c>
      <c r="I319" s="107"/>
      <c r="K319" s="105"/>
    </row>
    <row r="320" spans="1:11" ht="12" hidden="1" customHeight="1" x14ac:dyDescent="0.25">
      <c r="A320" s="104"/>
      <c r="C320" s="105"/>
      <c r="D320" s="106" t="s">
        <v>5358</v>
      </c>
      <c r="E320" s="107"/>
      <c r="F320" s="107"/>
      <c r="G320" s="106" t="s">
        <v>5358</v>
      </c>
      <c r="H320" s="106" t="s">
        <v>5358</v>
      </c>
      <c r="I320" s="107"/>
      <c r="K320" s="105"/>
    </row>
    <row r="321" spans="1:11" ht="12" hidden="1" customHeight="1" x14ac:dyDescent="0.25">
      <c r="A321" s="104"/>
      <c r="C321" s="105"/>
      <c r="D321" s="85">
        <v>3</v>
      </c>
      <c r="E321" s="85" t="s">
        <v>54</v>
      </c>
      <c r="F321" s="107"/>
      <c r="G321" s="106" t="s">
        <v>5358</v>
      </c>
      <c r="H321" s="106" t="s">
        <v>5358</v>
      </c>
      <c r="I321" s="107"/>
      <c r="K321" s="105"/>
    </row>
    <row r="322" spans="1:11" ht="12" hidden="1" customHeight="1" x14ac:dyDescent="0.25">
      <c r="A322" s="104"/>
      <c r="C322" s="105"/>
      <c r="D322" s="85">
        <v>2</v>
      </c>
      <c r="E322" s="85" t="s">
        <v>140</v>
      </c>
      <c r="F322" s="107"/>
      <c r="G322" s="106" t="s">
        <v>5358</v>
      </c>
      <c r="H322" s="106" t="s">
        <v>5358</v>
      </c>
      <c r="I322" s="107"/>
      <c r="K322" s="105"/>
    </row>
    <row r="323" spans="1:11" ht="12" hidden="1" customHeight="1" x14ac:dyDescent="0.25">
      <c r="A323" s="104"/>
      <c r="C323" s="105"/>
      <c r="D323" s="85">
        <v>4</v>
      </c>
      <c r="E323" s="85" t="s">
        <v>141</v>
      </c>
      <c r="F323" s="107"/>
      <c r="G323" s="106" t="s">
        <v>5358</v>
      </c>
      <c r="H323" s="106" t="s">
        <v>5358</v>
      </c>
      <c r="I323" s="107"/>
      <c r="K323" s="105"/>
    </row>
    <row r="324" spans="1:11" ht="12" hidden="1" customHeight="1" x14ac:dyDescent="0.25">
      <c r="A324" s="104"/>
      <c r="C324" s="105"/>
      <c r="D324" s="107"/>
      <c r="E324" s="107"/>
      <c r="F324" s="107"/>
      <c r="G324" s="106" t="s">
        <v>5358</v>
      </c>
      <c r="H324" s="106" t="s">
        <v>5358</v>
      </c>
      <c r="I324" s="107"/>
      <c r="K324" s="105"/>
    </row>
    <row r="325" spans="1:11" ht="12" customHeight="1" x14ac:dyDescent="0.25">
      <c r="A325" s="104"/>
      <c r="C325" s="105"/>
      <c r="D325" s="107"/>
      <c r="E325" s="107"/>
      <c r="F325" s="107"/>
      <c r="G325" s="106" t="s">
        <v>5358</v>
      </c>
      <c r="H325" s="106" t="s">
        <v>5358</v>
      </c>
      <c r="I325" s="107"/>
      <c r="K325" s="105"/>
    </row>
    <row r="326" spans="1:11" ht="12" customHeight="1" x14ac:dyDescent="0.25">
      <c r="A326" s="104"/>
      <c r="C326" s="105"/>
      <c r="D326" s="107"/>
      <c r="E326" s="107"/>
      <c r="F326" s="107"/>
      <c r="G326" s="106" t="s">
        <v>5358</v>
      </c>
      <c r="H326" s="106" t="s">
        <v>5358</v>
      </c>
      <c r="I326" s="107"/>
      <c r="K326" s="105"/>
    </row>
    <row r="327" spans="1:11" ht="12" customHeight="1" x14ac:dyDescent="0.25">
      <c r="A327" s="104"/>
      <c r="C327" s="105"/>
      <c r="D327" s="107"/>
      <c r="E327" s="107"/>
      <c r="F327" s="107"/>
      <c r="G327" s="106" t="s">
        <v>5358</v>
      </c>
      <c r="H327" s="106" t="s">
        <v>5358</v>
      </c>
      <c r="I327" s="107"/>
      <c r="K327" s="105"/>
    </row>
    <row r="328" spans="1:11" ht="12" customHeight="1" x14ac:dyDescent="0.25">
      <c r="A328" s="104"/>
      <c r="C328" s="105"/>
      <c r="D328" s="107"/>
      <c r="E328" s="107"/>
      <c r="F328" s="107"/>
      <c r="G328" s="106" t="s">
        <v>5358</v>
      </c>
      <c r="H328" s="106" t="s">
        <v>5358</v>
      </c>
      <c r="I328" s="107"/>
      <c r="K328" s="105"/>
    </row>
    <row r="329" spans="1:11" ht="12" customHeight="1" x14ac:dyDescent="0.25">
      <c r="A329" s="104"/>
      <c r="C329" s="105"/>
      <c r="D329" s="107"/>
      <c r="E329" s="107"/>
      <c r="F329" s="107"/>
      <c r="G329" s="106" t="s">
        <v>5358</v>
      </c>
      <c r="H329" s="106" t="s">
        <v>5358</v>
      </c>
      <c r="I329" s="107"/>
      <c r="K329" s="105"/>
    </row>
    <row r="330" spans="1:11" ht="12" customHeight="1" x14ac:dyDescent="0.25">
      <c r="A330" s="104"/>
      <c r="C330" s="105"/>
      <c r="D330" s="107"/>
      <c r="E330" s="107"/>
      <c r="F330" s="107"/>
      <c r="G330" s="106" t="s">
        <v>5358</v>
      </c>
      <c r="H330" s="106" t="s">
        <v>5358</v>
      </c>
      <c r="I330" s="107"/>
      <c r="K330" s="105"/>
    </row>
    <row r="331" spans="1:11" ht="12" customHeight="1" x14ac:dyDescent="0.25">
      <c r="A331" s="104"/>
      <c r="C331" s="105"/>
      <c r="D331" s="107"/>
      <c r="E331" s="107"/>
      <c r="F331" s="107"/>
      <c r="G331" s="106" t="s">
        <v>5358</v>
      </c>
      <c r="H331" s="106" t="s">
        <v>5358</v>
      </c>
      <c r="I331" s="107"/>
      <c r="K331" s="105"/>
    </row>
    <row r="332" spans="1:11" ht="12" customHeight="1" x14ac:dyDescent="0.25">
      <c r="A332" s="104"/>
      <c r="C332" s="105"/>
      <c r="D332" s="107"/>
      <c r="E332" s="107"/>
      <c r="F332" s="107"/>
      <c r="G332" s="106" t="s">
        <v>5358</v>
      </c>
      <c r="H332" s="106" t="s">
        <v>5358</v>
      </c>
      <c r="I332" s="107"/>
      <c r="K332" s="105"/>
    </row>
    <row r="333" spans="1:11" ht="12" customHeight="1" x14ac:dyDescent="0.25">
      <c r="A333" s="104"/>
      <c r="C333" s="105"/>
      <c r="D333" s="107"/>
      <c r="E333" s="107"/>
      <c r="F333" s="107"/>
      <c r="G333" s="106" t="s">
        <v>5358</v>
      </c>
      <c r="H333" s="106" t="s">
        <v>5358</v>
      </c>
      <c r="I333" s="107"/>
      <c r="K333" s="105"/>
    </row>
    <row r="334" spans="1:11" ht="12" customHeight="1" x14ac:dyDescent="0.25">
      <c r="A334" s="104"/>
      <c r="C334" s="105"/>
      <c r="D334" s="107"/>
      <c r="E334" s="107"/>
      <c r="F334" s="107"/>
      <c r="G334" s="106" t="s">
        <v>5358</v>
      </c>
      <c r="H334" s="106" t="s">
        <v>5358</v>
      </c>
      <c r="I334" s="107"/>
      <c r="K334" s="105"/>
    </row>
    <row r="335" spans="1:11" ht="12" customHeight="1" x14ac:dyDescent="0.25">
      <c r="A335" s="104"/>
      <c r="C335" s="105"/>
      <c r="D335" s="107"/>
      <c r="E335" s="107"/>
      <c r="F335" s="107"/>
      <c r="G335" s="106" t="s">
        <v>5358</v>
      </c>
      <c r="H335" s="106" t="s">
        <v>5358</v>
      </c>
      <c r="I335" s="107"/>
      <c r="K335" s="105"/>
    </row>
    <row r="336" spans="1:11" ht="12" customHeight="1" x14ac:dyDescent="0.25">
      <c r="A336" s="104"/>
      <c r="C336" s="105"/>
      <c r="D336" s="107"/>
      <c r="E336" s="107"/>
      <c r="F336" s="107"/>
      <c r="G336" s="106" t="s">
        <v>5358</v>
      </c>
      <c r="H336" s="106" t="s">
        <v>5358</v>
      </c>
      <c r="I336" s="107"/>
      <c r="K336" s="105"/>
    </row>
    <row r="337" spans="1:11" ht="12" customHeight="1" x14ac:dyDescent="0.25">
      <c r="A337" s="104"/>
      <c r="C337" s="105"/>
      <c r="D337" s="107"/>
      <c r="E337" s="107"/>
      <c r="F337" s="107"/>
      <c r="G337" s="106" t="s">
        <v>5358</v>
      </c>
      <c r="H337" s="106" t="s">
        <v>5358</v>
      </c>
      <c r="I337" s="107"/>
      <c r="K337" s="105"/>
    </row>
    <row r="338" spans="1:11" ht="12" customHeight="1" x14ac:dyDescent="0.25">
      <c r="A338" s="104"/>
      <c r="C338" s="105"/>
      <c r="D338" s="107"/>
      <c r="E338" s="107"/>
      <c r="F338" s="107"/>
      <c r="G338" s="106" t="s">
        <v>5358</v>
      </c>
      <c r="H338" s="106" t="s">
        <v>5358</v>
      </c>
      <c r="I338" s="107"/>
      <c r="K338" s="105"/>
    </row>
    <row r="339" spans="1:11" ht="12" customHeight="1" x14ac:dyDescent="0.25">
      <c r="A339" s="104"/>
      <c r="C339" s="105"/>
      <c r="D339" s="107"/>
      <c r="E339" s="107"/>
      <c r="F339" s="107"/>
      <c r="G339" s="106" t="s">
        <v>5358</v>
      </c>
      <c r="H339" s="106" t="s">
        <v>5358</v>
      </c>
      <c r="I339" s="107"/>
      <c r="K339" s="105"/>
    </row>
    <row r="340" spans="1:11" ht="12" customHeight="1" x14ac:dyDescent="0.25">
      <c r="A340" s="104"/>
      <c r="C340" s="105"/>
      <c r="D340" s="107"/>
      <c r="E340" s="107"/>
      <c r="F340" s="107"/>
      <c r="G340" s="106" t="s">
        <v>5358</v>
      </c>
      <c r="H340" s="106" t="s">
        <v>5358</v>
      </c>
      <c r="I340" s="107"/>
      <c r="K340" s="105"/>
    </row>
    <row r="341" spans="1:11" ht="12" customHeight="1" x14ac:dyDescent="0.25">
      <c r="A341" s="104"/>
      <c r="C341" s="105"/>
      <c r="D341" s="107"/>
      <c r="E341" s="107"/>
      <c r="F341" s="107"/>
      <c r="G341" s="106" t="s">
        <v>5358</v>
      </c>
      <c r="H341" s="106" t="s">
        <v>5358</v>
      </c>
      <c r="I341" s="107"/>
      <c r="K341" s="105"/>
    </row>
    <row r="342" spans="1:11" ht="12" customHeight="1" x14ac:dyDescent="0.25">
      <c r="A342" s="104"/>
      <c r="C342" s="105"/>
      <c r="D342" s="107"/>
      <c r="E342" s="107"/>
      <c r="F342" s="107"/>
      <c r="G342" s="106" t="s">
        <v>5358</v>
      </c>
      <c r="H342" s="106" t="s">
        <v>5358</v>
      </c>
      <c r="I342" s="107"/>
      <c r="K342" s="105"/>
    </row>
    <row r="343" spans="1:11" ht="12" customHeight="1" x14ac:dyDescent="0.25">
      <c r="A343" s="104"/>
      <c r="C343" s="105"/>
      <c r="D343" s="107"/>
      <c r="E343" s="107"/>
      <c r="F343" s="107"/>
      <c r="G343" s="106" t="s">
        <v>5358</v>
      </c>
      <c r="H343" s="106" t="s">
        <v>5358</v>
      </c>
      <c r="I343" s="107"/>
      <c r="K343" s="105"/>
    </row>
    <row r="344" spans="1:11" ht="12" customHeight="1" x14ac:dyDescent="0.25">
      <c r="A344" s="104"/>
      <c r="C344" s="105"/>
      <c r="D344" s="107"/>
      <c r="E344" s="107"/>
      <c r="F344" s="107"/>
      <c r="G344" s="106" t="s">
        <v>5358</v>
      </c>
      <c r="H344" s="106" t="s">
        <v>5358</v>
      </c>
      <c r="I344" s="107"/>
      <c r="K344" s="105"/>
    </row>
    <row r="345" spans="1:11" ht="12" customHeight="1" x14ac:dyDescent="0.25">
      <c r="A345" s="104"/>
      <c r="C345" s="105"/>
      <c r="D345" s="107"/>
      <c r="E345" s="107"/>
      <c r="F345" s="107"/>
      <c r="G345" s="106" t="s">
        <v>5358</v>
      </c>
      <c r="H345" s="106" t="s">
        <v>5358</v>
      </c>
      <c r="I345" s="107"/>
      <c r="K345" s="105"/>
    </row>
    <row r="346" spans="1:11" ht="12" customHeight="1" x14ac:dyDescent="0.25">
      <c r="A346" s="104"/>
      <c r="C346" s="105"/>
      <c r="D346" s="107"/>
      <c r="E346" s="107"/>
      <c r="F346" s="107"/>
      <c r="G346" s="106" t="s">
        <v>5358</v>
      </c>
      <c r="H346" s="106" t="s">
        <v>5358</v>
      </c>
      <c r="I346" s="107"/>
      <c r="K346" s="105"/>
    </row>
    <row r="347" spans="1:11" ht="12" customHeight="1" x14ac:dyDescent="0.25">
      <c r="A347" s="104"/>
      <c r="C347" s="105"/>
      <c r="D347" s="107"/>
      <c r="E347" s="107"/>
      <c r="F347" s="107"/>
      <c r="G347" s="106" t="s">
        <v>5358</v>
      </c>
      <c r="H347" s="106" t="s">
        <v>5358</v>
      </c>
      <c r="I347" s="107"/>
      <c r="K347" s="105"/>
    </row>
    <row r="348" spans="1:11" ht="12" customHeight="1" x14ac:dyDescent="0.25">
      <c r="A348" s="104"/>
      <c r="C348" s="105"/>
      <c r="D348" s="107"/>
      <c r="E348" s="107"/>
      <c r="F348" s="107"/>
      <c r="G348" s="106" t="s">
        <v>5358</v>
      </c>
      <c r="H348" s="106" t="s">
        <v>5358</v>
      </c>
      <c r="I348" s="107"/>
      <c r="K348" s="105"/>
    </row>
    <row r="349" spans="1:11" ht="12" customHeight="1" x14ac:dyDescent="0.25">
      <c r="A349" s="104"/>
      <c r="C349" s="105"/>
      <c r="D349" s="107"/>
      <c r="E349" s="107"/>
      <c r="F349" s="107"/>
      <c r="G349" s="106" t="s">
        <v>5358</v>
      </c>
      <c r="H349" s="106" t="s">
        <v>5358</v>
      </c>
      <c r="I349" s="107"/>
      <c r="K349" s="105"/>
    </row>
    <row r="350" spans="1:11" ht="12" customHeight="1" x14ac:dyDescent="0.25">
      <c r="A350" s="104"/>
      <c r="C350" s="105"/>
      <c r="D350" s="107"/>
      <c r="E350" s="107"/>
      <c r="F350" s="107"/>
      <c r="G350" s="106" t="s">
        <v>5358</v>
      </c>
      <c r="H350" s="106" t="s">
        <v>5358</v>
      </c>
      <c r="I350" s="107"/>
      <c r="K350" s="105"/>
    </row>
    <row r="351" spans="1:11" ht="12" customHeight="1" x14ac:dyDescent="0.25">
      <c r="A351" s="104"/>
      <c r="C351" s="105"/>
      <c r="D351" s="107"/>
      <c r="E351" s="107"/>
      <c r="F351" s="107"/>
      <c r="G351" s="106" t="s">
        <v>5358</v>
      </c>
      <c r="H351" s="106" t="s">
        <v>5358</v>
      </c>
      <c r="I351" s="107"/>
      <c r="K351" s="105"/>
    </row>
  </sheetData>
  <mergeCells count="14">
    <mergeCell ref="K25:L25"/>
    <mergeCell ref="J1:M1"/>
    <mergeCell ref="B2:D2"/>
    <mergeCell ref="L2:L11"/>
    <mergeCell ref="B3:D3"/>
    <mergeCell ref="B4:D4"/>
    <mergeCell ref="B5:D5"/>
    <mergeCell ref="B6:D6"/>
    <mergeCell ref="B7:D7"/>
    <mergeCell ref="B8:D8"/>
    <mergeCell ref="B9:D9"/>
    <mergeCell ref="B10:D10"/>
    <mergeCell ref="D11:F11"/>
    <mergeCell ref="G11:H11"/>
  </mergeCells>
  <dataValidations count="1">
    <dataValidation type="list" allowBlank="1" showInputMessage="1" showErrorMessage="1" sqref="B10:D10">
      <formula1>$E$321:$E$323</formula1>
      <formula2>0</formula2>
    </dataValidation>
  </dataValidations>
  <pageMargins left="0.75" right="0.75" top="1" bottom="1" header="0.51180555555555496" footer="0.51180555555555496"/>
  <pageSetup paperSize="9" firstPageNumber="0" orientation="landscape" horizontalDpi="300" verticalDpi="300"/>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8"/>
  <sheetViews>
    <sheetView zoomScaleNormal="100" workbookViewId="0"/>
  </sheetViews>
  <sheetFormatPr defaultRowHeight="15" x14ac:dyDescent="0.25"/>
  <cols>
    <col min="1" max="1" width="30.5703125" customWidth="1"/>
    <col min="2" max="2" width="48.28515625" customWidth="1"/>
    <col min="3" max="3" width="71" customWidth="1"/>
    <col min="4" max="4" width="55.42578125" customWidth="1"/>
    <col min="5" max="5" width="41.7109375" customWidth="1"/>
    <col min="6" max="6" width="7.85546875" customWidth="1"/>
    <col min="7" max="1025" width="9.140625" customWidth="1"/>
  </cols>
  <sheetData>
    <row r="1" spans="1:7" x14ac:dyDescent="0.25">
      <c r="A1" s="109" t="s">
        <v>155</v>
      </c>
      <c r="B1" s="109"/>
      <c r="C1" s="110"/>
      <c r="D1" s="110"/>
      <c r="E1" s="110"/>
      <c r="F1" s="111" t="s">
        <v>156</v>
      </c>
      <c r="G1" s="110"/>
    </row>
    <row r="2" spans="1:7" x14ac:dyDescent="0.25">
      <c r="A2" s="109" t="s">
        <v>157</v>
      </c>
      <c r="F2" s="110"/>
    </row>
    <row r="3" spans="1:7" x14ac:dyDescent="0.25">
      <c r="A3" s="109" t="s">
        <v>158</v>
      </c>
      <c r="C3" s="110" t="s">
        <v>159</v>
      </c>
      <c r="F3" s="110" t="s">
        <v>160</v>
      </c>
      <c r="G3" s="110" t="s">
        <v>161</v>
      </c>
    </row>
    <row r="4" spans="1:7" x14ac:dyDescent="0.25">
      <c r="A4" s="109" t="s">
        <v>162</v>
      </c>
      <c r="B4" s="109" t="s">
        <v>163</v>
      </c>
      <c r="C4" s="110" t="s">
        <v>164</v>
      </c>
      <c r="D4" s="109" t="s">
        <v>165</v>
      </c>
      <c r="F4" s="110" t="s">
        <v>160</v>
      </c>
      <c r="G4" s="110" t="s">
        <v>161</v>
      </c>
    </row>
    <row r="5" spans="1:7" x14ac:dyDescent="0.25">
      <c r="A5" s="109" t="s">
        <v>60</v>
      </c>
      <c r="B5" s="109" t="s">
        <v>166</v>
      </c>
      <c r="C5" s="110" t="s">
        <v>167</v>
      </c>
      <c r="D5" s="109" t="s">
        <v>166</v>
      </c>
      <c r="F5" s="110" t="s">
        <v>160</v>
      </c>
      <c r="G5" s="110" t="s">
        <v>161</v>
      </c>
    </row>
    <row r="6" spans="1:7" x14ac:dyDescent="0.25">
      <c r="A6" s="109" t="s">
        <v>168</v>
      </c>
      <c r="B6" s="109" t="s">
        <v>169</v>
      </c>
      <c r="C6" s="110" t="s">
        <v>170</v>
      </c>
      <c r="D6" s="109" t="s">
        <v>171</v>
      </c>
      <c r="F6" s="110" t="s">
        <v>160</v>
      </c>
      <c r="G6" s="110" t="s">
        <v>161</v>
      </c>
    </row>
    <row r="7" spans="1:7" x14ac:dyDescent="0.25">
      <c r="A7" s="109" t="s">
        <v>172</v>
      </c>
      <c r="B7" s="109" t="s">
        <v>173</v>
      </c>
      <c r="C7" s="110" t="s">
        <v>174</v>
      </c>
      <c r="D7" s="109" t="s">
        <v>173</v>
      </c>
      <c r="F7" s="110" t="s">
        <v>160</v>
      </c>
      <c r="G7" s="110" t="s">
        <v>161</v>
      </c>
    </row>
    <row r="8" spans="1:7" x14ac:dyDescent="0.25">
      <c r="A8" s="109" t="s">
        <v>61</v>
      </c>
      <c r="B8" s="109" t="s">
        <v>175</v>
      </c>
      <c r="C8" s="110" t="s">
        <v>176</v>
      </c>
      <c r="D8" s="109" t="s">
        <v>177</v>
      </c>
      <c r="F8" s="110" t="s">
        <v>160</v>
      </c>
      <c r="G8" s="110" t="s">
        <v>161</v>
      </c>
    </row>
    <row r="9" spans="1:7" x14ac:dyDescent="0.25">
      <c r="A9" s="109" t="s">
        <v>178</v>
      </c>
      <c r="B9" s="109"/>
      <c r="C9" s="110" t="s">
        <v>179</v>
      </c>
      <c r="F9" s="110" t="s">
        <v>160</v>
      </c>
      <c r="G9" s="110" t="s">
        <v>161</v>
      </c>
    </row>
    <row r="10" spans="1:7" x14ac:dyDescent="0.25">
      <c r="A10" s="109" t="s">
        <v>62</v>
      </c>
      <c r="B10" s="109" t="s">
        <v>180</v>
      </c>
      <c r="C10" s="110" t="s">
        <v>181</v>
      </c>
      <c r="D10" s="110" t="s">
        <v>182</v>
      </c>
      <c r="E10" s="112" t="s">
        <v>183</v>
      </c>
      <c r="F10" s="110" t="s">
        <v>160</v>
      </c>
      <c r="G10" s="110" t="s">
        <v>161</v>
      </c>
    </row>
    <row r="11" spans="1:7" x14ac:dyDescent="0.25">
      <c r="A11" s="109" t="s">
        <v>63</v>
      </c>
      <c r="B11" s="109" t="s">
        <v>184</v>
      </c>
      <c r="C11" s="110" t="s">
        <v>185</v>
      </c>
      <c r="D11" s="110" t="s">
        <v>186</v>
      </c>
      <c r="E11" s="110" t="s">
        <v>187</v>
      </c>
      <c r="F11" s="110" t="s">
        <v>160</v>
      </c>
      <c r="G11" s="110" t="s">
        <v>161</v>
      </c>
    </row>
    <row r="12" spans="1:7" x14ac:dyDescent="0.25">
      <c r="A12" s="109" t="s">
        <v>64</v>
      </c>
      <c r="B12" s="109" t="s">
        <v>188</v>
      </c>
      <c r="C12" s="110" t="s">
        <v>189</v>
      </c>
      <c r="D12" s="110" t="s">
        <v>190</v>
      </c>
      <c r="F12" s="110" t="s">
        <v>160</v>
      </c>
      <c r="G12" s="110" t="s">
        <v>161</v>
      </c>
    </row>
    <row r="13" spans="1:7" x14ac:dyDescent="0.25">
      <c r="A13" s="109" t="s">
        <v>65</v>
      </c>
      <c r="B13" s="109" t="s">
        <v>191</v>
      </c>
      <c r="C13" s="110" t="s">
        <v>192</v>
      </c>
      <c r="D13" s="110" t="s">
        <v>193</v>
      </c>
      <c r="F13" s="110" t="s">
        <v>160</v>
      </c>
      <c r="G13" s="110" t="s">
        <v>161</v>
      </c>
    </row>
    <row r="14" spans="1:7" x14ac:dyDescent="0.25">
      <c r="A14" s="109" t="s">
        <v>194</v>
      </c>
      <c r="B14" s="109" t="s">
        <v>195</v>
      </c>
      <c r="C14" s="110" t="s">
        <v>196</v>
      </c>
      <c r="D14" s="110" t="s">
        <v>197</v>
      </c>
      <c r="F14" s="110" t="s">
        <v>160</v>
      </c>
      <c r="G14" s="110" t="s">
        <v>161</v>
      </c>
    </row>
    <row r="15" spans="1:7" x14ac:dyDescent="0.25">
      <c r="A15" s="109" t="s">
        <v>198</v>
      </c>
      <c r="B15" s="109"/>
      <c r="C15" s="110" t="s">
        <v>199</v>
      </c>
      <c r="F15" s="110" t="s">
        <v>160</v>
      </c>
      <c r="G15" s="110" t="s">
        <v>161</v>
      </c>
    </row>
    <row r="16" spans="1:7" x14ac:dyDescent="0.25">
      <c r="A16" s="109" t="s">
        <v>200</v>
      </c>
      <c r="B16" s="109" t="s">
        <v>201</v>
      </c>
      <c r="C16" s="110" t="s">
        <v>202</v>
      </c>
      <c r="D16" s="110" t="s">
        <v>203</v>
      </c>
      <c r="E16" s="113" t="s">
        <v>204</v>
      </c>
      <c r="F16" s="110" t="s">
        <v>160</v>
      </c>
      <c r="G16" s="110" t="s">
        <v>161</v>
      </c>
    </row>
    <row r="17" spans="1:7" x14ac:dyDescent="0.25">
      <c r="A17" s="109" t="s">
        <v>205</v>
      </c>
      <c r="B17" s="109" t="s">
        <v>206</v>
      </c>
      <c r="C17" s="110" t="s">
        <v>207</v>
      </c>
      <c r="D17" s="110" t="s">
        <v>208</v>
      </c>
      <c r="F17" s="110" t="s">
        <v>160</v>
      </c>
      <c r="G17" s="110" t="s">
        <v>161</v>
      </c>
    </row>
    <row r="18" spans="1:7" x14ac:dyDescent="0.25">
      <c r="A18" s="109" t="s">
        <v>209</v>
      </c>
      <c r="B18" s="109"/>
      <c r="C18" s="110" t="s">
        <v>210</v>
      </c>
      <c r="F18" s="110" t="s">
        <v>160</v>
      </c>
      <c r="G18" s="110" t="s">
        <v>161</v>
      </c>
    </row>
    <row r="19" spans="1:7" x14ac:dyDescent="0.25">
      <c r="A19" s="109" t="s">
        <v>211</v>
      </c>
      <c r="B19" s="109" t="s">
        <v>212</v>
      </c>
      <c r="C19" s="110" t="s">
        <v>213</v>
      </c>
      <c r="D19" s="114"/>
      <c r="F19" s="110" t="s">
        <v>160</v>
      </c>
      <c r="G19" s="110" t="s">
        <v>161</v>
      </c>
    </row>
    <row r="20" spans="1:7" x14ac:dyDescent="0.25">
      <c r="A20" s="109" t="s">
        <v>66</v>
      </c>
      <c r="B20" s="109" t="s">
        <v>214</v>
      </c>
      <c r="C20" s="110" t="s">
        <v>215</v>
      </c>
      <c r="D20" s="110" t="s">
        <v>216</v>
      </c>
      <c r="E20" s="113" t="s">
        <v>217</v>
      </c>
      <c r="F20" s="110" t="s">
        <v>160</v>
      </c>
      <c r="G20" s="110" t="s">
        <v>161</v>
      </c>
    </row>
    <row r="21" spans="1:7" x14ac:dyDescent="0.25">
      <c r="A21" s="109" t="s">
        <v>218</v>
      </c>
      <c r="B21" s="109" t="s">
        <v>219</v>
      </c>
      <c r="C21" s="110" t="s">
        <v>220</v>
      </c>
      <c r="D21" s="110" t="s">
        <v>221</v>
      </c>
      <c r="F21" s="110" t="s">
        <v>160</v>
      </c>
      <c r="G21" s="110" t="s">
        <v>161</v>
      </c>
    </row>
    <row r="22" spans="1:7" x14ac:dyDescent="0.25">
      <c r="A22" s="109" t="s">
        <v>222</v>
      </c>
      <c r="B22" s="109"/>
      <c r="C22" s="110" t="s">
        <v>223</v>
      </c>
      <c r="F22" s="110" t="s">
        <v>160</v>
      </c>
      <c r="G22" s="110" t="s">
        <v>161</v>
      </c>
    </row>
    <row r="23" spans="1:7" x14ac:dyDescent="0.25">
      <c r="A23" s="109" t="s">
        <v>224</v>
      </c>
      <c r="B23" s="109" t="s">
        <v>225</v>
      </c>
      <c r="C23" s="110" t="s">
        <v>226</v>
      </c>
      <c r="D23" s="110" t="s">
        <v>227</v>
      </c>
      <c r="F23" s="110" t="s">
        <v>160</v>
      </c>
      <c r="G23" s="110" t="s">
        <v>161</v>
      </c>
    </row>
    <row r="24" spans="1:7" x14ac:dyDescent="0.25">
      <c r="A24" s="109" t="s">
        <v>228</v>
      </c>
      <c r="B24" s="109" t="s">
        <v>229</v>
      </c>
      <c r="C24" s="110" t="s">
        <v>230</v>
      </c>
      <c r="D24" s="110" t="s">
        <v>231</v>
      </c>
      <c r="F24" s="110" t="s">
        <v>160</v>
      </c>
      <c r="G24" s="110" t="s">
        <v>161</v>
      </c>
    </row>
    <row r="25" spans="1:7" x14ac:dyDescent="0.25">
      <c r="A25" s="109" t="s">
        <v>232</v>
      </c>
      <c r="B25" s="109" t="s">
        <v>233</v>
      </c>
      <c r="C25" s="110" t="s">
        <v>234</v>
      </c>
      <c r="D25" s="110" t="s">
        <v>235</v>
      </c>
      <c r="F25" s="110" t="s">
        <v>160</v>
      </c>
      <c r="G25" s="110" t="s">
        <v>161</v>
      </c>
    </row>
    <row r="26" spans="1:7" x14ac:dyDescent="0.25">
      <c r="A26" s="109" t="s">
        <v>236</v>
      </c>
      <c r="B26" s="109"/>
      <c r="C26" s="110" t="s">
        <v>237</v>
      </c>
      <c r="F26" s="110" t="s">
        <v>160</v>
      </c>
      <c r="G26" s="110" t="s">
        <v>161</v>
      </c>
    </row>
    <row r="27" spans="1:7" x14ac:dyDescent="0.25">
      <c r="A27" s="109" t="s">
        <v>238</v>
      </c>
      <c r="B27" s="109" t="s">
        <v>239</v>
      </c>
      <c r="C27" s="110" t="s">
        <v>240</v>
      </c>
      <c r="D27" s="110" t="s">
        <v>241</v>
      </c>
      <c r="F27" s="110" t="s">
        <v>160</v>
      </c>
      <c r="G27" s="110" t="s">
        <v>161</v>
      </c>
    </row>
    <row r="28" spans="1:7" x14ac:dyDescent="0.25">
      <c r="A28" s="109" t="s">
        <v>242</v>
      </c>
      <c r="B28" s="109" t="s">
        <v>243</v>
      </c>
      <c r="C28" s="110" t="s">
        <v>244</v>
      </c>
      <c r="D28" s="110" t="s">
        <v>245</v>
      </c>
      <c r="F28" s="110" t="s">
        <v>160</v>
      </c>
      <c r="G28" s="110" t="s">
        <v>161</v>
      </c>
    </row>
    <row r="29" spans="1:7" x14ac:dyDescent="0.25">
      <c r="A29" s="109" t="s">
        <v>246</v>
      </c>
      <c r="B29" s="109" t="s">
        <v>247</v>
      </c>
      <c r="C29" s="110" t="s">
        <v>248</v>
      </c>
      <c r="D29" s="110" t="s">
        <v>249</v>
      </c>
      <c r="F29" s="110" t="s">
        <v>160</v>
      </c>
      <c r="G29" s="110" t="s">
        <v>161</v>
      </c>
    </row>
    <row r="30" spans="1:7" x14ac:dyDescent="0.25">
      <c r="A30" s="109" t="s">
        <v>250</v>
      </c>
      <c r="B30" s="109" t="s">
        <v>251</v>
      </c>
      <c r="C30" s="110" t="s">
        <v>252</v>
      </c>
      <c r="D30" s="110" t="s">
        <v>253</v>
      </c>
      <c r="F30" s="110" t="s">
        <v>160</v>
      </c>
      <c r="G30" s="110" t="s">
        <v>161</v>
      </c>
    </row>
    <row r="31" spans="1:7" x14ac:dyDescent="0.25">
      <c r="A31" s="109" t="s">
        <v>254</v>
      </c>
      <c r="B31" s="109" t="s">
        <v>255</v>
      </c>
      <c r="C31" s="110" t="s">
        <v>256</v>
      </c>
      <c r="D31" s="110" t="s">
        <v>257</v>
      </c>
      <c r="F31" s="110" t="s">
        <v>160</v>
      </c>
      <c r="G31" s="110" t="s">
        <v>161</v>
      </c>
    </row>
    <row r="32" spans="1:7" x14ac:dyDescent="0.25">
      <c r="A32" s="109" t="s">
        <v>258</v>
      </c>
      <c r="B32" s="109" t="s">
        <v>259</v>
      </c>
      <c r="C32" s="110" t="s">
        <v>260</v>
      </c>
      <c r="D32" s="110" t="s">
        <v>261</v>
      </c>
      <c r="F32" s="110" t="s">
        <v>160</v>
      </c>
      <c r="G32" s="110" t="s">
        <v>161</v>
      </c>
    </row>
    <row r="33" spans="1:7" x14ac:dyDescent="0.25">
      <c r="A33" s="109" t="s">
        <v>262</v>
      </c>
      <c r="B33" s="109" t="s">
        <v>263</v>
      </c>
      <c r="C33" s="110" t="s">
        <v>264</v>
      </c>
      <c r="D33" s="110" t="s">
        <v>265</v>
      </c>
      <c r="F33" s="110" t="s">
        <v>160</v>
      </c>
      <c r="G33" s="110" t="s">
        <v>161</v>
      </c>
    </row>
    <row r="34" spans="1:7" x14ac:dyDescent="0.25">
      <c r="A34" s="109" t="s">
        <v>266</v>
      </c>
      <c r="B34" s="109"/>
      <c r="C34" s="110" t="s">
        <v>267</v>
      </c>
      <c r="F34" s="110" t="s">
        <v>268</v>
      </c>
      <c r="G34" s="110" t="s">
        <v>161</v>
      </c>
    </row>
    <row r="35" spans="1:7" x14ac:dyDescent="0.25">
      <c r="A35" s="109" t="s">
        <v>269</v>
      </c>
      <c r="B35" s="109" t="s">
        <v>270</v>
      </c>
      <c r="C35" s="110" t="s">
        <v>271</v>
      </c>
      <c r="D35" s="110" t="s">
        <v>272</v>
      </c>
      <c r="F35" s="110" t="s">
        <v>268</v>
      </c>
      <c r="G35" s="110" t="s">
        <v>161</v>
      </c>
    </row>
    <row r="36" spans="1:7" x14ac:dyDescent="0.25">
      <c r="A36" s="109" t="s">
        <v>67</v>
      </c>
      <c r="B36" s="109" t="s">
        <v>273</v>
      </c>
      <c r="C36" s="110" t="s">
        <v>274</v>
      </c>
      <c r="D36" s="110" t="s">
        <v>275</v>
      </c>
      <c r="F36" s="110" t="s">
        <v>268</v>
      </c>
      <c r="G36" s="110" t="s">
        <v>161</v>
      </c>
    </row>
    <row r="37" spans="1:7" x14ac:dyDescent="0.25">
      <c r="A37" s="109" t="s">
        <v>276</v>
      </c>
      <c r="B37" s="109" t="s">
        <v>277</v>
      </c>
      <c r="C37" s="110" t="s">
        <v>278</v>
      </c>
      <c r="D37" s="110" t="s">
        <v>279</v>
      </c>
      <c r="F37" s="110" t="s">
        <v>268</v>
      </c>
      <c r="G37" s="110" t="s">
        <v>161</v>
      </c>
    </row>
    <row r="38" spans="1:7" x14ac:dyDescent="0.25">
      <c r="A38" s="109" t="s">
        <v>280</v>
      </c>
      <c r="B38" s="109" t="s">
        <v>281</v>
      </c>
      <c r="C38" s="110" t="s">
        <v>282</v>
      </c>
      <c r="D38" s="110" t="s">
        <v>283</v>
      </c>
      <c r="F38" s="110" t="s">
        <v>268</v>
      </c>
      <c r="G38" s="110" t="s">
        <v>161</v>
      </c>
    </row>
    <row r="39" spans="1:7" x14ac:dyDescent="0.25">
      <c r="A39" s="109" t="s">
        <v>68</v>
      </c>
      <c r="B39" s="109" t="s">
        <v>284</v>
      </c>
      <c r="C39" s="110" t="s">
        <v>285</v>
      </c>
      <c r="D39" s="110" t="s">
        <v>286</v>
      </c>
      <c r="F39" s="110" t="s">
        <v>268</v>
      </c>
      <c r="G39" s="110" t="s">
        <v>161</v>
      </c>
    </row>
    <row r="40" spans="1:7" x14ac:dyDescent="0.25">
      <c r="A40" s="109" t="s">
        <v>287</v>
      </c>
      <c r="B40" s="109"/>
      <c r="C40" s="110" t="s">
        <v>288</v>
      </c>
      <c r="F40" s="110" t="s">
        <v>268</v>
      </c>
      <c r="G40" s="110" t="s">
        <v>161</v>
      </c>
    </row>
    <row r="41" spans="1:7" x14ac:dyDescent="0.25">
      <c r="A41" s="109" t="s">
        <v>69</v>
      </c>
      <c r="B41" s="109" t="s">
        <v>289</v>
      </c>
      <c r="C41" s="110" t="s">
        <v>290</v>
      </c>
      <c r="D41" s="110" t="s">
        <v>291</v>
      </c>
      <c r="E41" s="110" t="s">
        <v>292</v>
      </c>
      <c r="F41" s="110" t="s">
        <v>268</v>
      </c>
      <c r="G41" s="110" t="s">
        <v>161</v>
      </c>
    </row>
    <row r="42" spans="1:7" x14ac:dyDescent="0.25">
      <c r="A42" s="109" t="s">
        <v>70</v>
      </c>
      <c r="B42" s="109" t="s">
        <v>293</v>
      </c>
      <c r="C42" s="110" t="s">
        <v>294</v>
      </c>
      <c r="D42" s="110" t="s">
        <v>295</v>
      </c>
      <c r="F42" s="110" t="s">
        <v>268</v>
      </c>
      <c r="G42" s="110" t="s">
        <v>161</v>
      </c>
    </row>
    <row r="43" spans="1:7" x14ac:dyDescent="0.25">
      <c r="A43" s="109" t="s">
        <v>296</v>
      </c>
      <c r="B43" s="109" t="s">
        <v>297</v>
      </c>
      <c r="C43" s="110" t="s">
        <v>298</v>
      </c>
      <c r="D43" s="110" t="s">
        <v>299</v>
      </c>
      <c r="F43" s="110" t="s">
        <v>268</v>
      </c>
      <c r="G43" s="110" t="s">
        <v>161</v>
      </c>
    </row>
    <row r="44" spans="1:7" x14ac:dyDescent="0.25">
      <c r="A44" s="109" t="s">
        <v>71</v>
      </c>
      <c r="B44" s="109" t="s">
        <v>300</v>
      </c>
      <c r="C44" s="110" t="s">
        <v>301</v>
      </c>
      <c r="D44" s="110" t="s">
        <v>302</v>
      </c>
      <c r="F44" s="110" t="s">
        <v>268</v>
      </c>
      <c r="G44" s="110" t="s">
        <v>161</v>
      </c>
    </row>
    <row r="45" spans="1:7" x14ac:dyDescent="0.25">
      <c r="A45" s="109" t="s">
        <v>303</v>
      </c>
      <c r="B45" s="109" t="s">
        <v>304</v>
      </c>
      <c r="C45" s="110" t="s">
        <v>305</v>
      </c>
      <c r="D45" s="110" t="s">
        <v>306</v>
      </c>
      <c r="F45" s="110" t="s">
        <v>268</v>
      </c>
      <c r="G45" s="110" t="s">
        <v>161</v>
      </c>
    </row>
    <row r="46" spans="1:7" x14ac:dyDescent="0.25">
      <c r="A46" s="109" t="s">
        <v>307</v>
      </c>
      <c r="B46" s="109"/>
      <c r="C46" s="110" t="s">
        <v>308</v>
      </c>
      <c r="F46" s="110" t="s">
        <v>268</v>
      </c>
      <c r="G46" s="110" t="s">
        <v>161</v>
      </c>
    </row>
    <row r="47" spans="1:7" x14ac:dyDescent="0.25">
      <c r="A47" s="109" t="s">
        <v>309</v>
      </c>
      <c r="B47" s="109" t="s">
        <v>310</v>
      </c>
      <c r="C47" s="110" t="s">
        <v>311</v>
      </c>
      <c r="D47" s="110" t="s">
        <v>312</v>
      </c>
      <c r="F47" s="110" t="s">
        <v>268</v>
      </c>
      <c r="G47" s="110" t="s">
        <v>161</v>
      </c>
    </row>
    <row r="48" spans="1:7" x14ac:dyDescent="0.25">
      <c r="A48" s="109" t="s">
        <v>313</v>
      </c>
      <c r="B48" s="109" t="s">
        <v>314</v>
      </c>
      <c r="C48" s="110" t="s">
        <v>315</v>
      </c>
      <c r="D48" s="110" t="s">
        <v>316</v>
      </c>
      <c r="F48" s="110" t="s">
        <v>268</v>
      </c>
      <c r="G48" s="110" t="s">
        <v>161</v>
      </c>
    </row>
    <row r="49" spans="1:7" x14ac:dyDescent="0.25">
      <c r="A49" s="109" t="s">
        <v>317</v>
      </c>
      <c r="B49" s="109" t="s">
        <v>318</v>
      </c>
      <c r="C49" s="110" t="s">
        <v>319</v>
      </c>
      <c r="D49" s="110" t="s">
        <v>320</v>
      </c>
      <c r="F49" s="110" t="s">
        <v>268</v>
      </c>
      <c r="G49" s="110" t="s">
        <v>161</v>
      </c>
    </row>
    <row r="50" spans="1:7" x14ac:dyDescent="0.25">
      <c r="A50" s="109" t="s">
        <v>321</v>
      </c>
      <c r="B50" s="109" t="s">
        <v>322</v>
      </c>
      <c r="C50" s="110" t="s">
        <v>323</v>
      </c>
      <c r="D50" s="110" t="s">
        <v>324</v>
      </c>
      <c r="F50" s="110" t="s">
        <v>268</v>
      </c>
      <c r="G50" s="110" t="s">
        <v>161</v>
      </c>
    </row>
    <row r="51" spans="1:7" x14ac:dyDescent="0.25">
      <c r="A51" s="109" t="s">
        <v>325</v>
      </c>
      <c r="B51" s="109" t="s">
        <v>326</v>
      </c>
      <c r="C51" s="110" t="s">
        <v>327</v>
      </c>
      <c r="D51" s="110" t="s">
        <v>328</v>
      </c>
      <c r="F51" s="110" t="s">
        <v>268</v>
      </c>
      <c r="G51" s="110" t="s">
        <v>161</v>
      </c>
    </row>
    <row r="52" spans="1:7" x14ac:dyDescent="0.25">
      <c r="A52" s="109" t="s">
        <v>329</v>
      </c>
      <c r="B52" s="109" t="s">
        <v>330</v>
      </c>
      <c r="C52" s="110" t="s">
        <v>331</v>
      </c>
      <c r="D52" s="110" t="s">
        <v>332</v>
      </c>
      <c r="F52" s="110" t="s">
        <v>268</v>
      </c>
      <c r="G52" s="110" t="s">
        <v>161</v>
      </c>
    </row>
    <row r="53" spans="1:7" x14ac:dyDescent="0.25">
      <c r="A53" s="109" t="s">
        <v>333</v>
      </c>
      <c r="B53" s="109" t="s">
        <v>334</v>
      </c>
      <c r="C53" s="110" t="s">
        <v>335</v>
      </c>
      <c r="D53" s="110" t="s">
        <v>336</v>
      </c>
      <c r="F53" s="110" t="s">
        <v>268</v>
      </c>
      <c r="G53" s="110" t="s">
        <v>161</v>
      </c>
    </row>
    <row r="54" spans="1:7" x14ac:dyDescent="0.25">
      <c r="A54" s="109" t="s">
        <v>337</v>
      </c>
      <c r="B54" s="109" t="s">
        <v>338</v>
      </c>
      <c r="C54" s="110" t="s">
        <v>339</v>
      </c>
      <c r="D54" s="110" t="s">
        <v>340</v>
      </c>
      <c r="F54" s="110" t="s">
        <v>268</v>
      </c>
      <c r="G54" s="110" t="s">
        <v>161</v>
      </c>
    </row>
    <row r="55" spans="1:7" x14ac:dyDescent="0.25">
      <c r="B55" s="110"/>
      <c r="F55" s="110"/>
    </row>
    <row r="56" spans="1:7" x14ac:dyDescent="0.25">
      <c r="A56" s="109" t="s">
        <v>341</v>
      </c>
      <c r="B56" s="109"/>
      <c r="F56" s="110"/>
    </row>
    <row r="57" spans="1:7" x14ac:dyDescent="0.25">
      <c r="A57" s="109" t="s">
        <v>342</v>
      </c>
      <c r="B57" s="109"/>
      <c r="C57" s="110" t="s">
        <v>343</v>
      </c>
      <c r="F57" s="110" t="s">
        <v>160</v>
      </c>
      <c r="G57" s="110" t="s">
        <v>161</v>
      </c>
    </row>
    <row r="58" spans="1:7" x14ac:dyDescent="0.25">
      <c r="A58" s="109" t="s">
        <v>72</v>
      </c>
      <c r="B58" s="109" t="s">
        <v>344</v>
      </c>
      <c r="C58" s="110" t="s">
        <v>345</v>
      </c>
      <c r="D58" s="110" t="s">
        <v>346</v>
      </c>
      <c r="F58" s="110" t="s">
        <v>160</v>
      </c>
      <c r="G58" s="110" t="s">
        <v>161</v>
      </c>
    </row>
    <row r="59" spans="1:7" x14ac:dyDescent="0.25">
      <c r="A59" s="109" t="s">
        <v>73</v>
      </c>
      <c r="B59" s="109" t="s">
        <v>347</v>
      </c>
      <c r="C59" s="110" t="s">
        <v>348</v>
      </c>
      <c r="D59" s="110" t="s">
        <v>349</v>
      </c>
      <c r="F59" s="110" t="s">
        <v>160</v>
      </c>
      <c r="G59" s="110" t="s">
        <v>161</v>
      </c>
    </row>
    <row r="60" spans="1:7" x14ac:dyDescent="0.25">
      <c r="A60" s="109" t="s">
        <v>350</v>
      </c>
      <c r="B60" s="109" t="s">
        <v>351</v>
      </c>
      <c r="C60" s="110" t="s">
        <v>352</v>
      </c>
      <c r="D60" s="110" t="s">
        <v>353</v>
      </c>
      <c r="F60" s="110" t="s">
        <v>160</v>
      </c>
      <c r="G60" s="110" t="s">
        <v>161</v>
      </c>
    </row>
    <row r="61" spans="1:7" x14ac:dyDescent="0.25">
      <c r="A61" s="109" t="s">
        <v>354</v>
      </c>
      <c r="B61" s="109"/>
      <c r="C61" s="110" t="s">
        <v>355</v>
      </c>
      <c r="F61" s="110" t="s">
        <v>160</v>
      </c>
      <c r="G61" s="110" t="s">
        <v>161</v>
      </c>
    </row>
    <row r="62" spans="1:7" x14ac:dyDescent="0.25">
      <c r="A62" s="109" t="s">
        <v>74</v>
      </c>
      <c r="B62" s="109" t="s">
        <v>356</v>
      </c>
      <c r="C62" s="110" t="s">
        <v>357</v>
      </c>
      <c r="D62" s="110" t="s">
        <v>358</v>
      </c>
      <c r="F62" s="110" t="s">
        <v>160</v>
      </c>
      <c r="G62" s="110" t="s">
        <v>161</v>
      </c>
    </row>
    <row r="63" spans="1:7" x14ac:dyDescent="0.25">
      <c r="A63" s="109" t="s">
        <v>359</v>
      </c>
      <c r="B63" s="109" t="s">
        <v>360</v>
      </c>
      <c r="C63" s="110" t="s">
        <v>361</v>
      </c>
      <c r="D63" s="110" t="s">
        <v>362</v>
      </c>
      <c r="F63" s="110" t="s">
        <v>160</v>
      </c>
      <c r="G63" s="110" t="s">
        <v>161</v>
      </c>
    </row>
    <row r="64" spans="1:7" x14ac:dyDescent="0.25">
      <c r="A64" s="109" t="s">
        <v>75</v>
      </c>
      <c r="B64" s="109" t="s">
        <v>363</v>
      </c>
      <c r="C64" s="110" t="s">
        <v>364</v>
      </c>
      <c r="D64" s="110" t="s">
        <v>365</v>
      </c>
      <c r="F64" s="110" t="s">
        <v>160</v>
      </c>
      <c r="G64" s="110" t="s">
        <v>161</v>
      </c>
    </row>
    <row r="65" spans="1:7" x14ac:dyDescent="0.25">
      <c r="A65" s="109" t="s">
        <v>76</v>
      </c>
      <c r="B65" s="109" t="s">
        <v>366</v>
      </c>
      <c r="C65" s="110" t="s">
        <v>367</v>
      </c>
      <c r="D65" s="110" t="s">
        <v>368</v>
      </c>
      <c r="F65" s="110" t="s">
        <v>160</v>
      </c>
      <c r="G65" s="110" t="s">
        <v>161</v>
      </c>
    </row>
    <row r="66" spans="1:7" x14ac:dyDescent="0.25">
      <c r="A66" s="109" t="s">
        <v>369</v>
      </c>
      <c r="B66" s="109"/>
      <c r="C66" s="110" t="s">
        <v>370</v>
      </c>
      <c r="F66" s="110" t="s">
        <v>160</v>
      </c>
      <c r="G66" s="110" t="s">
        <v>161</v>
      </c>
    </row>
    <row r="67" spans="1:7" x14ac:dyDescent="0.25">
      <c r="A67" s="109" t="s">
        <v>371</v>
      </c>
      <c r="B67" s="109" t="s">
        <v>372</v>
      </c>
      <c r="C67" s="110" t="s">
        <v>373</v>
      </c>
      <c r="D67" s="110" t="s">
        <v>374</v>
      </c>
      <c r="F67" s="110" t="s">
        <v>160</v>
      </c>
      <c r="G67" s="110" t="s">
        <v>161</v>
      </c>
    </row>
    <row r="68" spans="1:7" x14ac:dyDescent="0.25">
      <c r="A68" s="109" t="s">
        <v>375</v>
      </c>
      <c r="B68" s="109" t="s">
        <v>376</v>
      </c>
      <c r="C68" s="110" t="s">
        <v>377</v>
      </c>
      <c r="D68" s="110" t="s">
        <v>378</v>
      </c>
      <c r="F68" s="110" t="s">
        <v>160</v>
      </c>
      <c r="G68" s="110" t="s">
        <v>161</v>
      </c>
    </row>
    <row r="69" spans="1:7" x14ac:dyDescent="0.25">
      <c r="A69" s="109" t="s">
        <v>379</v>
      </c>
      <c r="B69" s="109" t="s">
        <v>31</v>
      </c>
      <c r="C69" s="110" t="s">
        <v>380</v>
      </c>
      <c r="D69" s="110" t="s">
        <v>381</v>
      </c>
      <c r="F69" s="110" t="s">
        <v>160</v>
      </c>
      <c r="G69" s="110" t="s">
        <v>161</v>
      </c>
    </row>
    <row r="70" spans="1:7" x14ac:dyDescent="0.25">
      <c r="A70" s="109" t="s">
        <v>382</v>
      </c>
      <c r="B70" s="109" t="s">
        <v>383</v>
      </c>
      <c r="C70" s="110" t="s">
        <v>384</v>
      </c>
      <c r="D70" s="110" t="s">
        <v>385</v>
      </c>
      <c r="F70" s="110" t="s">
        <v>160</v>
      </c>
      <c r="G70" s="110" t="s">
        <v>161</v>
      </c>
    </row>
    <row r="71" spans="1:7" x14ac:dyDescent="0.25">
      <c r="A71" s="109" t="s">
        <v>386</v>
      </c>
      <c r="B71" s="109"/>
      <c r="C71" s="110" t="s">
        <v>387</v>
      </c>
      <c r="F71" s="110" t="s">
        <v>268</v>
      </c>
      <c r="G71" s="110" t="s">
        <v>161</v>
      </c>
    </row>
    <row r="72" spans="1:7" x14ac:dyDescent="0.25">
      <c r="A72" s="109" t="s">
        <v>388</v>
      </c>
      <c r="B72" s="109" t="s">
        <v>389</v>
      </c>
      <c r="C72" s="110" t="s">
        <v>390</v>
      </c>
      <c r="D72" s="110" t="s">
        <v>391</v>
      </c>
      <c r="F72" s="110" t="s">
        <v>268</v>
      </c>
      <c r="G72" s="110" t="s">
        <v>161</v>
      </c>
    </row>
    <row r="73" spans="1:7" x14ac:dyDescent="0.25">
      <c r="A73" s="109" t="s">
        <v>392</v>
      </c>
      <c r="B73" s="109" t="s">
        <v>393</v>
      </c>
      <c r="C73" s="110" t="s">
        <v>394</v>
      </c>
      <c r="D73" s="110" t="s">
        <v>395</v>
      </c>
      <c r="F73" s="110" t="s">
        <v>268</v>
      </c>
      <c r="G73" s="110" t="s">
        <v>161</v>
      </c>
    </row>
    <row r="74" spans="1:7" x14ac:dyDescent="0.25">
      <c r="A74" s="109" t="s">
        <v>396</v>
      </c>
      <c r="B74" s="109" t="s">
        <v>397</v>
      </c>
      <c r="C74" s="110" t="s">
        <v>398</v>
      </c>
      <c r="D74" s="110" t="s">
        <v>399</v>
      </c>
      <c r="F74" s="110" t="s">
        <v>268</v>
      </c>
      <c r="G74" s="110" t="s">
        <v>161</v>
      </c>
    </row>
    <row r="75" spans="1:7" x14ac:dyDescent="0.25">
      <c r="A75" s="109" t="s">
        <v>400</v>
      </c>
      <c r="B75" s="109" t="s">
        <v>401</v>
      </c>
      <c r="C75" s="110" t="s">
        <v>402</v>
      </c>
      <c r="D75" s="110" t="s">
        <v>403</v>
      </c>
      <c r="F75" s="110" t="s">
        <v>268</v>
      </c>
      <c r="G75" s="110" t="s">
        <v>161</v>
      </c>
    </row>
    <row r="76" spans="1:7" x14ac:dyDescent="0.25">
      <c r="A76" s="109" t="s">
        <v>404</v>
      </c>
      <c r="B76" s="109" t="s">
        <v>405</v>
      </c>
      <c r="C76" s="110" t="s">
        <v>406</v>
      </c>
      <c r="D76" s="110" t="s">
        <v>407</v>
      </c>
      <c r="F76" s="110" t="s">
        <v>268</v>
      </c>
      <c r="G76" s="110" t="s">
        <v>161</v>
      </c>
    </row>
    <row r="77" spans="1:7" x14ac:dyDescent="0.25">
      <c r="A77" s="109" t="s">
        <v>408</v>
      </c>
      <c r="B77" s="109" t="s">
        <v>409</v>
      </c>
      <c r="C77" s="110" t="s">
        <v>410</v>
      </c>
      <c r="D77" s="110" t="s">
        <v>411</v>
      </c>
      <c r="F77" s="110" t="s">
        <v>268</v>
      </c>
      <c r="G77" s="110" t="s">
        <v>161</v>
      </c>
    </row>
    <row r="78" spans="1:7" x14ac:dyDescent="0.25">
      <c r="B78" s="110"/>
      <c r="F78" s="110"/>
    </row>
    <row r="79" spans="1:7" x14ac:dyDescent="0.25">
      <c r="A79" s="109" t="s">
        <v>412</v>
      </c>
      <c r="B79" s="109"/>
      <c r="F79" s="110"/>
    </row>
    <row r="80" spans="1:7" x14ac:dyDescent="0.25">
      <c r="A80" s="109" t="s">
        <v>413</v>
      </c>
      <c r="B80" s="109"/>
      <c r="C80" s="110" t="s">
        <v>414</v>
      </c>
      <c r="F80" s="110" t="s">
        <v>160</v>
      </c>
      <c r="G80" s="110" t="s">
        <v>161</v>
      </c>
    </row>
    <row r="81" spans="1:7" x14ac:dyDescent="0.25">
      <c r="A81" s="109" t="s">
        <v>77</v>
      </c>
      <c r="B81" s="109" t="s">
        <v>415</v>
      </c>
      <c r="C81" s="110" t="s">
        <v>416</v>
      </c>
      <c r="D81" s="110" t="s">
        <v>417</v>
      </c>
      <c r="F81" s="110" t="s">
        <v>160</v>
      </c>
      <c r="G81" s="110" t="s">
        <v>161</v>
      </c>
    </row>
    <row r="82" spans="1:7" x14ac:dyDescent="0.25">
      <c r="A82" s="109" t="s">
        <v>78</v>
      </c>
      <c r="B82" s="109" t="s">
        <v>418</v>
      </c>
      <c r="C82" s="110" t="s">
        <v>419</v>
      </c>
      <c r="D82" s="110" t="s">
        <v>420</v>
      </c>
      <c r="F82" s="110" t="s">
        <v>160</v>
      </c>
      <c r="G82" s="110" t="s">
        <v>161</v>
      </c>
    </row>
    <row r="83" spans="1:7" x14ac:dyDescent="0.25">
      <c r="A83" s="109" t="s">
        <v>421</v>
      </c>
      <c r="B83" s="109"/>
      <c r="C83" s="110" t="s">
        <v>422</v>
      </c>
      <c r="F83" s="110" t="s">
        <v>160</v>
      </c>
      <c r="G83" s="110" t="s">
        <v>161</v>
      </c>
    </row>
    <row r="84" spans="1:7" x14ac:dyDescent="0.25">
      <c r="A84" s="109" t="s">
        <v>79</v>
      </c>
      <c r="B84" s="109" t="s">
        <v>423</v>
      </c>
      <c r="C84" s="110" t="s">
        <v>424</v>
      </c>
      <c r="D84" s="110" t="s">
        <v>425</v>
      </c>
      <c r="F84" s="110" t="s">
        <v>160</v>
      </c>
      <c r="G84" s="110" t="s">
        <v>161</v>
      </c>
    </row>
    <row r="85" spans="1:7" x14ac:dyDescent="0.25">
      <c r="A85" s="109" t="s">
        <v>426</v>
      </c>
      <c r="B85" s="109"/>
      <c r="C85" s="110" t="s">
        <v>427</v>
      </c>
      <c r="F85" s="110" t="s">
        <v>268</v>
      </c>
      <c r="G85" s="110" t="s">
        <v>161</v>
      </c>
    </row>
    <row r="86" spans="1:7" x14ac:dyDescent="0.25">
      <c r="A86" s="109" t="s">
        <v>428</v>
      </c>
      <c r="B86" s="109" t="s">
        <v>429</v>
      </c>
      <c r="C86" s="110" t="s">
        <v>430</v>
      </c>
      <c r="D86" s="110" t="s">
        <v>431</v>
      </c>
      <c r="F86" s="110" t="s">
        <v>268</v>
      </c>
      <c r="G86" s="110" t="s">
        <v>161</v>
      </c>
    </row>
    <row r="87" spans="1:7" x14ac:dyDescent="0.25">
      <c r="A87" s="109" t="s">
        <v>432</v>
      </c>
      <c r="B87" s="109" t="s">
        <v>433</v>
      </c>
      <c r="C87" s="110" t="s">
        <v>434</v>
      </c>
      <c r="D87" s="110" t="s">
        <v>435</v>
      </c>
      <c r="F87" s="110" t="s">
        <v>268</v>
      </c>
      <c r="G87" s="110" t="s">
        <v>161</v>
      </c>
    </row>
    <row r="88" spans="1:7" x14ac:dyDescent="0.25">
      <c r="A88" s="109" t="s">
        <v>436</v>
      </c>
      <c r="B88" s="109"/>
      <c r="C88" s="110" t="s">
        <v>437</v>
      </c>
      <c r="F88" s="110" t="s">
        <v>268</v>
      </c>
      <c r="G88" s="110" t="s">
        <v>161</v>
      </c>
    </row>
    <row r="89" spans="1:7" x14ac:dyDescent="0.25">
      <c r="A89" s="109" t="s">
        <v>438</v>
      </c>
      <c r="B89" s="109" t="s">
        <v>439</v>
      </c>
      <c r="C89" s="110" t="s">
        <v>440</v>
      </c>
      <c r="D89" s="110" t="s">
        <v>441</v>
      </c>
      <c r="F89" s="110" t="s">
        <v>268</v>
      </c>
      <c r="G89" s="110" t="s">
        <v>161</v>
      </c>
    </row>
    <row r="90" spans="1:7" x14ac:dyDescent="0.25">
      <c r="A90" s="109" t="s">
        <v>80</v>
      </c>
      <c r="B90" s="109" t="s">
        <v>442</v>
      </c>
      <c r="C90" s="110" t="s">
        <v>443</v>
      </c>
      <c r="D90" s="110" t="s">
        <v>444</v>
      </c>
      <c r="F90" s="110" t="s">
        <v>268</v>
      </c>
      <c r="G90" s="110" t="s">
        <v>161</v>
      </c>
    </row>
    <row r="91" spans="1:7" x14ac:dyDescent="0.25">
      <c r="A91" s="109" t="s">
        <v>445</v>
      </c>
      <c r="B91" s="109"/>
      <c r="C91" s="110" t="s">
        <v>446</v>
      </c>
      <c r="F91" s="110" t="s">
        <v>160</v>
      </c>
      <c r="G91" s="110" t="s">
        <v>161</v>
      </c>
    </row>
    <row r="92" spans="1:7" x14ac:dyDescent="0.25">
      <c r="A92" s="109" t="s">
        <v>447</v>
      </c>
      <c r="B92" s="109" t="s">
        <v>448</v>
      </c>
      <c r="C92" s="110" t="s">
        <v>449</v>
      </c>
      <c r="D92" s="110" t="s">
        <v>450</v>
      </c>
      <c r="F92" s="110" t="s">
        <v>160</v>
      </c>
      <c r="G92" s="110" t="s">
        <v>161</v>
      </c>
    </row>
    <row r="93" spans="1:7" x14ac:dyDescent="0.25">
      <c r="A93" s="109" t="s">
        <v>451</v>
      </c>
      <c r="B93" s="109" t="s">
        <v>452</v>
      </c>
      <c r="C93" s="110" t="s">
        <v>453</v>
      </c>
      <c r="D93" s="110" t="s">
        <v>454</v>
      </c>
      <c r="F93" s="110" t="s">
        <v>160</v>
      </c>
      <c r="G93" s="110" t="s">
        <v>161</v>
      </c>
    </row>
    <row r="94" spans="1:7" x14ac:dyDescent="0.25">
      <c r="A94" s="109" t="s">
        <v>455</v>
      </c>
      <c r="B94" s="109" t="s">
        <v>456</v>
      </c>
      <c r="C94" s="110" t="s">
        <v>457</v>
      </c>
      <c r="D94" s="110" t="s">
        <v>458</v>
      </c>
      <c r="F94" s="110" t="s">
        <v>160</v>
      </c>
      <c r="G94" s="110" t="s">
        <v>161</v>
      </c>
    </row>
    <row r="95" spans="1:7" x14ac:dyDescent="0.25">
      <c r="A95" s="109" t="s">
        <v>459</v>
      </c>
      <c r="B95" s="109" t="s">
        <v>460</v>
      </c>
      <c r="C95" s="110" t="s">
        <v>461</v>
      </c>
      <c r="D95" s="110" t="s">
        <v>462</v>
      </c>
      <c r="F95" s="110" t="s">
        <v>160</v>
      </c>
      <c r="G95" s="110" t="s">
        <v>161</v>
      </c>
    </row>
    <row r="96" spans="1:7" x14ac:dyDescent="0.25">
      <c r="A96" s="109" t="s">
        <v>463</v>
      </c>
      <c r="B96" s="109" t="s">
        <v>464</v>
      </c>
      <c r="C96" s="110" t="s">
        <v>465</v>
      </c>
      <c r="D96" s="110" t="s">
        <v>466</v>
      </c>
      <c r="F96" s="110" t="s">
        <v>160</v>
      </c>
      <c r="G96" s="110" t="s">
        <v>161</v>
      </c>
    </row>
    <row r="97" spans="1:7" x14ac:dyDescent="0.25">
      <c r="A97" s="109" t="s">
        <v>467</v>
      </c>
      <c r="B97" s="109" t="s">
        <v>468</v>
      </c>
      <c r="C97" s="110" t="s">
        <v>469</v>
      </c>
      <c r="D97" s="110" t="s">
        <v>470</v>
      </c>
      <c r="F97" s="110" t="s">
        <v>160</v>
      </c>
      <c r="G97" s="110" t="s">
        <v>161</v>
      </c>
    </row>
    <row r="98" spans="1:7" x14ac:dyDescent="0.25">
      <c r="A98" s="109" t="s">
        <v>471</v>
      </c>
      <c r="B98" s="109" t="s">
        <v>472</v>
      </c>
      <c r="C98" s="110" t="s">
        <v>473</v>
      </c>
      <c r="D98" s="110" t="s">
        <v>474</v>
      </c>
      <c r="F98" s="110" t="s">
        <v>160</v>
      </c>
      <c r="G98" s="110" t="s">
        <v>161</v>
      </c>
    </row>
    <row r="99" spans="1:7" x14ac:dyDescent="0.25">
      <c r="A99" s="109" t="s">
        <v>475</v>
      </c>
      <c r="B99" s="109"/>
      <c r="C99" s="110" t="s">
        <v>476</v>
      </c>
      <c r="F99" s="110" t="s">
        <v>160</v>
      </c>
      <c r="G99" s="110" t="s">
        <v>161</v>
      </c>
    </row>
    <row r="100" spans="1:7" x14ac:dyDescent="0.25">
      <c r="A100" s="109" t="s">
        <v>81</v>
      </c>
      <c r="B100" s="109" t="s">
        <v>477</v>
      </c>
      <c r="C100" s="110" t="s">
        <v>478</v>
      </c>
      <c r="D100" s="110" t="s">
        <v>479</v>
      </c>
      <c r="F100" s="110" t="s">
        <v>160</v>
      </c>
      <c r="G100" s="110" t="s">
        <v>161</v>
      </c>
    </row>
    <row r="101" spans="1:7" x14ac:dyDescent="0.25">
      <c r="A101" s="109" t="s">
        <v>480</v>
      </c>
      <c r="B101" s="109"/>
      <c r="C101" s="110" t="s">
        <v>481</v>
      </c>
      <c r="F101" s="110" t="s">
        <v>268</v>
      </c>
      <c r="G101" s="110" t="s">
        <v>161</v>
      </c>
    </row>
    <row r="102" spans="1:7" x14ac:dyDescent="0.25">
      <c r="A102" s="109" t="s">
        <v>482</v>
      </c>
      <c r="B102" s="109" t="s">
        <v>483</v>
      </c>
      <c r="C102" s="110" t="s">
        <v>481</v>
      </c>
      <c r="D102" s="110" t="s">
        <v>484</v>
      </c>
      <c r="F102" s="110" t="s">
        <v>268</v>
      </c>
      <c r="G102" s="110" t="s">
        <v>161</v>
      </c>
    </row>
    <row r="103" spans="1:7" x14ac:dyDescent="0.25">
      <c r="B103" s="110"/>
      <c r="F103" s="110"/>
    </row>
    <row r="104" spans="1:7" x14ac:dyDescent="0.25">
      <c r="A104" s="109" t="s">
        <v>485</v>
      </c>
      <c r="B104" s="109"/>
      <c r="F104" s="110"/>
    </row>
    <row r="105" spans="1:7" x14ac:dyDescent="0.25">
      <c r="A105" s="109" t="s">
        <v>486</v>
      </c>
      <c r="B105" s="109"/>
      <c r="C105" s="110" t="s">
        <v>487</v>
      </c>
      <c r="F105" s="110" t="s">
        <v>160</v>
      </c>
      <c r="G105" s="110" t="s">
        <v>161</v>
      </c>
    </row>
    <row r="106" spans="1:7" x14ac:dyDescent="0.25">
      <c r="A106" s="109" t="s">
        <v>82</v>
      </c>
      <c r="B106" s="109" t="s">
        <v>488</v>
      </c>
      <c r="C106" s="110" t="s">
        <v>489</v>
      </c>
      <c r="D106" s="110" t="s">
        <v>490</v>
      </c>
      <c r="F106" s="110" t="s">
        <v>160</v>
      </c>
      <c r="G106" s="110" t="s">
        <v>161</v>
      </c>
    </row>
    <row r="107" spans="1:7" x14ac:dyDescent="0.25">
      <c r="A107" s="109" t="s">
        <v>491</v>
      </c>
      <c r="B107" s="109" t="s">
        <v>492</v>
      </c>
      <c r="C107" s="110" t="s">
        <v>493</v>
      </c>
      <c r="D107" s="110" t="s">
        <v>494</v>
      </c>
      <c r="F107" s="110" t="s">
        <v>160</v>
      </c>
      <c r="G107" s="110" t="s">
        <v>161</v>
      </c>
    </row>
    <row r="108" spans="1:7" x14ac:dyDescent="0.25">
      <c r="A108" s="109" t="s">
        <v>495</v>
      </c>
      <c r="B108" s="109" t="s">
        <v>496</v>
      </c>
      <c r="C108" s="110" t="s">
        <v>497</v>
      </c>
      <c r="D108" s="110" t="s">
        <v>498</v>
      </c>
      <c r="F108" s="110" t="s">
        <v>160</v>
      </c>
      <c r="G108" s="110" t="s">
        <v>161</v>
      </c>
    </row>
    <row r="109" spans="1:7" x14ac:dyDescent="0.25">
      <c r="A109" s="109" t="s">
        <v>83</v>
      </c>
      <c r="B109" s="109" t="s">
        <v>499</v>
      </c>
      <c r="C109" s="110" t="s">
        <v>500</v>
      </c>
      <c r="D109" s="110" t="s">
        <v>501</v>
      </c>
      <c r="F109" s="110" t="s">
        <v>160</v>
      </c>
      <c r="G109" s="110" t="s">
        <v>161</v>
      </c>
    </row>
    <row r="110" spans="1:7" x14ac:dyDescent="0.25">
      <c r="A110" s="109" t="s">
        <v>84</v>
      </c>
      <c r="B110" s="109" t="s">
        <v>502</v>
      </c>
      <c r="C110" s="110" t="s">
        <v>503</v>
      </c>
      <c r="D110" s="110" t="s">
        <v>504</v>
      </c>
      <c r="F110" s="110" t="s">
        <v>160</v>
      </c>
      <c r="G110" s="110" t="s">
        <v>161</v>
      </c>
    </row>
    <row r="111" spans="1:7" x14ac:dyDescent="0.25">
      <c r="A111" s="109" t="s">
        <v>505</v>
      </c>
      <c r="B111" s="109" t="s">
        <v>506</v>
      </c>
      <c r="C111" s="110" t="s">
        <v>507</v>
      </c>
      <c r="D111" s="110" t="s">
        <v>508</v>
      </c>
      <c r="F111" s="110" t="s">
        <v>160</v>
      </c>
      <c r="G111" s="110" t="s">
        <v>161</v>
      </c>
    </row>
    <row r="112" spans="1:7" x14ac:dyDescent="0.25">
      <c r="A112" s="109" t="s">
        <v>509</v>
      </c>
      <c r="B112" s="109"/>
      <c r="C112" s="110" t="s">
        <v>510</v>
      </c>
      <c r="F112" s="110" t="s">
        <v>268</v>
      </c>
      <c r="G112" s="110" t="s">
        <v>161</v>
      </c>
    </row>
    <row r="113" spans="1:7" x14ac:dyDescent="0.25">
      <c r="A113" s="109" t="s">
        <v>85</v>
      </c>
      <c r="B113" s="109" t="s">
        <v>511</v>
      </c>
      <c r="C113" s="110" t="s">
        <v>512</v>
      </c>
      <c r="D113" s="110" t="s">
        <v>513</v>
      </c>
      <c r="F113" s="110" t="s">
        <v>268</v>
      </c>
      <c r="G113" s="110" t="s">
        <v>161</v>
      </c>
    </row>
    <row r="114" spans="1:7" x14ac:dyDescent="0.25">
      <c r="A114" s="109" t="s">
        <v>514</v>
      </c>
      <c r="B114" s="109" t="s">
        <v>515</v>
      </c>
      <c r="C114" s="110" t="s">
        <v>516</v>
      </c>
      <c r="D114" s="110" t="s">
        <v>517</v>
      </c>
      <c r="F114" s="110" t="s">
        <v>268</v>
      </c>
      <c r="G114" s="110" t="s">
        <v>161</v>
      </c>
    </row>
    <row r="115" spans="1:7" x14ac:dyDescent="0.25">
      <c r="A115" s="109" t="s">
        <v>86</v>
      </c>
      <c r="B115" s="109" t="s">
        <v>518</v>
      </c>
      <c r="C115" s="110" t="s">
        <v>519</v>
      </c>
      <c r="D115" s="110" t="s">
        <v>520</v>
      </c>
      <c r="F115" s="110" t="s">
        <v>268</v>
      </c>
      <c r="G115" s="110" t="s">
        <v>161</v>
      </c>
    </row>
    <row r="116" spans="1:7" x14ac:dyDescent="0.25">
      <c r="A116" s="109" t="s">
        <v>521</v>
      </c>
      <c r="B116" s="109" t="s">
        <v>522</v>
      </c>
      <c r="C116" s="110" t="s">
        <v>523</v>
      </c>
      <c r="D116" s="110" t="s">
        <v>524</v>
      </c>
      <c r="F116" s="110" t="s">
        <v>268</v>
      </c>
      <c r="G116" s="110" t="s">
        <v>161</v>
      </c>
    </row>
    <row r="117" spans="1:7" x14ac:dyDescent="0.25">
      <c r="A117" s="109" t="s">
        <v>87</v>
      </c>
      <c r="B117" s="109" t="s">
        <v>525</v>
      </c>
      <c r="C117" s="110" t="s">
        <v>526</v>
      </c>
      <c r="D117" s="114"/>
      <c r="F117" s="110" t="s">
        <v>268</v>
      </c>
      <c r="G117" s="110" t="s">
        <v>161</v>
      </c>
    </row>
    <row r="118" spans="1:7" x14ac:dyDescent="0.25">
      <c r="A118" s="109" t="s">
        <v>527</v>
      </c>
      <c r="B118" s="109" t="s">
        <v>528</v>
      </c>
      <c r="C118" s="110" t="s">
        <v>529</v>
      </c>
      <c r="D118" s="114"/>
      <c r="F118" s="110" t="s">
        <v>268</v>
      </c>
      <c r="G118" s="110" t="s">
        <v>161</v>
      </c>
    </row>
    <row r="119" spans="1:7" x14ac:dyDescent="0.25">
      <c r="A119" s="109" t="s">
        <v>530</v>
      </c>
      <c r="B119" s="109"/>
      <c r="C119" s="110" t="s">
        <v>531</v>
      </c>
      <c r="F119" s="110" t="s">
        <v>268</v>
      </c>
      <c r="G119" s="110" t="s">
        <v>161</v>
      </c>
    </row>
    <row r="120" spans="1:7" x14ac:dyDescent="0.25">
      <c r="A120" s="109" t="s">
        <v>88</v>
      </c>
      <c r="B120" s="109" t="s">
        <v>532</v>
      </c>
      <c r="C120" s="110" t="s">
        <v>533</v>
      </c>
      <c r="D120" s="110" t="s">
        <v>534</v>
      </c>
      <c r="F120" s="110" t="s">
        <v>268</v>
      </c>
      <c r="G120" s="110" t="s">
        <v>161</v>
      </c>
    </row>
    <row r="121" spans="1:7" x14ac:dyDescent="0.25">
      <c r="A121" s="109" t="s">
        <v>89</v>
      </c>
      <c r="B121" s="109" t="s">
        <v>535</v>
      </c>
      <c r="C121" s="110" t="s">
        <v>536</v>
      </c>
      <c r="F121" s="110" t="s">
        <v>268</v>
      </c>
      <c r="G121" s="110" t="s">
        <v>161</v>
      </c>
    </row>
    <row r="122" spans="1:7" x14ac:dyDescent="0.25">
      <c r="A122" s="109" t="s">
        <v>90</v>
      </c>
      <c r="B122" s="109" t="s">
        <v>537</v>
      </c>
      <c r="C122" s="110" t="s">
        <v>538</v>
      </c>
      <c r="D122" s="110" t="s">
        <v>539</v>
      </c>
      <c r="F122" s="110" t="s">
        <v>160</v>
      </c>
      <c r="G122" s="110" t="s">
        <v>161</v>
      </c>
    </row>
    <row r="123" spans="1:7" x14ac:dyDescent="0.25">
      <c r="A123" s="109" t="s">
        <v>91</v>
      </c>
      <c r="B123" s="109" t="s">
        <v>540</v>
      </c>
      <c r="C123" s="110" t="s">
        <v>541</v>
      </c>
      <c r="D123" s="110" t="s">
        <v>542</v>
      </c>
      <c r="F123" s="110" t="s">
        <v>268</v>
      </c>
      <c r="G123" s="110" t="s">
        <v>161</v>
      </c>
    </row>
    <row r="124" spans="1:7" x14ac:dyDescent="0.25">
      <c r="A124" s="109" t="s">
        <v>543</v>
      </c>
      <c r="B124" s="109"/>
      <c r="C124" s="110" t="s">
        <v>544</v>
      </c>
      <c r="F124" s="110" t="s">
        <v>268</v>
      </c>
      <c r="G124" s="110" t="s">
        <v>161</v>
      </c>
    </row>
    <row r="125" spans="1:7" x14ac:dyDescent="0.25">
      <c r="A125" s="109" t="s">
        <v>92</v>
      </c>
      <c r="B125" s="109" t="s">
        <v>545</v>
      </c>
      <c r="C125" s="110" t="s">
        <v>546</v>
      </c>
      <c r="D125" s="110" t="s">
        <v>547</v>
      </c>
      <c r="F125" s="110" t="s">
        <v>268</v>
      </c>
      <c r="G125" s="110" t="s">
        <v>161</v>
      </c>
    </row>
    <row r="126" spans="1:7" x14ac:dyDescent="0.25">
      <c r="A126" s="109" t="s">
        <v>93</v>
      </c>
      <c r="B126" s="109" t="s">
        <v>548</v>
      </c>
      <c r="C126" s="110" t="s">
        <v>549</v>
      </c>
      <c r="D126" s="110" t="s">
        <v>550</v>
      </c>
      <c r="F126" s="110" t="s">
        <v>268</v>
      </c>
      <c r="G126" s="110" t="s">
        <v>161</v>
      </c>
    </row>
    <row r="127" spans="1:7" x14ac:dyDescent="0.25">
      <c r="A127" s="109" t="s">
        <v>94</v>
      </c>
      <c r="B127" s="109" t="s">
        <v>551</v>
      </c>
      <c r="C127" s="110" t="s">
        <v>552</v>
      </c>
      <c r="D127" s="110" t="s">
        <v>553</v>
      </c>
      <c r="F127" s="110" t="s">
        <v>268</v>
      </c>
      <c r="G127" s="110" t="s">
        <v>161</v>
      </c>
    </row>
    <row r="128" spans="1:7" x14ac:dyDescent="0.25">
      <c r="A128" s="109" t="s">
        <v>95</v>
      </c>
      <c r="B128" s="109" t="s">
        <v>554</v>
      </c>
      <c r="C128" s="110" t="s">
        <v>555</v>
      </c>
      <c r="D128" s="110" t="s">
        <v>556</v>
      </c>
      <c r="E128" s="110" t="s">
        <v>557</v>
      </c>
      <c r="F128" s="110" t="s">
        <v>268</v>
      </c>
      <c r="G128" s="110" t="s">
        <v>161</v>
      </c>
    </row>
    <row r="129" spans="1:7" x14ac:dyDescent="0.25">
      <c r="A129" s="109" t="s">
        <v>96</v>
      </c>
      <c r="B129" s="109" t="s">
        <v>558</v>
      </c>
      <c r="C129" s="110" t="s">
        <v>559</v>
      </c>
      <c r="D129" s="110" t="s">
        <v>560</v>
      </c>
      <c r="F129" s="110" t="s">
        <v>268</v>
      </c>
      <c r="G129" s="110" t="s">
        <v>161</v>
      </c>
    </row>
    <row r="130" spans="1:7" x14ac:dyDescent="0.25">
      <c r="A130" s="109" t="s">
        <v>561</v>
      </c>
      <c r="B130" s="109" t="s">
        <v>558</v>
      </c>
      <c r="C130" s="110" t="s">
        <v>562</v>
      </c>
      <c r="D130" s="110" t="s">
        <v>563</v>
      </c>
      <c r="F130" s="110" t="s">
        <v>268</v>
      </c>
      <c r="G130" s="110" t="s">
        <v>161</v>
      </c>
    </row>
    <row r="131" spans="1:7" x14ac:dyDescent="0.25">
      <c r="A131" s="109" t="s">
        <v>564</v>
      </c>
      <c r="B131" s="109"/>
      <c r="C131" s="110" t="s">
        <v>565</v>
      </c>
      <c r="F131" s="110" t="s">
        <v>160</v>
      </c>
      <c r="G131" s="110" t="s">
        <v>161</v>
      </c>
    </row>
    <row r="132" spans="1:7" x14ac:dyDescent="0.25">
      <c r="A132" s="109" t="s">
        <v>566</v>
      </c>
      <c r="B132" s="109" t="s">
        <v>567</v>
      </c>
      <c r="C132" s="110" t="s">
        <v>568</v>
      </c>
      <c r="D132" s="110" t="s">
        <v>569</v>
      </c>
      <c r="F132" s="110" t="s">
        <v>160</v>
      </c>
      <c r="G132" s="110" t="s">
        <v>161</v>
      </c>
    </row>
    <row r="133" spans="1:7" x14ac:dyDescent="0.25">
      <c r="A133" s="109" t="s">
        <v>570</v>
      </c>
      <c r="B133" s="109" t="s">
        <v>571</v>
      </c>
      <c r="C133" s="110" t="s">
        <v>572</v>
      </c>
      <c r="D133" s="110" t="s">
        <v>573</v>
      </c>
      <c r="F133" s="110" t="s">
        <v>160</v>
      </c>
      <c r="G133" s="110" t="s">
        <v>161</v>
      </c>
    </row>
    <row r="134" spans="1:7" x14ac:dyDescent="0.25">
      <c r="A134" s="109" t="s">
        <v>574</v>
      </c>
      <c r="B134" s="109" t="s">
        <v>575</v>
      </c>
      <c r="C134" s="110" t="s">
        <v>576</v>
      </c>
      <c r="D134" s="110" t="s">
        <v>577</v>
      </c>
      <c r="F134" s="110" t="s">
        <v>160</v>
      </c>
      <c r="G134" s="110" t="s">
        <v>161</v>
      </c>
    </row>
    <row r="135" spans="1:7" x14ac:dyDescent="0.25">
      <c r="A135" s="109" t="s">
        <v>578</v>
      </c>
      <c r="B135" s="109" t="s">
        <v>579</v>
      </c>
      <c r="C135" s="110" t="s">
        <v>580</v>
      </c>
      <c r="D135" s="110" t="s">
        <v>581</v>
      </c>
      <c r="F135" s="110" t="s">
        <v>160</v>
      </c>
      <c r="G135" s="110" t="s">
        <v>161</v>
      </c>
    </row>
    <row r="136" spans="1:7" x14ac:dyDescent="0.25">
      <c r="A136" s="109" t="s">
        <v>582</v>
      </c>
      <c r="B136" s="109" t="s">
        <v>583</v>
      </c>
      <c r="C136" s="110" t="s">
        <v>584</v>
      </c>
      <c r="D136" s="110" t="s">
        <v>585</v>
      </c>
      <c r="F136" s="110" t="s">
        <v>160</v>
      </c>
      <c r="G136" s="110" t="s">
        <v>161</v>
      </c>
    </row>
    <row r="137" spans="1:7" x14ac:dyDescent="0.25">
      <c r="A137" s="109" t="s">
        <v>586</v>
      </c>
      <c r="B137" s="109"/>
      <c r="C137" s="110" t="s">
        <v>587</v>
      </c>
      <c r="F137" s="110" t="s">
        <v>268</v>
      </c>
      <c r="G137" s="110" t="s">
        <v>161</v>
      </c>
    </row>
    <row r="138" spans="1:7" x14ac:dyDescent="0.25">
      <c r="A138" s="109" t="s">
        <v>588</v>
      </c>
      <c r="B138" s="109" t="s">
        <v>589</v>
      </c>
      <c r="C138" s="110" t="s">
        <v>590</v>
      </c>
      <c r="D138" s="110" t="s">
        <v>591</v>
      </c>
      <c r="F138" s="110" t="s">
        <v>268</v>
      </c>
      <c r="G138" s="110" t="s">
        <v>161</v>
      </c>
    </row>
    <row r="139" spans="1:7" x14ac:dyDescent="0.25">
      <c r="A139" s="109" t="s">
        <v>592</v>
      </c>
      <c r="B139" s="109" t="s">
        <v>593</v>
      </c>
      <c r="C139" s="110" t="s">
        <v>594</v>
      </c>
      <c r="D139" s="110" t="s">
        <v>595</v>
      </c>
      <c r="F139" s="110" t="s">
        <v>268</v>
      </c>
      <c r="G139" s="110" t="s">
        <v>161</v>
      </c>
    </row>
    <row r="140" spans="1:7" x14ac:dyDescent="0.25">
      <c r="A140" s="109" t="s">
        <v>97</v>
      </c>
      <c r="B140" s="109" t="s">
        <v>596</v>
      </c>
      <c r="C140" s="110" t="s">
        <v>597</v>
      </c>
      <c r="D140" s="110" t="s">
        <v>598</v>
      </c>
      <c r="E140" s="110" t="s">
        <v>599</v>
      </c>
      <c r="F140" s="110" t="s">
        <v>268</v>
      </c>
      <c r="G140" s="110" t="s">
        <v>161</v>
      </c>
    </row>
    <row r="141" spans="1:7" x14ac:dyDescent="0.25">
      <c r="A141" s="109" t="s">
        <v>600</v>
      </c>
      <c r="B141" s="109" t="s">
        <v>601</v>
      </c>
      <c r="C141" s="110" t="s">
        <v>602</v>
      </c>
      <c r="D141" s="110" t="s">
        <v>603</v>
      </c>
      <c r="F141" s="110" t="s">
        <v>268</v>
      </c>
      <c r="G141" s="110" t="s">
        <v>161</v>
      </c>
    </row>
    <row r="142" spans="1:7" x14ac:dyDescent="0.25">
      <c r="A142" s="109" t="s">
        <v>604</v>
      </c>
      <c r="B142" s="109" t="s">
        <v>605</v>
      </c>
      <c r="C142" s="110" t="s">
        <v>606</v>
      </c>
      <c r="D142" s="110" t="s">
        <v>607</v>
      </c>
      <c r="F142" s="110" t="s">
        <v>268</v>
      </c>
      <c r="G142" s="110" t="s">
        <v>161</v>
      </c>
    </row>
    <row r="143" spans="1:7" x14ac:dyDescent="0.25">
      <c r="A143" s="109" t="s">
        <v>608</v>
      </c>
      <c r="B143" s="109" t="s">
        <v>609</v>
      </c>
      <c r="C143" s="110" t="s">
        <v>610</v>
      </c>
      <c r="D143" s="110" t="s">
        <v>611</v>
      </c>
      <c r="F143" s="110" t="s">
        <v>268</v>
      </c>
      <c r="G143" s="110" t="s">
        <v>161</v>
      </c>
    </row>
    <row r="144" spans="1:7" x14ac:dyDescent="0.25">
      <c r="A144" s="109" t="s">
        <v>612</v>
      </c>
      <c r="B144" s="109"/>
      <c r="C144" s="110" t="s">
        <v>613</v>
      </c>
      <c r="F144" s="110" t="s">
        <v>160</v>
      </c>
      <c r="G144" s="110" t="s">
        <v>161</v>
      </c>
    </row>
    <row r="145" spans="1:7" x14ac:dyDescent="0.25">
      <c r="A145" s="109" t="s">
        <v>614</v>
      </c>
      <c r="B145" s="109" t="s">
        <v>615</v>
      </c>
      <c r="C145" s="110" t="s">
        <v>616</v>
      </c>
      <c r="D145" s="110" t="s">
        <v>617</v>
      </c>
      <c r="F145" s="110" t="s">
        <v>160</v>
      </c>
      <c r="G145" s="110" t="s">
        <v>161</v>
      </c>
    </row>
    <row r="146" spans="1:7" x14ac:dyDescent="0.25">
      <c r="A146" s="109" t="s">
        <v>618</v>
      </c>
      <c r="B146" s="109" t="s">
        <v>619</v>
      </c>
      <c r="C146" s="110" t="s">
        <v>620</v>
      </c>
      <c r="D146" s="110" t="s">
        <v>621</v>
      </c>
      <c r="F146" s="110" t="s">
        <v>268</v>
      </c>
      <c r="G146" s="110" t="s">
        <v>161</v>
      </c>
    </row>
    <row r="147" spans="1:7" x14ac:dyDescent="0.25">
      <c r="A147" s="109" t="s">
        <v>622</v>
      </c>
      <c r="B147" s="109" t="s">
        <v>623</v>
      </c>
      <c r="C147" s="110" t="s">
        <v>624</v>
      </c>
      <c r="D147" s="110" t="s">
        <v>625</v>
      </c>
      <c r="F147" s="110" t="s">
        <v>160</v>
      </c>
      <c r="G147" s="110" t="s">
        <v>161</v>
      </c>
    </row>
    <row r="148" spans="1:7" x14ac:dyDescent="0.25">
      <c r="A148" s="109" t="s">
        <v>626</v>
      </c>
      <c r="B148" s="109" t="s">
        <v>627</v>
      </c>
      <c r="C148" s="110" t="s">
        <v>628</v>
      </c>
      <c r="D148" s="110" t="s">
        <v>629</v>
      </c>
      <c r="F148" s="110" t="s">
        <v>160</v>
      </c>
      <c r="G148" s="110" t="s">
        <v>161</v>
      </c>
    </row>
    <row r="149" spans="1:7" x14ac:dyDescent="0.25">
      <c r="A149" s="109" t="s">
        <v>630</v>
      </c>
      <c r="B149" s="109" t="s">
        <v>631</v>
      </c>
      <c r="C149" s="110" t="s">
        <v>632</v>
      </c>
      <c r="D149" s="110" t="s">
        <v>633</v>
      </c>
      <c r="F149" s="110" t="s">
        <v>160</v>
      </c>
      <c r="G149" s="110" t="s">
        <v>161</v>
      </c>
    </row>
    <row r="150" spans="1:7" x14ac:dyDescent="0.25">
      <c r="A150" s="109" t="s">
        <v>634</v>
      </c>
      <c r="B150" s="109" t="s">
        <v>635</v>
      </c>
      <c r="C150" s="110" t="s">
        <v>636</v>
      </c>
      <c r="D150" s="110" t="s">
        <v>637</v>
      </c>
      <c r="F150" s="110" t="s">
        <v>160</v>
      </c>
      <c r="G150" s="110" t="s">
        <v>161</v>
      </c>
    </row>
    <row r="151" spans="1:7" x14ac:dyDescent="0.25">
      <c r="A151" s="109" t="s">
        <v>638</v>
      </c>
      <c r="B151" s="109" t="s">
        <v>639</v>
      </c>
      <c r="C151" s="110" t="s">
        <v>640</v>
      </c>
      <c r="D151" s="110" t="s">
        <v>641</v>
      </c>
      <c r="F151" s="110" t="s">
        <v>268</v>
      </c>
      <c r="G151" s="110" t="s">
        <v>161</v>
      </c>
    </row>
    <row r="152" spans="1:7" x14ac:dyDescent="0.25">
      <c r="A152" s="109" t="s">
        <v>98</v>
      </c>
      <c r="B152" s="109" t="s">
        <v>642</v>
      </c>
      <c r="C152" s="110" t="s">
        <v>643</v>
      </c>
      <c r="D152" s="110" t="s">
        <v>504</v>
      </c>
      <c r="E152" s="110" t="s">
        <v>644</v>
      </c>
      <c r="F152" s="110" t="s">
        <v>160</v>
      </c>
      <c r="G152" s="110" t="s">
        <v>161</v>
      </c>
    </row>
    <row r="153" spans="1:7" x14ac:dyDescent="0.25">
      <c r="A153" s="109" t="s">
        <v>99</v>
      </c>
      <c r="B153" s="109" t="s">
        <v>645</v>
      </c>
      <c r="C153" s="110" t="s">
        <v>646</v>
      </c>
      <c r="D153" s="110" t="s">
        <v>647</v>
      </c>
      <c r="E153" s="110" t="s">
        <v>648</v>
      </c>
      <c r="F153" s="110" t="s">
        <v>268</v>
      </c>
      <c r="G153" s="110" t="s">
        <v>161</v>
      </c>
    </row>
    <row r="154" spans="1:7" x14ac:dyDescent="0.25">
      <c r="A154" s="109" t="s">
        <v>649</v>
      </c>
      <c r="B154" s="109"/>
      <c r="C154" s="110" t="s">
        <v>650</v>
      </c>
      <c r="F154" s="110" t="s">
        <v>160</v>
      </c>
      <c r="G154" s="110" t="s">
        <v>161</v>
      </c>
    </row>
    <row r="155" spans="1:7" x14ac:dyDescent="0.25">
      <c r="A155" s="109" t="s">
        <v>651</v>
      </c>
      <c r="B155" s="109" t="s">
        <v>652</v>
      </c>
      <c r="C155" s="110" t="s">
        <v>653</v>
      </c>
      <c r="D155" s="110" t="s">
        <v>654</v>
      </c>
      <c r="E155" s="110" t="s">
        <v>655</v>
      </c>
      <c r="F155" s="110" t="s">
        <v>160</v>
      </c>
      <c r="G155" s="110" t="s">
        <v>161</v>
      </c>
    </row>
    <row r="156" spans="1:7" x14ac:dyDescent="0.25">
      <c r="A156" s="109" t="s">
        <v>656</v>
      </c>
      <c r="B156" s="109" t="s">
        <v>657</v>
      </c>
      <c r="C156" s="110" t="s">
        <v>658</v>
      </c>
      <c r="D156" s="110" t="s">
        <v>659</v>
      </c>
      <c r="F156" s="110" t="s">
        <v>160</v>
      </c>
      <c r="G156" s="110" t="s">
        <v>161</v>
      </c>
    </row>
    <row r="157" spans="1:7" x14ac:dyDescent="0.25">
      <c r="A157" s="109" t="s">
        <v>151</v>
      </c>
      <c r="B157" s="109" t="s">
        <v>660</v>
      </c>
      <c r="C157" s="110" t="s">
        <v>661</v>
      </c>
      <c r="D157" s="110" t="s">
        <v>662</v>
      </c>
      <c r="F157" s="110" t="s">
        <v>268</v>
      </c>
      <c r="G157" s="110" t="s">
        <v>161</v>
      </c>
    </row>
    <row r="158" spans="1:7" x14ac:dyDescent="0.25">
      <c r="A158" s="109" t="s">
        <v>100</v>
      </c>
      <c r="B158" s="109" t="s">
        <v>663</v>
      </c>
      <c r="C158" s="110" t="s">
        <v>664</v>
      </c>
      <c r="D158" s="110" t="s">
        <v>665</v>
      </c>
      <c r="F158" s="110" t="s">
        <v>268</v>
      </c>
      <c r="G158" s="110" t="s">
        <v>161</v>
      </c>
    </row>
    <row r="159" spans="1:7" x14ac:dyDescent="0.25">
      <c r="A159" s="109" t="s">
        <v>101</v>
      </c>
      <c r="B159" s="109" t="s">
        <v>666</v>
      </c>
      <c r="C159" s="110" t="s">
        <v>667</v>
      </c>
      <c r="D159" s="110" t="s">
        <v>668</v>
      </c>
      <c r="E159" s="110" t="s">
        <v>669</v>
      </c>
      <c r="F159" s="110" t="s">
        <v>160</v>
      </c>
      <c r="G159" s="110" t="s">
        <v>161</v>
      </c>
    </row>
    <row r="160" spans="1:7" x14ac:dyDescent="0.25">
      <c r="A160" s="109" t="s">
        <v>670</v>
      </c>
      <c r="B160" s="109"/>
      <c r="C160" s="110" t="s">
        <v>671</v>
      </c>
      <c r="F160" s="110" t="s">
        <v>268</v>
      </c>
      <c r="G160" s="110" t="s">
        <v>161</v>
      </c>
    </row>
    <row r="161" spans="1:7" x14ac:dyDescent="0.25">
      <c r="A161" s="109" t="s">
        <v>672</v>
      </c>
      <c r="B161" s="109" t="s">
        <v>673</v>
      </c>
      <c r="C161" s="110" t="s">
        <v>674</v>
      </c>
      <c r="D161" s="110" t="s">
        <v>675</v>
      </c>
      <c r="E161" s="110" t="s">
        <v>676</v>
      </c>
      <c r="F161" s="110" t="s">
        <v>268</v>
      </c>
      <c r="G161" s="110" t="s">
        <v>161</v>
      </c>
    </row>
    <row r="162" spans="1:7" x14ac:dyDescent="0.25">
      <c r="A162" s="109" t="s">
        <v>102</v>
      </c>
      <c r="B162" s="109" t="s">
        <v>677</v>
      </c>
      <c r="C162" s="110" t="s">
        <v>678</v>
      </c>
      <c r="D162" s="110" t="s">
        <v>679</v>
      </c>
      <c r="E162" s="110" t="s">
        <v>680</v>
      </c>
      <c r="F162" s="110" t="s">
        <v>160</v>
      </c>
      <c r="G162" s="110" t="s">
        <v>161</v>
      </c>
    </row>
    <row r="163" spans="1:7" x14ac:dyDescent="0.25">
      <c r="A163" s="109" t="s">
        <v>681</v>
      </c>
      <c r="B163" s="109" t="s">
        <v>682</v>
      </c>
      <c r="C163" s="110" t="s">
        <v>683</v>
      </c>
      <c r="D163" s="110" t="s">
        <v>684</v>
      </c>
      <c r="F163" s="110" t="s">
        <v>160</v>
      </c>
      <c r="G163" s="110" t="s">
        <v>161</v>
      </c>
    </row>
    <row r="164" spans="1:7" x14ac:dyDescent="0.25">
      <c r="B164" s="110"/>
      <c r="F164" s="110"/>
    </row>
    <row r="165" spans="1:7" x14ac:dyDescent="0.25">
      <c r="A165" s="109" t="s">
        <v>685</v>
      </c>
      <c r="B165" s="109"/>
      <c r="F165" s="110"/>
    </row>
    <row r="166" spans="1:7" x14ac:dyDescent="0.25">
      <c r="A166" s="109" t="s">
        <v>686</v>
      </c>
      <c r="B166" s="109"/>
      <c r="C166" s="110" t="s">
        <v>687</v>
      </c>
      <c r="F166" s="110" t="s">
        <v>268</v>
      </c>
      <c r="G166" s="110" t="s">
        <v>688</v>
      </c>
    </row>
    <row r="167" spans="1:7" x14ac:dyDescent="0.25">
      <c r="A167" s="109" t="s">
        <v>103</v>
      </c>
      <c r="B167" s="109" t="s">
        <v>689</v>
      </c>
      <c r="C167" s="110" t="s">
        <v>690</v>
      </c>
      <c r="D167" s="110" t="s">
        <v>691</v>
      </c>
      <c r="E167" s="110" t="s">
        <v>692</v>
      </c>
      <c r="F167" s="110" t="s">
        <v>268</v>
      </c>
      <c r="G167" s="110" t="s">
        <v>161</v>
      </c>
    </row>
    <row r="168" spans="1:7" x14ac:dyDescent="0.25">
      <c r="A168" s="109" t="s">
        <v>693</v>
      </c>
      <c r="B168" s="109" t="s">
        <v>694</v>
      </c>
      <c r="C168" s="110" t="s">
        <v>695</v>
      </c>
      <c r="D168" s="110" t="s">
        <v>696</v>
      </c>
      <c r="F168" s="110" t="s">
        <v>268</v>
      </c>
      <c r="G168" s="110" t="s">
        <v>161</v>
      </c>
    </row>
    <row r="169" spans="1:7" x14ac:dyDescent="0.25">
      <c r="A169" s="109" t="s">
        <v>104</v>
      </c>
      <c r="B169" s="109" t="s">
        <v>697</v>
      </c>
      <c r="C169" s="110" t="s">
        <v>698</v>
      </c>
      <c r="D169" s="110" t="s">
        <v>699</v>
      </c>
      <c r="E169" s="110" t="s">
        <v>700</v>
      </c>
      <c r="F169" s="110" t="s">
        <v>268</v>
      </c>
      <c r="G169" s="110" t="s">
        <v>161</v>
      </c>
    </row>
    <row r="170" spans="1:7" x14ac:dyDescent="0.25">
      <c r="A170" s="109" t="s">
        <v>701</v>
      </c>
      <c r="B170" s="109" t="s">
        <v>702</v>
      </c>
      <c r="C170" s="110" t="s">
        <v>703</v>
      </c>
      <c r="D170" s="110" t="s">
        <v>704</v>
      </c>
      <c r="F170" s="110" t="s">
        <v>268</v>
      </c>
      <c r="G170" s="110" t="s">
        <v>161</v>
      </c>
    </row>
    <row r="171" spans="1:7" x14ac:dyDescent="0.25">
      <c r="A171" s="109" t="s">
        <v>705</v>
      </c>
      <c r="B171" s="109" t="s">
        <v>706</v>
      </c>
      <c r="C171" s="110" t="s">
        <v>707</v>
      </c>
      <c r="D171" s="110" t="s">
        <v>708</v>
      </c>
      <c r="F171" s="110" t="s">
        <v>268</v>
      </c>
      <c r="G171" s="110" t="s">
        <v>161</v>
      </c>
    </row>
    <row r="172" spans="1:7" x14ac:dyDescent="0.25">
      <c r="A172" s="109" t="s">
        <v>709</v>
      </c>
      <c r="B172" s="109" t="s">
        <v>710</v>
      </c>
      <c r="C172" s="110" t="s">
        <v>711</v>
      </c>
      <c r="D172" s="110" t="s">
        <v>712</v>
      </c>
      <c r="F172" s="110" t="s">
        <v>268</v>
      </c>
      <c r="G172" s="110" t="s">
        <v>161</v>
      </c>
    </row>
    <row r="173" spans="1:7" x14ac:dyDescent="0.25">
      <c r="A173" s="109" t="s">
        <v>713</v>
      </c>
      <c r="B173" s="109" t="s">
        <v>710</v>
      </c>
      <c r="C173" s="110" t="s">
        <v>714</v>
      </c>
      <c r="D173" s="110" t="s">
        <v>715</v>
      </c>
      <c r="F173" s="110" t="s">
        <v>268</v>
      </c>
      <c r="G173" s="110" t="s">
        <v>161</v>
      </c>
    </row>
    <row r="174" spans="1:7" x14ac:dyDescent="0.25">
      <c r="A174" s="109" t="s">
        <v>716</v>
      </c>
      <c r="B174" s="109" t="s">
        <v>717</v>
      </c>
      <c r="C174" s="110" t="s">
        <v>718</v>
      </c>
      <c r="D174" s="110" t="s">
        <v>719</v>
      </c>
      <c r="F174" s="110" t="s">
        <v>268</v>
      </c>
      <c r="G174" s="110" t="s">
        <v>161</v>
      </c>
    </row>
    <row r="175" spans="1:7" x14ac:dyDescent="0.25">
      <c r="A175" s="109" t="s">
        <v>720</v>
      </c>
      <c r="B175" s="109" t="s">
        <v>721</v>
      </c>
      <c r="C175" s="110" t="s">
        <v>722</v>
      </c>
      <c r="D175" s="110" t="s">
        <v>723</v>
      </c>
      <c r="F175" s="110" t="s">
        <v>268</v>
      </c>
      <c r="G175" s="110" t="s">
        <v>161</v>
      </c>
    </row>
    <row r="176" spans="1:7" x14ac:dyDescent="0.25">
      <c r="A176" s="109" t="s">
        <v>724</v>
      </c>
      <c r="B176" s="109"/>
      <c r="C176" s="110" t="s">
        <v>725</v>
      </c>
      <c r="F176" s="110" t="s">
        <v>268</v>
      </c>
      <c r="G176" s="110" t="s">
        <v>161</v>
      </c>
    </row>
    <row r="177" spans="1:7" x14ac:dyDescent="0.25">
      <c r="A177" s="109" t="s">
        <v>105</v>
      </c>
      <c r="B177" s="109" t="s">
        <v>726</v>
      </c>
      <c r="C177" s="110" t="s">
        <v>727</v>
      </c>
      <c r="D177" s="110" t="s">
        <v>728</v>
      </c>
      <c r="E177" s="110" t="s">
        <v>729</v>
      </c>
      <c r="F177" s="110" t="s">
        <v>268</v>
      </c>
      <c r="G177" s="110" t="s">
        <v>161</v>
      </c>
    </row>
    <row r="178" spans="1:7" x14ac:dyDescent="0.25">
      <c r="A178" s="109" t="s">
        <v>106</v>
      </c>
      <c r="B178" s="109" t="s">
        <v>730</v>
      </c>
      <c r="C178" s="110" t="s">
        <v>731</v>
      </c>
      <c r="D178" s="110" t="s">
        <v>732</v>
      </c>
      <c r="F178" s="110" t="s">
        <v>268</v>
      </c>
      <c r="G178" s="110" t="s">
        <v>161</v>
      </c>
    </row>
    <row r="179" spans="1:7" x14ac:dyDescent="0.25">
      <c r="A179" s="109" t="s">
        <v>733</v>
      </c>
      <c r="B179" s="109" t="s">
        <v>734</v>
      </c>
      <c r="C179" s="110" t="s">
        <v>735</v>
      </c>
      <c r="D179" s="110" t="s">
        <v>736</v>
      </c>
      <c r="F179" s="110" t="s">
        <v>268</v>
      </c>
      <c r="G179" s="110" t="s">
        <v>161</v>
      </c>
    </row>
    <row r="180" spans="1:7" x14ac:dyDescent="0.25">
      <c r="A180" s="109" t="s">
        <v>107</v>
      </c>
      <c r="B180" s="109" t="s">
        <v>737</v>
      </c>
      <c r="C180" s="110" t="s">
        <v>738</v>
      </c>
      <c r="D180" s="110" t="s">
        <v>739</v>
      </c>
      <c r="F180" s="110" t="s">
        <v>268</v>
      </c>
      <c r="G180" s="110" t="s">
        <v>161</v>
      </c>
    </row>
    <row r="181" spans="1:7" x14ac:dyDescent="0.25">
      <c r="A181" s="109" t="s">
        <v>740</v>
      </c>
      <c r="B181" s="109" t="s">
        <v>741</v>
      </c>
      <c r="C181" s="110" t="s">
        <v>742</v>
      </c>
      <c r="D181" s="110" t="s">
        <v>743</v>
      </c>
      <c r="E181" s="110" t="s">
        <v>744</v>
      </c>
      <c r="F181" s="110" t="s">
        <v>268</v>
      </c>
      <c r="G181" s="110" t="s">
        <v>161</v>
      </c>
    </row>
    <row r="182" spans="1:7" x14ac:dyDescent="0.25">
      <c r="A182" s="109" t="s">
        <v>108</v>
      </c>
      <c r="B182" s="109" t="s">
        <v>745</v>
      </c>
      <c r="C182" s="110" t="s">
        <v>746</v>
      </c>
      <c r="D182" s="110" t="s">
        <v>747</v>
      </c>
      <c r="E182" s="110" t="s">
        <v>748</v>
      </c>
      <c r="F182" s="110" t="s">
        <v>268</v>
      </c>
      <c r="G182" s="110" t="s">
        <v>161</v>
      </c>
    </row>
    <row r="183" spans="1:7" x14ac:dyDescent="0.25">
      <c r="A183" s="109" t="s">
        <v>749</v>
      </c>
      <c r="B183" s="109"/>
      <c r="C183" s="110" t="s">
        <v>750</v>
      </c>
      <c r="F183" s="110" t="s">
        <v>268</v>
      </c>
      <c r="G183" s="110" t="s">
        <v>161</v>
      </c>
    </row>
    <row r="184" spans="1:7" x14ac:dyDescent="0.25">
      <c r="A184" s="109" t="s">
        <v>109</v>
      </c>
      <c r="B184" s="109" t="s">
        <v>751</v>
      </c>
      <c r="C184" s="110" t="s">
        <v>752</v>
      </c>
      <c r="D184" s="110" t="s">
        <v>753</v>
      </c>
      <c r="E184" s="110" t="s">
        <v>754</v>
      </c>
      <c r="F184" s="110" t="s">
        <v>268</v>
      </c>
      <c r="G184" s="110" t="s">
        <v>161</v>
      </c>
    </row>
    <row r="185" spans="1:7" x14ac:dyDescent="0.25">
      <c r="A185" s="109" t="s">
        <v>755</v>
      </c>
      <c r="B185" s="109"/>
      <c r="C185" s="110" t="s">
        <v>756</v>
      </c>
      <c r="F185" s="110" t="s">
        <v>268</v>
      </c>
      <c r="G185" s="110" t="s">
        <v>161</v>
      </c>
    </row>
    <row r="186" spans="1:7" x14ac:dyDescent="0.25">
      <c r="A186" s="109" t="s">
        <v>757</v>
      </c>
      <c r="B186" s="109" t="s">
        <v>758</v>
      </c>
      <c r="C186" s="110" t="s">
        <v>759</v>
      </c>
      <c r="D186" s="110" t="s">
        <v>760</v>
      </c>
      <c r="F186" s="110" t="s">
        <v>268</v>
      </c>
      <c r="G186" s="110" t="s">
        <v>161</v>
      </c>
    </row>
    <row r="187" spans="1:7" x14ac:dyDescent="0.25">
      <c r="A187" s="109" t="s">
        <v>761</v>
      </c>
      <c r="B187" s="109" t="s">
        <v>762</v>
      </c>
      <c r="C187" s="110" t="s">
        <v>763</v>
      </c>
      <c r="D187" s="110" t="s">
        <v>764</v>
      </c>
      <c r="F187" s="110" t="s">
        <v>268</v>
      </c>
      <c r="G187" s="110" t="s">
        <v>161</v>
      </c>
    </row>
    <row r="188" spans="1:7" x14ac:dyDescent="0.25">
      <c r="A188" s="109" t="s">
        <v>765</v>
      </c>
      <c r="B188" s="109"/>
      <c r="C188" s="110" t="s">
        <v>766</v>
      </c>
      <c r="F188" s="110" t="s">
        <v>268</v>
      </c>
      <c r="G188" s="110" t="s">
        <v>161</v>
      </c>
    </row>
    <row r="189" spans="1:7" x14ac:dyDescent="0.25">
      <c r="A189" s="109" t="s">
        <v>767</v>
      </c>
      <c r="B189" s="109" t="s">
        <v>768</v>
      </c>
      <c r="C189" s="110" t="s">
        <v>766</v>
      </c>
      <c r="D189" s="110" t="s">
        <v>769</v>
      </c>
      <c r="E189" s="110" t="s">
        <v>770</v>
      </c>
      <c r="F189" s="110" t="s">
        <v>268</v>
      </c>
      <c r="G189" s="110" t="s">
        <v>161</v>
      </c>
    </row>
    <row r="190" spans="1:7" x14ac:dyDescent="0.25">
      <c r="A190" s="109" t="s">
        <v>771</v>
      </c>
      <c r="B190" s="109"/>
      <c r="C190" s="110" t="s">
        <v>772</v>
      </c>
      <c r="F190" s="110" t="s">
        <v>268</v>
      </c>
      <c r="G190" s="110" t="s">
        <v>161</v>
      </c>
    </row>
    <row r="191" spans="1:7" x14ac:dyDescent="0.25">
      <c r="A191" s="109" t="s">
        <v>773</v>
      </c>
      <c r="B191" s="109" t="s">
        <v>774</v>
      </c>
      <c r="C191" s="110" t="s">
        <v>775</v>
      </c>
      <c r="D191" s="110" t="s">
        <v>776</v>
      </c>
      <c r="F191" s="110" t="s">
        <v>268</v>
      </c>
      <c r="G191" s="110" t="s">
        <v>161</v>
      </c>
    </row>
    <row r="192" spans="1:7" x14ac:dyDescent="0.25">
      <c r="A192" s="109" t="s">
        <v>110</v>
      </c>
      <c r="B192" s="109" t="s">
        <v>777</v>
      </c>
      <c r="C192" s="110" t="s">
        <v>778</v>
      </c>
      <c r="D192" s="110" t="s">
        <v>779</v>
      </c>
      <c r="E192" s="110" t="s">
        <v>780</v>
      </c>
      <c r="F192" s="110" t="s">
        <v>268</v>
      </c>
      <c r="G192" s="110" t="s">
        <v>161</v>
      </c>
    </row>
    <row r="193" spans="1:7" x14ac:dyDescent="0.25">
      <c r="A193" s="109" t="s">
        <v>781</v>
      </c>
      <c r="B193" s="109" t="s">
        <v>782</v>
      </c>
      <c r="C193" s="110" t="s">
        <v>783</v>
      </c>
      <c r="D193" s="110" t="s">
        <v>784</v>
      </c>
      <c r="F193" s="110" t="s">
        <v>268</v>
      </c>
      <c r="G193" s="110" t="s">
        <v>161</v>
      </c>
    </row>
    <row r="194" spans="1:7" x14ac:dyDescent="0.25">
      <c r="A194" s="109" t="s">
        <v>785</v>
      </c>
      <c r="B194" s="109" t="s">
        <v>786</v>
      </c>
      <c r="C194" s="110" t="s">
        <v>787</v>
      </c>
      <c r="D194" s="110" t="s">
        <v>788</v>
      </c>
      <c r="E194" s="110" t="s">
        <v>789</v>
      </c>
      <c r="F194" s="110" t="s">
        <v>268</v>
      </c>
      <c r="G194" s="110" t="s">
        <v>161</v>
      </c>
    </row>
    <row r="195" spans="1:7" x14ac:dyDescent="0.25">
      <c r="A195" s="109" t="s">
        <v>790</v>
      </c>
      <c r="B195" s="109" t="s">
        <v>791</v>
      </c>
      <c r="C195" s="110" t="s">
        <v>792</v>
      </c>
      <c r="D195" s="110" t="s">
        <v>793</v>
      </c>
      <c r="F195" s="110" t="s">
        <v>268</v>
      </c>
      <c r="G195" s="110" t="s">
        <v>161</v>
      </c>
    </row>
    <row r="196" spans="1:7" x14ac:dyDescent="0.25">
      <c r="A196" s="109" t="s">
        <v>794</v>
      </c>
      <c r="B196" s="109" t="s">
        <v>795</v>
      </c>
      <c r="C196" s="110" t="s">
        <v>796</v>
      </c>
      <c r="D196" s="110" t="s">
        <v>797</v>
      </c>
      <c r="F196" s="110" t="s">
        <v>268</v>
      </c>
      <c r="G196" s="110" t="s">
        <v>161</v>
      </c>
    </row>
    <row r="197" spans="1:7" x14ac:dyDescent="0.25">
      <c r="A197" s="109" t="s">
        <v>798</v>
      </c>
      <c r="B197" s="109" t="s">
        <v>799</v>
      </c>
      <c r="C197" s="110" t="s">
        <v>800</v>
      </c>
      <c r="D197" s="110" t="s">
        <v>801</v>
      </c>
      <c r="F197" s="110" t="s">
        <v>268</v>
      </c>
      <c r="G197" s="110" t="s">
        <v>161</v>
      </c>
    </row>
    <row r="198" spans="1:7" x14ac:dyDescent="0.25">
      <c r="A198" s="109" t="s">
        <v>111</v>
      </c>
      <c r="B198" s="109" t="s">
        <v>802</v>
      </c>
      <c r="C198" s="110" t="s">
        <v>803</v>
      </c>
      <c r="D198" s="110" t="s">
        <v>804</v>
      </c>
      <c r="E198" s="110" t="s">
        <v>805</v>
      </c>
      <c r="F198" s="110" t="s">
        <v>268</v>
      </c>
      <c r="G198" s="110" t="s">
        <v>161</v>
      </c>
    </row>
    <row r="199" spans="1:7" x14ac:dyDescent="0.25">
      <c r="A199" s="109" t="s">
        <v>806</v>
      </c>
      <c r="B199" s="109"/>
      <c r="C199" s="110" t="s">
        <v>807</v>
      </c>
      <c r="F199" s="110" t="s">
        <v>268</v>
      </c>
      <c r="G199" s="110" t="s">
        <v>161</v>
      </c>
    </row>
    <row r="200" spans="1:7" x14ac:dyDescent="0.25">
      <c r="A200" s="109" t="s">
        <v>808</v>
      </c>
      <c r="B200" s="109" t="s">
        <v>809</v>
      </c>
      <c r="C200" s="110" t="s">
        <v>807</v>
      </c>
      <c r="D200" s="110" t="s">
        <v>810</v>
      </c>
      <c r="F200" s="110" t="s">
        <v>268</v>
      </c>
      <c r="G200" s="110" t="s">
        <v>161</v>
      </c>
    </row>
    <row r="201" spans="1:7" x14ac:dyDescent="0.25">
      <c r="A201" s="109" t="s">
        <v>811</v>
      </c>
      <c r="B201" s="109"/>
      <c r="C201" s="110" t="s">
        <v>812</v>
      </c>
      <c r="F201" s="110" t="s">
        <v>268</v>
      </c>
      <c r="G201" s="110" t="s">
        <v>161</v>
      </c>
    </row>
    <row r="202" spans="1:7" x14ac:dyDescent="0.25">
      <c r="A202" s="109" t="s">
        <v>813</v>
      </c>
      <c r="B202" s="109" t="s">
        <v>814</v>
      </c>
      <c r="C202" s="110" t="s">
        <v>815</v>
      </c>
      <c r="D202" s="110" t="s">
        <v>816</v>
      </c>
      <c r="F202" s="110" t="s">
        <v>268</v>
      </c>
      <c r="G202" s="110" t="s">
        <v>161</v>
      </c>
    </row>
    <row r="203" spans="1:7" x14ac:dyDescent="0.25">
      <c r="B203" s="110"/>
      <c r="F203" s="110"/>
    </row>
    <row r="204" spans="1:7" x14ac:dyDescent="0.25">
      <c r="A204" s="109" t="s">
        <v>817</v>
      </c>
      <c r="B204" s="109"/>
      <c r="F204" s="110"/>
    </row>
    <row r="205" spans="1:7" x14ac:dyDescent="0.25">
      <c r="A205" s="109" t="s">
        <v>818</v>
      </c>
      <c r="B205" s="109"/>
      <c r="C205" s="110" t="s">
        <v>819</v>
      </c>
      <c r="F205" s="110" t="s">
        <v>820</v>
      </c>
      <c r="G205" s="110" t="s">
        <v>821</v>
      </c>
    </row>
    <row r="206" spans="1:7" x14ac:dyDescent="0.25">
      <c r="A206" s="109" t="s">
        <v>112</v>
      </c>
      <c r="B206" s="109" t="s">
        <v>822</v>
      </c>
      <c r="C206" s="110" t="s">
        <v>823</v>
      </c>
      <c r="D206" s="110" t="s">
        <v>824</v>
      </c>
      <c r="E206" s="110" t="s">
        <v>825</v>
      </c>
      <c r="F206" s="110" t="s">
        <v>820</v>
      </c>
      <c r="G206" s="110" t="s">
        <v>821</v>
      </c>
    </row>
    <row r="207" spans="1:7" x14ac:dyDescent="0.25">
      <c r="A207" s="109" t="s">
        <v>113</v>
      </c>
      <c r="B207" s="109" t="s">
        <v>826</v>
      </c>
      <c r="C207" s="110" t="s">
        <v>827</v>
      </c>
      <c r="D207" s="110" t="s">
        <v>828</v>
      </c>
      <c r="E207" s="110" t="s">
        <v>829</v>
      </c>
      <c r="F207" s="110" t="s">
        <v>820</v>
      </c>
      <c r="G207" s="110" t="s">
        <v>821</v>
      </c>
    </row>
    <row r="208" spans="1:7" x14ac:dyDescent="0.25">
      <c r="A208" s="109" t="s">
        <v>830</v>
      </c>
      <c r="B208" s="109" t="s">
        <v>831</v>
      </c>
      <c r="C208" s="110" t="s">
        <v>832</v>
      </c>
      <c r="D208" s="110" t="s">
        <v>833</v>
      </c>
      <c r="E208" s="110" t="s">
        <v>834</v>
      </c>
      <c r="F208" s="110" t="s">
        <v>820</v>
      </c>
      <c r="G208" s="110" t="s">
        <v>821</v>
      </c>
    </row>
    <row r="209" spans="1:7" x14ac:dyDescent="0.25">
      <c r="A209" s="109" t="s">
        <v>835</v>
      </c>
      <c r="B209" s="109" t="s">
        <v>836</v>
      </c>
      <c r="C209" s="110" t="s">
        <v>837</v>
      </c>
      <c r="D209" s="110" t="s">
        <v>838</v>
      </c>
      <c r="E209" s="110" t="s">
        <v>839</v>
      </c>
      <c r="F209" s="110" t="s">
        <v>820</v>
      </c>
      <c r="G209" s="110" t="s">
        <v>821</v>
      </c>
    </row>
    <row r="210" spans="1:7" x14ac:dyDescent="0.25">
      <c r="A210" s="109" t="s">
        <v>840</v>
      </c>
      <c r="B210" s="109" t="s">
        <v>841</v>
      </c>
      <c r="C210" s="110" t="s">
        <v>842</v>
      </c>
      <c r="D210" s="110" t="s">
        <v>843</v>
      </c>
      <c r="F210" s="110" t="s">
        <v>820</v>
      </c>
      <c r="G210" s="110" t="s">
        <v>821</v>
      </c>
    </row>
    <row r="211" spans="1:7" x14ac:dyDescent="0.25">
      <c r="A211" s="109" t="s">
        <v>844</v>
      </c>
      <c r="B211" s="109"/>
      <c r="C211" s="110" t="s">
        <v>845</v>
      </c>
      <c r="D211" s="110" t="s">
        <v>846</v>
      </c>
      <c r="F211" s="110" t="s">
        <v>820</v>
      </c>
      <c r="G211" s="110" t="s">
        <v>821</v>
      </c>
    </row>
    <row r="212" spans="1:7" x14ac:dyDescent="0.25">
      <c r="A212" s="109" t="s">
        <v>847</v>
      </c>
      <c r="B212" s="109"/>
      <c r="C212" s="110" t="s">
        <v>848</v>
      </c>
      <c r="F212" s="110" t="s">
        <v>820</v>
      </c>
      <c r="G212" s="110" t="s">
        <v>821</v>
      </c>
    </row>
    <row r="213" spans="1:7" x14ac:dyDescent="0.25">
      <c r="A213" s="109" t="s">
        <v>114</v>
      </c>
      <c r="B213" s="109" t="s">
        <v>849</v>
      </c>
      <c r="C213" s="110" t="s">
        <v>850</v>
      </c>
      <c r="D213" s="110" t="s">
        <v>851</v>
      </c>
      <c r="E213" s="110" t="s">
        <v>852</v>
      </c>
      <c r="F213" s="110" t="s">
        <v>820</v>
      </c>
      <c r="G213" s="110" t="s">
        <v>821</v>
      </c>
    </row>
    <row r="214" spans="1:7" x14ac:dyDescent="0.25">
      <c r="A214" s="109" t="s">
        <v>152</v>
      </c>
      <c r="B214" s="109" t="s">
        <v>853</v>
      </c>
      <c r="C214" s="110" t="s">
        <v>854</v>
      </c>
      <c r="D214" s="110" t="s">
        <v>855</v>
      </c>
      <c r="F214" s="110" t="s">
        <v>820</v>
      </c>
      <c r="G214" s="110" t="s">
        <v>821</v>
      </c>
    </row>
    <row r="215" spans="1:7" x14ac:dyDescent="0.25">
      <c r="A215" s="109" t="s">
        <v>115</v>
      </c>
      <c r="B215" s="109" t="s">
        <v>856</v>
      </c>
      <c r="C215" s="110" t="s">
        <v>857</v>
      </c>
      <c r="D215" s="110" t="s">
        <v>858</v>
      </c>
      <c r="E215" s="110" t="s">
        <v>859</v>
      </c>
      <c r="F215" s="110" t="s">
        <v>820</v>
      </c>
      <c r="G215" s="110" t="s">
        <v>821</v>
      </c>
    </row>
    <row r="216" spans="1:7" x14ac:dyDescent="0.25">
      <c r="A216" s="109" t="s">
        <v>116</v>
      </c>
      <c r="B216" s="109" t="s">
        <v>860</v>
      </c>
      <c r="C216" s="110" t="s">
        <v>861</v>
      </c>
      <c r="D216" s="110" t="s">
        <v>862</v>
      </c>
      <c r="E216" s="110" t="s">
        <v>863</v>
      </c>
      <c r="F216" s="110" t="s">
        <v>820</v>
      </c>
      <c r="G216" s="110" t="s">
        <v>821</v>
      </c>
    </row>
    <row r="217" spans="1:7" x14ac:dyDescent="0.25">
      <c r="A217" s="109" t="s">
        <v>864</v>
      </c>
      <c r="B217" s="109"/>
      <c r="C217" s="110" t="s">
        <v>865</v>
      </c>
      <c r="F217" s="110" t="s">
        <v>820</v>
      </c>
      <c r="G217" s="110" t="s">
        <v>821</v>
      </c>
    </row>
    <row r="218" spans="1:7" x14ac:dyDescent="0.25">
      <c r="A218" s="109" t="s">
        <v>117</v>
      </c>
      <c r="B218" s="109" t="s">
        <v>866</v>
      </c>
      <c r="C218" s="110" t="s">
        <v>867</v>
      </c>
      <c r="D218" s="110" t="s">
        <v>868</v>
      </c>
      <c r="E218" s="110" t="s">
        <v>869</v>
      </c>
      <c r="F218" s="110" t="s">
        <v>820</v>
      </c>
      <c r="G218" s="110" t="s">
        <v>821</v>
      </c>
    </row>
    <row r="219" spans="1:7" x14ac:dyDescent="0.25">
      <c r="A219" s="109" t="s">
        <v>118</v>
      </c>
      <c r="B219" s="109" t="s">
        <v>870</v>
      </c>
      <c r="C219" s="110" t="s">
        <v>871</v>
      </c>
      <c r="D219" s="110" t="s">
        <v>872</v>
      </c>
      <c r="E219" s="110" t="s">
        <v>873</v>
      </c>
      <c r="F219" s="110" t="s">
        <v>820</v>
      </c>
      <c r="G219" s="110" t="s">
        <v>821</v>
      </c>
    </row>
    <row r="220" spans="1:7" x14ac:dyDescent="0.25">
      <c r="A220" s="109" t="s">
        <v>874</v>
      </c>
      <c r="B220" s="109" t="s">
        <v>875</v>
      </c>
      <c r="C220" s="110" t="s">
        <v>876</v>
      </c>
      <c r="D220" s="110" t="s">
        <v>877</v>
      </c>
      <c r="F220" s="110" t="s">
        <v>820</v>
      </c>
      <c r="G220" s="110" t="s">
        <v>821</v>
      </c>
    </row>
    <row r="221" spans="1:7" x14ac:dyDescent="0.25">
      <c r="A221" s="109" t="s">
        <v>119</v>
      </c>
      <c r="B221" s="109" t="s">
        <v>878</v>
      </c>
      <c r="C221" s="110" t="s">
        <v>879</v>
      </c>
      <c r="D221" s="110" t="s">
        <v>880</v>
      </c>
      <c r="E221" s="110" t="s">
        <v>881</v>
      </c>
      <c r="F221" s="110" t="s">
        <v>820</v>
      </c>
      <c r="G221" s="110" t="s">
        <v>821</v>
      </c>
    </row>
    <row r="222" spans="1:7" x14ac:dyDescent="0.25">
      <c r="A222" s="109" t="s">
        <v>120</v>
      </c>
      <c r="B222" s="109" t="s">
        <v>882</v>
      </c>
      <c r="C222" s="110" t="s">
        <v>883</v>
      </c>
      <c r="D222" s="110" t="s">
        <v>884</v>
      </c>
      <c r="F222" s="110" t="s">
        <v>820</v>
      </c>
      <c r="G222" s="110" t="s">
        <v>821</v>
      </c>
    </row>
    <row r="223" spans="1:7" x14ac:dyDescent="0.25">
      <c r="A223" s="109" t="s">
        <v>885</v>
      </c>
      <c r="B223" s="109" t="s">
        <v>886</v>
      </c>
      <c r="C223" s="110" t="s">
        <v>887</v>
      </c>
      <c r="D223" s="110" t="s">
        <v>888</v>
      </c>
      <c r="F223" s="110" t="s">
        <v>820</v>
      </c>
      <c r="G223" s="110" t="s">
        <v>821</v>
      </c>
    </row>
    <row r="224" spans="1:7" x14ac:dyDescent="0.25">
      <c r="A224" s="109" t="s">
        <v>121</v>
      </c>
      <c r="B224" s="109" t="s">
        <v>889</v>
      </c>
      <c r="C224" s="110" t="s">
        <v>890</v>
      </c>
      <c r="D224" s="110" t="s">
        <v>891</v>
      </c>
      <c r="E224" s="110" t="s">
        <v>892</v>
      </c>
      <c r="F224" s="110" t="s">
        <v>820</v>
      </c>
      <c r="G224" s="110" t="s">
        <v>821</v>
      </c>
    </row>
    <row r="225" spans="1:7" x14ac:dyDescent="0.25">
      <c r="A225" s="109" t="s">
        <v>122</v>
      </c>
      <c r="B225" s="109" t="s">
        <v>893</v>
      </c>
      <c r="C225" s="110" t="s">
        <v>894</v>
      </c>
      <c r="D225" s="110" t="s">
        <v>895</v>
      </c>
      <c r="F225" s="110" t="s">
        <v>820</v>
      </c>
      <c r="G225" s="110" t="s">
        <v>821</v>
      </c>
    </row>
    <row r="226" spans="1:7" x14ac:dyDescent="0.25">
      <c r="A226" s="109" t="s">
        <v>896</v>
      </c>
      <c r="B226" s="109"/>
      <c r="C226" s="110" t="s">
        <v>897</v>
      </c>
      <c r="F226" s="110" t="s">
        <v>820</v>
      </c>
      <c r="G226" s="110" t="s">
        <v>821</v>
      </c>
    </row>
    <row r="227" spans="1:7" x14ac:dyDescent="0.25">
      <c r="A227" s="109" t="s">
        <v>898</v>
      </c>
      <c r="B227" s="109" t="s">
        <v>899</v>
      </c>
      <c r="C227" s="110" t="s">
        <v>900</v>
      </c>
      <c r="D227" s="110" t="s">
        <v>901</v>
      </c>
      <c r="E227" s="110" t="s">
        <v>902</v>
      </c>
      <c r="F227" s="110" t="s">
        <v>820</v>
      </c>
      <c r="G227" s="110" t="s">
        <v>821</v>
      </c>
    </row>
    <row r="228" spans="1:7" x14ac:dyDescent="0.25">
      <c r="A228" s="109" t="s">
        <v>123</v>
      </c>
      <c r="B228" s="109" t="s">
        <v>903</v>
      </c>
      <c r="C228" s="110" t="s">
        <v>904</v>
      </c>
      <c r="D228" s="110" t="s">
        <v>905</v>
      </c>
      <c r="E228" s="110" t="s">
        <v>906</v>
      </c>
      <c r="F228" s="110" t="s">
        <v>820</v>
      </c>
      <c r="G228" s="110" t="s">
        <v>821</v>
      </c>
    </row>
    <row r="229" spans="1:7" x14ac:dyDescent="0.25">
      <c r="A229" s="109" t="s">
        <v>124</v>
      </c>
      <c r="B229" s="109" t="s">
        <v>907</v>
      </c>
      <c r="C229" s="110" t="s">
        <v>555</v>
      </c>
      <c r="D229" s="110" t="s">
        <v>556</v>
      </c>
      <c r="E229" s="110" t="s">
        <v>908</v>
      </c>
      <c r="F229" s="110" t="s">
        <v>820</v>
      </c>
      <c r="G229" s="110" t="s">
        <v>821</v>
      </c>
    </row>
    <row r="230" spans="1:7" x14ac:dyDescent="0.25">
      <c r="A230" s="109" t="s">
        <v>909</v>
      </c>
      <c r="B230" s="109"/>
      <c r="C230" s="110" t="s">
        <v>910</v>
      </c>
      <c r="F230" s="110" t="s">
        <v>820</v>
      </c>
      <c r="G230" s="110" t="s">
        <v>821</v>
      </c>
    </row>
    <row r="231" spans="1:7" x14ac:dyDescent="0.25">
      <c r="A231" s="109" t="s">
        <v>911</v>
      </c>
      <c r="B231" s="109" t="s">
        <v>912</v>
      </c>
      <c r="C231" s="110" t="s">
        <v>913</v>
      </c>
      <c r="D231" s="110" t="s">
        <v>914</v>
      </c>
      <c r="E231" s="110" t="s">
        <v>915</v>
      </c>
      <c r="F231" s="110" t="s">
        <v>820</v>
      </c>
      <c r="G231" s="110" t="s">
        <v>821</v>
      </c>
    </row>
    <row r="232" spans="1:7" x14ac:dyDescent="0.25">
      <c r="A232" s="109" t="s">
        <v>916</v>
      </c>
      <c r="B232" s="109" t="s">
        <v>917</v>
      </c>
      <c r="C232" s="110" t="s">
        <v>918</v>
      </c>
      <c r="D232" s="110" t="s">
        <v>919</v>
      </c>
      <c r="F232" s="110" t="s">
        <v>820</v>
      </c>
      <c r="G232" s="110" t="s">
        <v>821</v>
      </c>
    </row>
    <row r="233" spans="1:7" x14ac:dyDescent="0.25">
      <c r="A233" s="109" t="s">
        <v>920</v>
      </c>
      <c r="B233" s="109" t="s">
        <v>921</v>
      </c>
      <c r="C233" s="110" t="s">
        <v>922</v>
      </c>
      <c r="D233" s="110" t="s">
        <v>923</v>
      </c>
      <c r="F233" s="110" t="s">
        <v>820</v>
      </c>
      <c r="G233" s="110" t="s">
        <v>821</v>
      </c>
    </row>
    <row r="234" spans="1:7" x14ac:dyDescent="0.25">
      <c r="A234" s="109" t="s">
        <v>924</v>
      </c>
      <c r="B234" s="109" t="s">
        <v>925</v>
      </c>
      <c r="C234" s="110" t="s">
        <v>926</v>
      </c>
      <c r="D234" s="110" t="s">
        <v>927</v>
      </c>
      <c r="E234" s="110" t="s">
        <v>928</v>
      </c>
      <c r="F234" s="110" t="s">
        <v>820</v>
      </c>
      <c r="G234" s="110" t="s">
        <v>821</v>
      </c>
    </row>
    <row r="235" spans="1:7" x14ac:dyDescent="0.25">
      <c r="A235" s="109" t="s">
        <v>125</v>
      </c>
      <c r="B235" s="109" t="s">
        <v>929</v>
      </c>
      <c r="C235" s="110" t="s">
        <v>930</v>
      </c>
      <c r="D235" s="110" t="s">
        <v>931</v>
      </c>
      <c r="E235" s="110" t="s">
        <v>932</v>
      </c>
      <c r="F235" s="110" t="s">
        <v>820</v>
      </c>
      <c r="G235" s="110" t="s">
        <v>821</v>
      </c>
    </row>
    <row r="236" spans="1:7" x14ac:dyDescent="0.25">
      <c r="A236" s="109" t="s">
        <v>933</v>
      </c>
      <c r="B236" s="109" t="s">
        <v>934</v>
      </c>
      <c r="C236" s="110" t="s">
        <v>935</v>
      </c>
      <c r="D236" s="110" t="s">
        <v>936</v>
      </c>
      <c r="E236" s="110" t="s">
        <v>937</v>
      </c>
      <c r="F236" s="110" t="s">
        <v>820</v>
      </c>
      <c r="G236" s="110" t="s">
        <v>821</v>
      </c>
    </row>
    <row r="237" spans="1:7" x14ac:dyDescent="0.25">
      <c r="A237" s="109" t="s">
        <v>938</v>
      </c>
      <c r="B237" s="109" t="s">
        <v>939</v>
      </c>
      <c r="C237" s="110" t="s">
        <v>940</v>
      </c>
      <c r="D237" s="110" t="s">
        <v>941</v>
      </c>
      <c r="E237" s="110" t="s">
        <v>942</v>
      </c>
      <c r="F237" s="110" t="s">
        <v>820</v>
      </c>
      <c r="G237" s="110" t="s">
        <v>821</v>
      </c>
    </row>
    <row r="238" spans="1:7" x14ac:dyDescent="0.25">
      <c r="A238" s="109" t="s">
        <v>126</v>
      </c>
      <c r="B238" s="109" t="s">
        <v>943</v>
      </c>
      <c r="C238" s="110" t="s">
        <v>944</v>
      </c>
      <c r="D238" s="110" t="s">
        <v>945</v>
      </c>
      <c r="E238" s="110" t="s">
        <v>942</v>
      </c>
      <c r="F238" s="110" t="s">
        <v>820</v>
      </c>
      <c r="G238" s="110" t="s">
        <v>821</v>
      </c>
    </row>
    <row r="239" spans="1:7" x14ac:dyDescent="0.25">
      <c r="A239" s="109" t="s">
        <v>946</v>
      </c>
      <c r="B239" s="109" t="s">
        <v>947</v>
      </c>
      <c r="C239" s="110" t="s">
        <v>948</v>
      </c>
      <c r="D239" s="110" t="s">
        <v>949</v>
      </c>
      <c r="F239" s="110" t="s">
        <v>820</v>
      </c>
      <c r="G239" s="110" t="s">
        <v>821</v>
      </c>
    </row>
    <row r="240" spans="1:7" x14ac:dyDescent="0.25">
      <c r="A240" s="109" t="s">
        <v>950</v>
      </c>
      <c r="B240" s="109"/>
      <c r="C240" s="110" t="s">
        <v>951</v>
      </c>
      <c r="F240" s="110" t="s">
        <v>820</v>
      </c>
      <c r="G240" s="110" t="s">
        <v>821</v>
      </c>
    </row>
    <row r="241" spans="1:7" x14ac:dyDescent="0.25">
      <c r="A241" s="109" t="s">
        <v>127</v>
      </c>
      <c r="B241" s="109" t="s">
        <v>952</v>
      </c>
      <c r="C241" s="110" t="s">
        <v>953</v>
      </c>
      <c r="D241" s="110" t="s">
        <v>954</v>
      </c>
      <c r="E241" s="110" t="s">
        <v>955</v>
      </c>
      <c r="F241" s="110" t="s">
        <v>820</v>
      </c>
      <c r="G241" s="110" t="s">
        <v>821</v>
      </c>
    </row>
    <row r="242" spans="1:7" x14ac:dyDescent="0.25">
      <c r="A242" s="109" t="s">
        <v>956</v>
      </c>
      <c r="B242" s="109" t="s">
        <v>957</v>
      </c>
      <c r="C242" s="110" t="s">
        <v>958</v>
      </c>
      <c r="D242" s="110" t="s">
        <v>959</v>
      </c>
      <c r="F242" s="110" t="s">
        <v>820</v>
      </c>
      <c r="G242" s="110" t="s">
        <v>821</v>
      </c>
    </row>
    <row r="243" spans="1:7" x14ac:dyDescent="0.25">
      <c r="A243" s="109" t="s">
        <v>960</v>
      </c>
      <c r="B243" s="109" t="s">
        <v>961</v>
      </c>
      <c r="C243" s="110" t="s">
        <v>962</v>
      </c>
      <c r="D243" s="110" t="s">
        <v>963</v>
      </c>
      <c r="F243" s="110" t="s">
        <v>820</v>
      </c>
      <c r="G243" s="110" t="s">
        <v>821</v>
      </c>
    </row>
    <row r="244" spans="1:7" x14ac:dyDescent="0.25">
      <c r="A244" s="109" t="s">
        <v>964</v>
      </c>
      <c r="B244" s="109" t="s">
        <v>965</v>
      </c>
      <c r="C244" s="110" t="s">
        <v>966</v>
      </c>
      <c r="D244" s="110" t="s">
        <v>967</v>
      </c>
      <c r="F244" s="110" t="s">
        <v>820</v>
      </c>
      <c r="G244" s="110" t="s">
        <v>821</v>
      </c>
    </row>
    <row r="245" spans="1:7" x14ac:dyDescent="0.25">
      <c r="A245" s="109" t="s">
        <v>968</v>
      </c>
      <c r="B245" s="109"/>
      <c r="C245" s="110" t="s">
        <v>969</v>
      </c>
      <c r="F245" s="110" t="s">
        <v>820</v>
      </c>
      <c r="G245" s="110" t="s">
        <v>821</v>
      </c>
    </row>
    <row r="246" spans="1:7" x14ac:dyDescent="0.25">
      <c r="A246" s="109" t="s">
        <v>970</v>
      </c>
      <c r="B246" s="109" t="s">
        <v>971</v>
      </c>
      <c r="C246" s="110" t="s">
        <v>972</v>
      </c>
      <c r="D246" s="110" t="s">
        <v>973</v>
      </c>
      <c r="F246" s="110" t="s">
        <v>820</v>
      </c>
      <c r="G246" s="110" t="s">
        <v>821</v>
      </c>
    </row>
    <row r="247" spans="1:7" x14ac:dyDescent="0.25">
      <c r="A247" s="109" t="s">
        <v>128</v>
      </c>
      <c r="B247" s="109" t="s">
        <v>974</v>
      </c>
      <c r="C247" s="110" t="s">
        <v>975</v>
      </c>
      <c r="D247" s="110" t="s">
        <v>976</v>
      </c>
      <c r="E247" s="110" t="s">
        <v>977</v>
      </c>
      <c r="F247" s="110" t="s">
        <v>820</v>
      </c>
      <c r="G247" s="110" t="s">
        <v>821</v>
      </c>
    </row>
    <row r="248" spans="1:7" x14ac:dyDescent="0.25">
      <c r="A248" s="109" t="s">
        <v>978</v>
      </c>
      <c r="B248" s="109" t="s">
        <v>979</v>
      </c>
      <c r="C248" s="110" t="s">
        <v>980</v>
      </c>
      <c r="D248" s="110" t="s">
        <v>981</v>
      </c>
      <c r="E248" s="110" t="s">
        <v>982</v>
      </c>
      <c r="F248" s="110" t="s">
        <v>820</v>
      </c>
      <c r="G248" s="110" t="s">
        <v>821</v>
      </c>
    </row>
    <row r="249" spans="1:7" x14ac:dyDescent="0.25">
      <c r="A249" s="109" t="s">
        <v>983</v>
      </c>
      <c r="B249" s="109" t="s">
        <v>984</v>
      </c>
      <c r="C249" s="110" t="s">
        <v>985</v>
      </c>
      <c r="D249" s="110" t="s">
        <v>986</v>
      </c>
      <c r="F249" s="110" t="s">
        <v>820</v>
      </c>
      <c r="G249" s="110" t="s">
        <v>821</v>
      </c>
    </row>
    <row r="250" spans="1:7" x14ac:dyDescent="0.25">
      <c r="A250" s="109" t="s">
        <v>987</v>
      </c>
      <c r="B250" s="109" t="s">
        <v>988</v>
      </c>
      <c r="C250" s="110" t="s">
        <v>989</v>
      </c>
      <c r="D250" s="110" t="s">
        <v>990</v>
      </c>
      <c r="F250" s="110" t="s">
        <v>820</v>
      </c>
      <c r="G250" s="110" t="s">
        <v>821</v>
      </c>
    </row>
    <row r="251" spans="1:7" x14ac:dyDescent="0.25">
      <c r="A251" s="109" t="s">
        <v>991</v>
      </c>
      <c r="B251" s="109" t="s">
        <v>992</v>
      </c>
      <c r="C251" s="110" t="s">
        <v>993</v>
      </c>
      <c r="D251" s="110" t="s">
        <v>994</v>
      </c>
      <c r="F251" s="110" t="s">
        <v>820</v>
      </c>
      <c r="G251" s="110" t="s">
        <v>821</v>
      </c>
    </row>
    <row r="252" spans="1:7" x14ac:dyDescent="0.25">
      <c r="A252" s="109" t="s">
        <v>995</v>
      </c>
      <c r="B252" s="109" t="s">
        <v>996</v>
      </c>
      <c r="C252" s="110" t="s">
        <v>997</v>
      </c>
      <c r="D252" s="110" t="s">
        <v>998</v>
      </c>
      <c r="F252" s="110" t="s">
        <v>820</v>
      </c>
      <c r="G252" s="110" t="s">
        <v>821</v>
      </c>
    </row>
    <row r="253" spans="1:7" x14ac:dyDescent="0.25">
      <c r="A253" s="109" t="s">
        <v>129</v>
      </c>
      <c r="B253" s="109" t="s">
        <v>999</v>
      </c>
      <c r="C253" s="110" t="s">
        <v>1000</v>
      </c>
      <c r="D253" s="110" t="s">
        <v>1001</v>
      </c>
      <c r="E253" s="110" t="s">
        <v>1002</v>
      </c>
      <c r="F253" s="110" t="s">
        <v>820</v>
      </c>
      <c r="G253" s="110" t="s">
        <v>821</v>
      </c>
    </row>
    <row r="254" spans="1:7" x14ac:dyDescent="0.25">
      <c r="A254" s="109" t="s">
        <v>1003</v>
      </c>
      <c r="B254" s="109" t="s">
        <v>1004</v>
      </c>
      <c r="C254" s="110" t="s">
        <v>1005</v>
      </c>
      <c r="D254" s="110" t="s">
        <v>1006</v>
      </c>
      <c r="F254" s="110" t="s">
        <v>820</v>
      </c>
      <c r="G254" s="110" t="s">
        <v>821</v>
      </c>
    </row>
    <row r="255" spans="1:7" x14ac:dyDescent="0.25">
      <c r="A255" s="109" t="s">
        <v>1007</v>
      </c>
      <c r="B255" s="109"/>
      <c r="C255" s="110" t="s">
        <v>1008</v>
      </c>
      <c r="D255" s="110" t="s">
        <v>1009</v>
      </c>
      <c r="F255" s="110" t="s">
        <v>820</v>
      </c>
      <c r="G255" s="110" t="s">
        <v>821</v>
      </c>
    </row>
    <row r="256" spans="1:7" x14ac:dyDescent="0.25">
      <c r="A256" s="109" t="s">
        <v>1010</v>
      </c>
      <c r="B256" s="109"/>
      <c r="C256" s="110" t="s">
        <v>1011</v>
      </c>
      <c r="D256" s="114"/>
      <c r="F256" s="110" t="s">
        <v>820</v>
      </c>
      <c r="G256" s="110" t="s">
        <v>821</v>
      </c>
    </row>
    <row r="257" spans="1:7" x14ac:dyDescent="0.25">
      <c r="A257" s="109" t="s">
        <v>1012</v>
      </c>
      <c r="B257" s="109"/>
      <c r="C257" s="110" t="s">
        <v>1013</v>
      </c>
      <c r="F257" s="110" t="s">
        <v>820</v>
      </c>
      <c r="G257" s="110" t="s">
        <v>821</v>
      </c>
    </row>
    <row r="258" spans="1:7" x14ac:dyDescent="0.25">
      <c r="A258" s="109" t="s">
        <v>1014</v>
      </c>
      <c r="B258" s="109" t="s">
        <v>1015</v>
      </c>
      <c r="C258" s="110" t="s">
        <v>1016</v>
      </c>
      <c r="F258" s="110" t="s">
        <v>820</v>
      </c>
      <c r="G258" s="110" t="s">
        <v>821</v>
      </c>
    </row>
    <row r="259" spans="1:7" x14ac:dyDescent="0.25">
      <c r="A259" s="109" t="s">
        <v>1017</v>
      </c>
      <c r="B259" s="109" t="s">
        <v>1018</v>
      </c>
      <c r="C259" s="110" t="s">
        <v>1019</v>
      </c>
      <c r="F259" s="110" t="s">
        <v>820</v>
      </c>
      <c r="G259" s="110" t="s">
        <v>821</v>
      </c>
    </row>
    <row r="260" spans="1:7" x14ac:dyDescent="0.25">
      <c r="A260" s="109" t="s">
        <v>1020</v>
      </c>
      <c r="B260" s="109"/>
      <c r="C260" s="110" t="s">
        <v>1021</v>
      </c>
      <c r="F260" s="110" t="s">
        <v>820</v>
      </c>
      <c r="G260" s="110" t="s">
        <v>821</v>
      </c>
    </row>
    <row r="261" spans="1:7" x14ac:dyDescent="0.25">
      <c r="A261" s="109" t="s">
        <v>153</v>
      </c>
      <c r="B261" s="109" t="s">
        <v>1022</v>
      </c>
      <c r="C261" s="110" t="s">
        <v>1023</v>
      </c>
      <c r="D261" s="110" t="s">
        <v>1024</v>
      </c>
      <c r="E261" s="110" t="s">
        <v>1025</v>
      </c>
      <c r="F261" s="110" t="s">
        <v>820</v>
      </c>
      <c r="G261" s="110" t="s">
        <v>821</v>
      </c>
    </row>
    <row r="262" spans="1:7" x14ac:dyDescent="0.25">
      <c r="A262" s="109" t="s">
        <v>1026</v>
      </c>
      <c r="B262" s="109" t="s">
        <v>1027</v>
      </c>
      <c r="C262" s="110" t="s">
        <v>1028</v>
      </c>
      <c r="D262" s="110" t="s">
        <v>1029</v>
      </c>
      <c r="E262" s="110" t="s">
        <v>1030</v>
      </c>
      <c r="F262" s="110" t="s">
        <v>820</v>
      </c>
      <c r="G262" s="110" t="s">
        <v>821</v>
      </c>
    </row>
    <row r="263" spans="1:7" x14ac:dyDescent="0.25">
      <c r="A263" s="109" t="s">
        <v>1031</v>
      </c>
      <c r="B263" s="109" t="s">
        <v>1032</v>
      </c>
      <c r="C263" s="110" t="s">
        <v>1033</v>
      </c>
      <c r="D263" s="110" t="s">
        <v>1034</v>
      </c>
      <c r="F263" s="110" t="s">
        <v>820</v>
      </c>
      <c r="G263" s="110" t="s">
        <v>821</v>
      </c>
    </row>
    <row r="264" spans="1:7" x14ac:dyDescent="0.25">
      <c r="A264" s="109" t="s">
        <v>1035</v>
      </c>
      <c r="B264" s="109" t="s">
        <v>1036</v>
      </c>
      <c r="C264" s="110" t="s">
        <v>1037</v>
      </c>
      <c r="D264" s="110" t="s">
        <v>1038</v>
      </c>
      <c r="F264" s="110" t="s">
        <v>820</v>
      </c>
      <c r="G264" s="110" t="s">
        <v>821</v>
      </c>
    </row>
    <row r="265" spans="1:7" x14ac:dyDescent="0.25">
      <c r="A265" s="109" t="s">
        <v>1039</v>
      </c>
      <c r="B265" s="109" t="s">
        <v>1040</v>
      </c>
      <c r="C265" s="110" t="s">
        <v>1041</v>
      </c>
      <c r="D265" s="110" t="s">
        <v>1042</v>
      </c>
      <c r="F265" s="110" t="s">
        <v>820</v>
      </c>
      <c r="G265" s="110" t="s">
        <v>821</v>
      </c>
    </row>
    <row r="266" spans="1:7" x14ac:dyDescent="0.25">
      <c r="A266" s="109" t="s">
        <v>1043</v>
      </c>
      <c r="B266" s="109" t="s">
        <v>1044</v>
      </c>
      <c r="C266" s="110" t="s">
        <v>1045</v>
      </c>
      <c r="D266" s="110" t="s">
        <v>1046</v>
      </c>
      <c r="F266" s="110" t="s">
        <v>820</v>
      </c>
      <c r="G266" s="110" t="s">
        <v>821</v>
      </c>
    </row>
    <row r="267" spans="1:7" x14ac:dyDescent="0.25">
      <c r="A267" s="109" t="s">
        <v>1047</v>
      </c>
      <c r="B267" s="109" t="s">
        <v>1048</v>
      </c>
      <c r="C267" s="110" t="s">
        <v>1049</v>
      </c>
      <c r="D267" s="110" t="s">
        <v>1050</v>
      </c>
      <c r="F267" s="110" t="s">
        <v>820</v>
      </c>
      <c r="G267" s="110" t="s">
        <v>821</v>
      </c>
    </row>
    <row r="268" spans="1:7" x14ac:dyDescent="0.25">
      <c r="A268" s="109" t="s">
        <v>1051</v>
      </c>
      <c r="B268" s="109" t="s">
        <v>1052</v>
      </c>
      <c r="C268" s="110" t="s">
        <v>1053</v>
      </c>
      <c r="D268" s="110" t="s">
        <v>1054</v>
      </c>
      <c r="F268" s="110" t="s">
        <v>820</v>
      </c>
      <c r="G268" s="110" t="s">
        <v>821</v>
      </c>
    </row>
    <row r="269" spans="1:7" x14ac:dyDescent="0.25">
      <c r="B269" s="110"/>
      <c r="F269" s="110"/>
    </row>
    <row r="270" spans="1:7" x14ac:dyDescent="0.25">
      <c r="A270" s="109" t="s">
        <v>1055</v>
      </c>
      <c r="B270" s="109"/>
      <c r="F270" s="110"/>
    </row>
    <row r="271" spans="1:7" x14ac:dyDescent="0.25">
      <c r="A271" s="109" t="s">
        <v>1056</v>
      </c>
      <c r="B271" s="109"/>
      <c r="C271" s="110" t="s">
        <v>1057</v>
      </c>
      <c r="F271" s="110" t="s">
        <v>1058</v>
      </c>
      <c r="G271" s="110" t="s">
        <v>821</v>
      </c>
    </row>
    <row r="272" spans="1:7" x14ac:dyDescent="0.25">
      <c r="A272" s="109" t="s">
        <v>130</v>
      </c>
      <c r="B272" s="109" t="s">
        <v>1059</v>
      </c>
      <c r="C272" s="110" t="s">
        <v>1060</v>
      </c>
      <c r="D272" s="110" t="s">
        <v>1061</v>
      </c>
      <c r="F272" s="110" t="s">
        <v>1058</v>
      </c>
      <c r="G272" s="110" t="s">
        <v>821</v>
      </c>
    </row>
    <row r="273" spans="1:7" x14ac:dyDescent="0.25">
      <c r="A273" s="109" t="s">
        <v>131</v>
      </c>
      <c r="B273" s="109" t="s">
        <v>1062</v>
      </c>
      <c r="C273" s="110" t="s">
        <v>1063</v>
      </c>
      <c r="D273" s="110" t="s">
        <v>1064</v>
      </c>
      <c r="E273" s="110" t="s">
        <v>1065</v>
      </c>
      <c r="F273" s="110" t="s">
        <v>1058</v>
      </c>
      <c r="G273" s="110" t="s">
        <v>821</v>
      </c>
    </row>
    <row r="274" spans="1:7" x14ac:dyDescent="0.25">
      <c r="A274" s="109" t="s">
        <v>1066</v>
      </c>
      <c r="B274" s="109" t="s">
        <v>1067</v>
      </c>
      <c r="C274" s="110" t="s">
        <v>1068</v>
      </c>
      <c r="D274" s="110" t="s">
        <v>1069</v>
      </c>
      <c r="E274" s="110" t="s">
        <v>1070</v>
      </c>
      <c r="F274" s="110" t="s">
        <v>1058</v>
      </c>
      <c r="G274" s="110" t="s">
        <v>821</v>
      </c>
    </row>
    <row r="275" spans="1:7" x14ac:dyDescent="0.25">
      <c r="A275" s="109" t="s">
        <v>1071</v>
      </c>
      <c r="B275" s="109"/>
      <c r="C275" s="110" t="s">
        <v>1072</v>
      </c>
      <c r="D275" s="110" t="s">
        <v>1073</v>
      </c>
      <c r="F275" s="110" t="s">
        <v>1058</v>
      </c>
      <c r="G275" s="110" t="s">
        <v>821</v>
      </c>
    </row>
    <row r="276" spans="1:7" x14ac:dyDescent="0.25">
      <c r="A276" s="109" t="s">
        <v>1074</v>
      </c>
      <c r="B276" s="109"/>
      <c r="C276" s="110" t="s">
        <v>1075</v>
      </c>
      <c r="D276" s="110" t="s">
        <v>1076</v>
      </c>
      <c r="F276" s="110" t="s">
        <v>1058</v>
      </c>
      <c r="G276" s="110" t="s">
        <v>821</v>
      </c>
    </row>
    <row r="277" spans="1:7" x14ac:dyDescent="0.25">
      <c r="A277" s="109" t="s">
        <v>1077</v>
      </c>
      <c r="B277" s="109"/>
      <c r="C277" s="110" t="s">
        <v>1078</v>
      </c>
      <c r="F277" s="110" t="s">
        <v>1058</v>
      </c>
      <c r="G277" s="110" t="s">
        <v>821</v>
      </c>
    </row>
    <row r="278" spans="1:7" x14ac:dyDescent="0.25">
      <c r="A278" s="109" t="s">
        <v>132</v>
      </c>
      <c r="B278" s="109" t="s">
        <v>1079</v>
      </c>
      <c r="C278" s="110" t="s">
        <v>1080</v>
      </c>
      <c r="D278" s="110" t="s">
        <v>1081</v>
      </c>
      <c r="F278" s="110" t="s">
        <v>1058</v>
      </c>
      <c r="G278" s="110" t="s">
        <v>821</v>
      </c>
    </row>
    <row r="279" spans="1:7" x14ac:dyDescent="0.25">
      <c r="A279" s="109" t="s">
        <v>1082</v>
      </c>
      <c r="B279" s="109" t="s">
        <v>1083</v>
      </c>
      <c r="C279" s="110" t="s">
        <v>1084</v>
      </c>
      <c r="D279" s="110" t="s">
        <v>1085</v>
      </c>
      <c r="F279" s="110" t="s">
        <v>1058</v>
      </c>
      <c r="G279" s="110" t="s">
        <v>821</v>
      </c>
    </row>
    <row r="280" spans="1:7" x14ac:dyDescent="0.25">
      <c r="A280" s="109" t="s">
        <v>133</v>
      </c>
      <c r="B280" s="109" t="s">
        <v>1086</v>
      </c>
      <c r="C280" s="110" t="s">
        <v>1087</v>
      </c>
      <c r="D280" s="110" t="s">
        <v>1088</v>
      </c>
      <c r="F280" s="110" t="s">
        <v>1058</v>
      </c>
      <c r="G280" s="110" t="s">
        <v>821</v>
      </c>
    </row>
    <row r="281" spans="1:7" x14ac:dyDescent="0.25">
      <c r="A281" s="109" t="s">
        <v>134</v>
      </c>
      <c r="B281" s="109" t="s">
        <v>1089</v>
      </c>
      <c r="C281" s="110" t="s">
        <v>1090</v>
      </c>
      <c r="D281" s="110" t="s">
        <v>1091</v>
      </c>
      <c r="F281" s="110" t="s">
        <v>1058</v>
      </c>
      <c r="G281" s="110" t="s">
        <v>821</v>
      </c>
    </row>
    <row r="282" spans="1:7" x14ac:dyDescent="0.25">
      <c r="A282" s="109" t="s">
        <v>1092</v>
      </c>
      <c r="B282" s="109"/>
      <c r="C282" s="110" t="s">
        <v>1093</v>
      </c>
      <c r="F282" s="110" t="s">
        <v>1058</v>
      </c>
      <c r="G282" s="110" t="s">
        <v>821</v>
      </c>
    </row>
    <row r="283" spans="1:7" x14ac:dyDescent="0.25">
      <c r="A283" s="109" t="s">
        <v>1094</v>
      </c>
      <c r="B283" s="109" t="s">
        <v>1095</v>
      </c>
      <c r="C283" s="110" t="s">
        <v>1096</v>
      </c>
      <c r="D283" s="110" t="s">
        <v>1097</v>
      </c>
      <c r="F283" s="110" t="s">
        <v>1058</v>
      </c>
      <c r="G283" s="110" t="s">
        <v>821</v>
      </c>
    </row>
    <row r="284" spans="1:7" x14ac:dyDescent="0.25">
      <c r="A284" s="109" t="s">
        <v>1098</v>
      </c>
      <c r="B284" s="109" t="s">
        <v>1099</v>
      </c>
      <c r="C284" s="110" t="s">
        <v>1100</v>
      </c>
      <c r="D284" s="110" t="s">
        <v>1101</v>
      </c>
      <c r="F284" s="110" t="s">
        <v>1058</v>
      </c>
      <c r="G284" s="110" t="s">
        <v>821</v>
      </c>
    </row>
    <row r="285" spans="1:7" x14ac:dyDescent="0.25">
      <c r="A285" s="109" t="s">
        <v>1102</v>
      </c>
      <c r="B285" s="109" t="s">
        <v>1103</v>
      </c>
      <c r="C285" s="110" t="s">
        <v>1104</v>
      </c>
      <c r="D285" s="110" t="s">
        <v>1105</v>
      </c>
      <c r="F285" s="110" t="s">
        <v>1058</v>
      </c>
      <c r="G285" s="110" t="s">
        <v>821</v>
      </c>
    </row>
    <row r="286" spans="1:7" x14ac:dyDescent="0.25">
      <c r="A286" s="109" t="s">
        <v>135</v>
      </c>
      <c r="B286" s="109" t="s">
        <v>1106</v>
      </c>
      <c r="C286" s="110" t="s">
        <v>1107</v>
      </c>
      <c r="D286" s="110" t="s">
        <v>1108</v>
      </c>
      <c r="F286" s="110" t="s">
        <v>1058</v>
      </c>
      <c r="G286" s="110" t="s">
        <v>821</v>
      </c>
    </row>
    <row r="287" spans="1:7" x14ac:dyDescent="0.25">
      <c r="A287" s="109" t="s">
        <v>1109</v>
      </c>
      <c r="B287" s="109"/>
      <c r="C287" s="110" t="s">
        <v>1110</v>
      </c>
      <c r="F287" s="110" t="s">
        <v>1058</v>
      </c>
      <c r="G287" s="110" t="s">
        <v>821</v>
      </c>
    </row>
    <row r="288" spans="1:7" x14ac:dyDescent="0.25">
      <c r="A288" s="109" t="s">
        <v>136</v>
      </c>
      <c r="B288" s="109" t="s">
        <v>1111</v>
      </c>
      <c r="C288" s="110" t="s">
        <v>1112</v>
      </c>
      <c r="D288" s="110" t="s">
        <v>1113</v>
      </c>
      <c r="E288" s="110" t="s">
        <v>1114</v>
      </c>
      <c r="F288" s="110" t="s">
        <v>1058</v>
      </c>
      <c r="G288" s="110" t="s">
        <v>821</v>
      </c>
    </row>
    <row r="289" spans="1:7" x14ac:dyDescent="0.25">
      <c r="A289" s="109" t="s">
        <v>1115</v>
      </c>
      <c r="B289" s="109" t="s">
        <v>1116</v>
      </c>
      <c r="C289" s="110" t="s">
        <v>1117</v>
      </c>
      <c r="D289" s="110" t="s">
        <v>1118</v>
      </c>
      <c r="E289" s="110" t="s">
        <v>1119</v>
      </c>
      <c r="F289" s="110" t="s">
        <v>1058</v>
      </c>
      <c r="G289" s="110" t="s">
        <v>821</v>
      </c>
    </row>
    <row r="290" spans="1:7" x14ac:dyDescent="0.25">
      <c r="A290" s="109" t="s">
        <v>1120</v>
      </c>
      <c r="B290" s="109" t="s">
        <v>1121</v>
      </c>
      <c r="C290" s="110" t="s">
        <v>926</v>
      </c>
      <c r="D290" s="110" t="s">
        <v>927</v>
      </c>
      <c r="F290" s="110" t="s">
        <v>1058</v>
      </c>
      <c r="G290" s="110" t="s">
        <v>821</v>
      </c>
    </row>
    <row r="291" spans="1:7" x14ac:dyDescent="0.25">
      <c r="A291" s="109" t="s">
        <v>1122</v>
      </c>
      <c r="B291" s="109" t="s">
        <v>929</v>
      </c>
      <c r="C291" s="110" t="s">
        <v>930</v>
      </c>
      <c r="D291" s="110" t="s">
        <v>1123</v>
      </c>
      <c r="F291" s="110" t="s">
        <v>1058</v>
      </c>
      <c r="G291" s="110" t="s">
        <v>821</v>
      </c>
    </row>
    <row r="292" spans="1:7" x14ac:dyDescent="0.25">
      <c r="A292" s="109" t="s">
        <v>1124</v>
      </c>
      <c r="B292" s="109" t="s">
        <v>1125</v>
      </c>
      <c r="C292" s="110" t="s">
        <v>1126</v>
      </c>
      <c r="D292" s="110" t="s">
        <v>1127</v>
      </c>
      <c r="F292" s="110" t="s">
        <v>1058</v>
      </c>
      <c r="G292" s="110" t="s">
        <v>821</v>
      </c>
    </row>
    <row r="293" spans="1:7" x14ac:dyDescent="0.25">
      <c r="A293" s="109" t="s">
        <v>137</v>
      </c>
      <c r="B293" s="109" t="s">
        <v>1128</v>
      </c>
      <c r="C293" s="110" t="s">
        <v>1129</v>
      </c>
      <c r="D293" s="110" t="s">
        <v>1130</v>
      </c>
      <c r="E293" s="110" t="s">
        <v>1131</v>
      </c>
      <c r="F293" s="110" t="s">
        <v>1058</v>
      </c>
      <c r="G293" s="110" t="s">
        <v>821</v>
      </c>
    </row>
    <row r="294" spans="1:7" x14ac:dyDescent="0.25">
      <c r="A294" s="109" t="s">
        <v>1132</v>
      </c>
      <c r="B294" s="109"/>
      <c r="C294" s="110" t="s">
        <v>1133</v>
      </c>
      <c r="F294" s="110" t="s">
        <v>1058</v>
      </c>
      <c r="G294" s="110" t="s">
        <v>821</v>
      </c>
    </row>
    <row r="295" spans="1:7" x14ac:dyDescent="0.25">
      <c r="A295" s="109" t="s">
        <v>1134</v>
      </c>
      <c r="B295" s="109" t="s">
        <v>961</v>
      </c>
      <c r="C295" s="110" t="s">
        <v>962</v>
      </c>
      <c r="D295" s="110" t="s">
        <v>963</v>
      </c>
      <c r="F295" s="110" t="s">
        <v>1058</v>
      </c>
      <c r="G295" s="110" t="s">
        <v>821</v>
      </c>
    </row>
    <row r="296" spans="1:7" x14ac:dyDescent="0.25">
      <c r="A296" s="109" t="s">
        <v>1135</v>
      </c>
      <c r="B296" s="109" t="s">
        <v>1136</v>
      </c>
      <c r="C296" s="110" t="s">
        <v>1137</v>
      </c>
      <c r="D296" s="110" t="s">
        <v>1138</v>
      </c>
      <c r="F296" s="110" t="s">
        <v>1058</v>
      </c>
      <c r="G296" s="110" t="s">
        <v>821</v>
      </c>
    </row>
    <row r="297" spans="1:7" x14ac:dyDescent="0.25">
      <c r="A297" s="109" t="s">
        <v>1139</v>
      </c>
      <c r="B297" s="109"/>
      <c r="C297" s="110" t="s">
        <v>1140</v>
      </c>
      <c r="F297" s="110" t="s">
        <v>1058</v>
      </c>
      <c r="G297" s="110" t="s">
        <v>821</v>
      </c>
    </row>
    <row r="298" spans="1:7" x14ac:dyDescent="0.25">
      <c r="A298" s="109" t="s">
        <v>1141</v>
      </c>
      <c r="B298" s="109" t="s">
        <v>1142</v>
      </c>
      <c r="C298" s="110" t="s">
        <v>1143</v>
      </c>
      <c r="D298" s="110" t="s">
        <v>1144</v>
      </c>
      <c r="F298" s="110" t="s">
        <v>1058</v>
      </c>
      <c r="G298" s="110" t="s">
        <v>821</v>
      </c>
    </row>
    <row r="299" spans="1:7" x14ac:dyDescent="0.25">
      <c r="A299" s="109" t="s">
        <v>1145</v>
      </c>
      <c r="B299" s="109" t="s">
        <v>1146</v>
      </c>
      <c r="C299" s="110" t="s">
        <v>975</v>
      </c>
      <c r="D299" s="110" t="s">
        <v>976</v>
      </c>
      <c r="E299" s="110" t="s">
        <v>1147</v>
      </c>
      <c r="F299" s="110" t="s">
        <v>1058</v>
      </c>
      <c r="G299" s="110" t="s">
        <v>821</v>
      </c>
    </row>
    <row r="300" spans="1:7" x14ac:dyDescent="0.25">
      <c r="A300" s="109" t="s">
        <v>1148</v>
      </c>
      <c r="B300" s="109" t="s">
        <v>1149</v>
      </c>
      <c r="C300" s="110" t="s">
        <v>1150</v>
      </c>
      <c r="D300" s="110" t="s">
        <v>1151</v>
      </c>
      <c r="E300" s="110" t="s">
        <v>1152</v>
      </c>
      <c r="F300" s="110" t="s">
        <v>1058</v>
      </c>
      <c r="G300" s="110" t="s">
        <v>821</v>
      </c>
    </row>
    <row r="301" spans="1:7" x14ac:dyDescent="0.25">
      <c r="A301" s="109" t="s">
        <v>1153</v>
      </c>
      <c r="B301" s="109" t="s">
        <v>1154</v>
      </c>
      <c r="C301" s="110" t="s">
        <v>1155</v>
      </c>
      <c r="D301" s="110" t="s">
        <v>1156</v>
      </c>
      <c r="F301" s="110" t="s">
        <v>1058</v>
      </c>
      <c r="G301" s="110" t="s">
        <v>821</v>
      </c>
    </row>
    <row r="302" spans="1:7" x14ac:dyDescent="0.25">
      <c r="A302" s="109" t="s">
        <v>1157</v>
      </c>
      <c r="B302" s="109" t="s">
        <v>1158</v>
      </c>
      <c r="C302" s="110" t="s">
        <v>1159</v>
      </c>
      <c r="D302" s="110" t="s">
        <v>1160</v>
      </c>
      <c r="F302" s="110" t="s">
        <v>1058</v>
      </c>
      <c r="G302" s="110" t="s">
        <v>821</v>
      </c>
    </row>
    <row r="303" spans="1:7" x14ac:dyDescent="0.25">
      <c r="A303" s="109" t="s">
        <v>1161</v>
      </c>
      <c r="B303" s="109" t="s">
        <v>1162</v>
      </c>
      <c r="C303" s="110" t="s">
        <v>1163</v>
      </c>
      <c r="D303" s="110" t="s">
        <v>1164</v>
      </c>
      <c r="F303" s="110" t="s">
        <v>1058</v>
      </c>
      <c r="G303" s="110" t="s">
        <v>821</v>
      </c>
    </row>
    <row r="304" spans="1:7" x14ac:dyDescent="0.25">
      <c r="A304" s="109" t="s">
        <v>1165</v>
      </c>
      <c r="B304" s="109" t="s">
        <v>1166</v>
      </c>
      <c r="C304" s="110" t="s">
        <v>1167</v>
      </c>
      <c r="D304" s="110" t="s">
        <v>1168</v>
      </c>
      <c r="F304" s="110" t="s">
        <v>1058</v>
      </c>
      <c r="G304" s="110" t="s">
        <v>821</v>
      </c>
    </row>
    <row r="305" spans="1:7" x14ac:dyDescent="0.25">
      <c r="A305" s="109" t="s">
        <v>1169</v>
      </c>
      <c r="B305" s="109" t="s">
        <v>1170</v>
      </c>
      <c r="C305" s="110" t="s">
        <v>1171</v>
      </c>
      <c r="D305" s="110" t="s">
        <v>1172</v>
      </c>
      <c r="E305" s="110" t="s">
        <v>1173</v>
      </c>
      <c r="F305" s="110" t="s">
        <v>1058</v>
      </c>
      <c r="G305" s="110" t="s">
        <v>821</v>
      </c>
    </row>
    <row r="306" spans="1:7" x14ac:dyDescent="0.25">
      <c r="A306" s="109" t="s">
        <v>1174</v>
      </c>
      <c r="B306" s="109"/>
      <c r="C306" s="110" t="s">
        <v>1175</v>
      </c>
      <c r="F306" s="110" t="s">
        <v>1058</v>
      </c>
      <c r="G306" s="110" t="s">
        <v>821</v>
      </c>
    </row>
    <row r="307" spans="1:7" x14ac:dyDescent="0.25">
      <c r="A307" s="109" t="s">
        <v>1176</v>
      </c>
      <c r="B307" s="109" t="s">
        <v>1177</v>
      </c>
      <c r="C307" s="110" t="s">
        <v>1178</v>
      </c>
      <c r="D307" s="110" t="s">
        <v>1179</v>
      </c>
      <c r="F307" s="110" t="s">
        <v>1058</v>
      </c>
      <c r="G307" s="110" t="s">
        <v>821</v>
      </c>
    </row>
    <row r="308" spans="1:7" x14ac:dyDescent="0.25">
      <c r="A308" s="109" t="s">
        <v>1180</v>
      </c>
      <c r="B308" s="109" t="s">
        <v>1181</v>
      </c>
      <c r="C308" s="110" t="s">
        <v>1182</v>
      </c>
      <c r="D308" s="110" t="s">
        <v>1183</v>
      </c>
      <c r="F308" s="110" t="s">
        <v>1058</v>
      </c>
      <c r="G308" s="110" t="s">
        <v>821</v>
      </c>
    </row>
    <row r="309" spans="1:7" x14ac:dyDescent="0.25">
      <c r="A309" s="109" t="s">
        <v>1184</v>
      </c>
      <c r="B309" s="109"/>
      <c r="C309" s="110" t="s">
        <v>1185</v>
      </c>
      <c r="F309" s="110" t="s">
        <v>1058</v>
      </c>
      <c r="G309" s="110" t="s">
        <v>821</v>
      </c>
    </row>
    <row r="310" spans="1:7" x14ac:dyDescent="0.25">
      <c r="A310" s="109" t="s">
        <v>1186</v>
      </c>
      <c r="B310" s="109" t="s">
        <v>1187</v>
      </c>
      <c r="C310" s="110" t="s">
        <v>1188</v>
      </c>
      <c r="D310" s="110" t="s">
        <v>1189</v>
      </c>
      <c r="F310" s="110" t="s">
        <v>1058</v>
      </c>
      <c r="G310" s="110" t="s">
        <v>821</v>
      </c>
    </row>
    <row r="311" spans="1:7" x14ac:dyDescent="0.25">
      <c r="A311" s="109" t="s">
        <v>1190</v>
      </c>
      <c r="B311" s="109" t="s">
        <v>1191</v>
      </c>
      <c r="C311" s="110" t="s">
        <v>1192</v>
      </c>
      <c r="D311" s="110" t="s">
        <v>1193</v>
      </c>
      <c r="F311" s="110" t="s">
        <v>1058</v>
      </c>
      <c r="G311" s="110" t="s">
        <v>821</v>
      </c>
    </row>
    <row r="312" spans="1:7" x14ac:dyDescent="0.25">
      <c r="B312" s="110"/>
      <c r="F312" s="110"/>
    </row>
    <row r="313" spans="1:7" x14ac:dyDescent="0.25">
      <c r="A313" s="109" t="s">
        <v>1194</v>
      </c>
      <c r="B313" s="109"/>
      <c r="F313" s="110"/>
    </row>
    <row r="314" spans="1:7" x14ac:dyDescent="0.25">
      <c r="A314" s="109" t="s">
        <v>1195</v>
      </c>
      <c r="B314" s="109"/>
      <c r="C314" s="110" t="s">
        <v>1196</v>
      </c>
      <c r="F314" s="110" t="s">
        <v>1197</v>
      </c>
      <c r="G314" s="110" t="s">
        <v>1198</v>
      </c>
    </row>
    <row r="315" spans="1:7" x14ac:dyDescent="0.25">
      <c r="A315" s="109" t="s">
        <v>1199</v>
      </c>
      <c r="B315" s="109" t="s">
        <v>1200</v>
      </c>
      <c r="C315" s="110" t="s">
        <v>1201</v>
      </c>
      <c r="D315" s="110" t="s">
        <v>1202</v>
      </c>
      <c r="F315" s="110" t="s">
        <v>161</v>
      </c>
      <c r="G315" s="110" t="s">
        <v>1203</v>
      </c>
    </row>
    <row r="316" spans="1:7" x14ac:dyDescent="0.25">
      <c r="A316" s="109" t="s">
        <v>1204</v>
      </c>
      <c r="B316" s="109" t="s">
        <v>1205</v>
      </c>
      <c r="C316" s="110" t="s">
        <v>1206</v>
      </c>
      <c r="D316" s="110" t="s">
        <v>1207</v>
      </c>
      <c r="F316" s="110" t="s">
        <v>161</v>
      </c>
      <c r="G316" s="110" t="s">
        <v>1203</v>
      </c>
    </row>
    <row r="317" spans="1:7" x14ac:dyDescent="0.25">
      <c r="A317" s="109" t="s">
        <v>1208</v>
      </c>
      <c r="B317" s="109" t="s">
        <v>1209</v>
      </c>
      <c r="C317" s="110" t="s">
        <v>1210</v>
      </c>
      <c r="D317" s="110" t="s">
        <v>1211</v>
      </c>
      <c r="F317" s="110" t="s">
        <v>1203</v>
      </c>
    </row>
    <row r="318" spans="1:7" x14ac:dyDescent="0.25">
      <c r="A318" s="109" t="s">
        <v>1212</v>
      </c>
      <c r="C318" s="110" t="s">
        <v>1213</v>
      </c>
      <c r="F318" s="110" t="s">
        <v>1203</v>
      </c>
    </row>
  </sheetData>
  <sheetProtection sheet="1" objects="1" scenarios="1" formatCells="0" formatColumns="0" formatRows="0" insertColumns="0" insertRows="0"/>
  <printOptions gridLines="1"/>
  <pageMargins left="0.75" right="0.75" top="1" bottom="1" header="0.5" footer="0.5"/>
  <pageSetup paperSize="9" firstPageNumber="0" orientation="portrait" horizontalDpi="300" verticalDpi="300"/>
  <headerFooter>
    <oddHeader>&amp;C&amp;A</oddHeader>
    <oddFooter>&amp;Lwww.ruz.sk&amp;CBlue soft s r.o.</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S219"/>
  <sheetViews>
    <sheetView zoomScaleNormal="100" workbookViewId="0"/>
  </sheetViews>
  <sheetFormatPr defaultRowHeight="15" x14ac:dyDescent="0.25"/>
  <cols>
    <col min="1" max="2" width="9.140625" customWidth="1"/>
    <col min="3" max="3" width="15.7109375" customWidth="1"/>
    <col min="4" max="5" width="6.42578125" customWidth="1"/>
    <col min="6" max="6" width="1.28515625" customWidth="1"/>
    <col min="7" max="8" width="11.5703125" hidden="1"/>
    <col min="9" max="9" width="4" customWidth="1"/>
    <col min="10" max="10" width="9" customWidth="1"/>
    <col min="11" max="11" width="14" customWidth="1"/>
    <col min="12" max="13" width="6.42578125" customWidth="1"/>
    <col min="14" max="14" width="1.140625" customWidth="1"/>
    <col min="15" max="16" width="11.5703125" hidden="1"/>
    <col min="17" max="17" width="9.42578125" customWidth="1"/>
    <col min="18" max="1025" width="9.140625" customWidth="1"/>
  </cols>
  <sheetData>
    <row r="1" spans="1:19" ht="14.1" customHeight="1" x14ac:dyDescent="0.25">
      <c r="A1" s="693" t="s">
        <v>1214</v>
      </c>
      <c r="B1" s="693"/>
      <c r="C1" s="693"/>
      <c r="D1" s="693"/>
      <c r="E1" s="693"/>
      <c r="F1" s="693"/>
      <c r="G1" s="693"/>
      <c r="H1" s="693"/>
      <c r="I1" s="693"/>
      <c r="J1" s="693"/>
      <c r="K1" s="693"/>
      <c r="L1" s="693"/>
      <c r="M1" s="115"/>
    </row>
    <row r="2" spans="1:19" ht="14.1" customHeight="1" x14ac:dyDescent="0.25">
      <c r="A2" s="115"/>
      <c r="B2" s="115"/>
      <c r="C2" s="115"/>
      <c r="D2" s="115"/>
      <c r="E2" s="115"/>
      <c r="F2" s="116"/>
      <c r="G2" s="115"/>
      <c r="H2" s="115"/>
      <c r="I2" s="115"/>
      <c r="J2" s="115"/>
      <c r="K2" s="117">
        <v>2018</v>
      </c>
      <c r="L2" s="117">
        <v>2017</v>
      </c>
      <c r="M2" s="117">
        <v>2015</v>
      </c>
    </row>
    <row r="3" spans="1:19" ht="14.1" customHeight="1" x14ac:dyDescent="0.25">
      <c r="C3" s="117">
        <v>2018</v>
      </c>
      <c r="D3" s="117">
        <v>2017</v>
      </c>
      <c r="E3" s="117">
        <v>2015</v>
      </c>
      <c r="I3" s="118" t="s">
        <v>90</v>
      </c>
      <c r="J3" s="119" t="s">
        <v>1215</v>
      </c>
      <c r="K3" s="120">
        <f>SUM('HL KNIHA VYPOC'!G159)</f>
        <v>-266.90999999999985</v>
      </c>
      <c r="L3" s="120">
        <f>SUM('HL KNIHA VYPOC'!K159)</f>
        <v>-334.42000000000007</v>
      </c>
      <c r="M3" s="120">
        <f>SUM('HL KNIHA VYPOC'!H159)</f>
        <v>-402.11</v>
      </c>
    </row>
    <row r="4" spans="1:19" ht="14.1" customHeight="1" x14ac:dyDescent="0.25">
      <c r="A4" s="118" t="s">
        <v>242</v>
      </c>
      <c r="B4" s="119" t="s">
        <v>1215</v>
      </c>
      <c r="C4" s="120">
        <f>SUM('HL KNIHA VYPOC'!G43)</f>
        <v>0</v>
      </c>
      <c r="D4" s="120">
        <f>SUM('HL KNIHA VYPOC'!K43)</f>
        <v>0</v>
      </c>
      <c r="E4" s="120">
        <f>SUM('HL KNIHA VYPOC'!H43)</f>
        <v>0</v>
      </c>
      <c r="I4" s="121" t="s">
        <v>90</v>
      </c>
      <c r="J4" s="122" t="s">
        <v>1216</v>
      </c>
      <c r="K4" s="123"/>
      <c r="L4" s="124"/>
      <c r="M4" s="125"/>
    </row>
    <row r="5" spans="1:19" ht="14.1" customHeight="1" x14ac:dyDescent="0.25">
      <c r="A5" s="126" t="s">
        <v>242</v>
      </c>
      <c r="B5" s="127" t="s">
        <v>1217</v>
      </c>
      <c r="C5" s="128">
        <f>SUM(C4-C6)</f>
        <v>0</v>
      </c>
      <c r="D5" s="129">
        <f>SUM(D4-D6)</f>
        <v>0</v>
      </c>
      <c r="E5" s="129">
        <f>SUM(E4-E6)</f>
        <v>0</v>
      </c>
      <c r="I5" s="130" t="s">
        <v>90</v>
      </c>
      <c r="J5" s="131" t="s">
        <v>1218</v>
      </c>
      <c r="K5" s="132">
        <f>SUM(K3-K4)</f>
        <v>-266.90999999999985</v>
      </c>
      <c r="L5" s="133">
        <f>SUM(L3-L4)</f>
        <v>-334.42000000000007</v>
      </c>
      <c r="M5" s="133">
        <f>SUM(M3-M4)</f>
        <v>-402.11</v>
      </c>
    </row>
    <row r="6" spans="1:19" ht="14.1" customHeight="1" x14ac:dyDescent="0.25">
      <c r="A6" s="134" t="s">
        <v>242</v>
      </c>
      <c r="B6" s="135" t="s">
        <v>1219</v>
      </c>
      <c r="C6" s="136"/>
      <c r="D6" s="137"/>
      <c r="E6" s="125"/>
      <c r="I6" s="138"/>
      <c r="J6" s="139"/>
      <c r="K6" s="140"/>
      <c r="L6" s="140"/>
      <c r="M6" s="140"/>
    </row>
    <row r="7" spans="1:19" ht="14.1" customHeight="1" x14ac:dyDescent="0.25">
      <c r="A7" s="138"/>
      <c r="B7" s="139"/>
      <c r="I7" s="118" t="s">
        <v>566</v>
      </c>
      <c r="J7" s="119" t="s">
        <v>1215</v>
      </c>
      <c r="K7" s="120">
        <f>SUM('HL KNIHA VYPOC'!G171)</f>
        <v>0</v>
      </c>
      <c r="L7" s="120">
        <f>SUM('HL KNIHA VYPOC'!K171)</f>
        <v>0</v>
      </c>
      <c r="M7" s="120">
        <f>SUM('HL KNIHA VYPOC'!H171)</f>
        <v>0</v>
      </c>
    </row>
    <row r="8" spans="1:19" ht="14.1" customHeight="1" x14ac:dyDescent="0.25">
      <c r="A8" s="118" t="s">
        <v>246</v>
      </c>
      <c r="B8" s="119" t="s">
        <v>1215</v>
      </c>
      <c r="C8" s="120">
        <f>SUM('HL KNIHA VYPOC'!G44)</f>
        <v>0</v>
      </c>
      <c r="D8" s="120">
        <f>SUM('HL KNIHA VYPOC'!K44)</f>
        <v>0</v>
      </c>
      <c r="E8" s="120">
        <f>SUM('HL KNIHA VYPOC'!H44)</f>
        <v>0</v>
      </c>
      <c r="I8" s="121" t="s">
        <v>566</v>
      </c>
      <c r="J8" s="122" t="s">
        <v>1220</v>
      </c>
      <c r="K8" s="123"/>
      <c r="L8" s="124"/>
      <c r="M8" s="125"/>
    </row>
    <row r="9" spans="1:19" ht="14.1" customHeight="1" x14ac:dyDescent="0.25">
      <c r="A9" s="126" t="s">
        <v>246</v>
      </c>
      <c r="B9" s="127" t="s">
        <v>1217</v>
      </c>
      <c r="C9" s="128">
        <f>SUM(C8-C10)</f>
        <v>0</v>
      </c>
      <c r="D9" s="129">
        <f>SUM(D8-D10)</f>
        <v>0</v>
      </c>
      <c r="E9" s="129">
        <f>SUM(E8-E10)</f>
        <v>0</v>
      </c>
      <c r="I9" s="141" t="s">
        <v>566</v>
      </c>
      <c r="J9" s="142" t="s">
        <v>1221</v>
      </c>
      <c r="K9" s="125"/>
      <c r="L9" s="143"/>
      <c r="M9" s="125"/>
    </row>
    <row r="10" spans="1:19" ht="14.1" customHeight="1" x14ac:dyDescent="0.25">
      <c r="A10" s="134" t="s">
        <v>246</v>
      </c>
      <c r="B10" s="135" t="s">
        <v>1222</v>
      </c>
      <c r="C10" s="136"/>
      <c r="D10" s="137"/>
      <c r="E10" s="137"/>
      <c r="I10" s="144" t="s">
        <v>566</v>
      </c>
      <c r="J10" s="145" t="s">
        <v>1223</v>
      </c>
      <c r="K10" s="146">
        <f>SUM(K7-K8-K9-K11)</f>
        <v>0</v>
      </c>
      <c r="L10" s="147">
        <f>SUM(L7-L8-L9-L11)</f>
        <v>0</v>
      </c>
      <c r="M10" s="147">
        <f>SUM(M7-M8-M9-M11)</f>
        <v>0</v>
      </c>
    </row>
    <row r="11" spans="1:19" ht="14.1" customHeight="1" x14ac:dyDescent="0.25">
      <c r="A11" s="138"/>
      <c r="B11" s="139"/>
      <c r="I11" s="134" t="s">
        <v>566</v>
      </c>
      <c r="J11" s="135" t="s">
        <v>1224</v>
      </c>
      <c r="K11" s="136"/>
      <c r="L11" s="137"/>
      <c r="M11" s="125"/>
    </row>
    <row r="12" spans="1:19" ht="14.1" customHeight="1" x14ac:dyDescent="0.25">
      <c r="A12" s="118" t="s">
        <v>254</v>
      </c>
      <c r="B12" s="119" t="s">
        <v>1215</v>
      </c>
      <c r="C12" s="120">
        <f>SUM('HL KNIHA VYPOC'!G46)</f>
        <v>0</v>
      </c>
      <c r="D12" s="120">
        <f>SUM('HL KNIHA VYPOC'!K46)</f>
        <v>0</v>
      </c>
      <c r="E12" s="120">
        <f>SUM('HL KNIHA VYPOC'!H46)</f>
        <v>0</v>
      </c>
      <c r="I12" s="138"/>
      <c r="J12" s="139"/>
      <c r="K12" s="140"/>
      <c r="L12" s="140"/>
      <c r="M12" s="140"/>
    </row>
    <row r="13" spans="1:19" ht="14.1" customHeight="1" x14ac:dyDescent="0.25">
      <c r="A13" s="126" t="s">
        <v>254</v>
      </c>
      <c r="B13" s="127" t="s">
        <v>1225</v>
      </c>
      <c r="C13" s="128">
        <f>SUM(C12-C14-C15)</f>
        <v>0</v>
      </c>
      <c r="D13" s="129">
        <f>SUM(D12-D14-D15)</f>
        <v>0</v>
      </c>
      <c r="E13" s="129">
        <f>SUM(E12-E14-E15)</f>
        <v>0</v>
      </c>
      <c r="I13" s="138"/>
      <c r="J13" s="139"/>
      <c r="K13" s="140"/>
      <c r="L13" s="140"/>
      <c r="M13" s="140"/>
    </row>
    <row r="14" spans="1:19" ht="14.1" customHeight="1" x14ac:dyDescent="0.25">
      <c r="A14" s="141" t="s">
        <v>254</v>
      </c>
      <c r="B14" s="142" t="s">
        <v>1226</v>
      </c>
      <c r="C14" s="125"/>
      <c r="D14" s="143"/>
      <c r="E14" s="125"/>
      <c r="I14" s="118" t="s">
        <v>574</v>
      </c>
      <c r="J14" s="119" t="s">
        <v>1215</v>
      </c>
      <c r="K14" s="120">
        <f>SUM('HL KNIHA VYPOC'!G173)</f>
        <v>0</v>
      </c>
      <c r="L14" s="120">
        <f>SUM('HL KNIHA VYPOC'!K173)</f>
        <v>0</v>
      </c>
      <c r="M14" s="120">
        <f>SUM('HL KNIHA VYPOC'!H173)</f>
        <v>0</v>
      </c>
    </row>
    <row r="15" spans="1:19" ht="14.1" customHeight="1" x14ac:dyDescent="0.25">
      <c r="A15" s="134" t="s">
        <v>254</v>
      </c>
      <c r="B15" s="135" t="s">
        <v>1227</v>
      </c>
      <c r="C15" s="136"/>
      <c r="D15" s="137"/>
      <c r="E15" s="125"/>
      <c r="I15" s="121" t="s">
        <v>574</v>
      </c>
      <c r="J15" s="122" t="s">
        <v>1228</v>
      </c>
      <c r="K15" s="123"/>
      <c r="L15" s="124"/>
      <c r="M15" s="125"/>
      <c r="S15" s="55"/>
    </row>
    <row r="16" spans="1:19" ht="14.1" customHeight="1" x14ac:dyDescent="0.25">
      <c r="A16" s="138"/>
      <c r="B16" s="139"/>
      <c r="I16" s="130" t="s">
        <v>574</v>
      </c>
      <c r="J16" s="131" t="s">
        <v>1229</v>
      </c>
      <c r="K16" s="132">
        <f>SUM(K14-K15)</f>
        <v>0</v>
      </c>
      <c r="L16" s="133">
        <f>SUM(L14-L15)</f>
        <v>0</v>
      </c>
      <c r="M16" s="133">
        <f>SUM(M14-M15)</f>
        <v>0</v>
      </c>
    </row>
    <row r="17" spans="1:13" ht="14.1" customHeight="1" x14ac:dyDescent="0.25">
      <c r="A17" s="118" t="s">
        <v>258</v>
      </c>
      <c r="B17" s="119" t="s">
        <v>1215</v>
      </c>
      <c r="C17" s="120">
        <f>SUM('HL KNIHA VYPOC'!G47)</f>
        <v>0</v>
      </c>
      <c r="D17" s="120">
        <f>SUM('HL KNIHA VYPOC'!K47)</f>
        <v>0</v>
      </c>
      <c r="E17" s="120">
        <f>SUM('HL KNIHA VYPOC'!H47)</f>
        <v>0</v>
      </c>
      <c r="I17" s="138"/>
      <c r="J17" s="139"/>
      <c r="K17" s="140"/>
      <c r="L17" s="140"/>
      <c r="M17" s="140"/>
    </row>
    <row r="18" spans="1:13" ht="14.1" customHeight="1" x14ac:dyDescent="0.25">
      <c r="A18" s="126" t="s">
        <v>258</v>
      </c>
      <c r="B18" s="127" t="s">
        <v>1230</v>
      </c>
      <c r="C18" s="128">
        <f>SUM(C17-C19)</f>
        <v>0</v>
      </c>
      <c r="D18" s="129">
        <f>SUM(D17-D19)</f>
        <v>0</v>
      </c>
      <c r="E18" s="129">
        <f>SUM(E17-E19)</f>
        <v>0</v>
      </c>
      <c r="I18" s="118" t="s">
        <v>578</v>
      </c>
      <c r="J18" s="119" t="s">
        <v>1215</v>
      </c>
      <c r="K18" s="120">
        <f>SUM('HL KNIHA VYPOC'!G174)</f>
        <v>0</v>
      </c>
      <c r="L18" s="120">
        <f>SUM('HL KNIHA VYPOC'!K174)</f>
        <v>0</v>
      </c>
      <c r="M18" s="120">
        <f>SUM('HL KNIHA VYPOC'!H174)</f>
        <v>0</v>
      </c>
    </row>
    <row r="19" spans="1:13" ht="14.1" customHeight="1" x14ac:dyDescent="0.25">
      <c r="A19" s="134" t="s">
        <v>258</v>
      </c>
      <c r="B19" s="135" t="s">
        <v>1227</v>
      </c>
      <c r="C19" s="136"/>
      <c r="D19" s="137"/>
      <c r="E19" s="125"/>
      <c r="I19" s="121" t="s">
        <v>578</v>
      </c>
      <c r="J19" s="122" t="s">
        <v>1228</v>
      </c>
      <c r="K19" s="123"/>
      <c r="L19" s="124"/>
      <c r="M19" s="125"/>
    </row>
    <row r="20" spans="1:13" ht="14.1" customHeight="1" x14ac:dyDescent="0.25">
      <c r="A20" s="138"/>
      <c r="B20" s="139"/>
      <c r="I20" s="130" t="s">
        <v>578</v>
      </c>
      <c r="J20" s="131" t="s">
        <v>1229</v>
      </c>
      <c r="K20" s="132">
        <f>SUM(K18-K19)</f>
        <v>0</v>
      </c>
      <c r="L20" s="133">
        <f>SUM(L18-L19)</f>
        <v>0</v>
      </c>
      <c r="M20" s="133">
        <f>SUM(M18-M19)</f>
        <v>0</v>
      </c>
    </row>
    <row r="21" spans="1:13" ht="14.1" customHeight="1" x14ac:dyDescent="0.25">
      <c r="A21" s="118" t="s">
        <v>262</v>
      </c>
      <c r="B21" s="119" t="s">
        <v>1215</v>
      </c>
      <c r="C21" s="120">
        <f>SUM('HL KNIHA VYPOC'!G48)</f>
        <v>0</v>
      </c>
      <c r="D21" s="120">
        <f>SUM('HL KNIHA VYPOC'!K48)</f>
        <v>0</v>
      </c>
      <c r="E21" s="120">
        <f>SUM('HL KNIHA VYPOC'!H48)</f>
        <v>0</v>
      </c>
      <c r="I21" s="138"/>
      <c r="J21" s="139"/>
      <c r="K21" s="140"/>
      <c r="L21" s="140"/>
      <c r="M21" s="140"/>
    </row>
    <row r="22" spans="1:13" ht="14.1" customHeight="1" x14ac:dyDescent="0.25">
      <c r="A22" s="126" t="s">
        <v>262</v>
      </c>
      <c r="B22" s="127" t="s">
        <v>1231</v>
      </c>
      <c r="C22" s="128">
        <f>SUM(C21-C23)</f>
        <v>0</v>
      </c>
      <c r="D22" s="129">
        <f>SUM(D21-D23)</f>
        <v>0</v>
      </c>
      <c r="E22" s="129">
        <f>SUM(E21-E23)</f>
        <v>0</v>
      </c>
      <c r="I22" s="118" t="s">
        <v>582</v>
      </c>
      <c r="J22" s="119" t="s">
        <v>1215</v>
      </c>
      <c r="K22" s="120">
        <f>SUM('HL KNIHA VYPOC'!G175)</f>
        <v>0</v>
      </c>
      <c r="L22" s="120">
        <f>SUM('HL KNIHA VYPOC'!K175)</f>
        <v>0</v>
      </c>
      <c r="M22" s="120">
        <f>SUM('HL KNIHA VYPOC'!H175)</f>
        <v>0</v>
      </c>
    </row>
    <row r="23" spans="1:13" ht="14.1" customHeight="1" x14ac:dyDescent="0.25">
      <c r="A23" s="134" t="s">
        <v>262</v>
      </c>
      <c r="B23" s="135" t="s">
        <v>1227</v>
      </c>
      <c r="C23" s="136"/>
      <c r="D23" s="137"/>
      <c r="E23" s="125"/>
      <c r="I23" s="121" t="s">
        <v>582</v>
      </c>
      <c r="J23" s="122" t="s">
        <v>1228</v>
      </c>
      <c r="K23" s="123"/>
      <c r="L23" s="124"/>
      <c r="M23" s="125"/>
    </row>
    <row r="24" spans="1:13" ht="14.1" customHeight="1" x14ac:dyDescent="0.25">
      <c r="A24" s="138"/>
      <c r="B24" s="139"/>
      <c r="I24" s="130" t="s">
        <v>582</v>
      </c>
      <c r="J24" s="131" t="s">
        <v>1229</v>
      </c>
      <c r="K24" s="132">
        <f>SUM(K22-K23)</f>
        <v>0</v>
      </c>
      <c r="L24" s="133">
        <f>SUM(L22-L23)</f>
        <v>0</v>
      </c>
      <c r="M24" s="133">
        <f>SUM(M22-M23)</f>
        <v>0</v>
      </c>
    </row>
    <row r="25" spans="1:13" ht="14.1" customHeight="1" x14ac:dyDescent="0.25">
      <c r="A25" s="118" t="s">
        <v>309</v>
      </c>
      <c r="B25" s="119" t="s">
        <v>1215</v>
      </c>
      <c r="C25" s="120">
        <f>SUM('HL KNIHA VYPOC'!G71)</f>
        <v>0</v>
      </c>
      <c r="D25" s="120">
        <f>SUM('HL KNIHA VYPOC'!K71)</f>
        <v>0</v>
      </c>
      <c r="E25" s="120">
        <f>SUM('HL KNIHA VYPOC'!H71)</f>
        <v>0</v>
      </c>
      <c r="I25" s="138"/>
      <c r="J25" s="139"/>
      <c r="K25" s="140"/>
      <c r="L25" s="140"/>
      <c r="M25" s="140"/>
    </row>
    <row r="26" spans="1:13" ht="14.1" customHeight="1" x14ac:dyDescent="0.25">
      <c r="A26" s="121" t="s">
        <v>309</v>
      </c>
      <c r="B26" s="122" t="s">
        <v>1232</v>
      </c>
      <c r="C26" s="123"/>
      <c r="D26" s="124"/>
      <c r="E26" s="125"/>
      <c r="I26" s="118" t="s">
        <v>614</v>
      </c>
      <c r="J26" s="119" t="s">
        <v>1215</v>
      </c>
      <c r="K26" s="120">
        <f>SUM('HL KNIHA VYPOC'!G186)</f>
        <v>0</v>
      </c>
      <c r="L26" s="120">
        <f>SUM('HL KNIHA VYPOC'!K186)</f>
        <v>0</v>
      </c>
      <c r="M26" s="120">
        <f>SUM('HL KNIHA VYPOC'!H186)</f>
        <v>0</v>
      </c>
    </row>
    <row r="27" spans="1:13" ht="14.1" customHeight="1" x14ac:dyDescent="0.25">
      <c r="A27" s="144" t="s">
        <v>309</v>
      </c>
      <c r="B27" s="145" t="s">
        <v>1233</v>
      </c>
      <c r="C27" s="146">
        <f>SUM(C25-C26-C28-C29-C30)</f>
        <v>0</v>
      </c>
      <c r="D27" s="147">
        <f>SUM(D25-D26-D28-D29-D30)</f>
        <v>0</v>
      </c>
      <c r="E27" s="147">
        <f>SUM(E25-E26-E28-E29-E30)</f>
        <v>0</v>
      </c>
      <c r="I27" s="121" t="s">
        <v>614</v>
      </c>
      <c r="J27" s="122" t="s">
        <v>1216</v>
      </c>
      <c r="K27" s="123"/>
      <c r="L27" s="124"/>
      <c r="M27" s="125"/>
    </row>
    <row r="28" spans="1:13" ht="14.1" customHeight="1" x14ac:dyDescent="0.25">
      <c r="A28" s="141" t="s">
        <v>309</v>
      </c>
      <c r="B28" s="142" t="s">
        <v>1234</v>
      </c>
      <c r="C28" s="125"/>
      <c r="D28" s="143"/>
      <c r="E28" s="125"/>
      <c r="I28" s="130" t="s">
        <v>614</v>
      </c>
      <c r="J28" s="131" t="s">
        <v>1218</v>
      </c>
      <c r="K28" s="132">
        <f>SUM(K26-K27)</f>
        <v>0</v>
      </c>
      <c r="L28" s="132">
        <f>SUM(L26-L27)</f>
        <v>0</v>
      </c>
      <c r="M28" s="132">
        <f>SUM(M26-M27)</f>
        <v>0</v>
      </c>
    </row>
    <row r="29" spans="1:13" ht="14.1" customHeight="1" x14ac:dyDescent="0.25">
      <c r="A29" s="141" t="s">
        <v>309</v>
      </c>
      <c r="B29" s="142" t="s">
        <v>1235</v>
      </c>
      <c r="C29" s="125"/>
      <c r="D29" s="143"/>
      <c r="E29" s="125"/>
      <c r="I29" s="138"/>
      <c r="J29" s="139"/>
      <c r="K29" s="140"/>
      <c r="L29" s="140"/>
      <c r="M29" s="140"/>
    </row>
    <row r="30" spans="1:13" ht="14.1" customHeight="1" x14ac:dyDescent="0.25">
      <c r="A30" s="134" t="s">
        <v>309</v>
      </c>
      <c r="B30" s="135" t="s">
        <v>1236</v>
      </c>
      <c r="C30" s="136"/>
      <c r="D30" s="137"/>
      <c r="E30" s="125"/>
      <c r="I30" s="118" t="s">
        <v>626</v>
      </c>
      <c r="J30" s="119" t="s">
        <v>1215</v>
      </c>
      <c r="K30" s="120">
        <f>SUM('HL KNIHA VYPOC'!G189)</f>
        <v>0</v>
      </c>
      <c r="L30" s="120">
        <f>SUM('HL KNIHA VYPOC'!K189)</f>
        <v>0</v>
      </c>
      <c r="M30" s="120">
        <f>SUM('HL KNIHA VYPOC'!H189)</f>
        <v>0</v>
      </c>
    </row>
    <row r="31" spans="1:13" ht="14.1" customHeight="1" x14ac:dyDescent="0.25">
      <c r="A31" s="138"/>
      <c r="B31" s="139"/>
      <c r="I31" s="121" t="s">
        <v>626</v>
      </c>
      <c r="J31" s="122" t="s">
        <v>1216</v>
      </c>
      <c r="K31" s="123"/>
      <c r="L31" s="124"/>
      <c r="M31" s="125"/>
    </row>
    <row r="32" spans="1:13" ht="14.1" customHeight="1" x14ac:dyDescent="0.25">
      <c r="A32" s="118" t="s">
        <v>313</v>
      </c>
      <c r="B32" s="119" t="s">
        <v>1215</v>
      </c>
      <c r="C32" s="120">
        <f>SUM('HL KNIHA VYPOC'!G72)</f>
        <v>0</v>
      </c>
      <c r="D32" s="120">
        <f>SUM('HL KNIHA VYPOC'!K72)</f>
        <v>0</v>
      </c>
      <c r="E32" s="120">
        <f>SUM('HL KNIHA VYPOC'!H72)</f>
        <v>0</v>
      </c>
      <c r="I32" s="130" t="s">
        <v>626</v>
      </c>
      <c r="J32" s="131" t="s">
        <v>1218</v>
      </c>
      <c r="K32" s="132">
        <f>SUM(K30-K31)</f>
        <v>0</v>
      </c>
      <c r="L32" s="133">
        <f>SUM(L30-L31)</f>
        <v>0</v>
      </c>
      <c r="M32" s="133">
        <f>SUM(M30-M31)</f>
        <v>0</v>
      </c>
    </row>
    <row r="33" spans="1:13" ht="14.1" customHeight="1" x14ac:dyDescent="0.25">
      <c r="A33" s="121" t="s">
        <v>313</v>
      </c>
      <c r="B33" s="122" t="s">
        <v>1237</v>
      </c>
      <c r="C33" s="123"/>
      <c r="D33" s="124"/>
      <c r="E33" s="125"/>
      <c r="I33" s="138"/>
      <c r="J33" s="139"/>
      <c r="K33" s="140"/>
      <c r="L33" s="140"/>
      <c r="M33" s="140"/>
    </row>
    <row r="34" spans="1:13" ht="14.1" customHeight="1" x14ac:dyDescent="0.25">
      <c r="A34" s="141" t="s">
        <v>313</v>
      </c>
      <c r="B34" s="142" t="s">
        <v>1238</v>
      </c>
      <c r="C34" s="125"/>
      <c r="D34" s="143"/>
      <c r="E34" s="125"/>
      <c r="I34" s="118" t="s">
        <v>630</v>
      </c>
      <c r="J34" s="119" t="s">
        <v>1215</v>
      </c>
      <c r="K34" s="120">
        <f>SUM('HL KNIHA VYPOC'!G190)</f>
        <v>0</v>
      </c>
      <c r="L34" s="120">
        <f>SUM('HL KNIHA VYPOC'!K190)</f>
        <v>0</v>
      </c>
      <c r="M34" s="120">
        <f>SUM('HL KNIHA VYPOC'!H190)</f>
        <v>0</v>
      </c>
    </row>
    <row r="35" spans="1:13" ht="14.1" customHeight="1" x14ac:dyDescent="0.25">
      <c r="A35" s="144" t="s">
        <v>313</v>
      </c>
      <c r="B35" s="145" t="s">
        <v>1239</v>
      </c>
      <c r="C35" s="146">
        <f>SUM(C32-C33-C34-C36-C37-C38)</f>
        <v>0</v>
      </c>
      <c r="D35" s="146">
        <f>SUM(D32-D33-D34-D36-D37-D38)</f>
        <v>0</v>
      </c>
      <c r="E35" s="146">
        <f>SUM(E32-E33-E34-E36-E37-E38)</f>
        <v>0</v>
      </c>
      <c r="I35" s="121" t="s">
        <v>630</v>
      </c>
      <c r="J35" s="122" t="s">
        <v>1216</v>
      </c>
      <c r="K35" s="123"/>
      <c r="L35" s="124"/>
      <c r="M35" s="125"/>
    </row>
    <row r="36" spans="1:13" ht="14.1" customHeight="1" x14ac:dyDescent="0.25">
      <c r="A36" s="141" t="s">
        <v>313</v>
      </c>
      <c r="B36" s="142" t="s">
        <v>1240</v>
      </c>
      <c r="C36" s="125"/>
      <c r="D36" s="143"/>
      <c r="E36" s="125"/>
      <c r="I36" s="130" t="s">
        <v>630</v>
      </c>
      <c r="J36" s="131" t="s">
        <v>1218</v>
      </c>
      <c r="K36" s="132">
        <f>SUM(K34-K35)</f>
        <v>0</v>
      </c>
      <c r="L36" s="133">
        <f>SUM(L34-L35)</f>
        <v>0</v>
      </c>
      <c r="M36" s="133">
        <f>SUM(M34-M35)</f>
        <v>0</v>
      </c>
    </row>
    <row r="37" spans="1:13" ht="14.1" customHeight="1" x14ac:dyDescent="0.25">
      <c r="A37" s="141" t="s">
        <v>313</v>
      </c>
      <c r="B37" s="142" t="s">
        <v>1241</v>
      </c>
      <c r="C37" s="125"/>
      <c r="D37" s="143"/>
      <c r="E37" s="125"/>
      <c r="I37" s="138"/>
      <c r="J37" s="139"/>
      <c r="K37" s="140"/>
      <c r="L37" s="140"/>
      <c r="M37" s="140"/>
    </row>
    <row r="38" spans="1:13" ht="14.1" customHeight="1" x14ac:dyDescent="0.25">
      <c r="A38" s="134" t="s">
        <v>313</v>
      </c>
      <c r="B38" s="135" t="s">
        <v>1242</v>
      </c>
      <c r="C38" s="136"/>
      <c r="D38" s="137"/>
      <c r="E38" s="125"/>
      <c r="I38" s="118" t="s">
        <v>634</v>
      </c>
      <c r="J38" s="119" t="s">
        <v>1215</v>
      </c>
      <c r="K38" s="120">
        <f>SUM('HL KNIHA VYPOC'!G191)</f>
        <v>0</v>
      </c>
      <c r="L38" s="120">
        <f>SUM('HL KNIHA VYPOC'!K191)</f>
        <v>0</v>
      </c>
      <c r="M38" s="120">
        <f>SUM('HL KNIHA VYPOC'!H191)</f>
        <v>0</v>
      </c>
    </row>
    <row r="39" spans="1:13" ht="14.1" customHeight="1" x14ac:dyDescent="0.25">
      <c r="A39" s="148"/>
      <c r="B39" s="142"/>
      <c r="C39" s="149"/>
      <c r="D39" s="149"/>
      <c r="E39" s="149"/>
      <c r="I39" s="121" t="s">
        <v>634</v>
      </c>
      <c r="J39" s="122" t="s">
        <v>1243</v>
      </c>
      <c r="K39" s="123"/>
      <c r="L39" s="124"/>
      <c r="M39" s="125"/>
    </row>
    <row r="40" spans="1:13" ht="14.1" customHeight="1" x14ac:dyDescent="0.25">
      <c r="A40" s="118" t="s">
        <v>325</v>
      </c>
      <c r="B40" s="119" t="s">
        <v>1215</v>
      </c>
      <c r="C40" s="120">
        <f>SUM('HL KNIHA VYPOC'!G75)</f>
        <v>0</v>
      </c>
      <c r="D40" s="120">
        <f>SUM('HL KNIHA VYPOC'!K75)</f>
        <v>0</v>
      </c>
      <c r="E40" s="120">
        <f>SUM('HL KNIHA VYPOC'!H75)</f>
        <v>0</v>
      </c>
      <c r="I40" s="144" t="s">
        <v>634</v>
      </c>
      <c r="J40" s="145" t="s">
        <v>1244</v>
      </c>
      <c r="K40" s="146">
        <f>SUM(K38-K39-K41)</f>
        <v>0</v>
      </c>
      <c r="L40" s="147">
        <f>SUM(L38-L39-L41)</f>
        <v>0</v>
      </c>
      <c r="M40" s="147">
        <f>SUM(M38-M39-M41)</f>
        <v>0</v>
      </c>
    </row>
    <row r="41" spans="1:13" ht="14.1" customHeight="1" x14ac:dyDescent="0.25">
      <c r="A41" s="121" t="s">
        <v>325</v>
      </c>
      <c r="B41" s="122" t="s">
        <v>1245</v>
      </c>
      <c r="C41" s="123"/>
      <c r="D41" s="124"/>
      <c r="E41" s="125"/>
      <c r="I41" s="134" t="s">
        <v>634</v>
      </c>
      <c r="J41" s="135" t="s">
        <v>1218</v>
      </c>
      <c r="K41" s="150"/>
      <c r="L41" s="151"/>
      <c r="M41" s="149"/>
    </row>
    <row r="42" spans="1:13" ht="14.1" customHeight="1" x14ac:dyDescent="0.25">
      <c r="A42" s="141" t="s">
        <v>325</v>
      </c>
      <c r="B42" s="142" t="s">
        <v>1246</v>
      </c>
      <c r="C42" s="146">
        <f>SUM(C40-C41-C43)</f>
        <v>0</v>
      </c>
      <c r="D42" s="147">
        <f>SUM(D40-D41-D43)</f>
        <v>0</v>
      </c>
      <c r="E42" s="147">
        <f>SUM(E40-E41-E43)</f>
        <v>0</v>
      </c>
      <c r="I42" s="138"/>
      <c r="J42" s="139"/>
      <c r="K42" s="140"/>
      <c r="L42" s="140"/>
      <c r="M42" s="140"/>
    </row>
    <row r="43" spans="1:13" ht="14.1" customHeight="1" x14ac:dyDescent="0.25">
      <c r="A43" s="134" t="s">
        <v>325</v>
      </c>
      <c r="B43" s="135" t="s">
        <v>1247</v>
      </c>
      <c r="C43" s="136"/>
      <c r="D43" s="137"/>
      <c r="E43" s="125"/>
      <c r="I43" s="118" t="s">
        <v>98</v>
      </c>
      <c r="J43" s="119" t="s">
        <v>1215</v>
      </c>
      <c r="K43" s="120">
        <f>SUM('HL KNIHA VYPOC'!G193)</f>
        <v>2892.93</v>
      </c>
      <c r="L43" s="120">
        <f>SUM('HL KNIHA VYPOC'!K193)</f>
        <v>0</v>
      </c>
      <c r="M43" s="120">
        <f>SUM('HL KNIHA VYPOC'!H193)</f>
        <v>0</v>
      </c>
    </row>
    <row r="44" spans="1:13" ht="14.1" customHeight="1" x14ac:dyDescent="0.25">
      <c r="A44" s="138"/>
      <c r="B44" s="139"/>
      <c r="I44" s="121" t="s">
        <v>98</v>
      </c>
      <c r="J44" s="122" t="s">
        <v>1216</v>
      </c>
      <c r="K44" s="123"/>
      <c r="L44" s="124"/>
      <c r="M44" s="125"/>
    </row>
    <row r="45" spans="1:13" ht="14.1" customHeight="1" x14ac:dyDescent="0.25">
      <c r="A45" s="118" t="s">
        <v>329</v>
      </c>
      <c r="B45" s="119" t="s">
        <v>1215</v>
      </c>
      <c r="C45" s="120">
        <f>SUM('HL KNIHA VYPOC'!G76)</f>
        <v>0</v>
      </c>
      <c r="D45" s="120">
        <f>SUM('HL KNIHA VYPOC'!K76)</f>
        <v>0</v>
      </c>
      <c r="E45" s="120">
        <f>SUM('HL KNIHA VYPOC'!H76)</f>
        <v>0</v>
      </c>
      <c r="I45" s="130" t="s">
        <v>98</v>
      </c>
      <c r="J45" s="131" t="s">
        <v>1218</v>
      </c>
      <c r="K45" s="132">
        <f>SUM(K43-K44)</f>
        <v>2892.93</v>
      </c>
      <c r="L45" s="133">
        <f>SUM(L43-L44)</f>
        <v>0</v>
      </c>
      <c r="M45" s="133">
        <f>SUM(M43-M44)</f>
        <v>0</v>
      </c>
    </row>
    <row r="46" spans="1:13" ht="14.1" customHeight="1" x14ac:dyDescent="0.25">
      <c r="A46" s="126" t="s">
        <v>329</v>
      </c>
      <c r="B46" s="127" t="s">
        <v>1217</v>
      </c>
      <c r="C46" s="128">
        <f>SUM(C45-C47-C48-C49-C50-C51-C52-C53-C54)</f>
        <v>0</v>
      </c>
      <c r="D46" s="129">
        <f>SUM(D45-D47-D48-D49-D50-D51-D52-D53-D54)</f>
        <v>0</v>
      </c>
      <c r="E46" s="129">
        <f>SUM(E45-E47-E48-E49-E50-E51-E52-E53-E54)</f>
        <v>0</v>
      </c>
      <c r="I46" s="138"/>
      <c r="J46" s="139"/>
      <c r="K46" s="140"/>
      <c r="L46" s="140"/>
      <c r="M46" s="140"/>
    </row>
    <row r="47" spans="1:13" ht="14.1" customHeight="1" x14ac:dyDescent="0.25">
      <c r="A47" s="141" t="s">
        <v>329</v>
      </c>
      <c r="B47" s="142" t="s">
        <v>1219</v>
      </c>
      <c r="C47" s="125"/>
      <c r="D47" s="143"/>
      <c r="E47" s="125"/>
      <c r="I47" s="118" t="s">
        <v>651</v>
      </c>
      <c r="J47" s="119" t="s">
        <v>1215</v>
      </c>
      <c r="K47" s="120">
        <f>SUM('HL KNIHA VYPOC'!G197)</f>
        <v>0</v>
      </c>
      <c r="L47" s="120">
        <f>SUM('HL KNIHA VYPOC'!K197)</f>
        <v>0</v>
      </c>
      <c r="M47" s="120">
        <f>SUM('HL KNIHA VYPOC'!H197)</f>
        <v>0</v>
      </c>
    </row>
    <row r="48" spans="1:13" ht="14.1" customHeight="1" x14ac:dyDescent="0.25">
      <c r="A48" s="141" t="s">
        <v>329</v>
      </c>
      <c r="B48" s="142" t="s">
        <v>1222</v>
      </c>
      <c r="C48" s="125"/>
      <c r="D48" s="143"/>
      <c r="E48" s="125"/>
      <c r="I48" s="121" t="s">
        <v>651</v>
      </c>
      <c r="J48" s="122">
        <v>75</v>
      </c>
      <c r="K48" s="123"/>
      <c r="L48" s="124"/>
      <c r="M48" s="125"/>
    </row>
    <row r="49" spans="1:13" ht="14.1" customHeight="1" x14ac:dyDescent="0.25">
      <c r="A49" s="141" t="s">
        <v>329</v>
      </c>
      <c r="B49" s="142" t="s">
        <v>1225</v>
      </c>
      <c r="C49" s="125"/>
      <c r="D49" s="143"/>
      <c r="E49" s="125"/>
      <c r="I49" s="130" t="s">
        <v>651</v>
      </c>
      <c r="J49" s="131">
        <v>76</v>
      </c>
      <c r="K49" s="132">
        <f>SUM(K47-K48)</f>
        <v>0</v>
      </c>
      <c r="L49" s="133">
        <f>SUM(L47-L48)</f>
        <v>0</v>
      </c>
      <c r="M49" s="133">
        <f>SUM(M47-M48)</f>
        <v>0</v>
      </c>
    </row>
    <row r="50" spans="1:13" ht="14.1" customHeight="1" x14ac:dyDescent="0.25">
      <c r="A50" s="141" t="s">
        <v>329</v>
      </c>
      <c r="B50" s="142" t="s">
        <v>1226</v>
      </c>
      <c r="C50" s="125"/>
      <c r="D50" s="143"/>
      <c r="E50" s="125"/>
      <c r="I50" s="138"/>
      <c r="J50" s="139"/>
      <c r="K50" s="140"/>
      <c r="L50" s="140"/>
      <c r="M50" s="140"/>
    </row>
    <row r="51" spans="1:13" ht="14.1" customHeight="1" x14ac:dyDescent="0.25">
      <c r="A51" s="141" t="s">
        <v>329</v>
      </c>
      <c r="B51" s="142" t="s">
        <v>1230</v>
      </c>
      <c r="C51" s="125"/>
      <c r="D51" s="143"/>
      <c r="E51" s="125"/>
      <c r="I51" s="118" t="s">
        <v>656</v>
      </c>
      <c r="J51" s="119" t="s">
        <v>1215</v>
      </c>
      <c r="K51" s="120">
        <f>SUM('HL KNIHA VYPOC'!G198)</f>
        <v>0</v>
      </c>
      <c r="L51" s="120">
        <f>SUM('HL KNIHA VYPOC'!K198)</f>
        <v>0</v>
      </c>
      <c r="M51" s="120">
        <f>SUM('HL KNIHA VYPOC'!H198)</f>
        <v>0</v>
      </c>
    </row>
    <row r="52" spans="1:13" ht="14.1" customHeight="1" x14ac:dyDescent="0.25">
      <c r="A52" s="141" t="s">
        <v>329</v>
      </c>
      <c r="B52" s="142" t="s">
        <v>1231</v>
      </c>
      <c r="C52" s="125"/>
      <c r="D52" s="143"/>
      <c r="E52" s="125"/>
      <c r="I52" s="121" t="s">
        <v>656</v>
      </c>
      <c r="J52" s="122">
        <v>75</v>
      </c>
      <c r="K52" s="123"/>
      <c r="L52" s="124"/>
      <c r="M52" s="125"/>
    </row>
    <row r="53" spans="1:13" ht="14.1" customHeight="1" x14ac:dyDescent="0.25">
      <c r="A53" s="141" t="s">
        <v>329</v>
      </c>
      <c r="B53" s="142" t="s">
        <v>1227</v>
      </c>
      <c r="C53" s="125"/>
      <c r="D53" s="143"/>
      <c r="E53" s="125"/>
      <c r="I53" s="130" t="s">
        <v>656</v>
      </c>
      <c r="J53" s="131">
        <v>76</v>
      </c>
      <c r="K53" s="132">
        <f>SUM(K51-K52)</f>
        <v>0</v>
      </c>
      <c r="L53" s="133">
        <f>SUM(L51-L52)</f>
        <v>0</v>
      </c>
      <c r="M53" s="133">
        <f>SUM(M51-M52)</f>
        <v>0</v>
      </c>
    </row>
    <row r="54" spans="1:13" ht="14.1" customHeight="1" x14ac:dyDescent="0.25">
      <c r="A54" s="134" t="s">
        <v>329</v>
      </c>
      <c r="B54" s="135" t="s">
        <v>1248</v>
      </c>
      <c r="C54" s="136"/>
      <c r="D54" s="137"/>
      <c r="E54" s="125"/>
      <c r="I54" s="138"/>
      <c r="J54" s="139"/>
      <c r="K54" s="140"/>
      <c r="L54" s="140"/>
      <c r="M54" s="140"/>
    </row>
    <row r="55" spans="1:13" ht="14.1" customHeight="1" x14ac:dyDescent="0.25">
      <c r="A55" s="138"/>
      <c r="B55" s="139"/>
      <c r="I55" s="118" t="s">
        <v>101</v>
      </c>
      <c r="J55" s="119" t="s">
        <v>1215</v>
      </c>
      <c r="K55" s="120">
        <f>SUM('HL KNIHA VYPOC'!G201)</f>
        <v>45926.02</v>
      </c>
      <c r="L55" s="120">
        <f>SUM('HL KNIHA VYPOC'!K201)</f>
        <v>52135.519999999997</v>
      </c>
      <c r="M55" s="120">
        <f>SUM('HL KNIHA VYPOC'!H201)</f>
        <v>0</v>
      </c>
    </row>
    <row r="56" spans="1:13" ht="14.1" customHeight="1" x14ac:dyDescent="0.25">
      <c r="A56" s="118" t="s">
        <v>447</v>
      </c>
      <c r="B56" s="119" t="s">
        <v>1215</v>
      </c>
      <c r="C56" s="120">
        <f>SUM('HL KNIHA VYPOC'!G125)</f>
        <v>0</v>
      </c>
      <c r="D56" s="120">
        <f>SUM('HL KNIHA VYPOC'!K125)</f>
        <v>0</v>
      </c>
      <c r="E56" s="120">
        <f>SUM('HL KNIHA VYPOC'!H125)</f>
        <v>0</v>
      </c>
      <c r="I56" s="121" t="s">
        <v>101</v>
      </c>
      <c r="J56" s="122">
        <v>77</v>
      </c>
      <c r="K56" s="123"/>
      <c r="L56" s="124"/>
      <c r="M56" s="125"/>
    </row>
    <row r="57" spans="1:13" ht="14.1" customHeight="1" x14ac:dyDescent="0.25">
      <c r="A57" s="126" t="s">
        <v>447</v>
      </c>
      <c r="B57" s="127">
        <v>67</v>
      </c>
      <c r="C57" s="128">
        <f>SUM(C56-C58)</f>
        <v>0</v>
      </c>
      <c r="D57" s="129">
        <f>SUM(D56-D58)</f>
        <v>0</v>
      </c>
      <c r="E57" s="129">
        <f>SUM(E56-E58)</f>
        <v>0</v>
      </c>
      <c r="I57" s="130" t="s">
        <v>101</v>
      </c>
      <c r="J57" s="131">
        <v>78</v>
      </c>
      <c r="K57" s="152">
        <f>SUM(K55-K56)</f>
        <v>45926.02</v>
      </c>
      <c r="L57" s="153">
        <f>SUM(L55-L56)</f>
        <v>52135.519999999997</v>
      </c>
      <c r="M57" s="153">
        <f>SUM(M55-M56)</f>
        <v>0</v>
      </c>
    </row>
    <row r="58" spans="1:13" ht="14.1" customHeight="1" x14ac:dyDescent="0.25">
      <c r="A58" s="134" t="s">
        <v>447</v>
      </c>
      <c r="B58" s="135">
        <v>68</v>
      </c>
      <c r="C58" s="136"/>
      <c r="D58" s="137"/>
      <c r="E58" s="125"/>
      <c r="I58" s="138"/>
      <c r="J58" s="139"/>
      <c r="K58" s="140"/>
      <c r="L58" s="140"/>
      <c r="M58" s="140"/>
    </row>
    <row r="59" spans="1:13" ht="14.1" customHeight="1" x14ac:dyDescent="0.25">
      <c r="A59" s="138"/>
      <c r="B59" s="139"/>
      <c r="C59" s="140"/>
      <c r="D59" s="140"/>
      <c r="E59" s="140"/>
      <c r="I59" s="118" t="s">
        <v>672</v>
      </c>
      <c r="J59" s="119" t="s">
        <v>1215</v>
      </c>
      <c r="K59" s="120">
        <f>SUM('HL KNIHA VYPOC'!G208)</f>
        <v>0</v>
      </c>
      <c r="L59" s="120">
        <f>SUM('HL KNIHA VYPOC'!K208)</f>
        <v>0</v>
      </c>
      <c r="M59" s="120">
        <f>SUM('HL KNIHA VYPOC'!H208)</f>
        <v>0</v>
      </c>
    </row>
    <row r="60" spans="1:13" ht="14.1" customHeight="1" x14ac:dyDescent="0.25">
      <c r="A60" s="118" t="s">
        <v>455</v>
      </c>
      <c r="B60" s="119" t="s">
        <v>1215</v>
      </c>
      <c r="C60" s="120">
        <f>SUM('HL KNIHA VYPOC'!G127)</f>
        <v>0</v>
      </c>
      <c r="D60" s="120">
        <f>SUM('HL KNIHA VYPOC'!K127)</f>
        <v>0</v>
      </c>
      <c r="E60" s="120">
        <f>SUM('HL KNIHA VYPOC'!H127)</f>
        <v>0</v>
      </c>
      <c r="I60" s="121" t="s">
        <v>672</v>
      </c>
      <c r="J60" s="122" t="s">
        <v>1249</v>
      </c>
      <c r="K60" s="123"/>
      <c r="L60" s="124"/>
      <c r="M60" s="125"/>
    </row>
    <row r="61" spans="1:13" ht="14.1" customHeight="1" x14ac:dyDescent="0.25">
      <c r="A61" s="126" t="s">
        <v>455</v>
      </c>
      <c r="B61" s="127">
        <v>67</v>
      </c>
      <c r="C61" s="128">
        <f>SUM(C60-C62)</f>
        <v>0</v>
      </c>
      <c r="D61" s="129">
        <f>SUM(D60-D62)</f>
        <v>0</v>
      </c>
      <c r="E61" s="129">
        <f>SUM(-E62)</f>
        <v>0</v>
      </c>
      <c r="I61" s="141" t="s">
        <v>672</v>
      </c>
      <c r="J61" s="142" t="s">
        <v>1250</v>
      </c>
      <c r="K61" s="125"/>
      <c r="L61" s="143"/>
      <c r="M61" s="125"/>
    </row>
    <row r="62" spans="1:13" ht="14.1" customHeight="1" x14ac:dyDescent="0.25">
      <c r="A62" s="134" t="s">
        <v>455</v>
      </c>
      <c r="B62" s="135">
        <v>68</v>
      </c>
      <c r="C62" s="136"/>
      <c r="D62" s="137"/>
      <c r="E62" s="125"/>
      <c r="I62" s="141" t="s">
        <v>672</v>
      </c>
      <c r="J62" s="142" t="s">
        <v>1251</v>
      </c>
      <c r="K62" s="125"/>
      <c r="L62" s="143"/>
      <c r="M62" s="125"/>
    </row>
    <row r="63" spans="1:13" ht="14.1" customHeight="1" x14ac:dyDescent="0.25">
      <c r="A63" s="138"/>
      <c r="B63" s="139"/>
      <c r="I63" s="141" t="s">
        <v>672</v>
      </c>
      <c r="J63" s="142" t="s">
        <v>1252</v>
      </c>
      <c r="K63" s="125"/>
      <c r="L63" s="143"/>
      <c r="M63" s="125"/>
    </row>
    <row r="64" spans="1:13" ht="14.1" customHeight="1" x14ac:dyDescent="0.25">
      <c r="A64" s="118" t="s">
        <v>463</v>
      </c>
      <c r="B64" s="119" t="s">
        <v>1215</v>
      </c>
      <c r="C64" s="120">
        <f>SUM('HL KNIHA VYPOC'!G129)</f>
        <v>0</v>
      </c>
      <c r="D64" s="120">
        <f>SUM('HL KNIHA VYPOC'!K129)</f>
        <v>0</v>
      </c>
      <c r="E64" s="120">
        <f>SUM('HL KNIHA VYPOC'!H129)</f>
        <v>0</v>
      </c>
      <c r="I64" s="141" t="s">
        <v>672</v>
      </c>
      <c r="J64" s="142" t="s">
        <v>1220</v>
      </c>
      <c r="K64" s="125"/>
      <c r="L64" s="143"/>
      <c r="M64" s="125"/>
    </row>
    <row r="65" spans="1:13" ht="14.1" customHeight="1" x14ac:dyDescent="0.25">
      <c r="A65" s="126" t="s">
        <v>463</v>
      </c>
      <c r="B65" s="127">
        <v>67</v>
      </c>
      <c r="C65" s="128">
        <f>SUM(C64-C66)</f>
        <v>0</v>
      </c>
      <c r="D65" s="129">
        <f>SUM(D64-D66)</f>
        <v>0</v>
      </c>
      <c r="E65" s="129">
        <f>SUM(E64-E66)</f>
        <v>0</v>
      </c>
      <c r="I65" s="141" t="s">
        <v>672</v>
      </c>
      <c r="J65" s="142" t="s">
        <v>1221</v>
      </c>
      <c r="K65" s="125"/>
      <c r="L65" s="143"/>
      <c r="M65" s="125"/>
    </row>
    <row r="66" spans="1:13" ht="14.1" customHeight="1" x14ac:dyDescent="0.25">
      <c r="A66" s="134" t="s">
        <v>463</v>
      </c>
      <c r="B66" s="135">
        <v>68</v>
      </c>
      <c r="C66" s="136"/>
      <c r="D66" s="137"/>
      <c r="E66" s="125"/>
      <c r="I66" s="141" t="s">
        <v>672</v>
      </c>
      <c r="J66" s="142" t="s">
        <v>1228</v>
      </c>
      <c r="K66" s="125"/>
      <c r="L66" s="143"/>
      <c r="M66" s="125"/>
    </row>
    <row r="67" spans="1:13" ht="14.1" customHeight="1" x14ac:dyDescent="0.25">
      <c r="A67" s="138"/>
      <c r="B67" s="139"/>
      <c r="I67" s="141" t="s">
        <v>672</v>
      </c>
      <c r="J67" s="142" t="s">
        <v>1216</v>
      </c>
      <c r="K67" s="125"/>
      <c r="L67" s="143"/>
      <c r="M67" s="125"/>
    </row>
    <row r="68" spans="1:13" ht="14.1" customHeight="1" x14ac:dyDescent="0.25">
      <c r="A68" s="118" t="s">
        <v>467</v>
      </c>
      <c r="B68" s="119" t="s">
        <v>1215</v>
      </c>
      <c r="C68" s="120">
        <f>SUM('HL KNIHA VYPOC'!G130)</f>
        <v>0</v>
      </c>
      <c r="D68" s="120">
        <f>SUM('HL KNIHA VYPOC'!K130)</f>
        <v>0</v>
      </c>
      <c r="E68" s="120">
        <f>SUM('HL KNIHA VYPOC'!H130)</f>
        <v>0</v>
      </c>
      <c r="I68" s="144" t="s">
        <v>672</v>
      </c>
      <c r="J68" s="145" t="s">
        <v>1253</v>
      </c>
      <c r="K68" s="146">
        <f>SUM(K59-K60-K61-K62-K63-K64-K65-K66-K67-K69-K70-K71-K72-K73-K74-K75-K76)</f>
        <v>0</v>
      </c>
      <c r="L68" s="147">
        <f>SUM(L59-L60-L61-L62-L63-L64-L65-L66-L67-L69-L70-L71-L72-L73-L74-L75-L76)</f>
        <v>0</v>
      </c>
      <c r="M68" s="147">
        <f>SUM(M59-M60-M61-M62-M63-M64-M65-M66-M67-M69-M70-M71-M72-M73-M74-M75-M76)</f>
        <v>0</v>
      </c>
    </row>
    <row r="69" spans="1:13" ht="14.1" customHeight="1" x14ac:dyDescent="0.25">
      <c r="A69" s="126" t="s">
        <v>467</v>
      </c>
      <c r="B69" s="127">
        <v>67</v>
      </c>
      <c r="C69" s="128">
        <f>SUM(C68-C70)</f>
        <v>0</v>
      </c>
      <c r="D69" s="129">
        <f>SUM(D68-D70)</f>
        <v>0</v>
      </c>
      <c r="E69" s="129">
        <f>SUM(E68-E70)</f>
        <v>0</v>
      </c>
      <c r="I69" s="141" t="s">
        <v>672</v>
      </c>
      <c r="J69" s="142" t="s">
        <v>1254</v>
      </c>
      <c r="K69" s="125"/>
      <c r="L69" s="143"/>
      <c r="M69" s="125"/>
    </row>
    <row r="70" spans="1:13" ht="14.1" customHeight="1" x14ac:dyDescent="0.25">
      <c r="A70" s="134" t="s">
        <v>467</v>
      </c>
      <c r="B70" s="135">
        <v>68</v>
      </c>
      <c r="C70" s="136"/>
      <c r="D70" s="137"/>
      <c r="E70" s="125"/>
      <c r="I70" s="141" t="s">
        <v>672</v>
      </c>
      <c r="J70" s="142" t="s">
        <v>1255</v>
      </c>
      <c r="K70" s="125"/>
      <c r="L70" s="143"/>
      <c r="M70" s="125"/>
    </row>
    <row r="71" spans="1:13" ht="14.1" customHeight="1" x14ac:dyDescent="0.25">
      <c r="A71" s="138"/>
      <c r="B71" s="139"/>
      <c r="I71" s="141" t="s">
        <v>672</v>
      </c>
      <c r="J71" s="142" t="s">
        <v>1223</v>
      </c>
      <c r="K71" s="125"/>
      <c r="L71" s="143"/>
      <c r="M71" s="125"/>
    </row>
    <row r="72" spans="1:13" ht="14.1" customHeight="1" x14ac:dyDescent="0.25">
      <c r="A72" s="118" t="s">
        <v>482</v>
      </c>
      <c r="B72" s="119" t="s">
        <v>1215</v>
      </c>
      <c r="C72" s="120">
        <f>SUM('HL KNIHA VYPOC'!G137)</f>
        <v>0</v>
      </c>
      <c r="D72" s="120">
        <f>SUM('HL KNIHA VYPOC'!K137)</f>
        <v>0</v>
      </c>
      <c r="E72" s="120">
        <f>SUM('HL KNIHA VYPOC'!H137)</f>
        <v>0</v>
      </c>
      <c r="I72" s="141" t="s">
        <v>672</v>
      </c>
      <c r="J72" s="142" t="s">
        <v>1224</v>
      </c>
      <c r="K72" s="125"/>
      <c r="L72" s="143"/>
      <c r="M72" s="125"/>
    </row>
    <row r="73" spans="1:13" ht="14.1" customHeight="1" x14ac:dyDescent="0.25">
      <c r="A73" s="126" t="s">
        <v>482</v>
      </c>
      <c r="B73" s="127">
        <v>67</v>
      </c>
      <c r="C73" s="128">
        <f>SUM(C72-C74)</f>
        <v>0</v>
      </c>
      <c r="D73" s="129">
        <f>SUM(D72-D74)</f>
        <v>0</v>
      </c>
      <c r="E73" s="129">
        <f>SUM(E72-E74)</f>
        <v>0</v>
      </c>
      <c r="I73" s="141" t="s">
        <v>672</v>
      </c>
      <c r="J73" s="142" t="s">
        <v>1229</v>
      </c>
      <c r="K73" s="125"/>
      <c r="L73" s="143"/>
      <c r="M73" s="125"/>
    </row>
    <row r="74" spans="1:13" ht="14.1" customHeight="1" x14ac:dyDescent="0.25">
      <c r="A74" s="141" t="s">
        <v>482</v>
      </c>
      <c r="B74" s="142">
        <v>68</v>
      </c>
      <c r="C74" s="125"/>
      <c r="D74" s="143"/>
      <c r="E74" s="125"/>
      <c r="I74" s="141" t="s">
        <v>672</v>
      </c>
      <c r="J74" s="142" t="s">
        <v>1256</v>
      </c>
      <c r="K74" s="125"/>
      <c r="L74" s="143"/>
      <c r="M74" s="125"/>
    </row>
    <row r="75" spans="1:13" ht="14.1" customHeight="1" x14ac:dyDescent="0.25">
      <c r="A75" s="134" t="s">
        <v>482</v>
      </c>
      <c r="B75" s="135" t="s">
        <v>1257</v>
      </c>
      <c r="C75" s="136"/>
      <c r="D75" s="137"/>
      <c r="E75" s="125"/>
      <c r="I75" s="141" t="s">
        <v>672</v>
      </c>
      <c r="J75" s="142" t="s">
        <v>1258</v>
      </c>
      <c r="K75" s="125"/>
      <c r="L75" s="143"/>
      <c r="M75" s="125"/>
    </row>
    <row r="76" spans="1:13" ht="14.1" customHeight="1" x14ac:dyDescent="0.25">
      <c r="I76" s="134" t="s">
        <v>672</v>
      </c>
      <c r="J76" s="135" t="s">
        <v>1218</v>
      </c>
      <c r="K76" s="136"/>
      <c r="L76" s="137"/>
      <c r="M76" s="125"/>
    </row>
    <row r="77" spans="1:13" ht="14.1" customHeight="1" x14ac:dyDescent="0.25"/>
    <row r="78" spans="1:13" ht="14.1" customHeight="1" x14ac:dyDescent="0.25">
      <c r="A78" s="118" t="s">
        <v>82</v>
      </c>
      <c r="B78" s="119" t="s">
        <v>1215</v>
      </c>
      <c r="C78" s="120">
        <f>SUM('HL KNIHA VYPOC'!G142)</f>
        <v>17798.909999999996</v>
      </c>
      <c r="D78" s="120">
        <f>SUM('HL KNIHA VYPOC'!K142)</f>
        <v>17066.43</v>
      </c>
      <c r="E78" s="120">
        <f>SUM('HL KNIHA VYPOC'!H142)</f>
        <v>12197.71</v>
      </c>
      <c r="I78" s="118" t="s">
        <v>495</v>
      </c>
      <c r="J78" s="119" t="s">
        <v>1215</v>
      </c>
      <c r="K78" s="120">
        <f>SUM('HL KNIHA VYPOC'!G144)</f>
        <v>0</v>
      </c>
      <c r="L78" s="120">
        <f>SUM('HL KNIHA VYPOC'!K144)</f>
        <v>0</v>
      </c>
      <c r="M78" s="120">
        <f>SUM('HL KNIHA VYPOC'!H144)</f>
        <v>0</v>
      </c>
    </row>
    <row r="79" spans="1:13" ht="14.1" customHeight="1" x14ac:dyDescent="0.25">
      <c r="A79" s="121" t="s">
        <v>82</v>
      </c>
      <c r="B79" s="122" t="s">
        <v>1250</v>
      </c>
      <c r="C79" s="123"/>
      <c r="D79" s="124"/>
      <c r="E79" s="125"/>
      <c r="I79" s="121" t="s">
        <v>495</v>
      </c>
      <c r="J79" s="122" t="s">
        <v>1250</v>
      </c>
      <c r="K79" s="123"/>
      <c r="L79" s="124"/>
      <c r="M79" s="125"/>
    </row>
    <row r="80" spans="1:13" ht="14.1" customHeight="1" x14ac:dyDescent="0.25">
      <c r="A80" s="141" t="s">
        <v>82</v>
      </c>
      <c r="B80" s="142" t="s">
        <v>1251</v>
      </c>
      <c r="C80" s="125"/>
      <c r="D80" s="143"/>
      <c r="E80" s="125"/>
      <c r="I80" s="141" t="s">
        <v>495</v>
      </c>
      <c r="J80" s="142" t="s">
        <v>1251</v>
      </c>
      <c r="K80" s="125"/>
      <c r="L80" s="143"/>
      <c r="M80" s="125"/>
    </row>
    <row r="81" spans="1:13" ht="14.1" customHeight="1" x14ac:dyDescent="0.25">
      <c r="A81" s="141" t="s">
        <v>82</v>
      </c>
      <c r="B81" s="142" t="s">
        <v>1252</v>
      </c>
      <c r="C81" s="125"/>
      <c r="D81" s="143"/>
      <c r="E81" s="125"/>
      <c r="I81" s="141" t="s">
        <v>495</v>
      </c>
      <c r="J81" s="142" t="s">
        <v>1252</v>
      </c>
      <c r="K81" s="125"/>
      <c r="L81" s="143"/>
      <c r="M81" s="125"/>
    </row>
    <row r="82" spans="1:13" ht="14.1" customHeight="1" x14ac:dyDescent="0.25">
      <c r="A82" s="144" t="s">
        <v>82</v>
      </c>
      <c r="B82" s="145" t="s">
        <v>1253</v>
      </c>
      <c r="C82" s="146">
        <f>SUM(C78-C79-C80-C81-C83-C84)</f>
        <v>17798.909999999996</v>
      </c>
      <c r="D82" s="147">
        <f>SUM(D78-D79-D80-D81-D83-D84)</f>
        <v>17066.43</v>
      </c>
      <c r="E82" s="147">
        <f>SUM(E78-E79-E80-E81-E83-E84)</f>
        <v>12197.71</v>
      </c>
      <c r="I82" s="144" t="s">
        <v>495</v>
      </c>
      <c r="J82" s="145" t="s">
        <v>1253</v>
      </c>
      <c r="K82" s="146">
        <f>SUM(K78-K79-K80-K81-K83-K84)</f>
        <v>0</v>
      </c>
      <c r="L82" s="147">
        <f>SUM(L78-L79-L80-L81-L83-L84)</f>
        <v>0</v>
      </c>
      <c r="M82" s="147">
        <f>SUM(M78-M79-M80-M81-M83-M84)</f>
        <v>0</v>
      </c>
    </row>
    <row r="83" spans="1:13" ht="14.1" customHeight="1" x14ac:dyDescent="0.25">
      <c r="A83" s="141" t="s">
        <v>82</v>
      </c>
      <c r="B83" s="142" t="s">
        <v>1254</v>
      </c>
      <c r="C83" s="125"/>
      <c r="D83" s="143"/>
      <c r="E83" s="125"/>
      <c r="I83" s="141" t="s">
        <v>495</v>
      </c>
      <c r="J83" s="142" t="s">
        <v>1254</v>
      </c>
      <c r="K83" s="125"/>
      <c r="L83" s="143"/>
      <c r="M83" s="125"/>
    </row>
    <row r="84" spans="1:13" ht="14.1" customHeight="1" x14ac:dyDescent="0.25">
      <c r="A84" s="134" t="s">
        <v>82</v>
      </c>
      <c r="B84" s="135" t="s">
        <v>1255</v>
      </c>
      <c r="C84" s="136"/>
      <c r="D84" s="137"/>
      <c r="E84" s="125"/>
      <c r="I84" s="134" t="s">
        <v>495</v>
      </c>
      <c r="J84" s="135" t="s">
        <v>1255</v>
      </c>
      <c r="K84" s="136"/>
      <c r="L84" s="137"/>
      <c r="M84" s="125"/>
    </row>
    <row r="85" spans="1:13" ht="14.1" customHeight="1" x14ac:dyDescent="0.25">
      <c r="A85" s="138"/>
      <c r="B85" s="139"/>
      <c r="I85" s="138"/>
      <c r="J85" s="139"/>
      <c r="K85" s="140"/>
      <c r="L85" s="140"/>
      <c r="M85" s="140"/>
    </row>
    <row r="86" spans="1:13" ht="14.1" customHeight="1" x14ac:dyDescent="0.25">
      <c r="A86" s="118" t="s">
        <v>491</v>
      </c>
      <c r="B86" s="119" t="s">
        <v>1215</v>
      </c>
      <c r="C86" s="120">
        <f>SUM('HL KNIHA VYPOC'!G143)</f>
        <v>0</v>
      </c>
      <c r="D86" s="120">
        <f>SUM('HL KNIHA VYPOC'!K143)</f>
        <v>0</v>
      </c>
      <c r="E86" s="120">
        <f>SUM('HL KNIHA VYPOC'!H143)</f>
        <v>0</v>
      </c>
      <c r="I86" s="118" t="s">
        <v>83</v>
      </c>
      <c r="J86" s="119" t="s">
        <v>1215</v>
      </c>
      <c r="K86" s="120">
        <f>SUM('HL KNIHA VYPOC'!G145)</f>
        <v>0</v>
      </c>
      <c r="L86" s="120">
        <f>SUM('HL KNIHA VYPOC'!K145)</f>
        <v>0</v>
      </c>
      <c r="M86" s="120">
        <f>SUM('HL KNIHA VYPOC'!H145)</f>
        <v>0</v>
      </c>
    </row>
    <row r="87" spans="1:13" ht="14.1" customHeight="1" x14ac:dyDescent="0.25">
      <c r="A87" s="121" t="s">
        <v>491</v>
      </c>
      <c r="B87" s="122" t="s">
        <v>1250</v>
      </c>
      <c r="C87" s="123"/>
      <c r="D87" s="124"/>
      <c r="E87" s="125"/>
      <c r="I87" s="121" t="s">
        <v>83</v>
      </c>
      <c r="J87" s="122" t="s">
        <v>1249</v>
      </c>
      <c r="K87" s="123"/>
      <c r="L87" s="124"/>
      <c r="M87" s="125"/>
    </row>
    <row r="88" spans="1:13" ht="14.1" customHeight="1" x14ac:dyDescent="0.25">
      <c r="A88" s="141" t="s">
        <v>491</v>
      </c>
      <c r="B88" s="142" t="s">
        <v>1251</v>
      </c>
      <c r="C88" s="125"/>
      <c r="D88" s="143"/>
      <c r="E88" s="125"/>
      <c r="I88" s="141" t="s">
        <v>83</v>
      </c>
      <c r="J88" s="142" t="s">
        <v>1250</v>
      </c>
      <c r="K88" s="125"/>
      <c r="L88" s="143"/>
      <c r="M88" s="125"/>
    </row>
    <row r="89" spans="1:13" ht="14.1" customHeight="1" x14ac:dyDescent="0.25">
      <c r="A89" s="141" t="s">
        <v>491</v>
      </c>
      <c r="B89" s="142" t="s">
        <v>1252</v>
      </c>
      <c r="C89" s="125"/>
      <c r="D89" s="143"/>
      <c r="E89" s="125"/>
      <c r="I89" s="141" t="s">
        <v>83</v>
      </c>
      <c r="J89" s="142" t="s">
        <v>1251</v>
      </c>
      <c r="K89" s="125"/>
      <c r="L89" s="143"/>
      <c r="M89" s="125"/>
    </row>
    <row r="90" spans="1:13" ht="14.1" customHeight="1" x14ac:dyDescent="0.25">
      <c r="A90" s="144" t="s">
        <v>491</v>
      </c>
      <c r="B90" s="145" t="s">
        <v>1253</v>
      </c>
      <c r="C90" s="146">
        <f>SUM(C86-C87-C88-C89-C91-C92)</f>
        <v>0</v>
      </c>
      <c r="D90" s="147">
        <f>SUM(D86-D87-D88-D89-D91-D92)</f>
        <v>0</v>
      </c>
      <c r="E90" s="147">
        <f>SUM(E86-E87-E88-E89-E91-E92)</f>
        <v>0</v>
      </c>
      <c r="I90" s="141" t="s">
        <v>83</v>
      </c>
      <c r="J90" s="142" t="s">
        <v>1252</v>
      </c>
      <c r="K90" s="125"/>
      <c r="L90" s="143"/>
      <c r="M90" s="125"/>
    </row>
    <row r="91" spans="1:13" ht="14.1" customHeight="1" x14ac:dyDescent="0.25">
      <c r="A91" s="141" t="s">
        <v>491</v>
      </c>
      <c r="B91" s="142" t="s">
        <v>1254</v>
      </c>
      <c r="C91" s="125"/>
      <c r="D91" s="143"/>
      <c r="E91" s="125"/>
      <c r="I91" s="144" t="s">
        <v>83</v>
      </c>
      <c r="J91" s="145" t="s">
        <v>1253</v>
      </c>
      <c r="K91" s="146">
        <f>SUM(K86-K87-K88-K89-K90-K92-K93-K94)</f>
        <v>0</v>
      </c>
      <c r="L91" s="147">
        <f>SUM(L86-L87-L88-L89-L90-L92-L93-L94)</f>
        <v>0</v>
      </c>
      <c r="M91" s="147">
        <f>SUM(M86-M87-M88-M89-M90-M92-M93-M94)</f>
        <v>0</v>
      </c>
    </row>
    <row r="92" spans="1:13" ht="14.1" customHeight="1" x14ac:dyDescent="0.25">
      <c r="A92" s="134" t="s">
        <v>491</v>
      </c>
      <c r="B92" s="135" t="s">
        <v>1255</v>
      </c>
      <c r="C92" s="136"/>
      <c r="D92" s="137"/>
      <c r="E92" s="125"/>
      <c r="I92" s="141" t="s">
        <v>83</v>
      </c>
      <c r="J92" s="142" t="s">
        <v>1254</v>
      </c>
      <c r="K92" s="125"/>
      <c r="L92" s="143"/>
      <c r="M92" s="125"/>
    </row>
    <row r="93" spans="1:13" ht="14.1" customHeight="1" x14ac:dyDescent="0.25">
      <c r="I93" s="141" t="s">
        <v>83</v>
      </c>
      <c r="J93" s="142" t="s">
        <v>1255</v>
      </c>
      <c r="K93" s="125"/>
      <c r="L93" s="143"/>
      <c r="M93" s="125"/>
    </row>
    <row r="94" spans="1:13" ht="14.1" customHeight="1" x14ac:dyDescent="0.25">
      <c r="A94" s="118" t="s">
        <v>588</v>
      </c>
      <c r="B94" s="119" t="s">
        <v>1215</v>
      </c>
      <c r="C94" s="120">
        <f>'HL KNIHA VYPOC'!$G$178</f>
        <v>0</v>
      </c>
      <c r="D94" s="120">
        <f>'HL KNIHA VYPOC'!$K$178</f>
        <v>0</v>
      </c>
      <c r="E94" s="120">
        <f>'HL KNIHA VYPOC'!$H$178</f>
        <v>0</v>
      </c>
      <c r="I94" s="134" t="s">
        <v>83</v>
      </c>
      <c r="J94" s="135" t="s">
        <v>1257</v>
      </c>
      <c r="K94" s="136"/>
      <c r="L94" s="137"/>
      <c r="M94" s="125"/>
    </row>
    <row r="95" spans="1:13" ht="14.1" customHeight="1" x14ac:dyDescent="0.25">
      <c r="A95" s="126" t="s">
        <v>588</v>
      </c>
      <c r="B95" s="127">
        <v>128</v>
      </c>
      <c r="C95" s="128">
        <f>SUM(C94-C96)</f>
        <v>0</v>
      </c>
      <c r="D95" s="129">
        <f>SUM(D94-D96)</f>
        <v>0</v>
      </c>
      <c r="E95" s="129">
        <f>SUM(E94-E96)</f>
        <v>0</v>
      </c>
      <c r="I95" s="138"/>
      <c r="J95" s="139"/>
      <c r="K95" s="140"/>
      <c r="L95" s="140"/>
      <c r="M95" s="140"/>
    </row>
    <row r="96" spans="1:13" ht="14.1" customHeight="1" x14ac:dyDescent="0.25">
      <c r="A96" s="134" t="s">
        <v>588</v>
      </c>
      <c r="B96" s="135">
        <v>129</v>
      </c>
      <c r="C96" s="136"/>
      <c r="D96" s="137"/>
      <c r="E96" s="137"/>
      <c r="I96" s="118" t="s">
        <v>84</v>
      </c>
      <c r="J96" s="119" t="s">
        <v>1215</v>
      </c>
      <c r="K96" s="120">
        <f>SUM('HL KNIHA VYPOC'!G146)</f>
        <v>924.73</v>
      </c>
      <c r="L96" s="120">
        <f>SUM('HL KNIHA VYPOC'!K146)</f>
        <v>924.73</v>
      </c>
      <c r="M96" s="120">
        <f>SUM('HL KNIHA VYPOC'!H146)</f>
        <v>924.73</v>
      </c>
    </row>
    <row r="97" spans="1:16" ht="14.1" customHeight="1" x14ac:dyDescent="0.25">
      <c r="I97" s="121" t="s">
        <v>84</v>
      </c>
      <c r="J97" s="122" t="s">
        <v>1250</v>
      </c>
      <c r="K97" s="123"/>
      <c r="L97" s="124"/>
      <c r="M97" s="125"/>
    </row>
    <row r="98" spans="1:16" ht="14.1" customHeight="1" x14ac:dyDescent="0.25">
      <c r="I98" s="141" t="s">
        <v>84</v>
      </c>
      <c r="J98" s="142" t="s">
        <v>1251</v>
      </c>
      <c r="K98" s="125"/>
      <c r="L98" s="143"/>
      <c r="M98" s="125"/>
    </row>
    <row r="99" spans="1:16" ht="14.1" customHeight="1" x14ac:dyDescent="0.25">
      <c r="I99" s="141" t="s">
        <v>84</v>
      </c>
      <c r="J99" s="142" t="s">
        <v>1252</v>
      </c>
      <c r="K99" s="125"/>
      <c r="L99" s="143"/>
      <c r="M99" s="125"/>
    </row>
    <row r="100" spans="1:16" ht="14.1" customHeight="1" x14ac:dyDescent="0.25">
      <c r="I100" s="144" t="s">
        <v>84</v>
      </c>
      <c r="J100" s="145" t="s">
        <v>1253</v>
      </c>
      <c r="K100" s="146">
        <f>SUM(K96-K97-K98-K99-K101-K102)</f>
        <v>924.73</v>
      </c>
      <c r="L100" s="147">
        <f>SUM(L96-L97-L98-L99-L101-L102)</f>
        <v>924.73</v>
      </c>
      <c r="M100" s="147">
        <f>SUM(M96-M97-M98-M99-M101-M102)</f>
        <v>924.73</v>
      </c>
    </row>
    <row r="101" spans="1:16" ht="14.1" customHeight="1" x14ac:dyDescent="0.25">
      <c r="I101" s="141" t="s">
        <v>84</v>
      </c>
      <c r="J101" s="142" t="s">
        <v>1254</v>
      </c>
      <c r="K101" s="125"/>
      <c r="L101" s="143"/>
      <c r="M101" s="125"/>
    </row>
    <row r="102" spans="1:16" ht="14.1" customHeight="1" x14ac:dyDescent="0.25">
      <c r="I102" s="134" t="s">
        <v>84</v>
      </c>
      <c r="J102" s="135" t="s">
        <v>1255</v>
      </c>
      <c r="K102" s="136"/>
      <c r="L102" s="137"/>
      <c r="M102" s="125"/>
    </row>
    <row r="103" spans="1:16" ht="14.1" customHeight="1" x14ac:dyDescent="0.25"/>
    <row r="104" spans="1:16" ht="14.1" customHeight="1" x14ac:dyDescent="0.25">
      <c r="A104" s="693" t="s">
        <v>1259</v>
      </c>
      <c r="B104" s="693"/>
      <c r="C104" s="693"/>
      <c r="D104" s="693"/>
      <c r="E104" s="693"/>
      <c r="F104" s="693"/>
      <c r="G104" s="693"/>
      <c r="H104" s="693"/>
      <c r="I104" s="693"/>
      <c r="J104" s="693"/>
      <c r="K104" s="693"/>
      <c r="L104" s="693"/>
      <c r="M104" s="115"/>
    </row>
    <row r="105" spans="1:16" ht="14.1" customHeight="1" x14ac:dyDescent="0.25">
      <c r="A105" s="115"/>
      <c r="B105" s="115"/>
      <c r="C105" s="117">
        <v>2018</v>
      </c>
      <c r="D105" s="117">
        <v>2017</v>
      </c>
      <c r="E105" s="117">
        <v>2015</v>
      </c>
      <c r="F105" s="116"/>
      <c r="G105" s="115"/>
      <c r="H105" s="115"/>
      <c r="I105" s="115"/>
      <c r="J105" s="115"/>
      <c r="K105" s="117">
        <v>2018</v>
      </c>
      <c r="L105" s="117">
        <v>2017</v>
      </c>
      <c r="M105" s="117">
        <v>2015</v>
      </c>
    </row>
    <row r="106" spans="1:16" ht="14.1" customHeight="1" x14ac:dyDescent="0.25">
      <c r="A106" s="154" t="s">
        <v>79</v>
      </c>
      <c r="B106" s="155" t="s">
        <v>1215</v>
      </c>
      <c r="C106" s="120">
        <f>SUM('HL KNIHA VYPOC'!G114)</f>
        <v>-170467.49</v>
      </c>
      <c r="D106" s="120">
        <f>SUM('HL KNIHA VYPOC'!K114)</f>
        <v>-157045.35000000009</v>
      </c>
      <c r="E106" s="120">
        <f>SUM('HL KNIHA VYPOC'!H114)</f>
        <v>-119305.90999999999</v>
      </c>
      <c r="F106" s="140">
        <f>SUM(C106)</f>
        <v>-170467.49</v>
      </c>
      <c r="G106" s="140">
        <f>SUM(D106)</f>
        <v>-157045.35000000009</v>
      </c>
      <c r="H106" s="140">
        <f>SUM(E106)</f>
        <v>-119305.90999999999</v>
      </c>
      <c r="I106" s="154" t="s">
        <v>92</v>
      </c>
      <c r="J106" s="155" t="s">
        <v>1215</v>
      </c>
      <c r="K106" s="120">
        <f>SUM('HL KNIHA VYPOC'!G163)</f>
        <v>4768.2299999999996</v>
      </c>
      <c r="L106" s="120">
        <f>SUM('HL KNIHA VYPOC'!K163)</f>
        <v>1435.94</v>
      </c>
      <c r="M106" s="120">
        <f>SUM('HL KNIHA VYPOC'!H163)</f>
        <v>0</v>
      </c>
      <c r="N106" s="140">
        <f>SUM(K106)</f>
        <v>4768.2299999999996</v>
      </c>
      <c r="O106" s="140">
        <f>SUM(L106)</f>
        <v>1435.94</v>
      </c>
      <c r="P106" s="140">
        <f>SUM(M106)</f>
        <v>0</v>
      </c>
    </row>
    <row r="107" spans="1:16" ht="14.1" customHeight="1" x14ac:dyDescent="0.25">
      <c r="A107" s="156"/>
      <c r="B107" s="157"/>
      <c r="C107" s="158">
        <f>SUM(IF(C106&gt;=0,F106,0))</f>
        <v>0</v>
      </c>
      <c r="D107" s="159">
        <f>SUM(IF(D106&gt;=0,G106,0))</f>
        <v>0</v>
      </c>
      <c r="E107" s="159">
        <f>SUM(IF(E106&gt;=0,H106,0))</f>
        <v>0</v>
      </c>
      <c r="I107" s="156" t="s">
        <v>92</v>
      </c>
      <c r="J107" s="160" t="s">
        <v>1258</v>
      </c>
      <c r="K107" s="158">
        <f>SUM(IF(K106&gt;=0,N106,0))</f>
        <v>4768.2299999999996</v>
      </c>
      <c r="L107" s="159">
        <f>SUM(IF(L106&gt;=0,O106,0))</f>
        <v>1435.94</v>
      </c>
      <c r="M107" s="159">
        <f>SUM(IF(M106&gt;=0,P106,0))</f>
        <v>0</v>
      </c>
    </row>
    <row r="108" spans="1:16" ht="14.1" customHeight="1" x14ac:dyDescent="0.25">
      <c r="A108" s="161" t="s">
        <v>79</v>
      </c>
      <c r="B108" s="162" t="s">
        <v>1260</v>
      </c>
      <c r="C108" s="125"/>
      <c r="D108" s="143"/>
      <c r="E108" s="125"/>
      <c r="I108" s="163" t="s">
        <v>92</v>
      </c>
      <c r="J108" s="164">
        <v>133</v>
      </c>
      <c r="K108" s="165">
        <f>SUM(IF(K106&lt;=0,N106,0))</f>
        <v>0</v>
      </c>
      <c r="L108" s="166">
        <f>SUM(IF(L106&lt;=0,O106,0))</f>
        <v>0</v>
      </c>
      <c r="M108" s="166">
        <f>SUM(IF(M106&lt;=0,P106,0))</f>
        <v>0</v>
      </c>
    </row>
    <row r="109" spans="1:16" ht="14.1" customHeight="1" x14ac:dyDescent="0.25">
      <c r="A109" s="161" t="s">
        <v>79</v>
      </c>
      <c r="B109" s="162">
        <v>73</v>
      </c>
      <c r="C109" s="158">
        <f>SUM(IF(C106&gt;=0,F106,0))</f>
        <v>0</v>
      </c>
      <c r="D109" s="158">
        <f>SUM(IF(D106&gt;=0,G106,0))</f>
        <v>0</v>
      </c>
      <c r="E109" s="158">
        <f>SUM(IF(E106&gt;=0,H106,0))</f>
        <v>0</v>
      </c>
      <c r="I109" s="167"/>
      <c r="J109" s="168"/>
      <c r="K109" s="140"/>
      <c r="L109" s="140"/>
      <c r="M109" s="140"/>
    </row>
    <row r="110" spans="1:16" ht="14.1" customHeight="1" x14ac:dyDescent="0.25">
      <c r="A110" s="163">
        <v>221</v>
      </c>
      <c r="B110" s="164">
        <v>139</v>
      </c>
      <c r="C110" s="166">
        <f>SUM(F110)</f>
        <v>0</v>
      </c>
      <c r="D110" s="166">
        <f>SUM(G110)</f>
        <v>0</v>
      </c>
      <c r="E110" s="166">
        <f>SUM(IF(E106&lt;=0,H106,0))</f>
        <v>-119305.90999999999</v>
      </c>
      <c r="G110" s="140"/>
      <c r="I110" s="154" t="s">
        <v>93</v>
      </c>
      <c r="J110" s="155" t="s">
        <v>1215</v>
      </c>
      <c r="K110" s="120">
        <f>SUM('HL KNIHA VYPOC'!G164)</f>
        <v>-8968.73</v>
      </c>
      <c r="L110" s="120">
        <f>SUM('HL KNIHA VYPOC'!K164)</f>
        <v>-7285.0099999999993</v>
      </c>
      <c r="M110" s="120">
        <f>SUM('HL KNIHA VYPOC'!H164)</f>
        <v>-6862.62</v>
      </c>
      <c r="N110" s="140">
        <f>SUM(K110)</f>
        <v>-8968.73</v>
      </c>
      <c r="O110" s="140">
        <f>SUM(L110)</f>
        <v>-7285.0099999999993</v>
      </c>
      <c r="P110" s="140">
        <f>SUM(M110)</f>
        <v>-6862.62</v>
      </c>
    </row>
    <row r="111" spans="1:16" ht="14.1" customHeight="1" x14ac:dyDescent="0.25">
      <c r="A111" s="167"/>
      <c r="B111" s="168"/>
      <c r="I111" s="156" t="s">
        <v>93</v>
      </c>
      <c r="J111" s="160" t="s">
        <v>1258</v>
      </c>
      <c r="K111" s="158">
        <f>SUM(IF(K110&gt;=0,N110,0))</f>
        <v>0</v>
      </c>
      <c r="L111" s="159">
        <f>SUM(IF(L110&gt;=0,O110,0))</f>
        <v>0</v>
      </c>
      <c r="M111" s="159">
        <f>SUM(IF(M110&gt;=0,P110,0))</f>
        <v>0</v>
      </c>
    </row>
    <row r="112" spans="1:16" ht="14.1" customHeight="1" x14ac:dyDescent="0.25">
      <c r="A112" s="154" t="s">
        <v>505</v>
      </c>
      <c r="B112" s="155" t="s">
        <v>1215</v>
      </c>
      <c r="C112" s="120">
        <f>SUM('HL KNIHA VYPOC'!G147)</f>
        <v>0</v>
      </c>
      <c r="D112" s="120">
        <f>SUM('HL KNIHA VYPOC'!K147)</f>
        <v>0</v>
      </c>
      <c r="E112" s="120">
        <f>SUM('HL KNIHA VYPOC'!H147)</f>
        <v>0</v>
      </c>
      <c r="F112" s="140">
        <f>SUM(C112)</f>
        <v>0</v>
      </c>
      <c r="G112" s="140">
        <f>SUM(D112)</f>
        <v>0</v>
      </c>
      <c r="H112" s="140">
        <f>SUM(E112)</f>
        <v>0</v>
      </c>
      <c r="I112" s="163" t="s">
        <v>93</v>
      </c>
      <c r="J112" s="164">
        <v>133</v>
      </c>
      <c r="K112" s="165">
        <f>SUM(IF(K110&lt;=0,N110,0))</f>
        <v>-8968.73</v>
      </c>
      <c r="L112" s="166">
        <f>SUM(IF(L110&lt;=0,O110,0))</f>
        <v>-7285.0099999999993</v>
      </c>
      <c r="M112" s="166">
        <f>SUM(IF(M110&lt;=0,P110,0))</f>
        <v>-6862.62</v>
      </c>
    </row>
    <row r="113" spans="1:16" ht="14.1" customHeight="1" x14ac:dyDescent="0.25">
      <c r="A113" s="156"/>
      <c r="B113" s="160"/>
      <c r="C113" s="158">
        <f>SUM(IF(C112&gt;=0,F112,0))</f>
        <v>0</v>
      </c>
      <c r="D113" s="159">
        <f>SUM(IF(D112&gt;=0,G112,0))</f>
        <v>0</v>
      </c>
      <c r="E113" s="159">
        <f>SUM(IF(E112&gt;=0,H112,0))</f>
        <v>0</v>
      </c>
      <c r="F113" s="169"/>
      <c r="G113" s="140"/>
      <c r="I113" s="167"/>
      <c r="J113" s="168"/>
      <c r="K113" s="140"/>
      <c r="L113" s="140"/>
      <c r="M113" s="140"/>
    </row>
    <row r="114" spans="1:16" ht="14.1" customHeight="1" x14ac:dyDescent="0.25">
      <c r="A114" s="161" t="s">
        <v>505</v>
      </c>
      <c r="B114" s="162" t="s">
        <v>1261</v>
      </c>
      <c r="C114" s="125"/>
      <c r="D114" s="143"/>
      <c r="E114" s="125"/>
      <c r="I114" s="154" t="s">
        <v>94</v>
      </c>
      <c r="J114" s="155" t="s">
        <v>1215</v>
      </c>
      <c r="K114" s="120">
        <f>SUM('HL KNIHA VYPOC'!G165)</f>
        <v>-12680.480000000001</v>
      </c>
      <c r="L114" s="120">
        <f>SUM('HL KNIHA VYPOC'!K165)</f>
        <v>-12607.900000000001</v>
      </c>
      <c r="M114" s="120">
        <f>SUM('HL KNIHA VYPOC'!H165)</f>
        <v>-11809.3</v>
      </c>
      <c r="N114" s="140">
        <f>SUM(K114)</f>
        <v>-12680.480000000001</v>
      </c>
      <c r="O114" s="140">
        <f>SUM(L114)</f>
        <v>-12607.900000000001</v>
      </c>
      <c r="P114" s="140">
        <f>SUM(M114)</f>
        <v>-11809.3</v>
      </c>
    </row>
    <row r="115" spans="1:16" ht="14.1" customHeight="1" x14ac:dyDescent="0.25">
      <c r="A115" s="161" t="s">
        <v>505</v>
      </c>
      <c r="B115" s="162" t="s">
        <v>1262</v>
      </c>
      <c r="C115" s="170">
        <f>SUM(C113-C114)</f>
        <v>0</v>
      </c>
      <c r="D115" s="171">
        <f>SUM(D113-D114)</f>
        <v>0</v>
      </c>
      <c r="E115" s="171">
        <f>SUM(E113-E114)</f>
        <v>0</v>
      </c>
      <c r="I115" s="156" t="s">
        <v>94</v>
      </c>
      <c r="J115" s="160" t="s">
        <v>1258</v>
      </c>
      <c r="K115" s="158">
        <f>SUM(IF(K114&gt;=0,N114,0))</f>
        <v>0</v>
      </c>
      <c r="L115" s="159">
        <f>SUM(IF(L114&gt;=0,O114,0))</f>
        <v>0</v>
      </c>
      <c r="M115" s="159">
        <f>SUM(IF(M114&gt;=0,P114,0))</f>
        <v>0</v>
      </c>
    </row>
    <row r="116" spans="1:16" ht="14.1" customHeight="1" x14ac:dyDescent="0.25">
      <c r="A116" s="161"/>
      <c r="B116" s="162"/>
      <c r="C116" s="172">
        <f>SUM(IF(C112&lt;=0,F112,0))</f>
        <v>0</v>
      </c>
      <c r="D116" s="173">
        <f>SUM(IF(D112&lt;=0,G112,0))</f>
        <v>0</v>
      </c>
      <c r="E116" s="173">
        <f>SUM(IF(E112&lt;=0,H112,0))</f>
        <v>0</v>
      </c>
      <c r="I116" s="163" t="s">
        <v>94</v>
      </c>
      <c r="J116" s="164">
        <v>133</v>
      </c>
      <c r="K116" s="165">
        <f>SUM(IF(K114&lt;=0,N114,0))</f>
        <v>-12680.480000000001</v>
      </c>
      <c r="L116" s="166">
        <f>SUM(IF(L114&lt;=0,O114,0))</f>
        <v>-12607.900000000001</v>
      </c>
      <c r="M116" s="166">
        <f>SUM(IF(M114&lt;=0,P114,0))</f>
        <v>-11809.3</v>
      </c>
    </row>
    <row r="117" spans="1:16" ht="14.1" customHeight="1" x14ac:dyDescent="0.25">
      <c r="A117" s="161" t="s">
        <v>505</v>
      </c>
      <c r="B117" s="162" t="s">
        <v>1263</v>
      </c>
      <c r="C117" s="125"/>
      <c r="D117" s="143"/>
      <c r="E117" s="125"/>
      <c r="I117" s="167"/>
      <c r="J117" s="168"/>
      <c r="K117" s="140"/>
      <c r="L117" s="140"/>
      <c r="M117" s="140"/>
    </row>
    <row r="118" spans="1:16" ht="14.1" customHeight="1" x14ac:dyDescent="0.25">
      <c r="A118" s="163">
        <v>316</v>
      </c>
      <c r="B118" s="164">
        <v>127</v>
      </c>
      <c r="C118" s="174">
        <f>SUM(C116-C117)</f>
        <v>0</v>
      </c>
      <c r="D118" s="175">
        <f>SUM(D116-D117)</f>
        <v>0</v>
      </c>
      <c r="E118" s="175">
        <f>SUM(E116-E117)</f>
        <v>0</v>
      </c>
      <c r="I118" s="154" t="s">
        <v>95</v>
      </c>
      <c r="J118" s="155" t="s">
        <v>1215</v>
      </c>
      <c r="K118" s="120">
        <f>SUM('HL KNIHA VYPOC'!G166)</f>
        <v>0</v>
      </c>
      <c r="L118" s="120">
        <f>SUM('HL KNIHA VYPOC'!K166)</f>
        <v>0</v>
      </c>
      <c r="M118" s="120">
        <f>SUM('HL KNIHA VYPOC'!H166)</f>
        <v>-1540.52</v>
      </c>
      <c r="N118" s="140">
        <f>SUM(K118)</f>
        <v>0</v>
      </c>
      <c r="O118" s="140">
        <f>SUM(L118)</f>
        <v>0</v>
      </c>
      <c r="P118" s="140">
        <f>SUM(M118)</f>
        <v>-1540.52</v>
      </c>
    </row>
    <row r="119" spans="1:16" ht="14.1" customHeight="1" x14ac:dyDescent="0.25">
      <c r="A119" s="167"/>
      <c r="B119" s="168"/>
      <c r="I119" s="156" t="s">
        <v>95</v>
      </c>
      <c r="J119" s="160" t="s">
        <v>1258</v>
      </c>
      <c r="K119" s="158">
        <f>SUM(IF(K118&gt;=0,N118,0))</f>
        <v>0</v>
      </c>
      <c r="L119" s="159">
        <f>SUM(IF(L118&gt;=0,O118,0))</f>
        <v>0</v>
      </c>
      <c r="M119" s="159">
        <f>SUM(IF(M118&gt;=0,P118,0))</f>
        <v>0</v>
      </c>
    </row>
    <row r="120" spans="1:16" ht="14.1" customHeight="1" x14ac:dyDescent="0.25">
      <c r="A120" s="154" t="s">
        <v>91</v>
      </c>
      <c r="B120" s="155" t="s">
        <v>1215</v>
      </c>
      <c r="C120" s="120">
        <f>SUM('HL KNIHA VYPOC'!G160)</f>
        <v>-10612.990000000005</v>
      </c>
      <c r="D120" s="120">
        <f>SUM('HL KNIHA VYPOC'!K160)</f>
        <v>-9544</v>
      </c>
      <c r="E120" s="120">
        <f>SUM('HL KNIHA VYPOC'!H160)</f>
        <v>-8401.36</v>
      </c>
      <c r="F120" s="140">
        <f>SUM(C120)</f>
        <v>-10612.990000000005</v>
      </c>
      <c r="G120" s="140">
        <f>SUM(D120)</f>
        <v>-9544</v>
      </c>
      <c r="H120" s="140">
        <f>SUM(E120)</f>
        <v>-8401.36</v>
      </c>
      <c r="I120" s="163" t="s">
        <v>95</v>
      </c>
      <c r="J120" s="164">
        <v>133</v>
      </c>
      <c r="K120" s="165">
        <f>SUM(IF(K118&lt;=0,N118,0))</f>
        <v>0</v>
      </c>
      <c r="L120" s="166">
        <f>SUM(IF(L118&lt;=0,O118,0))</f>
        <v>0</v>
      </c>
      <c r="M120" s="166">
        <f>SUM(IF(M118&lt;=0,P118,0))</f>
        <v>-1540.52</v>
      </c>
    </row>
    <row r="121" spans="1:16" ht="14.1" customHeight="1" x14ac:dyDescent="0.25">
      <c r="A121" s="156"/>
      <c r="B121" s="160"/>
      <c r="C121" s="158">
        <f>SUM(IF(C120&gt;=0,F120,0))</f>
        <v>0</v>
      </c>
      <c r="D121" s="159">
        <f>SUM(IF(D120&gt;=0,G120,0))</f>
        <v>0</v>
      </c>
      <c r="E121" s="159">
        <f>SUM(IF(E120&gt;=0,H120,0))</f>
        <v>0</v>
      </c>
      <c r="F121" s="169"/>
      <c r="G121" s="140"/>
      <c r="I121" s="167"/>
      <c r="J121" s="168"/>
      <c r="K121" s="140"/>
      <c r="L121" s="140"/>
      <c r="M121" s="140"/>
    </row>
    <row r="122" spans="1:16" ht="14.1" customHeight="1" x14ac:dyDescent="0.25">
      <c r="A122" s="161" t="s">
        <v>91</v>
      </c>
      <c r="B122" s="162" t="s">
        <v>1216</v>
      </c>
      <c r="C122" s="125"/>
      <c r="D122" s="143"/>
      <c r="E122" s="125"/>
      <c r="I122" s="154" t="s">
        <v>96</v>
      </c>
      <c r="J122" s="155" t="s">
        <v>1215</v>
      </c>
      <c r="K122" s="120">
        <f>SUM('HL KNIHA VYPOC'!G167)</f>
        <v>0</v>
      </c>
      <c r="L122" s="120">
        <f>SUM('HL KNIHA VYPOC'!K167)</f>
        <v>0</v>
      </c>
      <c r="M122" s="120">
        <f>SUM('HL KNIHA VYPOC'!H167)</f>
        <v>0</v>
      </c>
      <c r="N122" s="140">
        <f>SUM(K122)</f>
        <v>0</v>
      </c>
      <c r="O122" s="140">
        <f>SUM(L122)</f>
        <v>0</v>
      </c>
      <c r="P122" s="140">
        <f>SUM(M122)</f>
        <v>0</v>
      </c>
    </row>
    <row r="123" spans="1:16" ht="14.1" customHeight="1" x14ac:dyDescent="0.25">
      <c r="A123" s="161" t="s">
        <v>91</v>
      </c>
      <c r="B123" s="162" t="s">
        <v>1256</v>
      </c>
      <c r="C123" s="170">
        <f>SUM(C121-C122)</f>
        <v>0</v>
      </c>
      <c r="D123" s="171">
        <f>SUM(D121-D122)</f>
        <v>0</v>
      </c>
      <c r="E123" s="171">
        <f>SUM(E121-E122)</f>
        <v>0</v>
      </c>
      <c r="I123" s="156" t="s">
        <v>96</v>
      </c>
      <c r="J123" s="160" t="s">
        <v>1258</v>
      </c>
      <c r="K123" s="158">
        <f>SUM(IF(K122&gt;=0,N122,0))</f>
        <v>0</v>
      </c>
      <c r="L123" s="159">
        <f>SUM(IF(L122&gt;=0,O122,0))</f>
        <v>0</v>
      </c>
      <c r="M123" s="159">
        <f>SUM(IF(M122&gt;=0,P122,0))</f>
        <v>0</v>
      </c>
    </row>
    <row r="124" spans="1:16" ht="14.1" customHeight="1" x14ac:dyDescent="0.25">
      <c r="A124" s="161"/>
      <c r="B124" s="162"/>
      <c r="C124" s="172">
        <f>SUM(IF(C120&lt;=0,F120,0))</f>
        <v>-10612.990000000005</v>
      </c>
      <c r="D124" s="173">
        <f>SUM(IF(D120&lt;=0,G120,0))</f>
        <v>-9544</v>
      </c>
      <c r="E124" s="173">
        <f>SUM(IF(E120&lt;=0,H120,0))</f>
        <v>-8401.36</v>
      </c>
      <c r="I124" s="163" t="s">
        <v>96</v>
      </c>
      <c r="J124" s="164">
        <v>133</v>
      </c>
      <c r="K124" s="165">
        <f>SUM(IF(K122&lt;=0,N122,0))</f>
        <v>0</v>
      </c>
      <c r="L124" s="166">
        <f>SUM(IF(L122&lt;=0,O122,0))</f>
        <v>0</v>
      </c>
      <c r="M124" s="166">
        <f>SUM(IF(M122&lt;=0,P122,0))</f>
        <v>0</v>
      </c>
    </row>
    <row r="125" spans="1:16" ht="14.1" customHeight="1" x14ac:dyDescent="0.25">
      <c r="A125" s="161" t="s">
        <v>91</v>
      </c>
      <c r="B125" s="162" t="s">
        <v>1264</v>
      </c>
      <c r="C125" s="125"/>
      <c r="D125" s="143"/>
      <c r="E125" s="125"/>
      <c r="I125" s="167"/>
      <c r="J125" s="168"/>
      <c r="K125" s="140"/>
      <c r="L125" s="140"/>
      <c r="M125" s="140"/>
    </row>
    <row r="126" spans="1:16" ht="14.1" customHeight="1" x14ac:dyDescent="0.25">
      <c r="A126" s="163">
        <v>336</v>
      </c>
      <c r="B126" s="164">
        <v>132</v>
      </c>
      <c r="C126" s="174">
        <f>SUM(C124-C125)</f>
        <v>-10612.990000000005</v>
      </c>
      <c r="D126" s="175">
        <f>SUM(D124-D125)</f>
        <v>-9544</v>
      </c>
      <c r="E126" s="175">
        <f>SUM(E124-E125)</f>
        <v>-8401.36</v>
      </c>
      <c r="I126" s="154" t="s">
        <v>561</v>
      </c>
      <c r="J126" s="155" t="s">
        <v>1215</v>
      </c>
      <c r="K126" s="120">
        <f>SUM('HL KNIHA VYPOC'!G168)</f>
        <v>0</v>
      </c>
      <c r="L126" s="120">
        <f>SUM('HL KNIHA VYPOC'!K168)</f>
        <v>0</v>
      </c>
      <c r="M126" s="120">
        <f>SUM('HL KNIHA VYPOC'!H168)</f>
        <v>0</v>
      </c>
      <c r="N126" s="140">
        <f>SUM(K126)</f>
        <v>0</v>
      </c>
      <c r="O126" s="140">
        <f>SUM(L126)</f>
        <v>0</v>
      </c>
      <c r="P126" s="140">
        <f>SUM(M126)</f>
        <v>0</v>
      </c>
    </row>
    <row r="127" spans="1:16" ht="14.1" customHeight="1" x14ac:dyDescent="0.25">
      <c r="A127" s="167"/>
      <c r="B127" s="168"/>
      <c r="I127" s="156" t="s">
        <v>561</v>
      </c>
      <c r="J127" s="160" t="s">
        <v>1258</v>
      </c>
      <c r="K127" s="158">
        <f>SUM(IF(K126&gt;=0,N126,0))</f>
        <v>0</v>
      </c>
      <c r="L127" s="159">
        <f>SUM(IF(L126&gt;=0,O126,0))</f>
        <v>0</v>
      </c>
      <c r="M127" s="159">
        <f>SUM(IF(M126&gt;=0,P126,0))</f>
        <v>0</v>
      </c>
    </row>
    <row r="128" spans="1:16" ht="14.1" customHeight="1" x14ac:dyDescent="0.25">
      <c r="I128" s="163" t="s">
        <v>561</v>
      </c>
      <c r="J128" s="164">
        <v>133</v>
      </c>
      <c r="K128" s="165">
        <f>SUM(IF(K126&lt;=0,N126,0))</f>
        <v>0</v>
      </c>
      <c r="L128" s="166">
        <f>SUM(IF(L126&lt;=0,O126,0))</f>
        <v>0</v>
      </c>
      <c r="M128" s="166">
        <f>SUM(IF(M126&lt;=0,P126,0))</f>
        <v>0</v>
      </c>
    </row>
    <row r="129" spans="1:16" ht="14.1" customHeight="1" x14ac:dyDescent="0.25">
      <c r="I129" s="167"/>
      <c r="J129" s="168"/>
      <c r="K129" s="140"/>
      <c r="L129" s="140"/>
      <c r="M129" s="140"/>
    </row>
    <row r="130" spans="1:16" ht="14.1" customHeight="1" x14ac:dyDescent="0.25">
      <c r="I130" s="154" t="s">
        <v>622</v>
      </c>
      <c r="J130" s="155" t="s">
        <v>1215</v>
      </c>
      <c r="K130" s="120">
        <f>SUM('HL KNIHA VYPOC'!G188)</f>
        <v>0</v>
      </c>
      <c r="L130" s="120">
        <f>SUM('HL KNIHA VYPOC'!K188)</f>
        <v>0</v>
      </c>
      <c r="M130" s="120">
        <f>SUM('HL KNIHA VYPOC'!H188)</f>
        <v>0</v>
      </c>
      <c r="N130" s="140">
        <f>SUM(K130)</f>
        <v>0</v>
      </c>
      <c r="O130" s="140">
        <f>SUM(L130)</f>
        <v>0</v>
      </c>
      <c r="P130" s="140">
        <f>SUM(M130)</f>
        <v>0</v>
      </c>
    </row>
    <row r="131" spans="1:16" ht="14.1" customHeight="1" x14ac:dyDescent="0.25">
      <c r="I131" s="156"/>
      <c r="J131" s="160"/>
      <c r="K131" s="158">
        <f>SUM(IF(K130&gt;=0,N130,0))</f>
        <v>0</v>
      </c>
      <c r="L131" s="159">
        <f>SUM(IF(L130&gt;=0,O130,0))</f>
        <v>0</v>
      </c>
      <c r="M131" s="159">
        <f>SUM(IF(M130&gt;=0,P130,0))</f>
        <v>0</v>
      </c>
      <c r="N131" s="169"/>
      <c r="O131" s="140"/>
    </row>
    <row r="132" spans="1:16" ht="14.1" customHeight="1" x14ac:dyDescent="0.25">
      <c r="I132" s="161" t="s">
        <v>622</v>
      </c>
      <c r="J132" s="162" t="s">
        <v>1243</v>
      </c>
      <c r="K132" s="125"/>
      <c r="L132" s="143"/>
      <c r="M132" s="125"/>
    </row>
    <row r="133" spans="1:16" ht="14.1" customHeight="1" x14ac:dyDescent="0.25">
      <c r="I133" s="161" t="s">
        <v>622</v>
      </c>
      <c r="J133" s="162" t="s">
        <v>1244</v>
      </c>
      <c r="K133" s="125">
        <f>SUM(K131)</f>
        <v>0</v>
      </c>
      <c r="L133" s="143"/>
      <c r="M133" s="125"/>
    </row>
    <row r="134" spans="1:16" ht="14.1" customHeight="1" x14ac:dyDescent="0.25">
      <c r="I134" s="161" t="s">
        <v>622</v>
      </c>
      <c r="J134" s="162" t="s">
        <v>1218</v>
      </c>
      <c r="K134" s="125"/>
      <c r="L134" s="143"/>
      <c r="M134" s="125"/>
    </row>
    <row r="135" spans="1:16" ht="14.1" customHeight="1" x14ac:dyDescent="0.25">
      <c r="I135" s="161"/>
      <c r="J135" s="162"/>
      <c r="K135" s="172">
        <f>SUM(IF(K130&lt;=0,N130,0))</f>
        <v>0</v>
      </c>
      <c r="L135" s="173">
        <f>SUM(IF(L130&lt;=0,O130,0))</f>
        <v>0</v>
      </c>
      <c r="M135" s="173">
        <f>SUM(IF(M130&lt;=0,P130,0))</f>
        <v>0</v>
      </c>
    </row>
    <row r="136" spans="1:16" ht="14.1" customHeight="1" x14ac:dyDescent="0.25">
      <c r="I136" s="161" t="s">
        <v>622</v>
      </c>
      <c r="J136" s="162" t="s">
        <v>1265</v>
      </c>
      <c r="K136" s="125">
        <f>SUM(K135)</f>
        <v>0</v>
      </c>
      <c r="L136" s="143"/>
      <c r="M136" s="125"/>
    </row>
    <row r="137" spans="1:16" ht="14.1" customHeight="1" x14ac:dyDescent="0.25">
      <c r="I137" s="163">
        <v>373</v>
      </c>
      <c r="J137" s="164">
        <v>134</v>
      </c>
      <c r="K137" s="136"/>
      <c r="L137" s="137"/>
      <c r="M137" s="125"/>
    </row>
    <row r="138" spans="1:16" ht="14.1" customHeight="1" x14ac:dyDescent="0.25">
      <c r="I138" s="89"/>
      <c r="J138" s="176"/>
      <c r="K138" s="140"/>
      <c r="L138" s="140"/>
      <c r="M138" s="140"/>
    </row>
    <row r="139" spans="1:16" ht="14.1" customHeight="1" x14ac:dyDescent="0.25">
      <c r="I139" s="154" t="s">
        <v>808</v>
      </c>
      <c r="J139" s="155" t="s">
        <v>1215</v>
      </c>
      <c r="K139" s="120">
        <f>SUM('HL KNIHA VYPOC'!G257)</f>
        <v>0</v>
      </c>
      <c r="L139" s="120">
        <f>SUM('HL KNIHA VYPOC'!K257)</f>
        <v>0</v>
      </c>
      <c r="M139" s="120">
        <f>SUM('HL KNIHA VYPOC'!H257)</f>
        <v>0</v>
      </c>
      <c r="N139" s="140">
        <f>SUM(K139)</f>
        <v>0</v>
      </c>
      <c r="O139" s="140">
        <f>SUM(L139)</f>
        <v>0</v>
      </c>
      <c r="P139" s="140">
        <f>SUM(M139)</f>
        <v>0</v>
      </c>
    </row>
    <row r="140" spans="1:16" ht="14.1" customHeight="1" x14ac:dyDescent="0.25">
      <c r="I140" s="156" t="s">
        <v>808</v>
      </c>
      <c r="J140" s="160" t="s">
        <v>1266</v>
      </c>
      <c r="K140" s="158">
        <f>SUM(IF(K139&gt;=0,N139,0))</f>
        <v>0</v>
      </c>
      <c r="L140" s="159">
        <f>SUM(IF(L139&gt;=0,O139,0))</f>
        <v>0</v>
      </c>
      <c r="M140" s="159">
        <f>SUM(IF(M139&gt;=0,P139,0))</f>
        <v>0</v>
      </c>
    </row>
    <row r="141" spans="1:16" ht="14.1" customHeight="1" x14ac:dyDescent="0.25">
      <c r="I141" s="163" t="s">
        <v>808</v>
      </c>
      <c r="J141" s="164" t="s">
        <v>1267</v>
      </c>
      <c r="K141" s="165">
        <f>SUM(IF(K139&lt;=0,N139,0))</f>
        <v>0</v>
      </c>
      <c r="L141" s="166">
        <f>SUM(IF(L139&lt;=0,O139,0))</f>
        <v>0</v>
      </c>
      <c r="M141" s="166">
        <f>SUM(IF(M139&lt;=0,P139,0))</f>
        <v>0</v>
      </c>
    </row>
    <row r="142" spans="1:16" ht="14.1" customHeight="1" x14ac:dyDescent="0.25"/>
    <row r="143" spans="1:16" ht="14.1" customHeight="1" x14ac:dyDescent="0.25">
      <c r="A143" s="693" t="s">
        <v>1268</v>
      </c>
      <c r="B143" s="693"/>
      <c r="C143" s="693"/>
      <c r="D143" s="693"/>
      <c r="E143" s="693"/>
      <c r="F143" s="693"/>
      <c r="G143" s="693"/>
      <c r="H143" s="693"/>
      <c r="I143" s="693"/>
      <c r="J143" s="693"/>
      <c r="K143" s="693"/>
      <c r="L143" s="693"/>
      <c r="M143" s="115"/>
    </row>
    <row r="144" spans="1:16" ht="14.1" customHeight="1" x14ac:dyDescent="0.25">
      <c r="A144" s="115"/>
      <c r="B144" s="115"/>
      <c r="C144" s="117">
        <v>2018</v>
      </c>
      <c r="D144" s="117">
        <v>2017</v>
      </c>
      <c r="E144" s="117">
        <v>2015</v>
      </c>
      <c r="F144" s="116"/>
      <c r="G144" s="115"/>
      <c r="H144" s="115"/>
      <c r="I144" s="115"/>
      <c r="J144" s="115"/>
      <c r="K144" s="117">
        <v>2018</v>
      </c>
      <c r="L144" s="117">
        <v>2017</v>
      </c>
      <c r="M144" s="117">
        <v>2015</v>
      </c>
    </row>
    <row r="145" spans="1:13" ht="14.1" customHeight="1" x14ac:dyDescent="0.25">
      <c r="A145" s="177" t="s">
        <v>459</v>
      </c>
      <c r="B145" s="178" t="s">
        <v>1215</v>
      </c>
      <c r="C145" s="120">
        <f>SUM('HL KNIHA VYPOC'!G128)</f>
        <v>0</v>
      </c>
      <c r="D145" s="120">
        <f>SUM('HL KNIHA VYPOC'!K128)</f>
        <v>0</v>
      </c>
      <c r="E145" s="120">
        <f>SUM('HL KNIHA VYPOC'!H128)</f>
        <v>0</v>
      </c>
      <c r="I145" s="177" t="s">
        <v>713</v>
      </c>
      <c r="J145" s="178" t="s">
        <v>1215</v>
      </c>
      <c r="K145" s="120">
        <f>SUM('HL KNIHA VYPOC'!G221)</f>
        <v>0</v>
      </c>
      <c r="L145" s="120">
        <f>SUM('HL KNIHA VYPOC'!K221)</f>
        <v>0</v>
      </c>
      <c r="M145" s="120">
        <f>SUM('HL KNIHA VYPOC'!H221)</f>
        <v>0</v>
      </c>
    </row>
    <row r="146" spans="1:13" ht="14.1" customHeight="1" x14ac:dyDescent="0.25">
      <c r="A146" s="179" t="s">
        <v>459</v>
      </c>
      <c r="B146" s="180">
        <v>113</v>
      </c>
      <c r="C146" s="123"/>
      <c r="D146" s="124"/>
      <c r="E146" s="125"/>
      <c r="I146" s="179" t="s">
        <v>713</v>
      </c>
      <c r="J146" s="180">
        <v>88</v>
      </c>
      <c r="K146" s="128">
        <f>SUM(K145-K147)</f>
        <v>0</v>
      </c>
      <c r="L146" s="129">
        <f>SUM(L145-L147)</f>
        <v>0</v>
      </c>
      <c r="M146" s="129">
        <f>SUM(M145-M147)</f>
        <v>0</v>
      </c>
    </row>
    <row r="147" spans="1:13" ht="14.1" customHeight="1" x14ac:dyDescent="0.25">
      <c r="A147" s="181">
        <v>255</v>
      </c>
      <c r="B147" s="182">
        <v>140</v>
      </c>
      <c r="C147" s="132">
        <f>SUM(C145-C146)</f>
        <v>0</v>
      </c>
      <c r="D147" s="133">
        <f>SUM(D145-D146)</f>
        <v>0</v>
      </c>
      <c r="E147" s="133">
        <f>SUM(E145-E146)</f>
        <v>0</v>
      </c>
      <c r="I147" s="181" t="s">
        <v>713</v>
      </c>
      <c r="J147" s="182">
        <v>89</v>
      </c>
      <c r="K147" s="136"/>
      <c r="L147" s="137"/>
      <c r="M147" s="125"/>
    </row>
    <row r="148" spans="1:13" ht="14.1" customHeight="1" x14ac:dyDescent="0.25">
      <c r="A148" s="183"/>
      <c r="B148" s="184"/>
      <c r="I148" s="183"/>
      <c r="J148" s="184"/>
      <c r="K148" s="140"/>
      <c r="L148" s="140"/>
      <c r="M148" s="140"/>
    </row>
    <row r="149" spans="1:13" ht="14.1" customHeight="1" x14ac:dyDescent="0.25">
      <c r="A149" s="177" t="s">
        <v>85</v>
      </c>
      <c r="B149" s="178" t="s">
        <v>1215</v>
      </c>
      <c r="C149" s="120">
        <f>SUM('HL KNIHA VYPOC'!G149)</f>
        <v>-42847.749999999985</v>
      </c>
      <c r="D149" s="120">
        <f>SUM('HL KNIHA VYPOC'!K149)</f>
        <v>-30834.320000000007</v>
      </c>
      <c r="E149" s="120">
        <f>SUM('HL KNIHA VYPOC'!H149)</f>
        <v>-32936</v>
      </c>
      <c r="I149" s="177" t="s">
        <v>105</v>
      </c>
      <c r="J149" s="178" t="s">
        <v>1215</v>
      </c>
      <c r="K149" s="120">
        <f>SUM('HL KNIHA VYPOC'!G226)</f>
        <v>-15612.46</v>
      </c>
      <c r="L149" s="120">
        <f>SUM('HL KNIHA VYPOC'!K226)</f>
        <v>-15612.46</v>
      </c>
      <c r="M149" s="120">
        <f>SUM('HL KNIHA VYPOC'!H226)</f>
        <v>-15612.46</v>
      </c>
    </row>
    <row r="150" spans="1:13" ht="14.1" customHeight="1" x14ac:dyDescent="0.25">
      <c r="A150" s="179" t="s">
        <v>85</v>
      </c>
      <c r="B150" s="180">
        <v>104</v>
      </c>
      <c r="C150" s="123"/>
      <c r="D150" s="124"/>
      <c r="E150" s="125"/>
      <c r="I150" s="179" t="s">
        <v>105</v>
      </c>
      <c r="J150" s="180">
        <v>88</v>
      </c>
      <c r="K150" s="128">
        <f>SUM(K149-K151)</f>
        <v>-15612.46</v>
      </c>
      <c r="L150" s="129">
        <f>SUM(L149-L151)</f>
        <v>-15612.46</v>
      </c>
      <c r="M150" s="129">
        <f>SUM(M149-M151)</f>
        <v>-15612.46</v>
      </c>
    </row>
    <row r="151" spans="1:13" ht="14.1" customHeight="1" x14ac:dyDescent="0.25">
      <c r="A151" s="185" t="s">
        <v>85</v>
      </c>
      <c r="B151" s="186">
        <v>105</v>
      </c>
      <c r="C151" s="125"/>
      <c r="D151" s="143"/>
      <c r="E151" s="125"/>
      <c r="I151" s="181" t="s">
        <v>105</v>
      </c>
      <c r="J151" s="182">
        <v>89</v>
      </c>
      <c r="K151" s="136"/>
      <c r="L151" s="137"/>
      <c r="M151" s="125"/>
    </row>
    <row r="152" spans="1:13" ht="14.1" customHeight="1" x14ac:dyDescent="0.25">
      <c r="A152" s="185" t="s">
        <v>85</v>
      </c>
      <c r="B152" s="186">
        <v>106</v>
      </c>
      <c r="C152" s="125"/>
      <c r="D152" s="143"/>
      <c r="E152" s="125"/>
      <c r="I152" s="183"/>
      <c r="J152" s="184"/>
      <c r="K152" s="140"/>
      <c r="L152" s="140"/>
      <c r="M152" s="140"/>
    </row>
    <row r="153" spans="1:13" ht="14.1" customHeight="1" x14ac:dyDescent="0.25">
      <c r="A153" s="185">
        <v>321</v>
      </c>
      <c r="B153" s="186">
        <v>124</v>
      </c>
      <c r="C153" s="146">
        <f>SUM(C149-C150-C151-C152-C154-C155)</f>
        <v>-42847.749999999985</v>
      </c>
      <c r="D153" s="147">
        <f>SUM(D149-D150-D151-D152-D154-D155)</f>
        <v>-30834.320000000007</v>
      </c>
      <c r="E153" s="147">
        <f>SUM(E149-E150-E151-E152-E154-E155)</f>
        <v>-32936</v>
      </c>
      <c r="I153" s="177" t="s">
        <v>757</v>
      </c>
      <c r="J153" s="178" t="s">
        <v>1215</v>
      </c>
      <c r="K153" s="120">
        <f>SUM('HL KNIHA VYPOC'!G239)</f>
        <v>0</v>
      </c>
      <c r="L153" s="120">
        <f>SUM('HL KNIHA VYPOC'!K239)</f>
        <v>0</v>
      </c>
      <c r="M153" s="120">
        <f>SUM('HL KNIHA VYPOC'!H239)</f>
        <v>0</v>
      </c>
    </row>
    <row r="154" spans="1:13" ht="14.1" customHeight="1" x14ac:dyDescent="0.25">
      <c r="A154" s="185">
        <v>321</v>
      </c>
      <c r="B154" s="186">
        <v>125</v>
      </c>
      <c r="C154" s="125"/>
      <c r="D154" s="143"/>
      <c r="E154" s="125"/>
      <c r="I154" s="179" t="s">
        <v>757</v>
      </c>
      <c r="J154" s="180">
        <v>119</v>
      </c>
      <c r="K154" s="123"/>
      <c r="L154" s="124"/>
      <c r="M154" s="125"/>
    </row>
    <row r="155" spans="1:13" ht="14.1" customHeight="1" x14ac:dyDescent="0.25">
      <c r="A155" s="181">
        <v>321</v>
      </c>
      <c r="B155" s="182">
        <v>126</v>
      </c>
      <c r="C155" s="136"/>
      <c r="D155" s="137"/>
      <c r="E155" s="125"/>
      <c r="I155" s="181">
        <v>451</v>
      </c>
      <c r="J155" s="182">
        <v>137</v>
      </c>
      <c r="K155" s="132">
        <f>SUM(K153-K154)</f>
        <v>0</v>
      </c>
      <c r="L155" s="133">
        <f>SUM(L153-L154)</f>
        <v>0</v>
      </c>
      <c r="M155" s="133">
        <f>SUM(M153-M154)</f>
        <v>0</v>
      </c>
    </row>
    <row r="156" spans="1:13" ht="14.1" customHeight="1" x14ac:dyDescent="0.25">
      <c r="A156" s="183"/>
      <c r="B156" s="184"/>
      <c r="I156" s="183"/>
      <c r="J156" s="184"/>
      <c r="K156" s="140"/>
      <c r="L156" s="140"/>
      <c r="M156" s="140"/>
    </row>
    <row r="157" spans="1:13" ht="14.1" customHeight="1" x14ac:dyDescent="0.25">
      <c r="A157" s="177" t="s">
        <v>514</v>
      </c>
      <c r="B157" s="178" t="s">
        <v>1215</v>
      </c>
      <c r="C157" s="187">
        <f>SUM('HL KNIHA VYPOC'!G150)</f>
        <v>0</v>
      </c>
      <c r="D157" s="187">
        <f>SUM('HL KNIHA VYPOC'!K150)</f>
        <v>0</v>
      </c>
      <c r="E157" s="187">
        <f>SUM('HL KNIHA VYPOC'!H150)</f>
        <v>0</v>
      </c>
      <c r="I157" s="177" t="s">
        <v>761</v>
      </c>
      <c r="J157" s="178" t="s">
        <v>1215</v>
      </c>
      <c r="K157" s="120">
        <f>SUM('HL KNIHA VYPOC'!G241)</f>
        <v>0</v>
      </c>
      <c r="L157" s="120">
        <f>SUM('HL KNIHA VYPOC'!K241)</f>
        <v>0</v>
      </c>
      <c r="M157" s="120">
        <f>SUM('HL KNIHA VYPOC'!H241)</f>
        <v>0</v>
      </c>
    </row>
    <row r="158" spans="1:13" ht="14.1" customHeight="1" x14ac:dyDescent="0.25">
      <c r="A158" s="179" t="s">
        <v>514</v>
      </c>
      <c r="B158" s="180">
        <v>124</v>
      </c>
      <c r="C158" s="128">
        <f>SUM(C157-C159-C160)</f>
        <v>0</v>
      </c>
      <c r="D158" s="128">
        <f>SUM(D157-D159-D160)</f>
        <v>0</v>
      </c>
      <c r="E158" s="128">
        <f>SUM(E157-E159-E160)</f>
        <v>0</v>
      </c>
      <c r="I158" s="179" t="s">
        <v>761</v>
      </c>
      <c r="J158" s="180">
        <v>120</v>
      </c>
      <c r="K158" s="123"/>
      <c r="L158" s="124"/>
      <c r="M158" s="125"/>
    </row>
    <row r="159" spans="1:13" ht="14.1" customHeight="1" x14ac:dyDescent="0.25">
      <c r="A159" s="185" t="s">
        <v>514</v>
      </c>
      <c r="B159" s="186">
        <v>125</v>
      </c>
      <c r="C159" s="125"/>
      <c r="D159" s="143"/>
      <c r="E159" s="125"/>
      <c r="I159" s="181">
        <v>459</v>
      </c>
      <c r="J159" s="182">
        <v>138</v>
      </c>
      <c r="K159" s="132">
        <f>SUM(K157-K158)</f>
        <v>0</v>
      </c>
      <c r="L159" s="133">
        <f>SUM(L157-L158)</f>
        <v>0</v>
      </c>
      <c r="M159" s="133">
        <f>SUM(M157-M158)</f>
        <v>0</v>
      </c>
    </row>
    <row r="160" spans="1:13" ht="14.1" customHeight="1" x14ac:dyDescent="0.25">
      <c r="A160" s="181" t="s">
        <v>514</v>
      </c>
      <c r="B160" s="182">
        <v>126</v>
      </c>
      <c r="C160" s="136"/>
      <c r="D160" s="137"/>
      <c r="E160" s="125"/>
      <c r="I160" s="183"/>
      <c r="J160" s="184"/>
      <c r="K160" s="140"/>
      <c r="L160" s="140"/>
      <c r="M160" s="140"/>
    </row>
    <row r="161" spans="1:13" ht="14.1" customHeight="1" x14ac:dyDescent="0.25">
      <c r="A161" s="183"/>
      <c r="B161" s="184"/>
      <c r="I161" s="177" t="s">
        <v>767</v>
      </c>
      <c r="J161" s="178" t="s">
        <v>1215</v>
      </c>
      <c r="K161" s="120">
        <f>SUM('HL KNIHA VYPOC'!G244)</f>
        <v>0</v>
      </c>
      <c r="L161" s="120">
        <f>SUM('HL KNIHA VYPOC'!K244)</f>
        <v>0</v>
      </c>
      <c r="M161" s="120">
        <f>SUM('HL KNIHA VYPOC'!H244)</f>
        <v>0</v>
      </c>
    </row>
    <row r="162" spans="1:13" ht="14.1" customHeight="1" x14ac:dyDescent="0.25">
      <c r="A162" s="177" t="s">
        <v>86</v>
      </c>
      <c r="B162" s="178" t="s">
        <v>1215</v>
      </c>
      <c r="C162" s="187">
        <f>SUM('HL KNIHA VYPOC'!G151)</f>
        <v>-14434.230000000003</v>
      </c>
      <c r="D162" s="187">
        <f>SUM('HL KNIHA VYPOC'!K151)</f>
        <v>-19677.560000000001</v>
      </c>
      <c r="E162" s="187">
        <f>SUM('HL KNIHA VYPOC'!H151)</f>
        <v>-11672.53</v>
      </c>
      <c r="I162" s="179" t="s">
        <v>767</v>
      </c>
      <c r="J162" s="180">
        <v>121</v>
      </c>
      <c r="K162" s="123"/>
      <c r="L162" s="124"/>
      <c r="M162" s="125"/>
    </row>
    <row r="163" spans="1:13" ht="14.1" customHeight="1" x14ac:dyDescent="0.25">
      <c r="A163" s="179">
        <v>323</v>
      </c>
      <c r="B163" s="180">
        <v>137</v>
      </c>
      <c r="C163" s="128">
        <f>SUM(C162-C164)</f>
        <v>-14434.230000000003</v>
      </c>
      <c r="D163" s="129">
        <f>SUM(D162-D164)</f>
        <v>-19677.560000000001</v>
      </c>
      <c r="E163" s="129">
        <f>SUM(E162-E164)</f>
        <v>-11672.53</v>
      </c>
      <c r="I163" s="181">
        <v>461</v>
      </c>
      <c r="J163" s="182">
        <v>139</v>
      </c>
      <c r="K163" s="132">
        <f>SUM(K161-K162)</f>
        <v>0</v>
      </c>
      <c r="L163" s="133">
        <f>SUM(L161-L162)</f>
        <v>0</v>
      </c>
      <c r="M163" s="133">
        <f>SUM(M161-M162)</f>
        <v>0</v>
      </c>
    </row>
    <row r="164" spans="1:13" ht="14.1" customHeight="1" x14ac:dyDescent="0.25">
      <c r="A164" s="185">
        <v>323</v>
      </c>
      <c r="B164" s="186">
        <v>138</v>
      </c>
      <c r="C164" s="125"/>
      <c r="D164" s="143"/>
      <c r="E164" s="125"/>
      <c r="I164" s="183"/>
      <c r="J164" s="184"/>
      <c r="K164" s="140"/>
      <c r="L164" s="140"/>
      <c r="M164" s="140"/>
    </row>
    <row r="165" spans="1:13" ht="14.1" customHeight="1" x14ac:dyDescent="0.25">
      <c r="A165" s="183"/>
      <c r="B165" s="184"/>
      <c r="I165" s="177" t="s">
        <v>773</v>
      </c>
      <c r="J165" s="178" t="s">
        <v>1215</v>
      </c>
      <c r="K165" s="120">
        <f>SUM('HL KNIHA VYPOC'!G247)</f>
        <v>0</v>
      </c>
      <c r="L165" s="120">
        <f>SUM('HL KNIHA VYPOC'!K247)</f>
        <v>0</v>
      </c>
      <c r="M165" s="120">
        <f>SUM('HL KNIHA VYPOC'!H247)</f>
        <v>0</v>
      </c>
    </row>
    <row r="166" spans="1:13" ht="14.1" customHeight="1" x14ac:dyDescent="0.25">
      <c r="A166" s="177" t="s">
        <v>521</v>
      </c>
      <c r="B166" s="178" t="s">
        <v>1215</v>
      </c>
      <c r="C166" s="187">
        <f>SUM('HL KNIHA VYPOC'!G152)</f>
        <v>0</v>
      </c>
      <c r="D166" s="187">
        <f>SUM('HL KNIHA VYPOC'!K152)</f>
        <v>0</v>
      </c>
      <c r="E166" s="187">
        <f>SUM('HL KNIHA VYPOC'!H152)</f>
        <v>0</v>
      </c>
      <c r="I166" s="179" t="s">
        <v>773</v>
      </c>
      <c r="J166" s="180">
        <v>108</v>
      </c>
      <c r="K166" s="123"/>
      <c r="L166" s="124"/>
      <c r="M166" s="125"/>
    </row>
    <row r="167" spans="1:13" ht="14.1" customHeight="1" x14ac:dyDescent="0.25">
      <c r="A167" s="179" t="s">
        <v>521</v>
      </c>
      <c r="B167" s="180">
        <v>124</v>
      </c>
      <c r="C167" s="128">
        <f>SUM(C166-C168-C169)</f>
        <v>0</v>
      </c>
      <c r="D167" s="128">
        <f>SUM(D166-D168-D169)</f>
        <v>0</v>
      </c>
      <c r="E167" s="128">
        <f>SUM(E166-E168-E169)</f>
        <v>0</v>
      </c>
      <c r="I167" s="185" t="s">
        <v>773</v>
      </c>
      <c r="J167" s="186">
        <v>109</v>
      </c>
      <c r="K167" s="125"/>
      <c r="L167" s="143"/>
      <c r="M167" s="125"/>
    </row>
    <row r="168" spans="1:13" ht="14.1" customHeight="1" x14ac:dyDescent="0.25">
      <c r="A168" s="185" t="s">
        <v>521</v>
      </c>
      <c r="B168" s="186">
        <v>125</v>
      </c>
      <c r="C168" s="125"/>
      <c r="D168" s="143"/>
      <c r="E168" s="125"/>
      <c r="I168" s="185">
        <v>471</v>
      </c>
      <c r="J168" s="186">
        <v>128</v>
      </c>
      <c r="K168" s="146">
        <f>SUM(K165-K166-K167-K169)</f>
        <v>0</v>
      </c>
      <c r="L168" s="147">
        <f>SUM(L165-L166-L167-L169)</f>
        <v>0</v>
      </c>
      <c r="M168" s="147">
        <f>SUM(M165-M166-M167-M169)</f>
        <v>0</v>
      </c>
    </row>
    <row r="169" spans="1:13" ht="14.1" customHeight="1" x14ac:dyDescent="0.25">
      <c r="A169" s="181" t="s">
        <v>521</v>
      </c>
      <c r="B169" s="182">
        <v>126</v>
      </c>
      <c r="C169" s="136"/>
      <c r="D169" s="137"/>
      <c r="E169" s="125"/>
      <c r="I169" s="181">
        <v>471</v>
      </c>
      <c r="J169" s="182">
        <v>129</v>
      </c>
      <c r="K169" s="136"/>
      <c r="L169" s="137"/>
      <c r="M169" s="125"/>
    </row>
    <row r="170" spans="1:13" ht="14.1" customHeight="1" x14ac:dyDescent="0.25">
      <c r="A170" s="183"/>
      <c r="B170" s="184"/>
      <c r="I170" s="183"/>
      <c r="J170" s="184"/>
      <c r="K170" s="140"/>
      <c r="L170" s="140"/>
      <c r="M170" s="140"/>
    </row>
    <row r="171" spans="1:13" ht="14.1" customHeight="1" x14ac:dyDescent="0.25">
      <c r="A171" s="177" t="s">
        <v>87</v>
      </c>
      <c r="B171" s="178" t="s">
        <v>1215</v>
      </c>
      <c r="C171" s="120">
        <f>SUM('HL KNIHA VYPOC'!G153)</f>
        <v>0</v>
      </c>
      <c r="D171" s="120">
        <f>SUM('HL KNIHA VYPOC'!K153)</f>
        <v>-4209.5200000000004</v>
      </c>
      <c r="E171" s="120">
        <f>SUM('HL KNIHA VYPOC'!H153)</f>
        <v>-4209.5200000000004</v>
      </c>
      <c r="I171" s="177" t="s">
        <v>781</v>
      </c>
      <c r="J171" s="178" t="s">
        <v>1215</v>
      </c>
      <c r="K171" s="120">
        <f>SUM('HL KNIHA VYPOC'!G249)</f>
        <v>0</v>
      </c>
      <c r="L171" s="120">
        <f>SUM('HL KNIHA VYPOC'!K249)</f>
        <v>0</v>
      </c>
      <c r="M171" s="120">
        <f>SUM('HL KNIHA VYPOC'!H249)</f>
        <v>0</v>
      </c>
    </row>
    <row r="172" spans="1:13" ht="14.1" customHeight="1" x14ac:dyDescent="0.25">
      <c r="A172" s="179" t="s">
        <v>87</v>
      </c>
      <c r="B172" s="180">
        <v>124</v>
      </c>
      <c r="C172" s="128">
        <f>SUM(C171-C173-C174)</f>
        <v>0</v>
      </c>
      <c r="D172" s="128">
        <f>SUM(D171-D173-D174)</f>
        <v>-4209.5200000000004</v>
      </c>
      <c r="E172" s="128">
        <f>SUM(E171-E173-E174)</f>
        <v>-4209.5200000000004</v>
      </c>
      <c r="I172" s="179" t="s">
        <v>781</v>
      </c>
      <c r="J172" s="180">
        <v>113</v>
      </c>
      <c r="K172" s="123"/>
      <c r="L172" s="124"/>
      <c r="M172" s="125"/>
    </row>
    <row r="173" spans="1:13" ht="14.1" customHeight="1" x14ac:dyDescent="0.25">
      <c r="A173" s="185" t="s">
        <v>87</v>
      </c>
      <c r="B173" s="186">
        <v>125</v>
      </c>
      <c r="C173" s="125"/>
      <c r="D173" s="143"/>
      <c r="E173" s="125"/>
      <c r="I173" s="181">
        <v>473</v>
      </c>
      <c r="J173" s="182">
        <v>140</v>
      </c>
      <c r="K173" s="132">
        <f>SUM(K171-K172)</f>
        <v>0</v>
      </c>
      <c r="L173" s="133">
        <f>SUM(L171-L172)</f>
        <v>0</v>
      </c>
      <c r="M173" s="133">
        <f>SUM(M171-M172)</f>
        <v>0</v>
      </c>
    </row>
    <row r="174" spans="1:13" ht="14.1" customHeight="1" x14ac:dyDescent="0.25">
      <c r="A174" s="181" t="s">
        <v>87</v>
      </c>
      <c r="B174" s="182">
        <v>126</v>
      </c>
      <c r="C174" s="136"/>
      <c r="D174" s="137"/>
      <c r="E174" s="125"/>
      <c r="I174" s="183"/>
      <c r="J174" s="184"/>
      <c r="K174" s="140"/>
      <c r="L174" s="140"/>
      <c r="M174" s="140"/>
    </row>
    <row r="175" spans="1:13" ht="14.1" customHeight="1" x14ac:dyDescent="0.25">
      <c r="A175" s="183"/>
      <c r="B175" s="184"/>
      <c r="I175" s="177" t="s">
        <v>785</v>
      </c>
      <c r="J175" s="178" t="s">
        <v>1215</v>
      </c>
      <c r="K175" s="120">
        <f>SUM('HL KNIHA VYPOC'!G250)</f>
        <v>0</v>
      </c>
      <c r="L175" s="120">
        <f>SUM('HL KNIHA VYPOC'!K250)</f>
        <v>0</v>
      </c>
      <c r="M175" s="120">
        <f>SUM('HL KNIHA VYPOC'!H250)</f>
        <v>0</v>
      </c>
    </row>
    <row r="176" spans="1:13" ht="14.1" customHeight="1" x14ac:dyDescent="0.25">
      <c r="A176" s="177" t="s">
        <v>527</v>
      </c>
      <c r="B176" s="178" t="s">
        <v>1215</v>
      </c>
      <c r="C176" s="120">
        <f>SUM('HL KNIHA VYPOC'!G154)</f>
        <v>0</v>
      </c>
      <c r="D176" s="120">
        <f>SUM('HL KNIHA VYPOC'!K154)</f>
        <v>0</v>
      </c>
      <c r="E176" s="120">
        <f>SUM('HL KNIHA VYPOC'!H154)</f>
        <v>0</v>
      </c>
      <c r="I176" s="179" t="s">
        <v>785</v>
      </c>
      <c r="J176" s="180">
        <v>115</v>
      </c>
      <c r="K176" s="123"/>
      <c r="L176" s="124"/>
      <c r="M176" s="125"/>
    </row>
    <row r="177" spans="1:13" ht="14.1" customHeight="1" x14ac:dyDescent="0.25">
      <c r="A177" s="179" t="s">
        <v>527</v>
      </c>
      <c r="B177" s="180">
        <v>124</v>
      </c>
      <c r="C177" s="128">
        <f>SUM(C176-C178-C179)</f>
        <v>0</v>
      </c>
      <c r="D177" s="128">
        <f>SUM(D176-D178-D179)</f>
        <v>0</v>
      </c>
      <c r="E177" s="128">
        <f>SUM(E176-E178-E179)</f>
        <v>0</v>
      </c>
      <c r="I177" s="181">
        <v>474</v>
      </c>
      <c r="J177" s="182">
        <v>135</v>
      </c>
      <c r="K177" s="132">
        <f>SUM(K175-K176)</f>
        <v>0</v>
      </c>
      <c r="L177" s="133">
        <f>SUM(L175-L176)</f>
        <v>0</v>
      </c>
      <c r="M177" s="133">
        <f>SUM(M175-M176)</f>
        <v>0</v>
      </c>
    </row>
    <row r="178" spans="1:13" ht="14.1" customHeight="1" x14ac:dyDescent="0.25">
      <c r="A178" s="185" t="s">
        <v>527</v>
      </c>
      <c r="B178" s="186">
        <v>125</v>
      </c>
      <c r="C178" s="125"/>
      <c r="D178" s="143"/>
      <c r="E178" s="125"/>
      <c r="I178" s="183"/>
      <c r="J178" s="184"/>
      <c r="K178" s="140"/>
      <c r="L178" s="140"/>
      <c r="M178" s="140"/>
    </row>
    <row r="179" spans="1:13" ht="14.1" customHeight="1" x14ac:dyDescent="0.25">
      <c r="A179" s="181" t="s">
        <v>527</v>
      </c>
      <c r="B179" s="182">
        <v>126</v>
      </c>
      <c r="C179" s="136"/>
      <c r="D179" s="137"/>
      <c r="E179" s="125"/>
      <c r="I179" s="177" t="s">
        <v>790</v>
      </c>
      <c r="J179" s="178" t="s">
        <v>1215</v>
      </c>
      <c r="K179" s="120">
        <f>SUM('HL KNIHA VYPOC'!G251)</f>
        <v>0</v>
      </c>
      <c r="L179" s="120">
        <f>SUM('HL KNIHA VYPOC'!K251)</f>
        <v>0</v>
      </c>
      <c r="M179" s="120">
        <f>SUM('HL KNIHA VYPOC'!H251)</f>
        <v>0</v>
      </c>
    </row>
    <row r="180" spans="1:13" ht="14.1" customHeight="1" x14ac:dyDescent="0.25">
      <c r="A180" s="183"/>
      <c r="B180" s="184"/>
      <c r="I180" s="179" t="s">
        <v>790</v>
      </c>
      <c r="J180" s="180">
        <v>104</v>
      </c>
      <c r="K180" s="123"/>
      <c r="L180" s="124"/>
      <c r="M180" s="125"/>
    </row>
    <row r="181" spans="1:13" ht="14.1" customHeight="1" x14ac:dyDescent="0.25">
      <c r="A181" s="177" t="s">
        <v>618</v>
      </c>
      <c r="B181" s="178" t="s">
        <v>1215</v>
      </c>
      <c r="C181" s="120">
        <f>SUM('HL KNIHA VYPOC'!G187)</f>
        <v>0</v>
      </c>
      <c r="D181" s="120">
        <f>SUM('HL KNIHA VYPOC'!K187)</f>
        <v>0</v>
      </c>
      <c r="E181" s="120">
        <f>SUM('HL KNIHA VYPOC'!H187)</f>
        <v>0</v>
      </c>
      <c r="I181" s="185" t="s">
        <v>790</v>
      </c>
      <c r="J181" s="186">
        <v>105</v>
      </c>
      <c r="K181" s="125"/>
      <c r="L181" s="143"/>
      <c r="M181" s="125"/>
    </row>
    <row r="182" spans="1:13" ht="14.1" customHeight="1" x14ac:dyDescent="0.25">
      <c r="A182" s="179" t="s">
        <v>618</v>
      </c>
      <c r="B182" s="180">
        <v>115</v>
      </c>
      <c r="C182" s="123"/>
      <c r="D182" s="124"/>
      <c r="E182" s="125"/>
      <c r="I182" s="185" t="s">
        <v>790</v>
      </c>
      <c r="J182" s="186">
        <v>106</v>
      </c>
      <c r="K182" s="125"/>
      <c r="L182" s="143"/>
      <c r="M182" s="125"/>
    </row>
    <row r="183" spans="1:13" ht="14.1" customHeight="1" x14ac:dyDescent="0.25">
      <c r="A183" s="181">
        <v>372</v>
      </c>
      <c r="B183" s="182">
        <v>135</v>
      </c>
      <c r="C183" s="132">
        <f>SUM(C181-C182)</f>
        <v>0</v>
      </c>
      <c r="D183" s="133">
        <f>SUM(D181-D182)</f>
        <v>0</v>
      </c>
      <c r="E183" s="133">
        <f>SUM(E181-E182)</f>
        <v>0</v>
      </c>
      <c r="I183" s="185" t="s">
        <v>790</v>
      </c>
      <c r="J183" s="186">
        <v>111</v>
      </c>
      <c r="K183" s="125"/>
      <c r="L183" s="143"/>
      <c r="M183" s="125"/>
    </row>
    <row r="184" spans="1:13" ht="14.1" customHeight="1" x14ac:dyDescent="0.25">
      <c r="A184" s="183"/>
      <c r="B184" s="184"/>
      <c r="I184" s="185">
        <v>475</v>
      </c>
      <c r="J184" s="186">
        <v>124</v>
      </c>
      <c r="K184" s="146">
        <f>SUM(K179-K180-K181-K182-K183-K185-K186-K187)</f>
        <v>0</v>
      </c>
      <c r="L184" s="147">
        <f>SUM(L179-L180-L181-L182-L183-L185-L186-L187)</f>
        <v>0</v>
      </c>
      <c r="M184" s="147">
        <f>SUM(M179-M180-M181-M182-M183-M185-M186-M187)</f>
        <v>0</v>
      </c>
    </row>
    <row r="185" spans="1:13" ht="14.1" customHeight="1" x14ac:dyDescent="0.25">
      <c r="A185" s="177" t="s">
        <v>638</v>
      </c>
      <c r="B185" s="178" t="s">
        <v>1215</v>
      </c>
      <c r="C185" s="120">
        <f>SUM('HL KNIHA VYPOC'!G192)</f>
        <v>0</v>
      </c>
      <c r="D185" s="120">
        <f>SUM('HL KNIHA VYPOC'!K192)</f>
        <v>0</v>
      </c>
      <c r="E185" s="120">
        <f>SUM('HL KNIHA VYPOC'!H192)</f>
        <v>0</v>
      </c>
      <c r="I185" s="185">
        <v>475</v>
      </c>
      <c r="J185" s="186">
        <v>125</v>
      </c>
      <c r="K185" s="125"/>
      <c r="L185" s="143"/>
      <c r="M185" s="125"/>
    </row>
    <row r="186" spans="1:13" ht="14.1" customHeight="1" x14ac:dyDescent="0.25">
      <c r="A186" s="179" t="s">
        <v>638</v>
      </c>
      <c r="B186" s="180">
        <v>116</v>
      </c>
      <c r="C186" s="123"/>
      <c r="D186" s="124"/>
      <c r="E186" s="125"/>
      <c r="I186" s="185">
        <v>475</v>
      </c>
      <c r="J186" s="186">
        <v>126</v>
      </c>
      <c r="K186" s="125"/>
      <c r="L186" s="143"/>
      <c r="M186" s="125"/>
    </row>
    <row r="187" spans="1:13" ht="14.1" customHeight="1" x14ac:dyDescent="0.25">
      <c r="A187" s="181">
        <v>377</v>
      </c>
      <c r="B187" s="182">
        <v>134</v>
      </c>
      <c r="C187" s="132">
        <f>SUM(C185-C186)</f>
        <v>0</v>
      </c>
      <c r="D187" s="133">
        <f>SUM(D185-D186)</f>
        <v>0</v>
      </c>
      <c r="E187" s="133">
        <f>SUM(E185-E186)</f>
        <v>0</v>
      </c>
      <c r="I187" s="181">
        <v>475</v>
      </c>
      <c r="J187" s="182">
        <v>135</v>
      </c>
      <c r="K187" s="136"/>
      <c r="L187" s="137"/>
      <c r="M187" s="125"/>
    </row>
    <row r="188" spans="1:13" ht="14.1" customHeight="1" x14ac:dyDescent="0.25">
      <c r="A188" s="183"/>
      <c r="B188" s="184"/>
      <c r="I188" s="183"/>
      <c r="J188" s="184"/>
      <c r="K188" s="140"/>
      <c r="L188" s="140"/>
      <c r="M188" s="140"/>
    </row>
    <row r="189" spans="1:13" ht="14.1" customHeight="1" x14ac:dyDescent="0.25">
      <c r="A189" s="177" t="s">
        <v>151</v>
      </c>
      <c r="B189" s="178" t="s">
        <v>1215</v>
      </c>
      <c r="C189" s="120">
        <f>SUM('HL KNIHA VYPOC'!G199)</f>
        <v>0</v>
      </c>
      <c r="D189" s="120">
        <f>SUM('HL KNIHA VYPOC'!K199)</f>
        <v>0</v>
      </c>
      <c r="E189" s="120">
        <f>SUM('HL KNIHA VYPOC'!H199)</f>
        <v>-250.6</v>
      </c>
      <c r="I189" s="177" t="s">
        <v>794</v>
      </c>
      <c r="J189" s="178" t="s">
        <v>1215</v>
      </c>
      <c r="K189" s="120">
        <f>SUM('HL KNIHA VYPOC'!G252)</f>
        <v>0</v>
      </c>
      <c r="L189" s="120">
        <f>SUM('HL KNIHA VYPOC'!K252)</f>
        <v>0</v>
      </c>
      <c r="M189" s="120">
        <f>SUM('HL KNIHA VYPOC'!H252)</f>
        <v>0</v>
      </c>
    </row>
    <row r="190" spans="1:13" ht="14.1" customHeight="1" x14ac:dyDescent="0.25">
      <c r="A190" s="179">
        <v>383</v>
      </c>
      <c r="B190" s="180">
        <v>142</v>
      </c>
      <c r="C190" s="123"/>
      <c r="D190" s="124"/>
      <c r="E190" s="125"/>
      <c r="I190" s="179" t="s">
        <v>794</v>
      </c>
      <c r="J190" s="180">
        <v>104</v>
      </c>
      <c r="K190" s="123"/>
      <c r="L190" s="124"/>
      <c r="M190" s="125"/>
    </row>
    <row r="191" spans="1:13" ht="14.1" customHeight="1" x14ac:dyDescent="0.25">
      <c r="A191" s="181">
        <v>383</v>
      </c>
      <c r="B191" s="182">
        <v>143</v>
      </c>
      <c r="C191" s="132">
        <f>SUM(C189-C190)</f>
        <v>0</v>
      </c>
      <c r="D191" s="133">
        <f>SUM(D189-D190)</f>
        <v>0</v>
      </c>
      <c r="E191" s="133">
        <f>SUM(E189-E190)</f>
        <v>-250.6</v>
      </c>
      <c r="I191" s="185" t="s">
        <v>794</v>
      </c>
      <c r="J191" s="186">
        <v>105</v>
      </c>
      <c r="K191" s="125"/>
      <c r="L191" s="143"/>
      <c r="M191" s="125"/>
    </row>
    <row r="192" spans="1:13" ht="14.1" customHeight="1" x14ac:dyDescent="0.25">
      <c r="A192" s="183"/>
      <c r="B192" s="184"/>
      <c r="H192" s="55"/>
      <c r="I192" s="185" t="s">
        <v>794</v>
      </c>
      <c r="J192" s="186">
        <v>106</v>
      </c>
      <c r="K192" s="125"/>
      <c r="L192" s="143"/>
      <c r="M192" s="125"/>
    </row>
    <row r="193" spans="1:13" ht="14.1" customHeight="1" x14ac:dyDescent="0.25">
      <c r="A193" s="177" t="s">
        <v>100</v>
      </c>
      <c r="B193" s="178" t="s">
        <v>1215</v>
      </c>
      <c r="C193" s="120">
        <f>SUM('HL KNIHA VYPOC'!G200)</f>
        <v>-103415.42000000001</v>
      </c>
      <c r="D193" s="120">
        <f>SUM('HL KNIHA VYPOC'!K200)</f>
        <v>-116849.45999999999</v>
      </c>
      <c r="E193" s="120">
        <f>SUM('HL KNIHA VYPOC'!H200)</f>
        <v>-130397.67</v>
      </c>
      <c r="H193" s="55"/>
      <c r="I193" s="185">
        <v>476</v>
      </c>
      <c r="J193" s="186">
        <v>124</v>
      </c>
      <c r="K193" s="146">
        <f>SUM(K189-K190-K191-K192-K194-K195)</f>
        <v>0</v>
      </c>
      <c r="L193" s="147">
        <f>SUM(L189-L190-L191-L192-L194-L195)</f>
        <v>0</v>
      </c>
      <c r="M193" s="147">
        <f>SUM(M189-M190-M191-M192-M194-M195)</f>
        <v>0</v>
      </c>
    </row>
    <row r="194" spans="1:13" ht="14.1" customHeight="1" x14ac:dyDescent="0.25">
      <c r="A194" s="179">
        <v>384</v>
      </c>
      <c r="B194" s="180">
        <v>144</v>
      </c>
      <c r="C194" s="123"/>
      <c r="D194" s="124"/>
      <c r="E194" s="125"/>
      <c r="H194" s="55"/>
      <c r="I194" s="185">
        <v>476</v>
      </c>
      <c r="J194" s="186">
        <v>125</v>
      </c>
      <c r="K194" s="125"/>
      <c r="L194" s="143"/>
      <c r="M194" s="125"/>
    </row>
    <row r="195" spans="1:13" ht="14.1" customHeight="1" x14ac:dyDescent="0.25">
      <c r="A195" s="181">
        <v>384</v>
      </c>
      <c r="B195" s="182">
        <v>145</v>
      </c>
      <c r="C195" s="132">
        <f>SUM(C193-C194)</f>
        <v>-103415.42000000001</v>
      </c>
      <c r="D195" s="133">
        <f>SUM(D193-D194)</f>
        <v>-116849.45999999999</v>
      </c>
      <c r="E195" s="133">
        <f>SUM(E193-E194)</f>
        <v>-130397.67</v>
      </c>
      <c r="H195" s="55"/>
      <c r="I195" s="181">
        <v>476</v>
      </c>
      <c r="J195" s="182">
        <v>126</v>
      </c>
      <c r="K195" s="136"/>
      <c r="L195" s="137"/>
      <c r="M195" s="125"/>
    </row>
    <row r="196" spans="1:13" ht="14.1" customHeight="1" x14ac:dyDescent="0.25">
      <c r="A196" s="183"/>
      <c r="B196" s="184"/>
      <c r="H196" s="55"/>
      <c r="I196" s="183"/>
      <c r="J196" s="184"/>
      <c r="K196" s="140"/>
      <c r="L196" s="140"/>
      <c r="M196" s="140"/>
    </row>
    <row r="197" spans="1:13" ht="14.1" customHeight="1" x14ac:dyDescent="0.25">
      <c r="H197" s="55"/>
      <c r="I197" s="177" t="s">
        <v>798</v>
      </c>
      <c r="J197" s="178" t="s">
        <v>1215</v>
      </c>
      <c r="K197" s="120">
        <f>SUM('HL KNIHA VYPOC'!G253)</f>
        <v>0</v>
      </c>
      <c r="L197" s="120">
        <f>SUM('HL KNIHA VYPOC'!K253)</f>
        <v>0</v>
      </c>
      <c r="M197" s="120">
        <f>SUM('HL KNIHA VYPOC'!H253)</f>
        <v>0</v>
      </c>
    </row>
    <row r="198" spans="1:13" ht="14.1" customHeight="1" x14ac:dyDescent="0.25">
      <c r="H198" s="55"/>
      <c r="I198" s="179" t="s">
        <v>798</v>
      </c>
      <c r="J198" s="180">
        <v>112</v>
      </c>
      <c r="K198" s="123"/>
      <c r="L198" s="124"/>
      <c r="M198" s="125"/>
    </row>
    <row r="199" spans="1:13" ht="14.1" customHeight="1" x14ac:dyDescent="0.25">
      <c r="H199" s="55"/>
      <c r="I199" s="185" t="s">
        <v>798</v>
      </c>
      <c r="J199" s="186">
        <v>124</v>
      </c>
      <c r="K199" s="125"/>
      <c r="L199" s="143"/>
      <c r="M199" s="125"/>
    </row>
    <row r="200" spans="1:13" ht="14.1" customHeight="1" x14ac:dyDescent="0.25">
      <c r="H200" s="55"/>
      <c r="I200" s="185" t="s">
        <v>798</v>
      </c>
      <c r="J200" s="186">
        <v>125</v>
      </c>
      <c r="K200" s="125"/>
      <c r="L200" s="143"/>
      <c r="M200" s="125"/>
    </row>
    <row r="201" spans="1:13" ht="14.1" customHeight="1" x14ac:dyDescent="0.25">
      <c r="H201" s="55"/>
      <c r="I201" s="188" t="s">
        <v>798</v>
      </c>
      <c r="J201" s="186">
        <v>126</v>
      </c>
      <c r="K201" s="125"/>
      <c r="L201" s="143"/>
      <c r="M201" s="125"/>
    </row>
    <row r="202" spans="1:13" ht="14.1" customHeight="1" x14ac:dyDescent="0.25">
      <c r="H202" s="55"/>
      <c r="I202" s="181">
        <v>478</v>
      </c>
      <c r="J202" s="182">
        <v>130</v>
      </c>
      <c r="K202" s="132">
        <f>SUM(K197-K198-K199-K200-K201)</f>
        <v>0</v>
      </c>
      <c r="L202" s="133">
        <f>SUM(L197-L198-L199-L200-L201)</f>
        <v>0</v>
      </c>
      <c r="M202" s="133">
        <f>SUM(M197-M198-M199-M200-M201)</f>
        <v>0</v>
      </c>
    </row>
    <row r="203" spans="1:13" ht="14.1" customHeight="1" x14ac:dyDescent="0.25">
      <c r="H203" s="55"/>
      <c r="I203" s="183"/>
      <c r="J203" s="184"/>
      <c r="K203" s="140"/>
      <c r="L203" s="140"/>
      <c r="M203" s="140"/>
    </row>
    <row r="204" spans="1:13" ht="14.1" customHeight="1" x14ac:dyDescent="0.25">
      <c r="H204" s="55"/>
      <c r="I204" s="177" t="s">
        <v>111</v>
      </c>
      <c r="J204" s="178" t="s">
        <v>1215</v>
      </c>
      <c r="K204" s="120">
        <f>SUM('HL KNIHA VYPOC'!G254)</f>
        <v>-0.34000000000014552</v>
      </c>
      <c r="L204" s="120">
        <f>SUM('HL KNIHA VYPOC'!K254)</f>
        <v>-29417.760000000002</v>
      </c>
      <c r="M204" s="120">
        <f>SUM('HL KNIHA VYPOC'!H254)</f>
        <v>-58190.720000000001</v>
      </c>
    </row>
    <row r="205" spans="1:13" ht="14.1" customHeight="1" x14ac:dyDescent="0.25">
      <c r="H205" s="55"/>
      <c r="I205" s="179" t="s">
        <v>111</v>
      </c>
      <c r="J205" s="180">
        <v>110</v>
      </c>
      <c r="K205" s="123"/>
      <c r="L205" s="124"/>
      <c r="M205" s="125"/>
    </row>
    <row r="206" spans="1:13" ht="14.1" customHeight="1" x14ac:dyDescent="0.25">
      <c r="H206" s="55"/>
      <c r="I206" s="185">
        <v>479</v>
      </c>
      <c r="J206" s="186">
        <v>130</v>
      </c>
      <c r="K206" s="146">
        <f>SUM(K204-K205-K207-K208)</f>
        <v>-0.34000000000014552</v>
      </c>
      <c r="L206" s="147">
        <f>SUM(L204-L205-L207-L208)</f>
        <v>-29417.760000000002</v>
      </c>
      <c r="M206" s="147">
        <f>SUM(M204-M205-M207-M208)</f>
        <v>-58190.720000000001</v>
      </c>
    </row>
    <row r="207" spans="1:13" ht="14.1" customHeight="1" x14ac:dyDescent="0.25">
      <c r="H207" s="55"/>
      <c r="I207" s="185">
        <v>479</v>
      </c>
      <c r="J207" s="186">
        <v>131</v>
      </c>
      <c r="K207" s="125"/>
      <c r="L207" s="143"/>
      <c r="M207" s="125"/>
    </row>
    <row r="208" spans="1:13" ht="14.1" customHeight="1" x14ac:dyDescent="0.25">
      <c r="H208" s="55"/>
      <c r="I208" s="181">
        <v>479</v>
      </c>
      <c r="J208" s="182">
        <v>135</v>
      </c>
      <c r="K208" s="136"/>
      <c r="L208" s="137"/>
      <c r="M208" s="125"/>
    </row>
    <row r="209" spans="1:15" ht="14.1" customHeight="1" x14ac:dyDescent="0.25">
      <c r="H209" s="55"/>
    </row>
    <row r="210" spans="1:15" ht="14.1" customHeight="1" x14ac:dyDescent="0.25">
      <c r="A210" s="693" t="s">
        <v>1269</v>
      </c>
      <c r="B210" s="693"/>
      <c r="C210" s="693"/>
      <c r="D210" s="693"/>
      <c r="E210" s="693"/>
      <c r="F210" s="693"/>
      <c r="G210" s="693"/>
      <c r="H210" s="693"/>
      <c r="I210" s="693"/>
      <c r="J210" s="693"/>
      <c r="K210" s="693"/>
      <c r="L210" s="693"/>
      <c r="M210" s="115"/>
    </row>
    <row r="211" spans="1:15" ht="14.1" customHeight="1" x14ac:dyDescent="0.25">
      <c r="A211" s="177" t="s">
        <v>128</v>
      </c>
      <c r="B211" s="178" t="s">
        <v>1215</v>
      </c>
      <c r="C211" s="187">
        <f>SUM('HL KNIHA VYPOC'!G318)</f>
        <v>6333.47</v>
      </c>
      <c r="D211" s="187">
        <f>SUM('HL KNIHA VYPOC'!K318)</f>
        <v>7980.57</v>
      </c>
      <c r="E211" s="187">
        <f>SUM('HL KNIHA VYPOC'!H318)</f>
        <v>0</v>
      </c>
      <c r="H211" s="55"/>
      <c r="I211" s="177" t="s">
        <v>1145</v>
      </c>
      <c r="J211" s="178" t="s">
        <v>1215</v>
      </c>
      <c r="K211" s="187">
        <f>SUM('HL KNIHA VYPOC'!G391)</f>
        <v>0</v>
      </c>
      <c r="L211" s="187">
        <f>SUM('HL KNIHA VYPOC'!K391)</f>
        <v>0</v>
      </c>
      <c r="M211" s="187">
        <f>SUM('HL KNIHA VYPOC'!H391)</f>
        <v>0</v>
      </c>
    </row>
    <row r="212" spans="1:15" ht="14.1" customHeight="1" x14ac:dyDescent="0.25">
      <c r="A212" s="179" t="s">
        <v>128</v>
      </c>
      <c r="B212" s="180">
        <v>32</v>
      </c>
      <c r="C212" s="128">
        <f>SUM(C211-C213)</f>
        <v>6333.47</v>
      </c>
      <c r="D212" s="129">
        <f>SUM(D211-D213)</f>
        <v>7980.57</v>
      </c>
      <c r="E212" s="129">
        <f>SUM(E211-E213)</f>
        <v>0</v>
      </c>
      <c r="H212" s="55"/>
      <c r="I212" s="179" t="s">
        <v>1145</v>
      </c>
      <c r="J212" s="180">
        <v>32</v>
      </c>
      <c r="K212" s="128">
        <f>SUM(K211-K213)</f>
        <v>0</v>
      </c>
      <c r="L212" s="129">
        <f>SUM(L211-L213)</f>
        <v>0</v>
      </c>
      <c r="M212" s="129">
        <f>SUM(M211-M213)</f>
        <v>0</v>
      </c>
      <c r="N212" s="189">
        <f>SUM(N211-N213)</f>
        <v>0</v>
      </c>
      <c r="O212" s="128">
        <f>SUM(O211-O213)</f>
        <v>0</v>
      </c>
    </row>
    <row r="213" spans="1:15" ht="14.1" customHeight="1" x14ac:dyDescent="0.25">
      <c r="A213" s="181" t="s">
        <v>128</v>
      </c>
      <c r="B213" s="182">
        <v>33</v>
      </c>
      <c r="C213" s="136"/>
      <c r="D213" s="137"/>
      <c r="E213" s="125"/>
      <c r="H213" s="55"/>
      <c r="I213" s="181" t="s">
        <v>1145</v>
      </c>
      <c r="J213" s="182">
        <v>33</v>
      </c>
      <c r="K213" s="136"/>
      <c r="L213" s="137"/>
      <c r="M213" s="125"/>
    </row>
    <row r="214" spans="1:15" ht="14.1" customHeight="1" x14ac:dyDescent="0.25">
      <c r="A214" s="190"/>
      <c r="B214" s="186"/>
      <c r="C214" s="149"/>
      <c r="D214" s="149"/>
      <c r="E214" s="149"/>
      <c r="H214" s="55"/>
      <c r="I214" s="190"/>
      <c r="J214" s="186"/>
      <c r="K214" s="149"/>
      <c r="L214" s="149"/>
      <c r="M214" s="149"/>
    </row>
    <row r="215" spans="1:15" ht="14.1" customHeight="1" x14ac:dyDescent="0.25">
      <c r="H215" s="55"/>
    </row>
    <row r="216" spans="1:15" ht="14.1" customHeight="1" x14ac:dyDescent="0.25">
      <c r="A216" s="177" t="s">
        <v>1157</v>
      </c>
      <c r="B216" s="178" t="s">
        <v>1215</v>
      </c>
      <c r="C216" s="187">
        <f>SUM('HL KNIHA VYPOC'!G394)</f>
        <v>0</v>
      </c>
      <c r="D216" s="187">
        <f>SUM('HL KNIHA VYPOC'!K394)</f>
        <v>0</v>
      </c>
      <c r="E216" s="187">
        <f>SUM('HL KNIHA VYPOC'!H394)</f>
        <v>0</v>
      </c>
      <c r="H216" s="55"/>
      <c r="I216" s="177">
        <v>666</v>
      </c>
      <c r="J216" s="178" t="s">
        <v>1215</v>
      </c>
      <c r="K216" s="187">
        <f>SUM('HL KNIHA VYPOC'!G395)</f>
        <v>0</v>
      </c>
      <c r="L216" s="187">
        <f>SUM('HL KNIHA VYPOC'!K395)</f>
        <v>0</v>
      </c>
      <c r="M216" s="187">
        <f>SUM('HL KNIHA VYPOC'!H395)</f>
        <v>0</v>
      </c>
    </row>
    <row r="217" spans="1:15" ht="14.1" customHeight="1" x14ac:dyDescent="0.25">
      <c r="A217" s="179" t="s">
        <v>1157</v>
      </c>
      <c r="B217" s="180">
        <v>32</v>
      </c>
      <c r="C217" s="128">
        <f>SUM(C216-C218-C219)</f>
        <v>0</v>
      </c>
      <c r="D217" s="129">
        <f>SUM(D216-D218-D219)</f>
        <v>0</v>
      </c>
      <c r="E217" s="129">
        <f>SUM(E216-E218-E219)</f>
        <v>0</v>
      </c>
      <c r="H217" s="55"/>
      <c r="I217" s="179" t="s">
        <v>1161</v>
      </c>
      <c r="J217" s="180">
        <v>36</v>
      </c>
      <c r="K217" s="128">
        <f>SUM(K216-K218-K219)</f>
        <v>0</v>
      </c>
      <c r="L217" s="129">
        <f>SUM(L216-L218-L219)</f>
        <v>0</v>
      </c>
      <c r="M217" s="129">
        <f>SUM(M216-M218-M219)</f>
        <v>0</v>
      </c>
    </row>
    <row r="218" spans="1:15" ht="14.1" customHeight="1" x14ac:dyDescent="0.25">
      <c r="A218" s="185" t="s">
        <v>1157</v>
      </c>
      <c r="B218" s="186">
        <v>33</v>
      </c>
      <c r="C218" s="125"/>
      <c r="D218" s="143"/>
      <c r="E218" s="125"/>
      <c r="H218" s="55"/>
      <c r="I218" s="185" t="s">
        <v>1161</v>
      </c>
      <c r="J218" s="186">
        <v>37</v>
      </c>
      <c r="K218" s="125"/>
      <c r="L218" s="143"/>
      <c r="M218" s="125"/>
    </row>
    <row r="219" spans="1:15" ht="14.1" customHeight="1" x14ac:dyDescent="0.25">
      <c r="A219" s="181" t="s">
        <v>1157</v>
      </c>
      <c r="B219" s="182">
        <v>34</v>
      </c>
      <c r="C219" s="136"/>
      <c r="D219" s="137"/>
      <c r="E219" s="125"/>
      <c r="H219" s="55"/>
      <c r="I219" s="181" t="s">
        <v>1161</v>
      </c>
      <c r="J219" s="182">
        <v>38</v>
      </c>
      <c r="K219" s="136"/>
      <c r="L219" s="137"/>
      <c r="M219" s="125"/>
    </row>
  </sheetData>
  <mergeCells count="4">
    <mergeCell ref="A1:L1"/>
    <mergeCell ref="A104:L104"/>
    <mergeCell ref="A143:L143"/>
    <mergeCell ref="A210:L210"/>
  </mergeCells>
  <pageMargins left="0.7" right="0.7" top="0.78749999999999998" bottom="0.78749999999999998" header="0.51180555555555496" footer="0.51180555555555496"/>
  <pageSetup paperSize="9" firstPageNumber="0" orientation="portrait" horizontalDpi="300" verticalDpi="300"/>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J1809"/>
  <sheetViews>
    <sheetView tabSelected="1" topLeftCell="A28" zoomScaleNormal="100" workbookViewId="0">
      <selection activeCell="A39" sqref="A39:AY39"/>
    </sheetView>
  </sheetViews>
  <sheetFormatPr defaultRowHeight="15" x14ac:dyDescent="0.25"/>
  <cols>
    <col min="1" max="1" width="1.7109375" customWidth="1"/>
    <col min="2" max="2" width="1.140625" customWidth="1"/>
    <col min="3" max="5" width="1.7109375" customWidth="1"/>
    <col min="6" max="6" width="1.140625" customWidth="1"/>
    <col min="7" max="7" width="1.7109375" customWidth="1"/>
    <col min="8" max="8" width="2.5703125" customWidth="1"/>
    <col min="9" max="13" width="1.7109375" customWidth="1"/>
    <col min="14" max="15" width="1.140625" customWidth="1"/>
    <col min="16" max="30" width="1.7109375" customWidth="1"/>
    <col min="31" max="31" width="1.140625" customWidth="1"/>
    <col min="32" max="37" width="1.7109375" customWidth="1"/>
    <col min="38" max="38" width="1.140625" customWidth="1"/>
    <col min="39" max="42" width="1.7109375" customWidth="1"/>
    <col min="43" max="43" width="1.140625" customWidth="1"/>
    <col min="44" max="45" width="1.7109375" customWidth="1"/>
    <col min="46" max="46" width="1.42578125" customWidth="1"/>
    <col min="47" max="47" width="1.140625" customWidth="1"/>
    <col min="48" max="49" width="1.7109375" customWidth="1"/>
    <col min="50" max="50" width="3.85546875" customWidth="1"/>
    <col min="51" max="54" width="1.7109375" customWidth="1"/>
    <col min="55" max="58" width="0.85546875" customWidth="1"/>
    <col min="59" max="59" width="3.5703125" customWidth="1"/>
    <col min="60" max="1025" width="1.85546875" customWidth="1"/>
  </cols>
  <sheetData>
    <row r="1" spans="1:67" s="193" customFormat="1" ht="12.6" customHeight="1" x14ac:dyDescent="0.25">
      <c r="A1" s="694" t="s">
        <v>1270</v>
      </c>
      <c r="B1" s="694"/>
      <c r="C1" s="694"/>
      <c r="D1" s="694"/>
      <c r="E1" s="694"/>
      <c r="F1" s="694"/>
      <c r="G1" s="694"/>
      <c r="H1" s="694"/>
      <c r="I1" s="694"/>
      <c r="J1" s="694"/>
      <c r="K1" s="191"/>
      <c r="L1" s="191"/>
      <c r="M1" s="191"/>
      <c r="N1" s="191"/>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t="s">
        <v>1271</v>
      </c>
      <c r="AQ1" s="695">
        <f>VstupHlavička!$B$15</f>
        <v>43465</v>
      </c>
      <c r="AR1" s="695"/>
      <c r="AS1" s="695"/>
      <c r="AT1" s="695"/>
      <c r="AU1" s="695"/>
      <c r="AV1" s="695"/>
      <c r="AW1" s="695"/>
      <c r="AX1" s="695"/>
      <c r="AY1" s="695"/>
      <c r="BB1" s="191"/>
      <c r="BH1" s="194" t="s">
        <v>1272</v>
      </c>
      <c r="BI1" s="194"/>
      <c r="BJ1" s="194"/>
      <c r="BK1" s="194"/>
      <c r="BL1" s="194" t="s">
        <v>1272</v>
      </c>
      <c r="BM1" s="194"/>
      <c r="BN1" s="194" t="s">
        <v>1273</v>
      </c>
      <c r="BO1" s="194"/>
    </row>
    <row r="2" spans="1:67" s="197" customFormat="1" ht="12.6" customHeight="1" x14ac:dyDescent="0.25">
      <c r="A2" s="195" t="s">
        <v>1274</v>
      </c>
      <c r="B2" s="196"/>
      <c r="C2" s="196"/>
      <c r="D2" s="196"/>
      <c r="E2" s="196"/>
      <c r="F2" s="196"/>
      <c r="G2" s="196"/>
      <c r="H2" s="196"/>
      <c r="I2" s="196"/>
      <c r="J2" s="196"/>
      <c r="K2" s="196"/>
      <c r="L2" s="196"/>
      <c r="M2" s="196"/>
      <c r="N2" s="196"/>
      <c r="O2" s="192"/>
      <c r="P2" s="696" t="str">
        <f>VstupHlavička!$B$6</f>
        <v>Poľnohospodárske družstvo Detvianska Huta, družstvo </v>
      </c>
      <c r="Q2" s="696"/>
      <c r="R2" s="696"/>
      <c r="S2" s="696"/>
      <c r="T2" s="696"/>
      <c r="U2" s="696"/>
      <c r="V2" s="696"/>
      <c r="W2" s="696"/>
      <c r="X2" s="696"/>
      <c r="Y2" s="696"/>
      <c r="Z2" s="696"/>
      <c r="AA2" s="696"/>
      <c r="AB2" s="696"/>
      <c r="AC2" s="696"/>
      <c r="AD2" s="696"/>
      <c r="AE2" s="696"/>
      <c r="AF2" s="696"/>
      <c r="AG2" s="696"/>
      <c r="AH2" s="696"/>
      <c r="AI2" s="696"/>
      <c r="AJ2" s="696"/>
      <c r="AK2" s="696"/>
      <c r="AL2" s="696"/>
      <c r="AM2" s="696"/>
      <c r="AN2" s="696"/>
      <c r="AO2" s="696"/>
      <c r="AP2" s="696"/>
      <c r="AQ2" s="696"/>
      <c r="AR2" s="696"/>
      <c r="AS2" s="696"/>
      <c r="AT2" s="696"/>
      <c r="AU2" s="696"/>
      <c r="AV2" s="696"/>
      <c r="AW2" s="696"/>
      <c r="AX2" s="696"/>
      <c r="AY2" s="696"/>
      <c r="BH2" s="194"/>
      <c r="BI2" s="194"/>
      <c r="BJ2" s="194"/>
      <c r="BK2" s="194"/>
      <c r="BL2" s="194"/>
      <c r="BM2" s="194"/>
      <c r="BN2" s="194"/>
      <c r="BO2" s="194"/>
    </row>
    <row r="3" spans="1:67" s="199" customFormat="1" ht="12.6" customHeight="1" x14ac:dyDescent="0.25">
      <c r="A3" s="697" t="s">
        <v>1275</v>
      </c>
      <c r="B3" s="697"/>
      <c r="C3" s="697"/>
      <c r="D3" s="697"/>
      <c r="E3" s="697"/>
      <c r="F3" s="697"/>
      <c r="G3" s="697"/>
      <c r="H3" s="697"/>
      <c r="I3" s="697"/>
      <c r="J3" s="697"/>
      <c r="K3" s="698">
        <v>33304</v>
      </c>
      <c r="L3" s="698"/>
      <c r="M3" s="698"/>
      <c r="N3" s="698"/>
      <c r="O3" s="698"/>
      <c r="P3" s="698"/>
      <c r="Q3" s="698"/>
      <c r="R3" s="698"/>
      <c r="S3" s="698"/>
      <c r="T3" s="698"/>
      <c r="U3" s="698"/>
      <c r="V3" s="698"/>
      <c r="W3" s="698"/>
      <c r="X3" s="698"/>
      <c r="Y3" s="698"/>
      <c r="Z3" s="698"/>
      <c r="AA3" s="698"/>
      <c r="AB3" s="698"/>
      <c r="AC3" s="698"/>
      <c r="AD3" s="698"/>
      <c r="AE3" s="698"/>
      <c r="AF3" s="698"/>
      <c r="AG3" s="698"/>
      <c r="AH3" s="698"/>
      <c r="AI3" s="698"/>
      <c r="AJ3" s="698"/>
      <c r="AK3" s="698"/>
      <c r="AL3" s="698"/>
      <c r="AM3" s="698"/>
      <c r="AN3" s="698"/>
      <c r="AO3" s="698"/>
      <c r="AP3" s="698"/>
      <c r="AQ3" s="698"/>
      <c r="AR3" s="698"/>
      <c r="AS3" s="698"/>
      <c r="AT3" s="698"/>
      <c r="AU3" s="698"/>
      <c r="AV3" s="698"/>
      <c r="AW3" s="698"/>
      <c r="AX3" s="698"/>
      <c r="AY3" s="698"/>
      <c r="AZ3" s="699"/>
      <c r="BA3" s="699"/>
      <c r="BB3" s="699"/>
      <c r="BH3" s="200" t="s">
        <v>1276</v>
      </c>
      <c r="BI3" s="200"/>
      <c r="BJ3" s="200"/>
      <c r="BK3" s="200"/>
      <c r="BL3" s="200" t="s">
        <v>1277</v>
      </c>
      <c r="BM3" s="200"/>
      <c r="BN3" s="201" t="s">
        <v>1278</v>
      </c>
      <c r="BO3" s="200"/>
    </row>
    <row r="4" spans="1:67" ht="12.6" customHeight="1" x14ac:dyDescent="0.25">
      <c r="A4" s="697" t="s">
        <v>1279</v>
      </c>
      <c r="B4" s="697"/>
      <c r="C4" s="697"/>
      <c r="D4" s="697"/>
      <c r="E4" s="697"/>
      <c r="F4" s="697"/>
      <c r="G4" s="697"/>
      <c r="H4" s="697"/>
      <c r="I4" s="697"/>
      <c r="J4" s="697"/>
      <c r="K4" s="698"/>
      <c r="L4" s="698"/>
      <c r="M4" s="698"/>
      <c r="N4" s="698"/>
      <c r="O4" s="698"/>
      <c r="P4" s="698"/>
      <c r="Q4" s="698"/>
      <c r="R4" s="698"/>
      <c r="S4" s="698"/>
      <c r="T4" s="698"/>
      <c r="U4" s="698"/>
      <c r="V4" s="698"/>
      <c r="W4" s="698"/>
      <c r="X4" s="698"/>
      <c r="Y4" s="698"/>
      <c r="Z4" s="698"/>
      <c r="AA4" s="698"/>
      <c r="AB4" s="698"/>
      <c r="AC4" s="698"/>
      <c r="AD4" s="698"/>
      <c r="AE4" s="698"/>
      <c r="AF4" s="698"/>
      <c r="AG4" s="698"/>
      <c r="AH4" s="698"/>
      <c r="AI4" s="698"/>
      <c r="AJ4" s="698"/>
      <c r="AK4" s="698"/>
      <c r="AL4" s="698"/>
      <c r="AM4" s="698"/>
      <c r="AN4" s="698"/>
      <c r="AO4" s="698"/>
      <c r="AP4" s="698"/>
      <c r="AQ4" s="698"/>
      <c r="AR4" s="698"/>
      <c r="AS4" s="698"/>
      <c r="AT4" s="698"/>
      <c r="AU4" s="698"/>
      <c r="AV4" s="698"/>
      <c r="AW4" s="698"/>
      <c r="AX4" s="698"/>
      <c r="AY4" s="698"/>
      <c r="AZ4" s="202"/>
      <c r="BA4" s="202"/>
      <c r="BB4" s="202"/>
    </row>
    <row r="5" spans="1:67" ht="12.6" customHeight="1" x14ac:dyDescent="0.25">
      <c r="A5" s="697" t="s">
        <v>1280</v>
      </c>
      <c r="B5" s="697"/>
      <c r="C5" s="697"/>
      <c r="D5" s="697"/>
      <c r="E5" s="697"/>
      <c r="F5" s="697"/>
      <c r="G5" s="697"/>
      <c r="H5" s="697"/>
      <c r="I5" s="697"/>
      <c r="J5" s="697"/>
      <c r="K5" s="700"/>
      <c r="L5" s="700"/>
      <c r="M5" s="700"/>
      <c r="N5" s="700"/>
      <c r="O5" s="700"/>
      <c r="P5" s="700"/>
      <c r="Q5" s="700"/>
      <c r="R5" s="203"/>
      <c r="S5" s="701" t="s">
        <v>1281</v>
      </c>
      <c r="T5" s="701"/>
      <c r="U5" s="701"/>
      <c r="V5" s="701"/>
      <c r="W5" s="701"/>
      <c r="X5" s="701"/>
      <c r="Y5" s="700" t="s">
        <v>1282</v>
      </c>
      <c r="Z5" s="700"/>
      <c r="AA5" s="700"/>
      <c r="AB5" s="700"/>
      <c r="AC5" s="700"/>
      <c r="AD5" s="700"/>
      <c r="AE5" s="700"/>
      <c r="AF5" s="203"/>
      <c r="AG5" s="702" t="s">
        <v>1283</v>
      </c>
      <c r="AH5" s="702"/>
      <c r="AI5" s="702"/>
      <c r="AJ5" s="702"/>
      <c r="AK5" s="702"/>
      <c r="AL5" s="702"/>
      <c r="AM5" s="700" t="s">
        <v>1284</v>
      </c>
      <c r="AN5" s="700"/>
      <c r="AO5" s="700"/>
      <c r="AP5" s="700"/>
      <c r="AQ5" s="700"/>
      <c r="AR5" s="700"/>
      <c r="AS5" s="700"/>
      <c r="AT5" s="700"/>
      <c r="AU5" s="700"/>
      <c r="AV5" s="700"/>
      <c r="AW5" s="700"/>
      <c r="AX5" s="700"/>
      <c r="AY5" s="700"/>
      <c r="AZ5" s="203"/>
      <c r="BA5" s="203"/>
      <c r="BB5" s="203"/>
    </row>
    <row r="6" spans="1:67" s="207" customFormat="1" ht="12.6" customHeight="1" x14ac:dyDescent="0.25">
      <c r="A6" s="703" t="s">
        <v>1285</v>
      </c>
      <c r="B6" s="703"/>
      <c r="C6" s="703"/>
      <c r="D6" s="703"/>
      <c r="E6" s="703"/>
      <c r="F6" s="703"/>
      <c r="G6" s="703"/>
      <c r="H6" s="703"/>
      <c r="I6" s="703"/>
      <c r="J6" s="703"/>
      <c r="K6" s="703"/>
      <c r="L6" s="703"/>
      <c r="M6" s="703"/>
      <c r="N6" s="703"/>
      <c r="O6" s="703"/>
      <c r="P6" s="703"/>
      <c r="Q6" s="703"/>
      <c r="R6" s="703"/>
      <c r="S6" s="703"/>
      <c r="T6" s="703"/>
      <c r="U6" s="703"/>
      <c r="V6" s="703"/>
      <c r="W6" s="703"/>
      <c r="X6" s="703"/>
      <c r="Y6" s="703"/>
      <c r="Z6" s="703"/>
      <c r="AA6" s="703"/>
      <c r="AB6" s="703"/>
      <c r="AC6" s="703"/>
      <c r="AD6" s="703"/>
      <c r="AE6" s="703"/>
      <c r="AF6" s="703"/>
      <c r="AG6" s="703"/>
      <c r="AH6" s="703"/>
      <c r="AI6" s="703"/>
      <c r="AJ6" s="703"/>
      <c r="AK6" s="703"/>
      <c r="AL6" s="703"/>
      <c r="AM6" s="703"/>
      <c r="AN6" s="703"/>
      <c r="AO6" s="703"/>
      <c r="AP6" s="703"/>
      <c r="AQ6" s="703"/>
      <c r="AR6" s="703"/>
      <c r="AS6" s="703"/>
      <c r="AT6" s="703"/>
      <c r="AU6" s="703"/>
      <c r="AV6" s="703"/>
      <c r="AW6" s="703"/>
      <c r="AX6" s="703"/>
      <c r="AY6" s="703"/>
      <c r="AZ6" s="206"/>
      <c r="BA6" s="206"/>
      <c r="BB6" s="206"/>
    </row>
    <row r="7" spans="1:67" ht="12.6" customHeight="1" x14ac:dyDescent="0.25">
      <c r="A7" s="704" t="s">
        <v>5359</v>
      </c>
      <c r="B7" s="704"/>
      <c r="C7" s="704"/>
      <c r="D7" s="704"/>
      <c r="E7" s="704"/>
      <c r="F7" s="704"/>
      <c r="G7" s="704"/>
      <c r="H7" s="704"/>
      <c r="I7" s="704"/>
      <c r="J7" s="704"/>
      <c r="K7" s="704"/>
      <c r="L7" s="704"/>
      <c r="M7" s="704"/>
      <c r="N7" s="704"/>
      <c r="O7" s="704"/>
      <c r="P7" s="704"/>
      <c r="Q7" s="704"/>
      <c r="R7" s="704"/>
      <c r="S7" s="704"/>
      <c r="T7" s="704"/>
      <c r="U7" s="704"/>
      <c r="V7" s="704"/>
      <c r="W7" s="704"/>
      <c r="X7" s="704"/>
      <c r="Y7" s="704"/>
      <c r="Z7" s="704"/>
      <c r="AA7" s="704"/>
      <c r="AB7" s="704"/>
      <c r="AC7" s="704"/>
      <c r="AD7" s="704"/>
      <c r="AE7" s="704"/>
      <c r="AF7" s="704"/>
      <c r="AG7" s="704"/>
      <c r="AH7" s="704"/>
      <c r="AI7" s="704"/>
      <c r="AJ7" s="704"/>
      <c r="AK7" s="704"/>
      <c r="AL7" s="704"/>
      <c r="AM7" s="704"/>
      <c r="AN7" s="704"/>
      <c r="AO7" s="704"/>
      <c r="AP7" s="704"/>
      <c r="AQ7" s="704"/>
      <c r="AR7" s="704"/>
      <c r="AS7" s="704"/>
      <c r="AT7" s="704"/>
      <c r="AU7" s="704"/>
      <c r="AV7" s="704"/>
      <c r="AW7" s="704"/>
      <c r="AX7" s="704"/>
      <c r="AY7" s="704"/>
      <c r="AZ7" s="697"/>
      <c r="BA7" s="697"/>
      <c r="BB7" s="697"/>
    </row>
    <row r="8" spans="1:67" ht="12.6" customHeight="1" x14ac:dyDescent="0.25">
      <c r="A8" s="704"/>
      <c r="B8" s="704"/>
      <c r="C8" s="704"/>
      <c r="D8" s="704"/>
      <c r="E8" s="704"/>
      <c r="F8" s="704"/>
      <c r="G8" s="704"/>
      <c r="H8" s="704"/>
      <c r="I8" s="704"/>
      <c r="J8" s="704"/>
      <c r="K8" s="704"/>
      <c r="L8" s="704"/>
      <c r="M8" s="704"/>
      <c r="N8" s="704"/>
      <c r="O8" s="704"/>
      <c r="P8" s="704"/>
      <c r="Q8" s="704"/>
      <c r="R8" s="704"/>
      <c r="S8" s="704"/>
      <c r="T8" s="704"/>
      <c r="U8" s="704"/>
      <c r="V8" s="704"/>
      <c r="W8" s="704"/>
      <c r="X8" s="704"/>
      <c r="Y8" s="704"/>
      <c r="Z8" s="704"/>
      <c r="AA8" s="704"/>
      <c r="AB8" s="704"/>
      <c r="AC8" s="704"/>
      <c r="AD8" s="704"/>
      <c r="AE8" s="704"/>
      <c r="AF8" s="704"/>
      <c r="AG8" s="704"/>
      <c r="AH8" s="704"/>
      <c r="AI8" s="704"/>
      <c r="AJ8" s="704"/>
      <c r="AK8" s="704"/>
      <c r="AL8" s="704"/>
      <c r="AM8" s="704"/>
      <c r="AN8" s="704"/>
      <c r="AO8" s="704"/>
      <c r="AP8" s="704"/>
      <c r="AQ8" s="704"/>
      <c r="AR8" s="704"/>
      <c r="AS8" s="704"/>
      <c r="AT8" s="704"/>
      <c r="AU8" s="704"/>
      <c r="AV8" s="704"/>
      <c r="AW8" s="704"/>
      <c r="AX8" s="704"/>
      <c r="AY8" s="704"/>
      <c r="AZ8" s="697"/>
      <c r="BA8" s="697"/>
      <c r="BB8" s="697"/>
    </row>
    <row r="9" spans="1:67" ht="12.6" customHeight="1" x14ac:dyDescent="0.25">
      <c r="A9" s="704"/>
      <c r="B9" s="704"/>
      <c r="C9" s="704"/>
      <c r="D9" s="704"/>
      <c r="E9" s="704"/>
      <c r="F9" s="704"/>
      <c r="G9" s="704"/>
      <c r="H9" s="704"/>
      <c r="I9" s="704"/>
      <c r="J9" s="704"/>
      <c r="K9" s="704"/>
      <c r="L9" s="704"/>
      <c r="M9" s="704"/>
      <c r="N9" s="704"/>
      <c r="O9" s="704"/>
      <c r="P9" s="704"/>
      <c r="Q9" s="704"/>
      <c r="R9" s="704"/>
      <c r="S9" s="704"/>
      <c r="T9" s="704"/>
      <c r="U9" s="704"/>
      <c r="V9" s="704"/>
      <c r="W9" s="704"/>
      <c r="X9" s="704"/>
      <c r="Y9" s="704"/>
      <c r="Z9" s="704"/>
      <c r="AA9" s="704"/>
      <c r="AB9" s="704"/>
      <c r="AC9" s="704"/>
      <c r="AD9" s="704"/>
      <c r="AE9" s="704"/>
      <c r="AF9" s="704"/>
      <c r="AG9" s="704"/>
      <c r="AH9" s="704"/>
      <c r="AI9" s="704"/>
      <c r="AJ9" s="704"/>
      <c r="AK9" s="704"/>
      <c r="AL9" s="704"/>
      <c r="AM9" s="704"/>
      <c r="AN9" s="704"/>
      <c r="AO9" s="704"/>
      <c r="AP9" s="704"/>
      <c r="AQ9" s="704"/>
      <c r="AR9" s="704"/>
      <c r="AS9" s="704"/>
      <c r="AT9" s="704"/>
      <c r="AU9" s="704"/>
      <c r="AV9" s="704"/>
      <c r="AW9" s="704"/>
      <c r="AX9" s="704"/>
      <c r="AY9" s="704"/>
      <c r="AZ9" s="697"/>
      <c r="BA9" s="697"/>
      <c r="BB9" s="697"/>
    </row>
    <row r="10" spans="1:67" ht="12.6" customHeight="1" x14ac:dyDescent="0.25">
      <c r="A10" s="704"/>
      <c r="B10" s="704"/>
      <c r="C10" s="704"/>
      <c r="D10" s="704"/>
      <c r="E10" s="704"/>
      <c r="F10" s="704"/>
      <c r="G10" s="704"/>
      <c r="H10" s="704"/>
      <c r="I10" s="704"/>
      <c r="J10" s="704"/>
      <c r="K10" s="704"/>
      <c r="L10" s="704"/>
      <c r="M10" s="704"/>
      <c r="N10" s="704"/>
      <c r="O10" s="704"/>
      <c r="P10" s="704"/>
      <c r="Q10" s="704"/>
      <c r="R10" s="704"/>
      <c r="S10" s="704"/>
      <c r="T10" s="704"/>
      <c r="U10" s="704"/>
      <c r="V10" s="704"/>
      <c r="W10" s="704"/>
      <c r="X10" s="704"/>
      <c r="Y10" s="704"/>
      <c r="Z10" s="704"/>
      <c r="AA10" s="704"/>
      <c r="AB10" s="704"/>
      <c r="AC10" s="704"/>
      <c r="AD10" s="704"/>
      <c r="AE10" s="704"/>
      <c r="AF10" s="704"/>
      <c r="AG10" s="704"/>
      <c r="AH10" s="704"/>
      <c r="AI10" s="704"/>
      <c r="AJ10" s="704"/>
      <c r="AK10" s="704"/>
      <c r="AL10" s="704"/>
      <c r="AM10" s="704"/>
      <c r="AN10" s="704"/>
      <c r="AO10" s="704"/>
      <c r="AP10" s="704"/>
      <c r="AQ10" s="704"/>
      <c r="AR10" s="704"/>
      <c r="AS10" s="704"/>
      <c r="AT10" s="704"/>
      <c r="AU10" s="704"/>
      <c r="AV10" s="704"/>
      <c r="AW10" s="704"/>
      <c r="AX10" s="704"/>
      <c r="AY10" s="704"/>
      <c r="AZ10" s="697"/>
      <c r="BA10" s="697"/>
      <c r="BB10" s="697"/>
    </row>
    <row r="11" spans="1:67" ht="12.6" customHeight="1" x14ac:dyDescent="0.25">
      <c r="A11" s="704"/>
      <c r="B11" s="704"/>
      <c r="C11" s="704"/>
      <c r="D11" s="704"/>
      <c r="E11" s="704"/>
      <c r="F11" s="704"/>
      <c r="G11" s="704"/>
      <c r="H11" s="704"/>
      <c r="I11" s="704"/>
      <c r="J11" s="704"/>
      <c r="K11" s="704"/>
      <c r="L11" s="704"/>
      <c r="M11" s="704"/>
      <c r="N11" s="704"/>
      <c r="O11" s="704"/>
      <c r="P11" s="704"/>
      <c r="Q11" s="704"/>
      <c r="R11" s="704"/>
      <c r="S11" s="704"/>
      <c r="T11" s="704"/>
      <c r="U11" s="704"/>
      <c r="V11" s="704"/>
      <c r="W11" s="704"/>
      <c r="X11" s="704"/>
      <c r="Y11" s="704"/>
      <c r="Z11" s="704"/>
      <c r="AA11" s="704"/>
      <c r="AB11" s="704"/>
      <c r="AC11" s="704"/>
      <c r="AD11" s="704"/>
      <c r="AE11" s="704"/>
      <c r="AF11" s="704"/>
      <c r="AG11" s="704"/>
      <c r="AH11" s="704"/>
      <c r="AI11" s="704"/>
      <c r="AJ11" s="704"/>
      <c r="AK11" s="704"/>
      <c r="AL11" s="704"/>
      <c r="AM11" s="704"/>
      <c r="AN11" s="704"/>
      <c r="AO11" s="704"/>
      <c r="AP11" s="704"/>
      <c r="AQ11" s="704"/>
      <c r="AR11" s="704"/>
      <c r="AS11" s="704"/>
      <c r="AT11" s="704"/>
      <c r="AU11" s="704"/>
      <c r="AV11" s="704"/>
      <c r="AW11" s="704"/>
      <c r="AX11" s="704"/>
      <c r="AY11" s="704"/>
      <c r="AZ11" s="697"/>
      <c r="BA11" s="697"/>
      <c r="BB11" s="697"/>
    </row>
    <row r="12" spans="1:67" ht="12.6" customHeight="1" x14ac:dyDescent="0.25">
      <c r="A12" s="704"/>
      <c r="B12" s="704"/>
      <c r="C12" s="704"/>
      <c r="D12" s="704"/>
      <c r="E12" s="704"/>
      <c r="F12" s="704"/>
      <c r="G12" s="704"/>
      <c r="H12" s="704"/>
      <c r="I12" s="704"/>
      <c r="J12" s="704"/>
      <c r="K12" s="704"/>
      <c r="L12" s="704"/>
      <c r="M12" s="704"/>
      <c r="N12" s="704"/>
      <c r="O12" s="704"/>
      <c r="P12" s="704"/>
      <c r="Q12" s="704"/>
      <c r="R12" s="704"/>
      <c r="S12" s="704"/>
      <c r="T12" s="704"/>
      <c r="U12" s="704"/>
      <c r="V12" s="704"/>
      <c r="W12" s="704"/>
      <c r="X12" s="704"/>
      <c r="Y12" s="704"/>
      <c r="Z12" s="704"/>
      <c r="AA12" s="704"/>
      <c r="AB12" s="704"/>
      <c r="AC12" s="704"/>
      <c r="AD12" s="704"/>
      <c r="AE12" s="704"/>
      <c r="AF12" s="704"/>
      <c r="AG12" s="704"/>
      <c r="AH12" s="704"/>
      <c r="AI12" s="704"/>
      <c r="AJ12" s="704"/>
      <c r="AK12" s="704"/>
      <c r="AL12" s="704"/>
      <c r="AM12" s="704"/>
      <c r="AN12" s="704"/>
      <c r="AO12" s="704"/>
      <c r="AP12" s="704"/>
      <c r="AQ12" s="704"/>
      <c r="AR12" s="704"/>
      <c r="AS12" s="704"/>
      <c r="AT12" s="704"/>
      <c r="AU12" s="704"/>
      <c r="AV12" s="704"/>
      <c r="AW12" s="704"/>
      <c r="AX12" s="704"/>
      <c r="AY12" s="704"/>
      <c r="AZ12" s="697"/>
      <c r="BA12" s="697"/>
      <c r="BB12" s="697"/>
    </row>
    <row r="13" spans="1:67" ht="12.6" customHeight="1" x14ac:dyDescent="0.25">
      <c r="A13" s="704"/>
      <c r="B13" s="704"/>
      <c r="C13" s="704"/>
      <c r="D13" s="704"/>
      <c r="E13" s="704"/>
      <c r="F13" s="704"/>
      <c r="G13" s="704"/>
      <c r="H13" s="704"/>
      <c r="I13" s="704"/>
      <c r="J13" s="704"/>
      <c r="K13" s="704"/>
      <c r="L13" s="704"/>
      <c r="M13" s="704"/>
      <c r="N13" s="704"/>
      <c r="O13" s="704"/>
      <c r="P13" s="704"/>
      <c r="Q13" s="704"/>
      <c r="R13" s="704"/>
      <c r="S13" s="704"/>
      <c r="T13" s="704"/>
      <c r="U13" s="704"/>
      <c r="V13" s="704"/>
      <c r="W13" s="704"/>
      <c r="X13" s="704"/>
      <c r="Y13" s="704"/>
      <c r="Z13" s="704"/>
      <c r="AA13" s="704"/>
      <c r="AB13" s="704"/>
      <c r="AC13" s="704"/>
      <c r="AD13" s="704"/>
      <c r="AE13" s="704"/>
      <c r="AF13" s="704"/>
      <c r="AG13" s="704"/>
      <c r="AH13" s="704"/>
      <c r="AI13" s="704"/>
      <c r="AJ13" s="704"/>
      <c r="AK13" s="704"/>
      <c r="AL13" s="704"/>
      <c r="AM13" s="704"/>
      <c r="AN13" s="704"/>
      <c r="AO13" s="704"/>
      <c r="AP13" s="704"/>
      <c r="AQ13" s="704"/>
      <c r="AR13" s="704"/>
      <c r="AS13" s="704"/>
      <c r="AT13" s="704"/>
      <c r="AU13" s="704"/>
      <c r="AV13" s="704"/>
      <c r="AW13" s="704"/>
      <c r="AX13" s="704"/>
      <c r="AY13" s="704"/>
      <c r="AZ13" s="697"/>
      <c r="BA13" s="697"/>
      <c r="BB13" s="697"/>
    </row>
    <row r="14" spans="1:67" ht="0.6" customHeight="1" x14ac:dyDescent="0.25">
      <c r="A14" s="208"/>
      <c r="B14" s="208"/>
      <c r="C14" s="208"/>
      <c r="D14" s="208"/>
      <c r="E14" s="208"/>
      <c r="F14" s="208"/>
      <c r="G14" s="208"/>
      <c r="H14" s="208"/>
      <c r="I14" s="208"/>
      <c r="J14" s="208"/>
      <c r="K14" s="208"/>
      <c r="L14" s="208"/>
      <c r="M14" s="208"/>
      <c r="N14" s="208"/>
      <c r="O14" s="208"/>
      <c r="P14" s="208"/>
      <c r="Q14" s="208"/>
      <c r="AG14" s="209"/>
      <c r="AR14" s="209"/>
    </row>
    <row r="15" spans="1:67" ht="12.6" customHeight="1" x14ac:dyDescent="0.25">
      <c r="A15" s="705" t="s">
        <v>1286</v>
      </c>
      <c r="B15" s="705"/>
      <c r="C15" s="705"/>
      <c r="D15" s="705"/>
      <c r="E15" s="705"/>
      <c r="F15" s="705"/>
      <c r="G15" s="705"/>
      <c r="H15" s="705"/>
      <c r="I15" s="705"/>
      <c r="J15" s="705"/>
      <c r="K15" s="705"/>
      <c r="L15" s="705"/>
      <c r="M15" s="705"/>
      <c r="N15" s="705"/>
      <c r="O15" s="705"/>
      <c r="P15" s="705"/>
      <c r="Q15" s="705"/>
      <c r="R15" s="705"/>
      <c r="S15" s="705"/>
      <c r="T15" s="705"/>
      <c r="U15" s="705"/>
      <c r="V15" s="705"/>
      <c r="W15" s="705"/>
      <c r="X15" s="705"/>
      <c r="Y15" s="705"/>
      <c r="Z15" s="705"/>
      <c r="AA15" s="705"/>
      <c r="AB15" s="705"/>
      <c r="AC15" s="705"/>
      <c r="AD15" s="705"/>
      <c r="AE15" s="705"/>
      <c r="AF15" s="705"/>
      <c r="AG15" s="705"/>
      <c r="AH15" s="705"/>
      <c r="AI15" s="705"/>
      <c r="AJ15" s="705"/>
      <c r="AK15" s="705"/>
      <c r="AL15" s="705"/>
      <c r="AM15" s="705"/>
      <c r="AN15" s="705"/>
      <c r="AO15" s="705"/>
      <c r="AP15" s="705"/>
      <c r="AQ15" s="705"/>
      <c r="AR15" s="705"/>
      <c r="AS15" s="705"/>
      <c r="AT15" s="705"/>
      <c r="AU15" s="705"/>
      <c r="AV15" s="705"/>
      <c r="AW15" s="705"/>
      <c r="AX15" s="705"/>
      <c r="AY15" s="705"/>
      <c r="AZ15" s="703"/>
      <c r="BA15" s="703"/>
      <c r="BB15" s="703"/>
    </row>
    <row r="16" spans="1:67" ht="12.6" customHeight="1" x14ac:dyDescent="0.25">
      <c r="A16" s="706" t="s">
        <v>1287</v>
      </c>
      <c r="B16" s="706"/>
      <c r="C16" s="706"/>
      <c r="D16" s="706"/>
      <c r="E16" s="706"/>
      <c r="F16" s="706"/>
      <c r="G16" s="706"/>
      <c r="H16" s="706"/>
      <c r="I16" s="706"/>
      <c r="J16" s="706"/>
      <c r="K16" s="706"/>
      <c r="L16" s="706"/>
      <c r="M16" s="706"/>
      <c r="N16" s="706"/>
      <c r="O16" s="706"/>
      <c r="P16" s="706"/>
      <c r="Q16" s="706"/>
      <c r="R16" s="706"/>
      <c r="S16" s="706"/>
      <c r="T16" s="706"/>
      <c r="U16" s="706" t="s">
        <v>1288</v>
      </c>
      <c r="V16" s="706"/>
      <c r="W16" s="706"/>
      <c r="X16" s="706"/>
      <c r="Y16" s="706"/>
      <c r="Z16" s="706"/>
      <c r="AA16" s="706"/>
      <c r="AB16" s="706"/>
      <c r="AC16" s="706"/>
      <c r="AD16" s="706"/>
      <c r="AE16" s="706"/>
      <c r="AF16" s="706"/>
      <c r="AG16" s="706"/>
      <c r="AH16" s="707" t="s">
        <v>1289</v>
      </c>
      <c r="AI16" s="707"/>
      <c r="AJ16" s="707"/>
      <c r="AK16" s="707"/>
      <c r="AL16" s="707"/>
      <c r="AM16" s="707"/>
      <c r="AN16" s="707"/>
      <c r="AO16" s="707"/>
      <c r="AP16" s="707"/>
      <c r="AQ16" s="707"/>
      <c r="AR16" s="707"/>
      <c r="AS16" s="707"/>
      <c r="AT16" s="707"/>
      <c r="AU16" s="707"/>
      <c r="AV16" s="707"/>
      <c r="AW16" s="707"/>
      <c r="AX16" s="707"/>
      <c r="AY16" s="707"/>
      <c r="AZ16" s="210"/>
      <c r="BA16" s="211"/>
      <c r="BB16" s="211"/>
      <c r="BC16" s="208"/>
    </row>
    <row r="17" spans="1:1023" ht="12.6" customHeight="1" x14ac:dyDescent="0.25">
      <c r="A17" s="706"/>
      <c r="B17" s="706"/>
      <c r="C17" s="706"/>
      <c r="D17" s="706"/>
      <c r="E17" s="706"/>
      <c r="F17" s="706"/>
      <c r="G17" s="706"/>
      <c r="H17" s="706"/>
      <c r="I17" s="706"/>
      <c r="J17" s="706"/>
      <c r="K17" s="706"/>
      <c r="L17" s="706"/>
      <c r="M17" s="706"/>
      <c r="N17" s="706"/>
      <c r="O17" s="706"/>
      <c r="P17" s="706"/>
      <c r="Q17" s="706"/>
      <c r="R17" s="706"/>
      <c r="S17" s="706"/>
      <c r="T17" s="706"/>
      <c r="U17" s="706"/>
      <c r="V17" s="706"/>
      <c r="W17" s="706"/>
      <c r="X17" s="706"/>
      <c r="Y17" s="706"/>
      <c r="Z17" s="706"/>
      <c r="AA17" s="706"/>
      <c r="AB17" s="706"/>
      <c r="AC17" s="706"/>
      <c r="AD17" s="706"/>
      <c r="AE17" s="706"/>
      <c r="AF17" s="706"/>
      <c r="AG17" s="706"/>
      <c r="AH17" s="707" t="s">
        <v>1290</v>
      </c>
      <c r="AI17" s="707"/>
      <c r="AJ17" s="707"/>
      <c r="AK17" s="707"/>
      <c r="AL17" s="707"/>
      <c r="AM17" s="707"/>
      <c r="AN17" s="707"/>
      <c r="AO17" s="707"/>
      <c r="AP17" s="707"/>
      <c r="AQ17" s="707"/>
      <c r="AR17" s="707"/>
      <c r="AS17" s="707"/>
      <c r="AT17" s="707"/>
      <c r="AU17" s="707"/>
      <c r="AV17" s="707"/>
      <c r="AW17" s="707"/>
      <c r="AX17" s="707"/>
      <c r="AY17" s="707"/>
      <c r="AZ17" s="210"/>
      <c r="BA17" s="211"/>
      <c r="BB17" s="211"/>
      <c r="BC17" s="208"/>
    </row>
    <row r="18" spans="1:1023" ht="12.6" customHeight="1" x14ac:dyDescent="0.25">
      <c r="A18" s="708" t="s">
        <v>1291</v>
      </c>
      <c r="B18" s="708"/>
      <c r="C18" s="708"/>
      <c r="D18" s="708"/>
      <c r="E18" s="708"/>
      <c r="F18" s="708"/>
      <c r="G18" s="708"/>
      <c r="H18" s="708"/>
      <c r="I18" s="708"/>
      <c r="J18" s="708"/>
      <c r="K18" s="708"/>
      <c r="L18" s="708"/>
      <c r="M18" s="708"/>
      <c r="N18" s="708"/>
      <c r="O18" s="708"/>
      <c r="P18" s="708"/>
      <c r="Q18" s="708"/>
      <c r="R18" s="708"/>
      <c r="S18" s="708"/>
      <c r="T18" s="708"/>
      <c r="U18" s="709">
        <v>15</v>
      </c>
      <c r="V18" s="709"/>
      <c r="W18" s="709"/>
      <c r="X18" s="709"/>
      <c r="Y18" s="709"/>
      <c r="Z18" s="709"/>
      <c r="AA18" s="709"/>
      <c r="AB18" s="709"/>
      <c r="AC18" s="709"/>
      <c r="AD18" s="709"/>
      <c r="AE18" s="709"/>
      <c r="AF18" s="709"/>
      <c r="AG18" s="709"/>
      <c r="AH18" s="709">
        <v>15</v>
      </c>
      <c r="AI18" s="709"/>
      <c r="AJ18" s="709"/>
      <c r="AK18" s="709"/>
      <c r="AL18" s="709"/>
      <c r="AM18" s="709"/>
      <c r="AN18" s="709"/>
      <c r="AO18" s="709"/>
      <c r="AP18" s="709"/>
      <c r="AQ18" s="709"/>
      <c r="AR18" s="709"/>
      <c r="AS18" s="709"/>
      <c r="AT18" s="709"/>
      <c r="AU18" s="709"/>
      <c r="AV18" s="709"/>
      <c r="AW18" s="709"/>
      <c r="AX18" s="709"/>
      <c r="AY18" s="709"/>
      <c r="AZ18" s="212"/>
      <c r="BA18" s="213"/>
      <c r="BB18" s="213"/>
      <c r="BC18" s="214"/>
    </row>
    <row r="19" spans="1:1023" ht="11.45" customHeight="1" x14ac:dyDescent="0.25">
      <c r="A19" s="710" t="s">
        <v>1292</v>
      </c>
      <c r="B19" s="710"/>
      <c r="C19" s="710"/>
      <c r="D19" s="710"/>
      <c r="E19" s="710"/>
      <c r="F19" s="710"/>
      <c r="G19" s="710"/>
      <c r="H19" s="710"/>
      <c r="I19" s="710"/>
      <c r="J19" s="710"/>
      <c r="K19" s="710"/>
      <c r="L19" s="710"/>
      <c r="M19" s="710"/>
      <c r="N19" s="710"/>
      <c r="O19" s="710"/>
      <c r="P19" s="710"/>
      <c r="Q19" s="710"/>
      <c r="R19" s="710"/>
      <c r="S19" s="710"/>
      <c r="T19" s="710"/>
      <c r="U19" s="709">
        <v>15</v>
      </c>
      <c r="V19" s="709"/>
      <c r="W19" s="709"/>
      <c r="X19" s="709"/>
      <c r="Y19" s="709"/>
      <c r="Z19" s="709"/>
      <c r="AA19" s="709"/>
      <c r="AB19" s="709"/>
      <c r="AC19" s="709"/>
      <c r="AD19" s="709"/>
      <c r="AE19" s="709"/>
      <c r="AF19" s="709"/>
      <c r="AG19" s="709"/>
      <c r="AH19" s="709">
        <v>15</v>
      </c>
      <c r="AI19" s="709"/>
      <c r="AJ19" s="709"/>
      <c r="AK19" s="709"/>
      <c r="AL19" s="709"/>
      <c r="AM19" s="709"/>
      <c r="AN19" s="709"/>
      <c r="AO19" s="709"/>
      <c r="AP19" s="709"/>
      <c r="AQ19" s="709"/>
      <c r="AR19" s="709"/>
      <c r="AS19" s="709"/>
      <c r="AT19" s="709"/>
      <c r="AU19" s="709"/>
      <c r="AV19" s="709"/>
      <c r="AW19" s="709"/>
      <c r="AX19" s="709"/>
      <c r="AY19" s="709"/>
      <c r="AZ19" s="212"/>
      <c r="BA19" s="213"/>
      <c r="BB19" s="213"/>
      <c r="BC19" s="214"/>
    </row>
    <row r="20" spans="1:1023" ht="9.6" customHeight="1" x14ac:dyDescent="0.25">
      <c r="A20" s="711" t="s">
        <v>1293</v>
      </c>
      <c r="B20" s="711"/>
      <c r="C20" s="711"/>
      <c r="D20" s="711"/>
      <c r="E20" s="711"/>
      <c r="F20" s="711"/>
      <c r="G20" s="711"/>
      <c r="H20" s="711"/>
      <c r="I20" s="711"/>
      <c r="J20" s="711"/>
      <c r="K20" s="711"/>
      <c r="L20" s="711"/>
      <c r="M20" s="711"/>
      <c r="N20" s="711"/>
      <c r="O20" s="711"/>
      <c r="P20" s="711"/>
      <c r="Q20" s="711"/>
      <c r="R20" s="711"/>
      <c r="S20" s="711"/>
      <c r="T20" s="711"/>
      <c r="U20" s="709"/>
      <c r="V20" s="709"/>
      <c r="W20" s="709"/>
      <c r="X20" s="709"/>
      <c r="Y20" s="709"/>
      <c r="Z20" s="709"/>
      <c r="AA20" s="709"/>
      <c r="AB20" s="709"/>
      <c r="AC20" s="709"/>
      <c r="AD20" s="709"/>
      <c r="AE20" s="709"/>
      <c r="AF20" s="709"/>
      <c r="AG20" s="709"/>
      <c r="AH20" s="709"/>
      <c r="AI20" s="709"/>
      <c r="AJ20" s="709"/>
      <c r="AK20" s="709"/>
      <c r="AL20" s="709"/>
      <c r="AM20" s="709"/>
      <c r="AN20" s="709"/>
      <c r="AO20" s="709"/>
      <c r="AP20" s="709"/>
      <c r="AQ20" s="709"/>
      <c r="AR20" s="709"/>
      <c r="AS20" s="709"/>
      <c r="AT20" s="709"/>
      <c r="AU20" s="709"/>
      <c r="AV20" s="709"/>
      <c r="AW20" s="709"/>
      <c r="AX20" s="709"/>
      <c r="AY20" s="709"/>
      <c r="AZ20" s="212"/>
      <c r="BA20" s="213"/>
      <c r="BB20" s="213"/>
      <c r="BC20" s="214"/>
    </row>
    <row r="21" spans="1:1023" ht="12.6" customHeight="1" x14ac:dyDescent="0.25">
      <c r="A21" s="708" t="s">
        <v>1294</v>
      </c>
      <c r="B21" s="708"/>
      <c r="C21" s="708"/>
      <c r="D21" s="708"/>
      <c r="E21" s="708"/>
      <c r="F21" s="708"/>
      <c r="G21" s="708"/>
      <c r="H21" s="708"/>
      <c r="I21" s="708"/>
      <c r="J21" s="708"/>
      <c r="K21" s="708"/>
      <c r="L21" s="708"/>
      <c r="M21" s="708"/>
      <c r="N21" s="708"/>
      <c r="O21" s="708"/>
      <c r="P21" s="708"/>
      <c r="Q21" s="708"/>
      <c r="R21" s="708"/>
      <c r="S21" s="708"/>
      <c r="T21" s="708"/>
      <c r="U21" s="709">
        <v>2</v>
      </c>
      <c r="V21" s="709"/>
      <c r="W21" s="709"/>
      <c r="X21" s="709"/>
      <c r="Y21" s="709"/>
      <c r="Z21" s="709"/>
      <c r="AA21" s="709"/>
      <c r="AB21" s="709"/>
      <c r="AC21" s="709"/>
      <c r="AD21" s="709"/>
      <c r="AE21" s="709"/>
      <c r="AF21" s="709"/>
      <c r="AG21" s="709"/>
      <c r="AH21" s="709">
        <v>2</v>
      </c>
      <c r="AI21" s="709"/>
      <c r="AJ21" s="709"/>
      <c r="AK21" s="709"/>
      <c r="AL21" s="709"/>
      <c r="AM21" s="709"/>
      <c r="AN21" s="709"/>
      <c r="AO21" s="709"/>
      <c r="AP21" s="709"/>
      <c r="AQ21" s="709"/>
      <c r="AR21" s="709"/>
      <c r="AS21" s="709"/>
      <c r="AT21" s="709"/>
      <c r="AU21" s="709"/>
      <c r="AV21" s="709"/>
      <c r="AW21" s="709"/>
      <c r="AX21" s="709"/>
      <c r="AY21" s="709"/>
      <c r="AZ21" s="212"/>
      <c r="BA21" s="213"/>
      <c r="BB21" s="213"/>
      <c r="BC21" s="214"/>
    </row>
    <row r="22" spans="1:1023" ht="13.15" customHeight="1" x14ac:dyDescent="0.25">
      <c r="A22" s="697" t="s">
        <v>1295</v>
      </c>
      <c r="B22" s="697"/>
      <c r="C22" s="697"/>
      <c r="D22" s="697"/>
      <c r="E22" s="697"/>
      <c r="F22" s="697"/>
      <c r="G22" s="697"/>
      <c r="H22" s="697"/>
      <c r="I22" s="697"/>
      <c r="J22" s="697"/>
      <c r="K22" s="697"/>
      <c r="L22" s="697"/>
      <c r="M22" s="697"/>
      <c r="N22" s="697"/>
      <c r="O22" s="697"/>
      <c r="P22" s="697"/>
      <c r="Q22" s="697"/>
      <c r="R22" s="697"/>
      <c r="S22" s="697"/>
      <c r="T22" s="697"/>
      <c r="U22" s="697"/>
      <c r="V22" s="697"/>
      <c r="W22" s="697"/>
      <c r="X22" s="697"/>
      <c r="Y22" s="697"/>
      <c r="Z22" s="697"/>
      <c r="AA22" s="697"/>
      <c r="AB22" s="697"/>
      <c r="AC22" s="697"/>
      <c r="AD22" s="697"/>
      <c r="AE22" s="697"/>
      <c r="AF22" s="697"/>
      <c r="AG22" s="697"/>
      <c r="AH22" s="697"/>
      <c r="AI22" s="697"/>
      <c r="AJ22" s="697"/>
      <c r="AK22" s="697"/>
      <c r="AL22" s="697"/>
      <c r="AM22" s="697"/>
      <c r="AN22" s="697"/>
      <c r="AO22" s="697"/>
      <c r="AP22" s="697"/>
      <c r="AQ22" s="697"/>
      <c r="AR22" s="697"/>
      <c r="AS22" s="697"/>
      <c r="AT22" s="697"/>
      <c r="AU22" s="697"/>
      <c r="AV22" s="697"/>
      <c r="AW22" s="697"/>
      <c r="AX22" s="697"/>
      <c r="AY22" s="697"/>
      <c r="AZ22" s="697"/>
      <c r="BA22" s="697"/>
      <c r="BB22" s="213"/>
      <c r="BC22" s="214"/>
    </row>
    <row r="23" spans="1:1023" ht="6" hidden="1" customHeight="1" x14ac:dyDescent="0.25">
      <c r="A23" s="697"/>
      <c r="B23" s="697"/>
      <c r="C23" s="697"/>
      <c r="D23" s="697"/>
      <c r="E23" s="697"/>
      <c r="F23" s="697"/>
      <c r="G23" s="697"/>
      <c r="H23" s="697"/>
      <c r="I23" s="697"/>
      <c r="J23" s="697"/>
      <c r="K23" s="697"/>
      <c r="L23" s="697"/>
      <c r="M23" s="697"/>
      <c r="N23" s="697"/>
      <c r="O23" s="697"/>
      <c r="P23" s="697"/>
      <c r="Q23" s="697"/>
      <c r="R23" s="697"/>
      <c r="S23" s="697"/>
      <c r="T23" s="697"/>
      <c r="U23" s="697"/>
      <c r="V23" s="697"/>
      <c r="W23" s="697"/>
      <c r="X23" s="697"/>
      <c r="Y23" s="697"/>
      <c r="Z23" s="697"/>
      <c r="AA23" s="697"/>
      <c r="AB23" s="697"/>
      <c r="AC23" s="697"/>
      <c r="AD23" s="697"/>
      <c r="AE23" s="697"/>
      <c r="AF23" s="697"/>
      <c r="AG23" s="697"/>
      <c r="AH23" s="697"/>
      <c r="AI23" s="697"/>
      <c r="AJ23" s="697"/>
      <c r="AK23" s="697"/>
      <c r="AL23" s="697"/>
      <c r="AM23" s="697"/>
      <c r="AN23" s="697"/>
      <c r="AO23" s="697"/>
      <c r="AP23" s="697"/>
      <c r="AQ23" s="697"/>
      <c r="AR23" s="697"/>
      <c r="AS23" s="697"/>
      <c r="AT23" s="697"/>
      <c r="AU23" s="697"/>
      <c r="AV23" s="697"/>
      <c r="AW23" s="697"/>
      <c r="AX23" s="697"/>
      <c r="AY23" s="697"/>
      <c r="AZ23" s="697"/>
      <c r="BA23" s="697"/>
      <c r="BB23" s="215"/>
    </row>
    <row r="24" spans="1:1023" ht="12.6" customHeight="1" x14ac:dyDescent="0.25">
      <c r="A24" s="703" t="s">
        <v>1296</v>
      </c>
      <c r="B24" s="703"/>
      <c r="C24" s="703"/>
      <c r="D24" s="703"/>
      <c r="E24" s="703"/>
      <c r="F24" s="703"/>
      <c r="G24" s="703"/>
      <c r="H24" s="703"/>
      <c r="I24" s="703"/>
      <c r="J24" s="703"/>
      <c r="K24" s="703"/>
      <c r="L24" s="703"/>
      <c r="M24" s="703"/>
      <c r="N24" s="703"/>
      <c r="O24" s="703"/>
      <c r="P24" s="703"/>
      <c r="Q24" s="703"/>
      <c r="R24" s="703"/>
      <c r="S24" s="703"/>
      <c r="T24" s="703"/>
      <c r="U24" s="703"/>
      <c r="V24" s="703"/>
      <c r="W24" s="703"/>
      <c r="X24" s="703"/>
      <c r="Y24" s="703"/>
      <c r="Z24" s="703"/>
      <c r="AA24" s="703"/>
      <c r="AB24" s="703"/>
      <c r="AC24" s="703"/>
      <c r="AD24" s="703"/>
      <c r="AE24" s="703"/>
      <c r="AF24" s="703"/>
      <c r="AG24" s="703"/>
      <c r="AH24" s="703"/>
      <c r="AI24" s="703"/>
      <c r="AJ24" s="703"/>
      <c r="AK24" s="703"/>
      <c r="AL24" s="703"/>
      <c r="AM24" s="703"/>
      <c r="AN24" s="703"/>
      <c r="AO24" s="703"/>
      <c r="AP24" s="703"/>
      <c r="AQ24" s="703"/>
      <c r="AR24" s="703"/>
      <c r="AS24" s="703"/>
      <c r="AT24" s="703"/>
      <c r="AU24" s="703"/>
      <c r="AV24" s="703"/>
      <c r="AW24" s="703"/>
      <c r="AX24" s="703"/>
      <c r="AY24" s="703"/>
      <c r="AZ24" s="703"/>
      <c r="BA24" s="703"/>
      <c r="BB24" s="703"/>
    </row>
    <row r="25" spans="1:1023" ht="12.6" customHeight="1" x14ac:dyDescent="0.25">
      <c r="A25" s="712" t="s">
        <v>1297</v>
      </c>
      <c r="B25" s="712"/>
      <c r="C25" s="713" t="s">
        <v>1272</v>
      </c>
      <c r="D25" s="713"/>
      <c r="E25" s="697" t="s">
        <v>1298</v>
      </c>
      <c r="F25" s="697"/>
      <c r="G25" s="697"/>
      <c r="H25" s="697"/>
      <c r="I25" s="697"/>
      <c r="J25" s="697"/>
      <c r="K25" s="697"/>
      <c r="L25" s="697"/>
      <c r="M25" s="697"/>
      <c r="N25" s="697"/>
      <c r="O25" s="697"/>
      <c r="P25" s="697"/>
      <c r="Q25" s="697"/>
      <c r="R25" s="697"/>
      <c r="S25" s="697"/>
      <c r="T25" s="697"/>
      <c r="U25" s="697"/>
      <c r="V25" s="697"/>
      <c r="W25" s="697"/>
      <c r="X25" s="697"/>
      <c r="Y25" s="697"/>
      <c r="Z25" s="697"/>
      <c r="AA25" s="697"/>
      <c r="AB25" s="697"/>
      <c r="AC25" s="697"/>
      <c r="AD25" s="697"/>
      <c r="AE25" s="697"/>
      <c r="AF25" s="697"/>
      <c r="AG25" s="697"/>
      <c r="AH25" s="697"/>
      <c r="AI25" s="697"/>
      <c r="AJ25" s="697"/>
      <c r="AK25" s="697"/>
      <c r="AL25" s="697"/>
      <c r="AM25" s="697"/>
      <c r="AN25" s="697"/>
      <c r="AO25" s="697"/>
      <c r="AP25" s="697"/>
      <c r="AQ25" s="697"/>
      <c r="AR25" s="697"/>
      <c r="AS25" s="697"/>
      <c r="AT25" s="697"/>
      <c r="AU25" s="697"/>
      <c r="AV25" s="697"/>
      <c r="AW25" s="697"/>
      <c r="AX25" s="697"/>
      <c r="AY25" s="697"/>
      <c r="AZ25" s="697"/>
      <c r="BA25" s="697"/>
      <c r="BB25" s="217"/>
    </row>
    <row r="26" spans="1:1023" ht="12.6" customHeight="1" x14ac:dyDescent="0.25">
      <c r="A26" s="703" t="s">
        <v>1299</v>
      </c>
      <c r="B26" s="703"/>
      <c r="C26" s="703"/>
      <c r="D26" s="703"/>
      <c r="E26" s="703"/>
      <c r="F26" s="703"/>
      <c r="G26" s="703"/>
      <c r="H26" s="703"/>
      <c r="I26" s="703"/>
      <c r="J26" s="703"/>
      <c r="K26" s="703"/>
      <c r="L26" s="703"/>
      <c r="M26" s="703"/>
      <c r="N26" s="703"/>
      <c r="O26" s="703"/>
      <c r="P26" s="703"/>
      <c r="Q26" s="703"/>
      <c r="R26" s="703"/>
      <c r="S26" s="703"/>
      <c r="T26" s="703"/>
      <c r="U26" s="703"/>
      <c r="V26" s="703"/>
      <c r="W26" s="703"/>
      <c r="X26" s="703"/>
      <c r="Y26" s="703"/>
      <c r="Z26" s="703"/>
      <c r="AA26" s="703"/>
      <c r="AB26" s="703"/>
      <c r="AC26" s="703"/>
      <c r="AD26" s="703"/>
      <c r="AE26" s="703"/>
      <c r="AF26" s="703"/>
      <c r="AG26" s="703"/>
      <c r="AH26" s="703"/>
      <c r="AI26" s="703"/>
      <c r="AJ26" s="703"/>
      <c r="AK26" s="703"/>
      <c r="AL26" s="703"/>
      <c r="AM26" s="703"/>
      <c r="AN26" s="703"/>
      <c r="AO26" s="703"/>
      <c r="AP26" s="703"/>
      <c r="AQ26" s="703"/>
      <c r="AR26" s="703"/>
      <c r="AS26" s="703"/>
      <c r="AT26" s="703"/>
      <c r="AU26" s="703"/>
      <c r="AV26" s="703"/>
      <c r="AW26" s="703"/>
      <c r="AX26" s="703"/>
      <c r="AY26" s="703"/>
      <c r="AZ26" s="703"/>
      <c r="BA26" s="703"/>
      <c r="BB26" s="703"/>
    </row>
    <row r="27" spans="1:1023" ht="26.25" customHeight="1" x14ac:dyDescent="0.25">
      <c r="A27" s="697" t="s">
        <v>1300</v>
      </c>
      <c r="B27" s="697"/>
      <c r="C27" s="697"/>
      <c r="D27" s="697"/>
      <c r="E27" s="697"/>
      <c r="F27" s="697"/>
      <c r="G27" s="697"/>
      <c r="H27" s="697"/>
      <c r="I27" s="697"/>
      <c r="J27" s="697"/>
      <c r="K27" s="697"/>
      <c r="L27" s="697"/>
      <c r="M27" s="697"/>
      <c r="N27" s="697"/>
      <c r="O27" s="697"/>
      <c r="P27" s="697"/>
      <c r="Q27" s="697"/>
      <c r="R27" s="697"/>
      <c r="S27" s="697"/>
      <c r="T27" s="697"/>
      <c r="U27" s="697"/>
      <c r="V27" s="697"/>
      <c r="W27" s="697"/>
      <c r="X27" s="697"/>
      <c r="Y27" s="697"/>
      <c r="Z27" s="697"/>
      <c r="AA27" s="697"/>
      <c r="AB27" s="697"/>
      <c r="AC27" s="697"/>
      <c r="AD27" s="697"/>
      <c r="AE27" s="697"/>
      <c r="AF27" s="697"/>
      <c r="AG27" s="697"/>
      <c r="AH27" s="697"/>
      <c r="AI27" s="697"/>
      <c r="AJ27" s="697"/>
      <c r="AK27" s="697"/>
      <c r="AL27" s="697"/>
      <c r="AM27" s="697"/>
      <c r="AN27" s="697"/>
      <c r="AO27" s="697"/>
      <c r="AP27" s="697"/>
      <c r="AQ27" s="697"/>
      <c r="AR27" s="697"/>
      <c r="AS27" s="697"/>
      <c r="AT27" s="697"/>
      <c r="AU27" s="697"/>
      <c r="AV27" s="697"/>
      <c r="AW27" s="697"/>
      <c r="AX27" s="697"/>
      <c r="AY27" s="697"/>
      <c r="AZ27" s="217"/>
      <c r="BA27" s="217"/>
      <c r="BB27" s="217"/>
    </row>
    <row r="28" spans="1:1023" ht="12.6" customHeight="1" x14ac:dyDescent="0.25">
      <c r="A28" s="703" t="s">
        <v>1301</v>
      </c>
      <c r="B28" s="703"/>
      <c r="C28" s="703"/>
      <c r="D28" s="703"/>
      <c r="E28" s="703"/>
      <c r="F28" s="703"/>
      <c r="G28" s="703"/>
      <c r="H28" s="703"/>
      <c r="I28" s="703"/>
      <c r="J28" s="703"/>
      <c r="K28" s="703"/>
      <c r="L28" s="703"/>
      <c r="M28" s="703"/>
      <c r="N28" s="703"/>
      <c r="O28" s="703"/>
      <c r="P28" s="713" t="s">
        <v>1276</v>
      </c>
      <c r="Q28" s="713"/>
      <c r="R28" s="713"/>
      <c r="S28" s="703" t="s">
        <v>1302</v>
      </c>
      <c r="T28" s="703"/>
      <c r="U28" s="703"/>
      <c r="V28" s="703"/>
      <c r="W28" s="703"/>
      <c r="X28" s="703"/>
      <c r="Y28" s="703"/>
      <c r="Z28" s="703"/>
      <c r="AA28" s="703"/>
      <c r="AB28" s="703"/>
      <c r="AC28" s="703"/>
      <c r="AD28" s="703"/>
      <c r="AE28" s="703"/>
      <c r="AF28" s="703"/>
      <c r="AG28" s="703"/>
      <c r="AH28" s="703"/>
      <c r="AI28" s="703"/>
      <c r="AJ28" s="703"/>
      <c r="AK28" s="703"/>
      <c r="AL28" s="703"/>
      <c r="AM28" s="703"/>
      <c r="AN28" s="703"/>
      <c r="AO28" s="703"/>
      <c r="AP28" s="703"/>
      <c r="AQ28" s="703"/>
      <c r="AR28" s="703"/>
      <c r="AS28" s="703"/>
      <c r="AT28" s="703"/>
      <c r="AU28" s="703"/>
      <c r="AV28" s="703"/>
      <c r="AW28" s="703"/>
      <c r="AX28" s="703"/>
      <c r="AY28" s="218"/>
      <c r="AZ28" s="703"/>
      <c r="BA28" s="703"/>
      <c r="BB28" s="703"/>
    </row>
    <row r="29" spans="1:1023" ht="12.6" customHeight="1" x14ac:dyDescent="0.25">
      <c r="A29" s="703" t="s">
        <v>1303</v>
      </c>
      <c r="B29" s="703"/>
      <c r="C29" s="703"/>
      <c r="D29" s="703"/>
      <c r="E29" s="703"/>
      <c r="F29" s="703"/>
      <c r="G29" s="703"/>
      <c r="H29" s="703"/>
      <c r="I29" s="703"/>
      <c r="J29" s="703"/>
      <c r="K29" s="703"/>
      <c r="L29" s="714" t="str">
        <f>VstupHlavička!$B$5</f>
        <v>01500</v>
      </c>
      <c r="M29" s="714"/>
      <c r="N29" s="714"/>
      <c r="O29" s="714"/>
      <c r="P29" s="703" t="str">
        <f>IFERROR(IF(VLOOKUP(L29,SKNACE!$A1:$B988,1)=L29,VLOOKUP(L29,SKNACE!$A1:$B988,2)),"")</f>
        <v>Zmiešané hospodárstvo</v>
      </c>
      <c r="Q29" s="703"/>
      <c r="R29" s="703"/>
      <c r="S29" s="703"/>
      <c r="T29" s="703"/>
      <c r="U29" s="703"/>
      <c r="V29" s="703"/>
      <c r="W29" s="703"/>
      <c r="X29" s="703"/>
      <c r="Y29" s="703"/>
      <c r="Z29" s="703"/>
      <c r="AA29" s="703"/>
      <c r="AB29" s="703"/>
      <c r="AC29" s="703"/>
      <c r="AD29" s="703"/>
      <c r="AE29" s="703"/>
      <c r="AF29" s="703"/>
      <c r="AG29" s="703"/>
      <c r="AH29" s="703"/>
      <c r="AI29" s="703"/>
      <c r="AJ29" s="703"/>
      <c r="AK29" s="703"/>
      <c r="AL29" s="703"/>
      <c r="AM29" s="703"/>
      <c r="AN29" s="703"/>
      <c r="AO29" s="703"/>
      <c r="AP29" s="703"/>
      <c r="AQ29" s="703"/>
      <c r="AR29" s="703"/>
      <c r="AS29" s="703"/>
      <c r="AT29" s="703"/>
      <c r="AU29" s="703"/>
      <c r="AV29" s="703"/>
      <c r="AW29" s="703"/>
      <c r="AX29" s="703"/>
      <c r="AY29" s="703"/>
      <c r="AZ29" s="205"/>
      <c r="BA29" s="205"/>
      <c r="BB29" s="205"/>
    </row>
    <row r="30" spans="1:1023" s="205" customFormat="1" ht="30" customHeight="1" x14ac:dyDescent="0.25">
      <c r="A30" s="703" t="s">
        <v>1304</v>
      </c>
      <c r="B30" s="703"/>
      <c r="C30" s="703"/>
      <c r="D30" s="703"/>
      <c r="E30" s="703"/>
      <c r="F30" s="703"/>
      <c r="G30" s="703"/>
      <c r="H30" s="703"/>
      <c r="I30" s="703"/>
      <c r="J30" s="703"/>
      <c r="K30" s="703"/>
      <c r="L30" s="703"/>
      <c r="M30" s="703"/>
      <c r="N30" s="703"/>
      <c r="O30" s="703"/>
      <c r="P30" s="703"/>
      <c r="Q30" s="703"/>
      <c r="R30" s="703"/>
      <c r="S30" s="703"/>
      <c r="T30" s="703"/>
      <c r="U30" s="703"/>
      <c r="V30" s="703"/>
      <c r="W30" s="703"/>
      <c r="X30" s="703"/>
      <c r="Y30" s="703"/>
      <c r="Z30" s="703"/>
      <c r="AA30" s="703"/>
      <c r="AB30" s="703"/>
      <c r="AC30" s="703"/>
      <c r="AD30" s="703"/>
      <c r="AE30" s="703"/>
      <c r="AF30" s="703"/>
      <c r="AG30" s="703"/>
      <c r="AH30" s="703"/>
      <c r="AI30" s="703"/>
      <c r="AJ30" s="703"/>
      <c r="AK30" s="703"/>
      <c r="AL30" s="703"/>
      <c r="AM30" s="703"/>
      <c r="AN30" s="703"/>
      <c r="AO30" s="703"/>
      <c r="AP30" s="703"/>
      <c r="AQ30" s="703"/>
      <c r="AR30" s="703"/>
      <c r="AS30" s="703"/>
      <c r="AT30" s="703"/>
      <c r="AU30" s="703"/>
      <c r="AV30" s="703"/>
      <c r="AW30" s="703"/>
      <c r="AX30" s="703"/>
      <c r="AY30" s="703"/>
      <c r="AZ30" s="703"/>
      <c r="BA30" s="703"/>
      <c r="BB30" s="703"/>
      <c r="BC30" s="703"/>
      <c r="BD30" s="703"/>
      <c r="BE30" s="703"/>
      <c r="BF30" s="703"/>
      <c r="BG30" s="703"/>
      <c r="BH30" s="703"/>
      <c r="BI30" s="703"/>
      <c r="BJ30" s="703"/>
      <c r="BK30" s="703"/>
      <c r="BL30" s="703"/>
      <c r="BM30" s="703"/>
      <c r="BN30" s="703"/>
      <c r="BO30" s="703"/>
      <c r="BP30" s="703"/>
      <c r="BQ30" s="703"/>
      <c r="BR30" s="703"/>
      <c r="BS30" s="703"/>
      <c r="BT30" s="703"/>
      <c r="BU30" s="703"/>
      <c r="BV30" s="703"/>
      <c r="BW30" s="703"/>
      <c r="BX30" s="703"/>
      <c r="BY30" s="703"/>
      <c r="BZ30" s="703"/>
      <c r="CA30" s="703"/>
      <c r="CB30" s="703"/>
      <c r="CC30" s="703"/>
      <c r="CD30" s="703"/>
      <c r="CE30" s="703"/>
      <c r="CF30" s="703"/>
      <c r="CG30" s="703"/>
      <c r="CH30" s="703"/>
      <c r="CI30" s="703"/>
      <c r="CJ30" s="703"/>
      <c r="CK30" s="703"/>
      <c r="CL30" s="703"/>
      <c r="CM30" s="703"/>
      <c r="CN30" s="703"/>
      <c r="CO30" s="703"/>
      <c r="CP30" s="703"/>
      <c r="CQ30" s="703"/>
      <c r="CR30" s="703"/>
      <c r="CS30" s="703"/>
      <c r="CT30" s="703"/>
      <c r="CU30" s="703"/>
      <c r="CV30" s="703"/>
      <c r="CW30" s="703"/>
      <c r="CX30" s="703"/>
      <c r="CY30" s="703"/>
      <c r="CZ30" s="703"/>
      <c r="DA30" s="703"/>
      <c r="DB30" s="703"/>
      <c r="DC30" s="703"/>
      <c r="DD30" s="703"/>
      <c r="DE30" s="703"/>
      <c r="DF30" s="703"/>
      <c r="DG30" s="703"/>
      <c r="DH30" s="703"/>
      <c r="DI30" s="703"/>
      <c r="DJ30" s="703"/>
      <c r="DK30" s="703"/>
      <c r="DL30" s="703"/>
      <c r="DM30" s="703"/>
      <c r="DN30" s="703"/>
      <c r="DO30" s="703"/>
      <c r="DP30" s="703"/>
      <c r="DQ30" s="703"/>
      <c r="DR30" s="703"/>
      <c r="DS30" s="703"/>
      <c r="DT30" s="703"/>
      <c r="DU30" s="703"/>
      <c r="DV30" s="703"/>
      <c r="DW30" s="703"/>
      <c r="DX30" s="703"/>
      <c r="DY30" s="703"/>
      <c r="DZ30" s="703"/>
      <c r="EA30" s="703"/>
      <c r="EB30" s="703"/>
      <c r="EC30" s="703"/>
      <c r="ED30" s="703"/>
      <c r="EE30" s="703"/>
      <c r="EF30" s="703"/>
      <c r="EG30" s="703"/>
      <c r="EH30" s="703"/>
      <c r="EI30" s="703"/>
      <c r="EJ30" s="703"/>
      <c r="EK30" s="703"/>
      <c r="EL30" s="703"/>
      <c r="EM30" s="703"/>
      <c r="EN30" s="703"/>
      <c r="EO30" s="703"/>
      <c r="EP30" s="703"/>
      <c r="EQ30" s="703"/>
      <c r="ER30" s="703"/>
      <c r="ES30" s="703"/>
      <c r="ET30" s="703"/>
      <c r="EU30" s="703"/>
      <c r="EV30" s="703"/>
      <c r="EW30" s="703"/>
      <c r="EX30" s="703"/>
      <c r="EY30" s="703"/>
      <c r="EZ30" s="703"/>
      <c r="FA30" s="703"/>
      <c r="FB30" s="703"/>
      <c r="FC30" s="703"/>
      <c r="FD30" s="703"/>
      <c r="FE30" s="703"/>
      <c r="FF30" s="703"/>
      <c r="FG30" s="703"/>
      <c r="FH30" s="703"/>
      <c r="FI30" s="703"/>
      <c r="FJ30" s="703"/>
      <c r="FK30" s="703"/>
      <c r="FL30" s="703"/>
      <c r="FM30" s="703"/>
      <c r="FN30" s="703"/>
      <c r="FO30" s="703"/>
      <c r="FP30" s="703"/>
      <c r="FQ30" s="703"/>
      <c r="FR30" s="703"/>
      <c r="FS30" s="703"/>
      <c r="FT30" s="703"/>
      <c r="FU30" s="703"/>
      <c r="FV30" s="703"/>
      <c r="FW30" s="703"/>
      <c r="FX30" s="703"/>
      <c r="FY30" s="703"/>
      <c r="FZ30" s="703"/>
      <c r="GA30" s="703"/>
      <c r="GB30" s="703"/>
      <c r="GC30" s="703"/>
      <c r="GD30" s="703"/>
      <c r="GE30" s="703"/>
      <c r="GF30" s="703"/>
      <c r="GG30" s="703"/>
      <c r="GH30" s="703"/>
      <c r="GI30" s="703"/>
      <c r="GJ30" s="703"/>
      <c r="GK30" s="703"/>
      <c r="GL30" s="703"/>
      <c r="GM30" s="703"/>
      <c r="GN30" s="703"/>
      <c r="GO30" s="703"/>
      <c r="GP30" s="703"/>
      <c r="GQ30" s="703"/>
      <c r="GR30" s="703"/>
      <c r="GS30" s="703"/>
      <c r="GT30" s="703"/>
      <c r="GU30" s="703"/>
      <c r="GV30" s="703"/>
      <c r="GW30" s="703"/>
      <c r="GX30" s="703"/>
      <c r="GY30" s="703"/>
      <c r="GZ30" s="703"/>
      <c r="HA30" s="703"/>
      <c r="HB30" s="703"/>
      <c r="HC30" s="703"/>
      <c r="HD30" s="703"/>
      <c r="HE30" s="703"/>
      <c r="HF30" s="703"/>
      <c r="HG30" s="703"/>
      <c r="HH30" s="703"/>
      <c r="HI30" s="703"/>
      <c r="HJ30" s="703"/>
      <c r="HK30" s="703"/>
      <c r="HL30" s="703"/>
      <c r="HM30" s="703"/>
      <c r="HN30" s="703"/>
      <c r="HO30" s="703"/>
      <c r="HP30" s="703"/>
      <c r="HQ30" s="703"/>
      <c r="HR30" s="703"/>
      <c r="HS30" s="703"/>
      <c r="HT30" s="703"/>
      <c r="HU30" s="703"/>
      <c r="HV30" s="703"/>
      <c r="HW30" s="703"/>
      <c r="HX30" s="703"/>
      <c r="HY30" s="703"/>
      <c r="HZ30" s="703"/>
      <c r="IA30" s="703"/>
      <c r="IB30" s="703"/>
      <c r="IC30" s="703"/>
      <c r="ID30" s="703"/>
      <c r="IE30" s="703"/>
      <c r="IF30" s="703"/>
      <c r="IG30" s="703"/>
      <c r="IH30" s="703"/>
      <c r="II30" s="703"/>
      <c r="IJ30" s="703"/>
      <c r="IK30" s="703"/>
      <c r="IL30" s="703"/>
      <c r="IM30" s="703"/>
      <c r="IN30" s="703"/>
      <c r="IO30" s="703"/>
      <c r="IP30" s="703"/>
      <c r="IQ30" s="703"/>
      <c r="IR30" s="703"/>
      <c r="IS30" s="703"/>
      <c r="IT30" s="703"/>
      <c r="IU30" s="703"/>
      <c r="IV30" s="703"/>
      <c r="IW30" s="703"/>
      <c r="IX30" s="703"/>
      <c r="IY30" s="703"/>
      <c r="IZ30" s="703"/>
      <c r="JA30" s="703"/>
      <c r="JB30" s="703"/>
      <c r="JC30" s="703"/>
      <c r="JD30" s="703"/>
      <c r="JE30" s="703"/>
      <c r="JF30" s="703"/>
      <c r="JG30" s="703"/>
      <c r="JH30" s="703"/>
      <c r="JI30" s="703"/>
      <c r="JJ30" s="703"/>
      <c r="JK30" s="703"/>
      <c r="JL30" s="703"/>
      <c r="JM30" s="703"/>
      <c r="JN30" s="703"/>
      <c r="JO30" s="703"/>
      <c r="JP30" s="703"/>
      <c r="JQ30" s="703"/>
      <c r="JR30" s="703"/>
      <c r="JS30" s="703"/>
      <c r="JT30" s="703"/>
      <c r="JU30" s="703"/>
      <c r="JV30" s="703"/>
      <c r="JW30" s="703"/>
      <c r="JX30" s="703"/>
      <c r="JY30" s="703"/>
      <c r="JZ30" s="703"/>
      <c r="KA30" s="703"/>
      <c r="KB30" s="703"/>
      <c r="KC30" s="703"/>
      <c r="KD30" s="703"/>
      <c r="KE30" s="703"/>
      <c r="KF30" s="703"/>
      <c r="KG30" s="703"/>
      <c r="KH30" s="703"/>
      <c r="KI30" s="703"/>
      <c r="KJ30" s="703"/>
      <c r="KK30" s="703"/>
      <c r="KL30" s="703"/>
      <c r="KM30" s="703"/>
      <c r="KN30" s="703"/>
      <c r="KO30" s="703"/>
      <c r="KP30" s="703"/>
      <c r="KQ30" s="703"/>
      <c r="KR30" s="703"/>
      <c r="KS30" s="703"/>
      <c r="KT30" s="703"/>
      <c r="KU30" s="703"/>
      <c r="KV30" s="703"/>
      <c r="KW30" s="703"/>
      <c r="KX30" s="703"/>
      <c r="KY30" s="703"/>
      <c r="KZ30" s="703"/>
      <c r="LA30" s="703"/>
      <c r="LB30" s="703"/>
      <c r="LC30" s="703"/>
      <c r="LD30" s="703"/>
      <c r="LE30" s="703"/>
      <c r="LF30" s="703"/>
      <c r="LG30" s="703"/>
      <c r="LH30" s="703"/>
      <c r="LI30" s="703"/>
      <c r="LJ30" s="703"/>
      <c r="LK30" s="703"/>
      <c r="LL30" s="703"/>
      <c r="LM30" s="703"/>
      <c r="LN30" s="703"/>
      <c r="LO30" s="703"/>
      <c r="LP30" s="703"/>
      <c r="LQ30" s="703"/>
      <c r="LR30" s="703"/>
      <c r="LS30" s="703"/>
      <c r="LT30" s="703"/>
      <c r="LU30" s="703"/>
      <c r="LV30" s="703"/>
      <c r="LW30" s="703"/>
      <c r="LX30" s="703"/>
      <c r="LY30" s="703"/>
      <c r="LZ30" s="703"/>
      <c r="MA30" s="703"/>
      <c r="MB30" s="703"/>
      <c r="MC30" s="703"/>
      <c r="MD30" s="703"/>
      <c r="ME30" s="703"/>
      <c r="MF30" s="703"/>
      <c r="MG30" s="703"/>
      <c r="MH30" s="703"/>
      <c r="MI30" s="703"/>
      <c r="MJ30" s="703"/>
      <c r="MK30" s="703"/>
      <c r="ML30" s="703"/>
      <c r="MM30" s="703"/>
      <c r="MN30" s="703"/>
      <c r="MO30" s="703"/>
      <c r="MP30" s="703"/>
      <c r="MQ30" s="703"/>
      <c r="MR30" s="703"/>
      <c r="MS30" s="703"/>
      <c r="MT30" s="703"/>
      <c r="MU30" s="703"/>
      <c r="MV30" s="703"/>
      <c r="MW30" s="703"/>
      <c r="MX30" s="703"/>
      <c r="MY30" s="703"/>
      <c r="MZ30" s="703"/>
      <c r="NA30" s="703"/>
      <c r="NB30" s="703"/>
      <c r="NC30" s="703"/>
      <c r="ND30" s="703"/>
      <c r="NE30" s="703"/>
      <c r="NF30" s="703"/>
      <c r="NG30" s="703"/>
      <c r="NH30" s="703"/>
      <c r="NI30" s="703"/>
      <c r="NJ30" s="703"/>
      <c r="NK30" s="703"/>
      <c r="NL30" s="703"/>
      <c r="NM30" s="703"/>
      <c r="NN30" s="703"/>
      <c r="NO30" s="703"/>
      <c r="NP30" s="703"/>
      <c r="NQ30" s="703"/>
      <c r="NR30" s="703"/>
      <c r="NS30" s="703"/>
      <c r="NT30" s="703"/>
      <c r="NU30" s="703"/>
      <c r="NV30" s="703"/>
      <c r="NW30" s="703"/>
      <c r="NX30" s="703"/>
      <c r="NY30" s="703"/>
      <c r="NZ30" s="703"/>
      <c r="OA30" s="703"/>
      <c r="OB30" s="703"/>
      <c r="OC30" s="703"/>
      <c r="OD30" s="703"/>
      <c r="OE30" s="703"/>
      <c r="OF30" s="703"/>
      <c r="OG30" s="703"/>
      <c r="OH30" s="703"/>
      <c r="OI30" s="703"/>
      <c r="OJ30" s="703"/>
      <c r="OK30" s="703"/>
      <c r="OL30" s="703"/>
      <c r="OM30" s="703"/>
      <c r="ON30" s="703"/>
      <c r="OO30" s="703"/>
      <c r="OP30" s="703"/>
      <c r="OQ30" s="703"/>
      <c r="OR30" s="703"/>
      <c r="OS30" s="703"/>
      <c r="OT30" s="703"/>
      <c r="OU30" s="703"/>
      <c r="OV30" s="703"/>
      <c r="OW30" s="703"/>
      <c r="OX30" s="703"/>
      <c r="OY30" s="703"/>
      <c r="OZ30" s="703"/>
      <c r="PA30" s="703"/>
      <c r="PB30" s="703"/>
      <c r="PC30" s="703"/>
      <c r="PD30" s="703"/>
      <c r="PE30" s="703"/>
      <c r="PF30" s="703"/>
      <c r="PG30" s="703"/>
      <c r="PH30" s="703"/>
      <c r="PI30" s="703"/>
      <c r="PJ30" s="703"/>
      <c r="PK30" s="703"/>
      <c r="PL30" s="703"/>
      <c r="PM30" s="703"/>
      <c r="PN30" s="703"/>
      <c r="PO30" s="703"/>
      <c r="PP30" s="703"/>
      <c r="PQ30" s="703"/>
      <c r="PR30" s="703"/>
      <c r="PS30" s="703"/>
      <c r="PT30" s="703"/>
      <c r="PU30" s="703"/>
      <c r="PV30" s="703"/>
      <c r="PW30" s="703"/>
      <c r="PX30" s="703"/>
      <c r="PY30" s="703"/>
      <c r="PZ30" s="703"/>
      <c r="QA30" s="703"/>
      <c r="QB30" s="703"/>
      <c r="QC30" s="703"/>
      <c r="QD30" s="703"/>
      <c r="QE30" s="703"/>
      <c r="QF30" s="703"/>
      <c r="QG30" s="703"/>
      <c r="QH30" s="703"/>
      <c r="QI30" s="703"/>
      <c r="QJ30" s="703"/>
      <c r="QK30" s="703"/>
      <c r="QL30" s="703"/>
      <c r="QM30" s="703"/>
      <c r="QN30" s="703"/>
      <c r="QO30" s="703"/>
      <c r="QP30" s="703"/>
      <c r="QQ30" s="703"/>
      <c r="QR30" s="703"/>
      <c r="QS30" s="703"/>
      <c r="QT30" s="703"/>
      <c r="QU30" s="703"/>
      <c r="QV30" s="703"/>
      <c r="QW30" s="703"/>
      <c r="QX30" s="703"/>
      <c r="QY30" s="703"/>
      <c r="QZ30" s="703"/>
      <c r="RA30" s="703"/>
      <c r="RB30" s="703"/>
      <c r="RC30" s="703"/>
      <c r="RD30" s="703"/>
      <c r="RE30" s="703"/>
      <c r="RF30" s="703"/>
      <c r="RG30" s="703"/>
      <c r="RH30" s="703"/>
      <c r="RI30" s="703"/>
      <c r="RJ30" s="703"/>
      <c r="RK30" s="703"/>
      <c r="RL30" s="703"/>
      <c r="RM30" s="703"/>
      <c r="RN30" s="703"/>
      <c r="RO30" s="703"/>
      <c r="RP30" s="703"/>
      <c r="RQ30" s="703"/>
      <c r="RR30" s="703"/>
      <c r="RS30" s="703"/>
      <c r="RT30" s="703"/>
      <c r="RU30" s="703"/>
      <c r="RV30" s="703"/>
      <c r="RW30" s="703"/>
      <c r="RX30" s="703"/>
      <c r="RY30" s="703"/>
      <c r="RZ30" s="703"/>
      <c r="SA30" s="703"/>
      <c r="SB30" s="703"/>
      <c r="SC30" s="703"/>
      <c r="SD30" s="703"/>
      <c r="SE30" s="703"/>
      <c r="SF30" s="703"/>
      <c r="SG30" s="703"/>
      <c r="SH30" s="703"/>
      <c r="SI30" s="703"/>
      <c r="SJ30" s="703"/>
      <c r="SK30" s="703"/>
      <c r="SL30" s="703"/>
      <c r="SM30" s="703"/>
      <c r="SN30" s="703"/>
      <c r="SO30" s="703"/>
      <c r="SP30" s="703"/>
      <c r="SQ30" s="703"/>
      <c r="SR30" s="703"/>
      <c r="SS30" s="703"/>
      <c r="ST30" s="703"/>
      <c r="SU30" s="703"/>
      <c r="SV30" s="703"/>
      <c r="SW30" s="703"/>
      <c r="SX30" s="703"/>
      <c r="SY30" s="703"/>
      <c r="SZ30" s="703"/>
      <c r="TA30" s="703"/>
      <c r="TB30" s="703"/>
      <c r="TC30" s="703"/>
      <c r="TD30" s="703"/>
      <c r="TE30" s="703"/>
      <c r="TF30" s="703"/>
      <c r="TG30" s="703"/>
      <c r="TH30" s="703"/>
      <c r="TI30" s="703"/>
      <c r="TJ30" s="703"/>
      <c r="TK30" s="703"/>
      <c r="TL30" s="703"/>
      <c r="TM30" s="703"/>
      <c r="TN30" s="703"/>
      <c r="TO30" s="703"/>
      <c r="TP30" s="703"/>
      <c r="TQ30" s="703"/>
      <c r="TR30" s="703"/>
      <c r="TS30" s="703"/>
      <c r="TT30" s="703"/>
      <c r="TU30" s="703"/>
      <c r="TV30" s="703"/>
      <c r="TW30" s="703"/>
      <c r="TX30" s="703"/>
      <c r="TY30" s="703"/>
      <c r="TZ30" s="703"/>
      <c r="UA30" s="703"/>
      <c r="UB30" s="703"/>
      <c r="UC30" s="703"/>
      <c r="UD30" s="703"/>
      <c r="UE30" s="703"/>
      <c r="UF30" s="703"/>
      <c r="UG30" s="703"/>
      <c r="UH30" s="703"/>
      <c r="UI30" s="703"/>
      <c r="UJ30" s="703"/>
      <c r="UK30" s="703"/>
      <c r="UL30" s="703"/>
      <c r="UM30" s="703"/>
      <c r="UN30" s="703"/>
      <c r="UO30" s="703"/>
      <c r="UP30" s="703"/>
      <c r="UQ30" s="703"/>
      <c r="UR30" s="703"/>
      <c r="US30" s="703"/>
      <c r="UT30" s="703"/>
      <c r="UU30" s="703"/>
      <c r="UV30" s="703"/>
      <c r="UW30" s="703"/>
      <c r="UX30" s="703"/>
      <c r="UY30" s="703"/>
      <c r="UZ30" s="703"/>
      <c r="VA30" s="703"/>
      <c r="VB30" s="703"/>
      <c r="VC30" s="703"/>
      <c r="VD30" s="703"/>
      <c r="VE30" s="703"/>
      <c r="VF30" s="703"/>
      <c r="VG30" s="703"/>
      <c r="VH30" s="703"/>
      <c r="VI30" s="703"/>
      <c r="VJ30" s="703"/>
      <c r="VK30" s="703"/>
      <c r="VL30" s="703"/>
      <c r="VM30" s="703"/>
      <c r="VN30" s="703"/>
      <c r="VO30" s="703"/>
      <c r="VP30" s="703"/>
      <c r="VQ30" s="703"/>
      <c r="VR30" s="703"/>
      <c r="VS30" s="703"/>
      <c r="VT30" s="703"/>
      <c r="VU30" s="703"/>
      <c r="VV30" s="703"/>
      <c r="VW30" s="703"/>
      <c r="VX30" s="703"/>
      <c r="VY30" s="703"/>
      <c r="VZ30" s="703"/>
      <c r="WA30" s="703"/>
      <c r="WB30" s="703"/>
      <c r="WC30" s="703"/>
      <c r="WD30" s="703"/>
      <c r="WE30" s="703"/>
      <c r="WF30" s="703"/>
      <c r="WG30" s="703"/>
      <c r="WH30" s="703"/>
      <c r="WI30" s="703"/>
      <c r="WJ30" s="703"/>
      <c r="WK30" s="703"/>
      <c r="WL30" s="703"/>
      <c r="WM30" s="703"/>
      <c r="WN30" s="703"/>
      <c r="WO30" s="703"/>
      <c r="WP30" s="703"/>
      <c r="WQ30" s="703"/>
      <c r="WR30" s="703"/>
      <c r="WS30" s="703"/>
      <c r="WT30" s="703"/>
      <c r="WU30" s="703"/>
      <c r="WV30" s="703"/>
      <c r="WW30" s="703"/>
      <c r="WX30" s="703"/>
      <c r="WY30" s="703"/>
      <c r="WZ30" s="703"/>
      <c r="XA30" s="703"/>
      <c r="XB30" s="703"/>
      <c r="XC30" s="703"/>
      <c r="XD30" s="703"/>
      <c r="XE30" s="703"/>
      <c r="XF30" s="703"/>
      <c r="XG30" s="703"/>
      <c r="XH30" s="703"/>
      <c r="XI30" s="703"/>
      <c r="XJ30" s="703"/>
      <c r="XK30" s="703"/>
      <c r="XL30" s="703"/>
      <c r="XM30" s="703"/>
      <c r="XN30" s="703"/>
      <c r="XO30" s="703"/>
      <c r="XP30" s="703"/>
      <c r="XQ30" s="703"/>
      <c r="XR30" s="703"/>
      <c r="XS30" s="703"/>
      <c r="XT30" s="703"/>
      <c r="XU30" s="703"/>
      <c r="XV30" s="703"/>
      <c r="XW30" s="703"/>
      <c r="XX30" s="703"/>
      <c r="XY30" s="703"/>
      <c r="XZ30" s="703"/>
      <c r="YA30" s="703"/>
      <c r="YB30" s="703"/>
      <c r="YC30" s="703"/>
      <c r="YD30" s="703"/>
      <c r="YE30" s="703"/>
      <c r="YF30" s="703"/>
      <c r="YG30" s="703"/>
      <c r="YH30" s="703"/>
      <c r="YI30" s="703"/>
      <c r="YJ30" s="703"/>
      <c r="YK30" s="703"/>
      <c r="YL30" s="703"/>
      <c r="YM30" s="703"/>
      <c r="YN30" s="703"/>
      <c r="YO30" s="703"/>
      <c r="YP30" s="703"/>
      <c r="YQ30" s="703"/>
      <c r="YR30" s="703"/>
      <c r="YS30" s="703"/>
      <c r="YT30" s="703"/>
      <c r="YU30" s="703"/>
      <c r="YV30" s="703"/>
      <c r="YW30" s="703"/>
      <c r="YX30" s="703"/>
      <c r="YY30" s="703"/>
      <c r="YZ30" s="703"/>
      <c r="ZA30" s="703"/>
      <c r="ZB30" s="703"/>
      <c r="ZC30" s="703"/>
      <c r="ZD30" s="703"/>
      <c r="ZE30" s="703"/>
      <c r="ZF30" s="703"/>
      <c r="ZG30" s="703"/>
      <c r="ZH30" s="703"/>
      <c r="ZI30" s="703"/>
      <c r="ZJ30" s="703"/>
      <c r="ZK30" s="703"/>
      <c r="ZL30" s="703"/>
      <c r="ZM30" s="703"/>
      <c r="ZN30" s="703"/>
      <c r="ZO30" s="703"/>
      <c r="ZP30" s="703"/>
      <c r="ZQ30" s="703"/>
      <c r="ZR30" s="703"/>
      <c r="ZS30" s="703"/>
      <c r="ZT30" s="703"/>
      <c r="ZU30" s="703"/>
      <c r="ZV30" s="703"/>
      <c r="ZW30" s="703"/>
      <c r="ZX30" s="703"/>
      <c r="ZY30" s="703"/>
      <c r="ZZ30" s="703"/>
      <c r="AAA30" s="703"/>
      <c r="AAB30" s="703"/>
      <c r="AAC30" s="703"/>
      <c r="AAD30" s="703"/>
      <c r="AAE30" s="703"/>
      <c r="AAF30" s="703"/>
      <c r="AAG30" s="703"/>
      <c r="AAH30" s="703"/>
      <c r="AAI30" s="703"/>
      <c r="AAJ30" s="703"/>
      <c r="AAK30" s="703"/>
      <c r="AAL30" s="703"/>
      <c r="AAM30" s="703"/>
      <c r="AAN30" s="703"/>
      <c r="AAO30" s="703"/>
      <c r="AAP30" s="703"/>
      <c r="AAQ30" s="703"/>
      <c r="AAR30" s="703"/>
      <c r="AAS30" s="703"/>
      <c r="AAT30" s="703"/>
      <c r="AAU30" s="703"/>
      <c r="AAV30" s="703"/>
      <c r="AAW30" s="703"/>
      <c r="AAX30" s="703"/>
      <c r="AAY30" s="703"/>
      <c r="AAZ30" s="703"/>
      <c r="ABA30" s="703"/>
      <c r="ABB30" s="703"/>
      <c r="ABC30" s="703"/>
      <c r="ABD30" s="703"/>
      <c r="ABE30" s="703"/>
      <c r="ABF30" s="703"/>
      <c r="ABG30" s="703"/>
      <c r="ABH30" s="703"/>
      <c r="ABI30" s="703"/>
      <c r="ABJ30" s="703"/>
      <c r="ABK30" s="703"/>
      <c r="ABL30" s="703"/>
      <c r="ABM30" s="703"/>
      <c r="ABN30" s="703"/>
      <c r="ABO30" s="703"/>
      <c r="ABP30" s="703"/>
      <c r="ABQ30" s="703"/>
      <c r="ABR30" s="703"/>
      <c r="ABS30" s="703"/>
      <c r="ABT30" s="703"/>
      <c r="ABU30" s="703"/>
      <c r="ABV30" s="703"/>
      <c r="ABW30" s="703"/>
      <c r="ABX30" s="703"/>
      <c r="ABY30" s="703"/>
      <c r="ABZ30" s="703"/>
      <c r="ACA30" s="703"/>
      <c r="ACB30" s="703"/>
      <c r="ACC30" s="703"/>
      <c r="ACD30" s="703"/>
      <c r="ACE30" s="703"/>
      <c r="ACF30" s="703"/>
      <c r="ACG30" s="703"/>
      <c r="ACH30" s="703"/>
      <c r="ACI30" s="703"/>
      <c r="ACJ30" s="703"/>
      <c r="ACK30" s="703"/>
      <c r="ACL30" s="703"/>
      <c r="ACM30" s="703"/>
      <c r="ACN30" s="703"/>
      <c r="ACO30" s="703"/>
      <c r="ACP30" s="703"/>
      <c r="ACQ30" s="703"/>
      <c r="ACR30" s="703"/>
      <c r="ACS30" s="703"/>
      <c r="ACT30" s="703"/>
      <c r="ACU30" s="703"/>
      <c r="ACV30" s="703"/>
      <c r="ACW30" s="703"/>
      <c r="ACX30" s="703"/>
      <c r="ACY30" s="703"/>
      <c r="ACZ30" s="703"/>
      <c r="ADA30" s="703"/>
      <c r="ADB30" s="703"/>
      <c r="ADC30" s="703"/>
      <c r="ADD30" s="703"/>
      <c r="ADE30" s="703"/>
      <c r="ADF30" s="703"/>
      <c r="ADG30" s="703"/>
      <c r="ADH30" s="703"/>
      <c r="ADI30" s="703"/>
      <c r="ADJ30" s="703"/>
      <c r="ADK30" s="703"/>
      <c r="ADL30" s="703"/>
      <c r="ADM30" s="703"/>
      <c r="ADN30" s="703"/>
      <c r="ADO30" s="703"/>
      <c r="ADP30" s="703"/>
      <c r="ADQ30" s="703"/>
      <c r="ADR30" s="703"/>
      <c r="ADS30" s="703"/>
      <c r="ADT30" s="703"/>
      <c r="ADU30" s="703"/>
      <c r="ADV30" s="703"/>
      <c r="ADW30" s="703"/>
      <c r="ADX30" s="703"/>
      <c r="ADY30" s="703"/>
      <c r="ADZ30" s="703"/>
      <c r="AEA30" s="703"/>
      <c r="AEB30" s="703"/>
      <c r="AEC30" s="703"/>
      <c r="AED30" s="703"/>
      <c r="AEE30" s="703"/>
      <c r="AEF30" s="703"/>
      <c r="AEG30" s="703"/>
      <c r="AEH30" s="703"/>
      <c r="AEI30" s="703"/>
      <c r="AEJ30" s="703"/>
      <c r="AEK30" s="703"/>
      <c r="AEL30" s="703"/>
      <c r="AEM30" s="703"/>
      <c r="AEN30" s="703"/>
      <c r="AEO30" s="703"/>
      <c r="AEP30" s="703"/>
      <c r="AEQ30" s="703"/>
      <c r="AER30" s="703"/>
      <c r="AES30" s="703"/>
      <c r="AET30" s="703"/>
      <c r="AEU30" s="703"/>
      <c r="AEV30" s="703"/>
      <c r="AEW30" s="703"/>
      <c r="AEX30" s="703"/>
      <c r="AEY30" s="703"/>
      <c r="AEZ30" s="703"/>
      <c r="AFA30" s="703"/>
      <c r="AFB30" s="703"/>
      <c r="AFC30" s="703"/>
      <c r="AFD30" s="703"/>
      <c r="AFE30" s="703"/>
      <c r="AFF30" s="703"/>
      <c r="AFG30" s="703"/>
      <c r="AFH30" s="703"/>
      <c r="AFI30" s="703"/>
      <c r="AFJ30" s="703"/>
      <c r="AFK30" s="703"/>
      <c r="AFL30" s="703"/>
      <c r="AFM30" s="703"/>
      <c r="AFN30" s="703"/>
      <c r="AFO30" s="703"/>
      <c r="AFP30" s="703"/>
      <c r="AFQ30" s="703"/>
      <c r="AFR30" s="703"/>
      <c r="AFS30" s="703"/>
      <c r="AFT30" s="703"/>
      <c r="AFU30" s="703"/>
      <c r="AFV30" s="703"/>
      <c r="AFW30" s="703"/>
      <c r="AFX30" s="703"/>
      <c r="AFY30" s="703"/>
      <c r="AFZ30" s="703"/>
      <c r="AGA30" s="703"/>
      <c r="AGB30" s="703"/>
      <c r="AGC30" s="703"/>
      <c r="AGD30" s="703"/>
      <c r="AGE30" s="703"/>
      <c r="AGF30" s="703"/>
      <c r="AGG30" s="703"/>
      <c r="AGH30" s="703"/>
      <c r="AGI30" s="703"/>
      <c r="AGJ30" s="703"/>
      <c r="AGK30" s="703"/>
      <c r="AGL30" s="703"/>
      <c r="AGM30" s="703"/>
      <c r="AGN30" s="703"/>
      <c r="AGO30" s="703"/>
      <c r="AGP30" s="703"/>
      <c r="AGQ30" s="703"/>
      <c r="AGR30" s="703"/>
      <c r="AGS30" s="703"/>
      <c r="AGT30" s="703"/>
      <c r="AGU30" s="703"/>
      <c r="AGV30" s="703"/>
      <c r="AGW30" s="703"/>
      <c r="AGX30" s="703"/>
      <c r="AGY30" s="703"/>
      <c r="AGZ30" s="703"/>
      <c r="AHA30" s="703"/>
      <c r="AHB30" s="703"/>
      <c r="AHC30" s="703"/>
      <c r="AHD30" s="703"/>
      <c r="AHE30" s="703"/>
      <c r="AHF30" s="703"/>
      <c r="AHG30" s="703"/>
      <c r="AHH30" s="703"/>
      <c r="AHI30" s="703"/>
      <c r="AHJ30" s="703"/>
      <c r="AHK30" s="703"/>
      <c r="AHL30" s="703"/>
      <c r="AHM30" s="703"/>
      <c r="AHN30" s="703"/>
      <c r="AHO30" s="703"/>
      <c r="AHP30" s="703"/>
      <c r="AHQ30" s="703"/>
      <c r="AHR30" s="703"/>
      <c r="AHS30" s="703"/>
      <c r="AHT30" s="703"/>
      <c r="AHU30" s="703"/>
      <c r="AHV30" s="703"/>
      <c r="AHW30" s="703"/>
      <c r="AHX30" s="703"/>
      <c r="AHY30" s="703"/>
      <c r="AHZ30" s="703"/>
      <c r="AIA30" s="703"/>
      <c r="AIB30" s="703"/>
      <c r="AIC30" s="703"/>
      <c r="AID30" s="703"/>
      <c r="AIE30" s="703"/>
      <c r="AIF30" s="703"/>
      <c r="AIG30" s="703"/>
      <c r="AIH30" s="703"/>
      <c r="AII30" s="703"/>
      <c r="AIJ30" s="703"/>
      <c r="AIK30" s="703"/>
      <c r="AIL30" s="703"/>
      <c r="AIM30" s="703"/>
      <c r="AIN30" s="703"/>
      <c r="AIO30" s="703"/>
      <c r="AIP30" s="703"/>
      <c r="AIQ30" s="703"/>
      <c r="AIR30" s="703"/>
      <c r="AIS30" s="703"/>
      <c r="AIT30" s="703"/>
      <c r="AIU30" s="703"/>
      <c r="AIV30" s="703"/>
      <c r="AIW30" s="703"/>
      <c r="AIX30" s="703"/>
      <c r="AIY30" s="703"/>
      <c r="AIZ30" s="703"/>
      <c r="AJA30" s="703"/>
      <c r="AJB30" s="703"/>
      <c r="AJC30" s="703"/>
      <c r="AJD30" s="703"/>
      <c r="AJE30" s="703"/>
      <c r="AJF30" s="703"/>
      <c r="AJG30" s="703"/>
      <c r="AJH30" s="703"/>
      <c r="AJI30" s="703"/>
      <c r="AJJ30" s="703"/>
      <c r="AJK30" s="703"/>
      <c r="AJL30" s="703"/>
      <c r="AJM30" s="703"/>
      <c r="AJN30" s="703"/>
      <c r="AJO30" s="703"/>
      <c r="AJP30" s="703"/>
      <c r="AJQ30" s="703"/>
      <c r="AJR30" s="703"/>
      <c r="AJS30" s="703"/>
      <c r="AJT30" s="703"/>
      <c r="AJU30" s="703"/>
      <c r="AJV30" s="703"/>
      <c r="AJW30" s="703"/>
      <c r="AJX30" s="703"/>
      <c r="AJY30" s="703"/>
      <c r="AJZ30" s="703"/>
      <c r="AKA30" s="703"/>
      <c r="AKB30" s="703"/>
      <c r="AKC30" s="703"/>
      <c r="AKD30" s="703"/>
      <c r="AKE30" s="703"/>
      <c r="AKF30" s="703"/>
      <c r="AKG30" s="703"/>
      <c r="AKH30" s="703"/>
      <c r="AKI30" s="703"/>
      <c r="AKJ30" s="703"/>
      <c r="AKK30" s="703"/>
      <c r="AKL30" s="703"/>
      <c r="AKM30" s="703"/>
      <c r="AKN30" s="703"/>
      <c r="AKO30" s="703"/>
      <c r="AKP30" s="703"/>
      <c r="AKQ30" s="703"/>
      <c r="AKR30" s="703"/>
      <c r="AKS30" s="703"/>
      <c r="AKT30" s="703"/>
      <c r="AKU30" s="703"/>
      <c r="AKV30" s="703"/>
      <c r="AKW30" s="703"/>
      <c r="AKX30" s="703"/>
      <c r="AKY30" s="703"/>
      <c r="AKZ30" s="703"/>
      <c r="ALA30" s="703"/>
      <c r="ALB30" s="703"/>
      <c r="ALC30" s="703"/>
      <c r="ALD30" s="703"/>
      <c r="ALE30" s="703"/>
      <c r="ALF30" s="703"/>
      <c r="ALG30" s="703"/>
      <c r="ALH30" s="703"/>
      <c r="ALI30" s="703"/>
      <c r="ALJ30" s="703"/>
      <c r="ALK30" s="703"/>
      <c r="ALL30" s="703"/>
      <c r="ALM30" s="703"/>
      <c r="ALN30" s="703"/>
      <c r="ALO30" s="703"/>
      <c r="ALP30" s="703"/>
      <c r="ALQ30" s="703"/>
      <c r="ALR30" s="703"/>
      <c r="ALS30" s="703"/>
      <c r="ALT30" s="703"/>
      <c r="ALU30" s="703"/>
      <c r="ALV30" s="703"/>
      <c r="ALW30" s="703"/>
      <c r="ALX30" s="703"/>
      <c r="ALY30" s="703"/>
      <c r="ALZ30" s="703"/>
      <c r="AMA30" s="703"/>
      <c r="AMB30" s="703"/>
      <c r="AMC30" s="703"/>
      <c r="AMD30" s="703"/>
      <c r="AME30" s="703"/>
      <c r="AMF30" s="703"/>
      <c r="AMG30" s="703"/>
      <c r="AMH30" s="703"/>
      <c r="AMI30" s="703"/>
    </row>
    <row r="31" spans="1:1023" ht="42" customHeight="1" x14ac:dyDescent="0.25">
      <c r="A31" s="697" t="s">
        <v>1305</v>
      </c>
      <c r="B31" s="697"/>
      <c r="C31" s="697"/>
      <c r="D31" s="697"/>
      <c r="E31" s="697"/>
      <c r="F31" s="697"/>
      <c r="G31" s="697"/>
      <c r="H31" s="697"/>
      <c r="I31" s="697"/>
      <c r="J31" s="697"/>
      <c r="K31" s="697"/>
      <c r="L31" s="697"/>
      <c r="M31" s="697"/>
      <c r="N31" s="697"/>
      <c r="O31" s="697"/>
      <c r="P31" s="697"/>
      <c r="Q31" s="697"/>
      <c r="R31" s="697"/>
      <c r="S31" s="697"/>
      <c r="T31" s="697"/>
      <c r="U31" s="697"/>
      <c r="V31" s="697"/>
      <c r="W31" s="697"/>
      <c r="X31" s="697"/>
      <c r="Y31" s="697"/>
      <c r="Z31" s="697"/>
      <c r="AA31" s="697"/>
      <c r="AB31" s="697"/>
      <c r="AC31" s="697"/>
      <c r="AD31" s="697"/>
      <c r="AE31" s="697"/>
      <c r="AF31" s="697"/>
      <c r="AG31" s="697"/>
      <c r="AH31" s="697"/>
      <c r="AI31" s="697"/>
      <c r="AJ31" s="697"/>
      <c r="AK31" s="697"/>
      <c r="AL31" s="697"/>
      <c r="AM31" s="697"/>
      <c r="AN31" s="697"/>
      <c r="AO31" s="697"/>
      <c r="AP31" s="697"/>
      <c r="AQ31" s="697"/>
      <c r="AR31" s="697"/>
      <c r="AS31" s="697"/>
      <c r="AT31" s="697"/>
      <c r="AU31" s="697"/>
      <c r="AV31" s="697"/>
      <c r="AW31" s="697"/>
      <c r="AX31" s="697"/>
      <c r="AY31" s="218"/>
      <c r="AZ31" s="205"/>
      <c r="BA31" s="205"/>
      <c r="BB31" s="205"/>
    </row>
    <row r="32" spans="1:1023" ht="13.15" customHeight="1" x14ac:dyDescent="0.25">
      <c r="A32" s="697" t="s">
        <v>1287</v>
      </c>
      <c r="B32" s="697"/>
      <c r="C32" s="697"/>
      <c r="D32" s="697"/>
      <c r="E32" s="697"/>
      <c r="F32" s="697"/>
      <c r="G32" s="697"/>
      <c r="H32" s="697"/>
      <c r="I32" s="697"/>
      <c r="J32" s="712" t="s">
        <v>1288</v>
      </c>
      <c r="K32" s="712"/>
      <c r="L32" s="712"/>
      <c r="M32" s="712"/>
      <c r="N32" s="712"/>
      <c r="O32" s="712"/>
      <c r="P32" s="712"/>
      <c r="Q32" s="712"/>
      <c r="R32" s="712"/>
      <c r="S32" s="712"/>
      <c r="T32" s="712"/>
      <c r="U32" s="712"/>
      <c r="V32" s="712"/>
      <c r="W32" s="712"/>
      <c r="X32" s="712" t="s">
        <v>1306</v>
      </c>
      <c r="Y32" s="712"/>
      <c r="Z32" s="712"/>
      <c r="AA32" s="712"/>
      <c r="AB32" s="712"/>
      <c r="AC32" s="712"/>
      <c r="AD32" s="712"/>
      <c r="AE32" s="712"/>
      <c r="AF32" s="712"/>
      <c r="AG32" s="712"/>
      <c r="AH32" s="712"/>
      <c r="AI32" s="712"/>
      <c r="AJ32" s="712"/>
      <c r="AK32" s="712"/>
      <c r="AL32" s="712"/>
      <c r="AM32" s="712"/>
      <c r="AN32" s="712"/>
      <c r="AO32" s="712"/>
      <c r="AP32" s="712"/>
      <c r="AQ32" s="712"/>
      <c r="AR32" s="712"/>
      <c r="AS32" s="712"/>
      <c r="AT32" s="715" t="s">
        <v>1307</v>
      </c>
      <c r="AU32" s="715"/>
      <c r="AV32" s="715"/>
      <c r="AW32" s="715"/>
      <c r="AX32" s="715"/>
      <c r="AY32" s="715"/>
    </row>
    <row r="33" spans="1:54" ht="12.6" customHeight="1" x14ac:dyDescent="0.25">
      <c r="A33" s="697" t="s">
        <v>1308</v>
      </c>
      <c r="B33" s="697"/>
      <c r="C33" s="697"/>
      <c r="D33" s="697"/>
      <c r="E33" s="697"/>
      <c r="F33" s="697"/>
      <c r="G33" s="697"/>
      <c r="H33" s="697"/>
      <c r="I33" s="697"/>
      <c r="J33" s="716">
        <f>SUM(SUVAHAVUJ!N3)</f>
        <v>503332</v>
      </c>
      <c r="K33" s="716"/>
      <c r="L33" s="716"/>
      <c r="M33" s="716"/>
      <c r="N33" s="716"/>
      <c r="O33" s="716"/>
      <c r="P33" s="716"/>
      <c r="Q33" s="716"/>
      <c r="R33" s="716"/>
      <c r="S33" s="716"/>
      <c r="T33" s="716"/>
      <c r="U33" s="716"/>
      <c r="V33" s="716"/>
      <c r="W33" s="716"/>
      <c r="X33" s="716">
        <f>SUM(SUVAHAVUJ!X3)</f>
        <v>548144</v>
      </c>
      <c r="Y33" s="716"/>
      <c r="Z33" s="716"/>
      <c r="AA33" s="716"/>
      <c r="AB33" s="716"/>
      <c r="AC33" s="716"/>
      <c r="AD33" s="716"/>
      <c r="AE33" s="716"/>
      <c r="AF33" s="716"/>
      <c r="AG33" s="716"/>
      <c r="AH33" s="716"/>
      <c r="AI33" s="716"/>
      <c r="AJ33" s="716"/>
      <c r="AK33" s="716"/>
      <c r="AL33" s="716"/>
      <c r="AM33" s="716"/>
      <c r="AN33" s="716"/>
      <c r="AO33" s="716"/>
      <c r="AP33" s="716"/>
      <c r="AQ33" s="716"/>
      <c r="AR33" s="716"/>
      <c r="AS33" s="716"/>
      <c r="AT33" s="717" t="s">
        <v>1276</v>
      </c>
      <c r="AU33" s="717"/>
      <c r="AV33" s="717"/>
      <c r="AW33" s="717"/>
      <c r="AX33" s="717"/>
      <c r="AY33" s="717"/>
      <c r="AZ33" s="205"/>
      <c r="BA33" s="205"/>
      <c r="BB33" s="205"/>
    </row>
    <row r="34" spans="1:54" ht="12.6" customHeight="1" x14ac:dyDescent="0.25">
      <c r="A34" s="697" t="s">
        <v>1309</v>
      </c>
      <c r="B34" s="697"/>
      <c r="C34" s="697"/>
      <c r="D34" s="697"/>
      <c r="E34" s="697"/>
      <c r="F34" s="697"/>
      <c r="G34" s="697"/>
      <c r="H34" s="697"/>
      <c r="I34" s="697"/>
      <c r="J34" s="716">
        <f>SUM(SUVAHAVUJ!N149)</f>
        <v>43528</v>
      </c>
      <c r="K34" s="716"/>
      <c r="L34" s="716"/>
      <c r="M34" s="716"/>
      <c r="N34" s="716"/>
      <c r="O34" s="716"/>
      <c r="P34" s="716"/>
      <c r="Q34" s="716"/>
      <c r="R34" s="716"/>
      <c r="S34" s="716"/>
      <c r="T34" s="716"/>
      <c r="U34" s="716"/>
      <c r="V34" s="716"/>
      <c r="W34" s="716"/>
      <c r="X34" s="716">
        <f>SUM(SUVAHAVUJ!X149)</f>
        <v>46170</v>
      </c>
      <c r="Y34" s="716"/>
      <c r="Z34" s="716"/>
      <c r="AA34" s="716"/>
      <c r="AB34" s="716"/>
      <c r="AC34" s="716"/>
      <c r="AD34" s="716"/>
      <c r="AE34" s="716"/>
      <c r="AF34" s="716"/>
      <c r="AG34" s="716"/>
      <c r="AH34" s="716"/>
      <c r="AI34" s="716"/>
      <c r="AJ34" s="716"/>
      <c r="AK34" s="716"/>
      <c r="AL34" s="716"/>
      <c r="AM34" s="716"/>
      <c r="AN34" s="716"/>
      <c r="AO34" s="716"/>
      <c r="AP34" s="716"/>
      <c r="AQ34" s="716"/>
      <c r="AR34" s="716"/>
      <c r="AS34" s="716"/>
      <c r="AT34" s="717" t="s">
        <v>1276</v>
      </c>
      <c r="AU34" s="717"/>
      <c r="AV34" s="717"/>
      <c r="AW34" s="717"/>
      <c r="AX34" s="717"/>
      <c r="AY34" s="717"/>
      <c r="AZ34" s="205"/>
      <c r="BA34" s="205"/>
      <c r="BB34" s="205"/>
    </row>
    <row r="35" spans="1:54" ht="12.6" customHeight="1" x14ac:dyDescent="0.25">
      <c r="A35" s="697" t="s">
        <v>1310</v>
      </c>
      <c r="B35" s="697"/>
      <c r="C35" s="697"/>
      <c r="D35" s="697"/>
      <c r="E35" s="697"/>
      <c r="F35" s="697"/>
      <c r="G35" s="697"/>
      <c r="H35" s="697"/>
      <c r="I35" s="697"/>
      <c r="J35" s="716">
        <f>SUM(U19)</f>
        <v>15</v>
      </c>
      <c r="K35" s="716"/>
      <c r="L35" s="716"/>
      <c r="M35" s="716"/>
      <c r="N35" s="716"/>
      <c r="O35" s="716"/>
      <c r="P35" s="716"/>
      <c r="Q35" s="716"/>
      <c r="R35" s="716"/>
      <c r="S35" s="716"/>
      <c r="T35" s="716"/>
      <c r="U35" s="716"/>
      <c r="V35" s="716"/>
      <c r="W35" s="716"/>
      <c r="X35" s="716">
        <f>SUM(AH19)</f>
        <v>15</v>
      </c>
      <c r="Y35" s="716"/>
      <c r="Z35" s="716"/>
      <c r="AA35" s="716"/>
      <c r="AB35" s="716"/>
      <c r="AC35" s="716"/>
      <c r="AD35" s="716"/>
      <c r="AE35" s="716"/>
      <c r="AF35" s="716"/>
      <c r="AG35" s="716"/>
      <c r="AH35" s="716"/>
      <c r="AI35" s="716"/>
      <c r="AJ35" s="716"/>
      <c r="AK35" s="716"/>
      <c r="AL35" s="716"/>
      <c r="AM35" s="716"/>
      <c r="AN35" s="716"/>
      <c r="AO35" s="716"/>
      <c r="AP35" s="716"/>
      <c r="AQ35" s="716"/>
      <c r="AR35" s="716"/>
      <c r="AS35" s="716"/>
      <c r="AT35" s="717" t="s">
        <v>1276</v>
      </c>
      <c r="AU35" s="717"/>
      <c r="AV35" s="717"/>
      <c r="AW35" s="717"/>
      <c r="AX35" s="717"/>
      <c r="AY35" s="717"/>
      <c r="AZ35" s="205"/>
      <c r="BA35" s="205"/>
      <c r="BB35" s="205"/>
    </row>
    <row r="36" spans="1:54" ht="12.6" customHeight="1" x14ac:dyDescent="0.25">
      <c r="A36" s="703" t="s">
        <v>1311</v>
      </c>
      <c r="B36" s="703"/>
      <c r="C36" s="703"/>
      <c r="D36" s="703"/>
      <c r="E36" s="703"/>
      <c r="F36" s="703"/>
      <c r="G36" s="703"/>
      <c r="H36" s="703"/>
      <c r="I36" s="703"/>
      <c r="J36" s="703"/>
      <c r="K36" s="703"/>
      <c r="L36" s="703"/>
      <c r="M36" s="703"/>
      <c r="N36" s="703"/>
      <c r="O36" s="703"/>
      <c r="P36" s="703"/>
      <c r="Q36" s="703"/>
      <c r="R36" s="703"/>
      <c r="S36" s="703"/>
      <c r="T36" s="703"/>
      <c r="U36" s="703"/>
      <c r="V36" s="703"/>
      <c r="W36" s="703"/>
      <c r="X36" s="703"/>
      <c r="Y36" s="703"/>
      <c r="Z36" s="703"/>
      <c r="AA36" s="703"/>
      <c r="AB36" s="703"/>
      <c r="AC36" s="703"/>
      <c r="AD36" s="703"/>
      <c r="AE36" s="703"/>
      <c r="AF36" s="703"/>
      <c r="AG36" s="703"/>
      <c r="AH36" s="703"/>
      <c r="AI36" s="703"/>
      <c r="AJ36" s="703"/>
      <c r="AK36" s="703"/>
      <c r="AL36" s="703"/>
      <c r="AM36" s="703"/>
      <c r="AN36" s="703"/>
      <c r="AO36" s="703"/>
      <c r="AP36" s="703"/>
      <c r="AQ36" s="703"/>
      <c r="AR36" s="703"/>
      <c r="AS36" s="703"/>
      <c r="AT36" s="703"/>
      <c r="AU36" s="703"/>
      <c r="AV36" s="703"/>
      <c r="AW36" s="703"/>
      <c r="AX36" s="703"/>
      <c r="AY36" s="703"/>
      <c r="AZ36" s="703"/>
      <c r="BA36" s="703"/>
      <c r="BB36" s="703"/>
    </row>
    <row r="37" spans="1:54" ht="13.5" customHeight="1" x14ac:dyDescent="0.25">
      <c r="A37" s="697" t="s">
        <v>5361</v>
      </c>
      <c r="B37" s="697"/>
      <c r="C37" s="697"/>
      <c r="D37" s="697"/>
      <c r="E37" s="697"/>
      <c r="F37" s="697"/>
      <c r="G37" s="697"/>
      <c r="H37" s="697"/>
      <c r="I37" s="697"/>
      <c r="J37" s="697"/>
      <c r="K37" s="697"/>
      <c r="L37" s="697"/>
      <c r="M37" s="697"/>
      <c r="N37" s="697"/>
      <c r="O37" s="697"/>
      <c r="P37" s="697"/>
      <c r="Q37" s="697"/>
      <c r="R37" s="697"/>
      <c r="S37" s="697"/>
      <c r="T37" s="697"/>
      <c r="U37" s="697"/>
      <c r="V37" s="697"/>
      <c r="W37" s="697"/>
      <c r="X37" s="697"/>
      <c r="Y37" s="697"/>
      <c r="Z37" s="697"/>
      <c r="AA37" s="697"/>
      <c r="AB37" s="697"/>
      <c r="AC37" s="697"/>
      <c r="AD37" s="697"/>
      <c r="AE37" s="697"/>
      <c r="AF37" s="697"/>
      <c r="AG37" s="697"/>
      <c r="AH37" s="697"/>
      <c r="AI37" s="697"/>
      <c r="AJ37" s="697"/>
      <c r="AK37" s="697"/>
      <c r="AL37" s="697"/>
      <c r="AM37" s="697"/>
      <c r="AN37" s="697"/>
      <c r="AO37" s="697"/>
      <c r="AP37" s="697"/>
      <c r="AQ37" s="697"/>
      <c r="AR37" s="697"/>
      <c r="AS37" s="697"/>
      <c r="AT37" s="697"/>
      <c r="AU37" s="697"/>
      <c r="AV37" s="697"/>
      <c r="AW37" s="697"/>
      <c r="AX37" s="697"/>
      <c r="AY37" s="697"/>
      <c r="AZ37" s="217"/>
      <c r="BA37" s="217"/>
      <c r="BB37" s="217"/>
    </row>
    <row r="38" spans="1:54" ht="12.6" customHeight="1" x14ac:dyDescent="0.25">
      <c r="A38" s="703" t="s">
        <v>1312</v>
      </c>
      <c r="B38" s="703"/>
      <c r="C38" s="703"/>
      <c r="D38" s="703"/>
      <c r="E38" s="703"/>
      <c r="F38" s="703"/>
      <c r="G38" s="703"/>
      <c r="H38" s="703"/>
      <c r="I38" s="703"/>
      <c r="J38" s="703"/>
      <c r="K38" s="703"/>
      <c r="L38" s="703"/>
      <c r="M38" s="703"/>
      <c r="N38" s="703"/>
      <c r="O38" s="703"/>
      <c r="P38" s="703"/>
      <c r="Q38" s="703"/>
      <c r="R38" s="703"/>
      <c r="S38" s="703"/>
      <c r="T38" s="703"/>
      <c r="U38" s="703"/>
      <c r="V38" s="703"/>
      <c r="W38" s="703"/>
      <c r="X38" s="703"/>
      <c r="Y38" s="703"/>
      <c r="Z38" s="703"/>
      <c r="AA38" s="703"/>
      <c r="AB38" s="703"/>
      <c r="AC38" s="703"/>
      <c r="AD38" s="703"/>
      <c r="AE38" s="703"/>
      <c r="AF38" s="703"/>
      <c r="AG38" s="703"/>
      <c r="AH38" s="703"/>
      <c r="AI38" s="703"/>
      <c r="AJ38" s="703"/>
      <c r="AK38" s="703"/>
      <c r="AL38" s="703"/>
      <c r="AM38" s="703"/>
      <c r="AN38" s="703"/>
      <c r="AO38" s="703"/>
      <c r="AP38" s="703"/>
      <c r="AQ38" s="703"/>
      <c r="AR38" s="703"/>
      <c r="AS38" s="703"/>
      <c r="AT38" s="703"/>
      <c r="AU38" s="703"/>
      <c r="AV38" s="703"/>
      <c r="AW38" s="703"/>
      <c r="AX38" s="703"/>
      <c r="AY38" s="703"/>
      <c r="AZ38" s="703"/>
      <c r="BA38" s="703"/>
      <c r="BB38" s="703"/>
    </row>
    <row r="39" spans="1:54" ht="28.5" customHeight="1" x14ac:dyDescent="0.25">
      <c r="A39" s="697"/>
      <c r="B39" s="697"/>
      <c r="C39" s="697"/>
      <c r="D39" s="697"/>
      <c r="E39" s="697"/>
      <c r="F39" s="697"/>
      <c r="G39" s="697"/>
      <c r="H39" s="697"/>
      <c r="I39" s="697"/>
      <c r="J39" s="697"/>
      <c r="K39" s="697"/>
      <c r="L39" s="697"/>
      <c r="M39" s="697"/>
      <c r="N39" s="697"/>
      <c r="O39" s="697"/>
      <c r="P39" s="697"/>
      <c r="Q39" s="697"/>
      <c r="R39" s="697"/>
      <c r="S39" s="697"/>
      <c r="T39" s="697"/>
      <c r="U39" s="697"/>
      <c r="V39" s="697"/>
      <c r="W39" s="697"/>
      <c r="X39" s="697"/>
      <c r="Y39" s="697"/>
      <c r="Z39" s="697"/>
      <c r="AA39" s="697"/>
      <c r="AB39" s="697"/>
      <c r="AC39" s="697"/>
      <c r="AD39" s="697"/>
      <c r="AE39" s="697"/>
      <c r="AF39" s="697"/>
      <c r="AG39" s="697"/>
      <c r="AH39" s="697"/>
      <c r="AI39" s="697"/>
      <c r="AJ39" s="697"/>
      <c r="AK39" s="697"/>
      <c r="AL39" s="697"/>
      <c r="AM39" s="697"/>
      <c r="AN39" s="697"/>
      <c r="AO39" s="697"/>
      <c r="AP39" s="697"/>
      <c r="AQ39" s="697"/>
      <c r="AR39" s="697"/>
      <c r="AS39" s="697"/>
      <c r="AT39" s="697"/>
      <c r="AU39" s="697"/>
      <c r="AV39" s="697"/>
      <c r="AW39" s="697"/>
      <c r="AX39" s="697"/>
      <c r="AY39" s="697"/>
      <c r="AZ39" s="697"/>
      <c r="BA39" s="697"/>
      <c r="BB39" s="697"/>
    </row>
    <row r="40" spans="1:54" ht="13.5" customHeight="1" x14ac:dyDescent="0.25">
      <c r="A40" s="697" t="s">
        <v>1313</v>
      </c>
      <c r="B40" s="697"/>
      <c r="C40" s="697"/>
      <c r="D40" s="697"/>
      <c r="E40" s="697"/>
      <c r="F40" s="697"/>
      <c r="G40" s="697"/>
      <c r="H40" s="697"/>
      <c r="I40" s="697"/>
      <c r="J40" s="697"/>
      <c r="K40" s="697"/>
      <c r="L40" s="697"/>
      <c r="M40" s="697"/>
      <c r="N40" s="697"/>
      <c r="O40" s="697"/>
      <c r="P40" s="697"/>
      <c r="Q40" s="697"/>
      <c r="R40" s="697"/>
      <c r="S40" s="697"/>
      <c r="T40" s="697"/>
      <c r="U40" s="697"/>
      <c r="V40" s="697"/>
      <c r="W40" s="697"/>
      <c r="X40" s="697"/>
      <c r="Y40" s="697"/>
      <c r="Z40" s="697"/>
      <c r="AA40" s="697"/>
      <c r="AB40" s="697"/>
      <c r="AC40" s="697"/>
      <c r="AD40" s="697"/>
      <c r="AE40" s="697"/>
      <c r="AF40" s="697"/>
      <c r="AG40" s="697"/>
      <c r="AH40" s="697"/>
      <c r="AI40" s="697"/>
      <c r="AJ40" s="697"/>
      <c r="AK40" s="697"/>
      <c r="AL40" s="697"/>
      <c r="AM40" s="697"/>
      <c r="AN40" s="697"/>
      <c r="AO40" s="697"/>
      <c r="AP40" s="697"/>
      <c r="AQ40" s="697"/>
      <c r="AR40" s="697"/>
      <c r="AS40" s="697"/>
      <c r="AT40" s="697"/>
      <c r="AU40" s="697"/>
      <c r="AV40" s="697"/>
      <c r="AW40" s="697"/>
      <c r="AX40" s="697"/>
      <c r="AY40" s="697"/>
      <c r="AZ40" s="697"/>
      <c r="BA40" s="198"/>
      <c r="BB40" s="198"/>
    </row>
    <row r="41" spans="1:54" ht="13.5" customHeight="1" x14ac:dyDescent="0.25">
      <c r="A41" s="697" t="s">
        <v>5362</v>
      </c>
      <c r="B41" s="697"/>
      <c r="C41" s="697"/>
      <c r="D41" s="697"/>
      <c r="E41" s="697"/>
      <c r="F41" s="697"/>
      <c r="G41" s="697"/>
      <c r="H41" s="697"/>
      <c r="I41" s="697"/>
      <c r="J41" s="697"/>
      <c r="K41" s="697"/>
      <c r="L41" s="697"/>
      <c r="M41" s="697"/>
      <c r="N41" s="697"/>
      <c r="O41" s="697"/>
      <c r="P41" s="697"/>
      <c r="Q41" s="697"/>
      <c r="R41" s="697"/>
      <c r="S41" s="697"/>
      <c r="T41" s="697"/>
      <c r="U41" s="697"/>
      <c r="V41" s="697"/>
      <c r="W41" s="697"/>
      <c r="X41" s="697"/>
      <c r="Y41" s="697"/>
      <c r="Z41" s="697"/>
      <c r="AA41" s="697"/>
      <c r="AB41" s="697"/>
      <c r="AC41" s="697"/>
      <c r="AD41" s="697"/>
      <c r="AE41" s="697"/>
      <c r="AF41" s="697"/>
      <c r="AG41" s="697"/>
      <c r="AH41" s="697"/>
      <c r="AI41" s="697"/>
      <c r="AJ41" s="697"/>
      <c r="AK41" s="697"/>
      <c r="AL41" s="697"/>
      <c r="AM41" s="697"/>
      <c r="AN41" s="697"/>
      <c r="AO41" s="697"/>
      <c r="AP41" s="697"/>
      <c r="AQ41" s="697"/>
      <c r="AR41" s="697"/>
      <c r="AS41" s="697"/>
      <c r="AT41" s="697"/>
      <c r="AU41" s="697"/>
      <c r="AV41" s="697"/>
      <c r="AW41" s="697"/>
      <c r="AX41" s="697"/>
      <c r="AY41" s="697"/>
      <c r="AZ41" s="697"/>
      <c r="BA41" s="198"/>
      <c r="BB41" s="198"/>
    </row>
    <row r="42" spans="1:54" s="221" customFormat="1" ht="12.6" customHeight="1" x14ac:dyDescent="0.25">
      <c r="A42" s="219" t="s">
        <v>1314</v>
      </c>
      <c r="B42" s="220"/>
      <c r="C42" s="220"/>
      <c r="D42" s="220"/>
      <c r="E42" s="220"/>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row>
    <row r="43" spans="1:54" ht="24.75" customHeight="1" x14ac:dyDescent="0.25">
      <c r="A43" s="703" t="s">
        <v>1315</v>
      </c>
      <c r="B43" s="703"/>
      <c r="C43" s="703"/>
      <c r="D43" s="703"/>
      <c r="E43" s="703"/>
      <c r="F43" s="703"/>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3"/>
      <c r="AL43" s="703"/>
      <c r="AM43" s="703"/>
      <c r="AN43" s="703"/>
      <c r="AO43" s="703"/>
      <c r="AP43" s="703"/>
      <c r="AQ43" s="703"/>
      <c r="AR43" s="703"/>
      <c r="AS43" s="703"/>
      <c r="AT43" s="703"/>
      <c r="AU43" s="703"/>
      <c r="AV43" s="703"/>
      <c r="AW43" s="703"/>
      <c r="AX43" s="703"/>
      <c r="AY43" s="703"/>
      <c r="AZ43" s="703"/>
      <c r="BA43" s="703"/>
      <c r="BB43" s="703"/>
    </row>
    <row r="44" spans="1:54" ht="12.6" customHeight="1" x14ac:dyDescent="0.25">
      <c r="A44" s="29" t="s">
        <v>1316</v>
      </c>
    </row>
    <row r="45" spans="1:54" s="207" customFormat="1" ht="12.6" customHeight="1" x14ac:dyDescent="0.25">
      <c r="A45" s="718" t="s">
        <v>1317</v>
      </c>
      <c r="B45" s="718"/>
      <c r="C45" s="718"/>
      <c r="D45" s="718"/>
      <c r="E45" s="718"/>
      <c r="F45" s="718"/>
      <c r="G45" s="718"/>
      <c r="H45" s="718"/>
      <c r="I45" s="718"/>
      <c r="J45" s="718"/>
      <c r="K45" s="718"/>
      <c r="L45" s="718"/>
      <c r="M45" s="718"/>
      <c r="N45" s="718"/>
      <c r="O45" s="718"/>
      <c r="P45" s="719" t="s">
        <v>1318</v>
      </c>
      <c r="Q45" s="719"/>
      <c r="R45" s="719"/>
      <c r="S45" s="719"/>
      <c r="T45" s="719"/>
      <c r="U45" s="719"/>
      <c r="V45" s="719"/>
      <c r="W45" s="719"/>
      <c r="X45" s="719"/>
      <c r="Y45" s="719"/>
      <c r="Z45" s="719"/>
      <c r="AA45" s="719"/>
      <c r="AB45" s="719"/>
      <c r="AC45" s="719"/>
      <c r="AD45" s="719"/>
      <c r="AE45" s="719"/>
      <c r="AF45" s="719"/>
      <c r="AG45" s="719"/>
      <c r="AH45" s="719" t="s">
        <v>1319</v>
      </c>
      <c r="AI45" s="719"/>
      <c r="AJ45" s="719"/>
      <c r="AK45" s="719"/>
      <c r="AL45" s="719"/>
      <c r="AM45" s="719"/>
      <c r="AN45" s="719"/>
      <c r="AO45" s="719"/>
      <c r="AP45" s="719"/>
      <c r="AQ45" s="719" t="s">
        <v>1320</v>
      </c>
      <c r="AR45" s="719"/>
      <c r="AS45" s="719"/>
      <c r="AT45" s="719"/>
      <c r="AU45" s="719"/>
      <c r="AV45" s="719"/>
      <c r="AW45" s="719"/>
      <c r="AX45" s="719"/>
      <c r="AY45" s="719"/>
      <c r="AZ45" s="697"/>
      <c r="BA45" s="697"/>
      <c r="BB45" s="697"/>
    </row>
    <row r="46" spans="1:54" ht="15" customHeight="1" x14ac:dyDescent="0.25">
      <c r="A46" s="718"/>
      <c r="B46" s="718"/>
      <c r="C46" s="718"/>
      <c r="D46" s="718"/>
      <c r="E46" s="718"/>
      <c r="F46" s="718"/>
      <c r="G46" s="718"/>
      <c r="H46" s="718"/>
      <c r="I46" s="718"/>
      <c r="J46" s="718"/>
      <c r="K46" s="718"/>
      <c r="L46" s="718"/>
      <c r="M46" s="718"/>
      <c r="N46" s="718"/>
      <c r="O46" s="718"/>
      <c r="P46" s="719" t="s">
        <v>1321</v>
      </c>
      <c r="Q46" s="719"/>
      <c r="R46" s="719"/>
      <c r="S46" s="719"/>
      <c r="T46" s="719"/>
      <c r="U46" s="719"/>
      <c r="V46" s="719"/>
      <c r="W46" s="719"/>
      <c r="X46" s="719"/>
      <c r="Y46" s="720" t="s">
        <v>1322</v>
      </c>
      <c r="Z46" s="720"/>
      <c r="AA46" s="720"/>
      <c r="AB46" s="720"/>
      <c r="AC46" s="720"/>
      <c r="AD46" s="720"/>
      <c r="AE46" s="720"/>
      <c r="AF46" s="720"/>
      <c r="AG46" s="720"/>
      <c r="AH46" s="719"/>
      <c r="AI46" s="719"/>
      <c r="AJ46" s="719"/>
      <c r="AK46" s="719"/>
      <c r="AL46" s="719"/>
      <c r="AM46" s="719"/>
      <c r="AN46" s="719"/>
      <c r="AO46" s="719"/>
      <c r="AP46" s="719"/>
      <c r="AQ46" s="719"/>
      <c r="AR46" s="719"/>
      <c r="AS46" s="719"/>
      <c r="AT46" s="719"/>
      <c r="AU46" s="719"/>
      <c r="AV46" s="719"/>
      <c r="AW46" s="719"/>
      <c r="AX46" s="719"/>
      <c r="AY46" s="719"/>
      <c r="AZ46" s="697"/>
      <c r="BA46" s="697"/>
      <c r="BB46" s="697"/>
    </row>
    <row r="47" spans="1:54" ht="12.6" customHeight="1" x14ac:dyDescent="0.25">
      <c r="A47" s="719" t="s">
        <v>1323</v>
      </c>
      <c r="B47" s="719"/>
      <c r="C47" s="719"/>
      <c r="D47" s="719"/>
      <c r="E47" s="719"/>
      <c r="F47" s="719"/>
      <c r="G47" s="719"/>
      <c r="H47" s="719"/>
      <c r="I47" s="719"/>
      <c r="J47" s="719"/>
      <c r="K47" s="719"/>
      <c r="L47" s="719"/>
      <c r="M47" s="719"/>
      <c r="N47" s="719"/>
      <c r="O47" s="719"/>
      <c r="P47" s="719" t="s">
        <v>1324</v>
      </c>
      <c r="Q47" s="719"/>
      <c r="R47" s="719"/>
      <c r="S47" s="719"/>
      <c r="T47" s="719"/>
      <c r="U47" s="719"/>
      <c r="V47" s="719"/>
      <c r="W47" s="719"/>
      <c r="X47" s="719"/>
      <c r="Y47" s="719" t="s">
        <v>1325</v>
      </c>
      <c r="Z47" s="719"/>
      <c r="AA47" s="719"/>
      <c r="AB47" s="719"/>
      <c r="AC47" s="719"/>
      <c r="AD47" s="719"/>
      <c r="AE47" s="719"/>
      <c r="AF47" s="719"/>
      <c r="AG47" s="719"/>
      <c r="AH47" s="719" t="s">
        <v>1326</v>
      </c>
      <c r="AI47" s="719"/>
      <c r="AJ47" s="719"/>
      <c r="AK47" s="719"/>
      <c r="AL47" s="719"/>
      <c r="AM47" s="719"/>
      <c r="AN47" s="719"/>
      <c r="AO47" s="719"/>
      <c r="AP47" s="719"/>
      <c r="AQ47" s="719" t="s">
        <v>1327</v>
      </c>
      <c r="AR47" s="719"/>
      <c r="AS47" s="719"/>
      <c r="AT47" s="719"/>
      <c r="AU47" s="719"/>
      <c r="AV47" s="719"/>
      <c r="AW47" s="719"/>
      <c r="AX47" s="719"/>
      <c r="AY47" s="719"/>
      <c r="AZ47" s="697"/>
      <c r="BA47" s="697"/>
      <c r="BB47" s="697"/>
    </row>
    <row r="48" spans="1:54" ht="12.6" customHeight="1" x14ac:dyDescent="0.25">
      <c r="A48" s="721"/>
      <c r="B48" s="721"/>
      <c r="C48" s="721"/>
      <c r="D48" s="721"/>
      <c r="E48" s="721"/>
      <c r="F48" s="721"/>
      <c r="G48" s="721"/>
      <c r="H48" s="721"/>
      <c r="I48" s="721"/>
      <c r="J48" s="721"/>
      <c r="K48" s="721"/>
      <c r="L48" s="721"/>
      <c r="M48" s="721"/>
      <c r="N48" s="721"/>
      <c r="O48" s="721"/>
      <c r="P48" s="721"/>
      <c r="Q48" s="721"/>
      <c r="R48" s="721"/>
      <c r="S48" s="721"/>
      <c r="T48" s="721"/>
      <c r="U48" s="721"/>
      <c r="V48" s="721"/>
      <c r="W48" s="721"/>
      <c r="X48" s="721"/>
      <c r="Y48" s="721"/>
      <c r="Z48" s="721"/>
      <c r="AA48" s="721"/>
      <c r="AB48" s="721"/>
      <c r="AC48" s="721"/>
      <c r="AD48" s="721"/>
      <c r="AE48" s="721"/>
      <c r="AF48" s="721"/>
      <c r="AG48" s="721"/>
      <c r="AH48" s="721"/>
      <c r="AI48" s="721"/>
      <c r="AJ48" s="721"/>
      <c r="AK48" s="721"/>
      <c r="AL48" s="721"/>
      <c r="AM48" s="721"/>
      <c r="AN48" s="721"/>
      <c r="AO48" s="721"/>
      <c r="AP48" s="721"/>
      <c r="AQ48" s="721"/>
      <c r="AR48" s="721"/>
      <c r="AS48" s="721"/>
      <c r="AT48" s="721"/>
      <c r="AU48" s="721"/>
      <c r="AV48" s="721"/>
      <c r="AW48" s="721"/>
      <c r="AX48" s="721"/>
      <c r="AY48" s="721"/>
      <c r="AZ48" s="697"/>
      <c r="BA48" s="697"/>
      <c r="BB48" s="697"/>
    </row>
    <row r="49" spans="1:54" ht="12.6" customHeight="1" x14ac:dyDescent="0.25">
      <c r="A49" s="721"/>
      <c r="B49" s="721"/>
      <c r="C49" s="721"/>
      <c r="D49" s="721"/>
      <c r="E49" s="721"/>
      <c r="F49" s="721"/>
      <c r="G49" s="721"/>
      <c r="H49" s="721"/>
      <c r="I49" s="721"/>
      <c r="J49" s="721"/>
      <c r="K49" s="721"/>
      <c r="L49" s="721"/>
      <c r="M49" s="721"/>
      <c r="N49" s="721"/>
      <c r="O49" s="721"/>
      <c r="P49" s="721"/>
      <c r="Q49" s="721"/>
      <c r="R49" s="721"/>
      <c r="S49" s="721"/>
      <c r="T49" s="721"/>
      <c r="U49" s="721"/>
      <c r="V49" s="721"/>
      <c r="W49" s="721"/>
      <c r="X49" s="721"/>
      <c r="Y49" s="721"/>
      <c r="Z49" s="721"/>
      <c r="AA49" s="721"/>
      <c r="AB49" s="721"/>
      <c r="AC49" s="721"/>
      <c r="AD49" s="721"/>
      <c r="AE49" s="721"/>
      <c r="AF49" s="721"/>
      <c r="AG49" s="721"/>
      <c r="AH49" s="721"/>
      <c r="AI49" s="721"/>
      <c r="AJ49" s="721"/>
      <c r="AK49" s="721"/>
      <c r="AL49" s="721"/>
      <c r="AM49" s="721"/>
      <c r="AN49" s="721"/>
      <c r="AO49" s="721"/>
      <c r="AP49" s="721"/>
      <c r="AQ49" s="721"/>
      <c r="AR49" s="721"/>
      <c r="AS49" s="721"/>
      <c r="AT49" s="721"/>
      <c r="AU49" s="721"/>
      <c r="AV49" s="721"/>
      <c r="AW49" s="721"/>
      <c r="AX49" s="721"/>
      <c r="AY49" s="721"/>
      <c r="AZ49" s="697"/>
      <c r="BA49" s="697"/>
      <c r="BB49" s="697"/>
    </row>
    <row r="50" spans="1:54" ht="12.6" customHeight="1" x14ac:dyDescent="0.25">
      <c r="A50" s="721"/>
      <c r="B50" s="721"/>
      <c r="C50" s="721"/>
      <c r="D50" s="721"/>
      <c r="E50" s="721"/>
      <c r="F50" s="721"/>
      <c r="G50" s="721"/>
      <c r="H50" s="721"/>
      <c r="I50" s="721"/>
      <c r="J50" s="721"/>
      <c r="K50" s="721"/>
      <c r="L50" s="721"/>
      <c r="M50" s="721"/>
      <c r="N50" s="721"/>
      <c r="O50" s="721"/>
      <c r="P50" s="721"/>
      <c r="Q50" s="721"/>
      <c r="R50" s="721"/>
      <c r="S50" s="721"/>
      <c r="T50" s="721"/>
      <c r="U50" s="721"/>
      <c r="V50" s="721"/>
      <c r="W50" s="721"/>
      <c r="X50" s="721"/>
      <c r="Y50" s="721"/>
      <c r="Z50" s="721"/>
      <c r="AA50" s="721"/>
      <c r="AB50" s="721"/>
      <c r="AC50" s="721"/>
      <c r="AD50" s="721"/>
      <c r="AE50" s="721"/>
      <c r="AF50" s="721"/>
      <c r="AG50" s="721"/>
      <c r="AH50" s="721"/>
      <c r="AI50" s="721"/>
      <c r="AJ50" s="721"/>
      <c r="AK50" s="721"/>
      <c r="AL50" s="721"/>
      <c r="AM50" s="721"/>
      <c r="AN50" s="721"/>
      <c r="AO50" s="721"/>
      <c r="AP50" s="721"/>
      <c r="AQ50" s="721"/>
      <c r="AR50" s="721"/>
      <c r="AS50" s="721"/>
      <c r="AT50" s="721"/>
      <c r="AU50" s="721"/>
      <c r="AV50" s="721"/>
      <c r="AW50" s="721"/>
      <c r="AX50" s="721"/>
      <c r="AY50" s="721"/>
      <c r="AZ50" s="697"/>
      <c r="BA50" s="697"/>
      <c r="BB50" s="697"/>
    </row>
    <row r="51" spans="1:54" ht="12.6" customHeight="1" x14ac:dyDescent="0.25">
      <c r="A51" s="721"/>
      <c r="B51" s="721"/>
      <c r="C51" s="721"/>
      <c r="D51" s="721"/>
      <c r="E51" s="721"/>
      <c r="F51" s="721"/>
      <c r="G51" s="721"/>
      <c r="H51" s="721"/>
      <c r="I51" s="721"/>
      <c r="J51" s="721"/>
      <c r="K51" s="721"/>
      <c r="L51" s="721"/>
      <c r="M51" s="721"/>
      <c r="N51" s="721"/>
      <c r="O51" s="721"/>
      <c r="P51" s="721"/>
      <c r="Q51" s="721"/>
      <c r="R51" s="721"/>
      <c r="S51" s="721"/>
      <c r="T51" s="721"/>
      <c r="U51" s="721"/>
      <c r="V51" s="721"/>
      <c r="W51" s="721"/>
      <c r="X51" s="721"/>
      <c r="Y51" s="721"/>
      <c r="Z51" s="721"/>
      <c r="AA51" s="721"/>
      <c r="AB51" s="721"/>
      <c r="AC51" s="721"/>
      <c r="AD51" s="721"/>
      <c r="AE51" s="721"/>
      <c r="AF51" s="721"/>
      <c r="AG51" s="721"/>
      <c r="AH51" s="721"/>
      <c r="AI51" s="721"/>
      <c r="AJ51" s="721"/>
      <c r="AK51" s="721"/>
      <c r="AL51" s="721"/>
      <c r="AM51" s="721"/>
      <c r="AN51" s="721"/>
      <c r="AO51" s="721"/>
      <c r="AP51" s="721"/>
      <c r="AQ51" s="721"/>
      <c r="AR51" s="721"/>
      <c r="AS51" s="721"/>
      <c r="AT51" s="721"/>
      <c r="AU51" s="721"/>
      <c r="AV51" s="721"/>
      <c r="AW51" s="721"/>
      <c r="AX51" s="721"/>
      <c r="AY51" s="721"/>
      <c r="AZ51" s="697"/>
      <c r="BA51" s="697"/>
      <c r="BB51" s="697"/>
    </row>
    <row r="52" spans="1:54" ht="12.6" customHeight="1" x14ac:dyDescent="0.25">
      <c r="A52" s="721"/>
      <c r="B52" s="721"/>
      <c r="C52" s="721"/>
      <c r="D52" s="721"/>
      <c r="E52" s="721"/>
      <c r="F52" s="721"/>
      <c r="G52" s="721"/>
      <c r="H52" s="721"/>
      <c r="I52" s="721"/>
      <c r="J52" s="721"/>
      <c r="K52" s="721"/>
      <c r="L52" s="721"/>
      <c r="M52" s="721"/>
      <c r="N52" s="721"/>
      <c r="O52" s="721"/>
      <c r="P52" s="721"/>
      <c r="Q52" s="721"/>
      <c r="R52" s="721"/>
      <c r="S52" s="721"/>
      <c r="T52" s="721"/>
      <c r="U52" s="721"/>
      <c r="V52" s="721"/>
      <c r="W52" s="721"/>
      <c r="X52" s="721"/>
      <c r="Y52" s="721"/>
      <c r="Z52" s="721"/>
      <c r="AA52" s="721"/>
      <c r="AB52" s="721"/>
      <c r="AC52" s="721"/>
      <c r="AD52" s="721"/>
      <c r="AE52" s="721"/>
      <c r="AF52" s="721"/>
      <c r="AG52" s="721"/>
      <c r="AH52" s="721"/>
      <c r="AI52" s="721"/>
      <c r="AJ52" s="721"/>
      <c r="AK52" s="721"/>
      <c r="AL52" s="721"/>
      <c r="AM52" s="721"/>
      <c r="AN52" s="721"/>
      <c r="AO52" s="721"/>
      <c r="AP52" s="721"/>
      <c r="AQ52" s="721"/>
      <c r="AR52" s="721"/>
      <c r="AS52" s="721"/>
      <c r="AT52" s="721"/>
      <c r="AU52" s="721"/>
      <c r="AV52" s="721"/>
      <c r="AW52" s="721"/>
      <c r="AX52" s="721"/>
      <c r="AY52" s="721"/>
      <c r="AZ52" s="697"/>
      <c r="BA52" s="697"/>
      <c r="BB52" s="697"/>
    </row>
    <row r="53" spans="1:54" ht="12.6" customHeight="1" x14ac:dyDescent="0.25">
      <c r="A53" s="721" t="s">
        <v>1328</v>
      </c>
      <c r="B53" s="721"/>
      <c r="C53" s="721"/>
      <c r="D53" s="721"/>
      <c r="E53" s="721"/>
      <c r="F53" s="721"/>
      <c r="G53" s="721"/>
      <c r="H53" s="721"/>
      <c r="I53" s="721"/>
      <c r="J53" s="721"/>
      <c r="K53" s="721"/>
      <c r="L53" s="721"/>
      <c r="M53" s="721"/>
      <c r="N53" s="721"/>
      <c r="O53" s="721"/>
      <c r="P53" s="721"/>
      <c r="Q53" s="721"/>
      <c r="R53" s="721"/>
      <c r="S53" s="721"/>
      <c r="T53" s="721"/>
      <c r="U53" s="721"/>
      <c r="V53" s="721"/>
      <c r="W53" s="721"/>
      <c r="X53" s="721"/>
      <c r="Y53" s="721"/>
      <c r="Z53" s="721"/>
      <c r="AA53" s="721"/>
      <c r="AB53" s="721"/>
      <c r="AC53" s="721"/>
      <c r="AD53" s="721"/>
      <c r="AE53" s="721"/>
      <c r="AF53" s="721"/>
      <c r="AG53" s="721"/>
      <c r="AH53" s="721"/>
      <c r="AI53" s="721"/>
      <c r="AJ53" s="721"/>
      <c r="AK53" s="721"/>
      <c r="AL53" s="721"/>
      <c r="AM53" s="721"/>
      <c r="AN53" s="721"/>
      <c r="AO53" s="721"/>
      <c r="AP53" s="721"/>
      <c r="AQ53" s="721"/>
      <c r="AR53" s="721"/>
      <c r="AS53" s="721"/>
      <c r="AT53" s="721"/>
      <c r="AU53" s="721"/>
      <c r="AV53" s="721"/>
      <c r="AW53" s="721"/>
      <c r="AX53" s="721"/>
      <c r="AY53" s="721"/>
      <c r="AZ53" s="697"/>
      <c r="BA53" s="697"/>
      <c r="BB53" s="697"/>
    </row>
    <row r="54" spans="1:54" ht="12.6" customHeight="1" x14ac:dyDescent="0.25">
      <c r="A54" s="29" t="s">
        <v>1329</v>
      </c>
    </row>
    <row r="56" spans="1:54" s="207" customFormat="1" ht="27.75" customHeight="1" x14ac:dyDescent="0.25">
      <c r="A56" s="722" t="s">
        <v>1330</v>
      </c>
      <c r="B56" s="722"/>
      <c r="C56" s="722"/>
      <c r="D56" s="722"/>
      <c r="E56" s="722"/>
      <c r="F56" s="722"/>
      <c r="G56" s="722"/>
      <c r="H56" s="722"/>
      <c r="I56" s="722"/>
      <c r="J56" s="722"/>
      <c r="K56" s="722"/>
      <c r="L56" s="722"/>
      <c r="M56" s="722"/>
      <c r="N56" s="722"/>
      <c r="O56" s="722"/>
      <c r="P56" s="722"/>
      <c r="Q56" s="722"/>
      <c r="R56" s="722"/>
      <c r="S56" s="722"/>
      <c r="T56" s="722"/>
      <c r="U56" s="718" t="s">
        <v>1318</v>
      </c>
      <c r="V56" s="718"/>
      <c r="W56" s="718"/>
      <c r="X56" s="718"/>
      <c r="Y56" s="718"/>
      <c r="Z56" s="718"/>
      <c r="AA56" s="718"/>
      <c r="AB56" s="718"/>
      <c r="AC56" s="718"/>
      <c r="AD56" s="718"/>
      <c r="AE56" s="718"/>
      <c r="AF56" s="718"/>
      <c r="AG56" s="718"/>
      <c r="AH56" s="718"/>
      <c r="AI56" s="718"/>
      <c r="AJ56" s="719" t="s">
        <v>1319</v>
      </c>
      <c r="AK56" s="719"/>
      <c r="AL56" s="719"/>
      <c r="AM56" s="719"/>
      <c r="AN56" s="719"/>
      <c r="AO56" s="719"/>
      <c r="AP56" s="719"/>
      <c r="AQ56" s="719"/>
      <c r="AR56" s="719" t="s">
        <v>1331</v>
      </c>
      <c r="AS56" s="719"/>
      <c r="AT56" s="719"/>
      <c r="AU56" s="719"/>
      <c r="AV56" s="719"/>
      <c r="AW56" s="719"/>
      <c r="AX56" s="719"/>
      <c r="AY56" s="719"/>
      <c r="AZ56" s="198"/>
      <c r="BA56" s="198"/>
      <c r="BB56" s="198"/>
    </row>
    <row r="57" spans="1:54" ht="12.6" customHeight="1" x14ac:dyDescent="0.25">
      <c r="A57" s="719" t="s">
        <v>1317</v>
      </c>
      <c r="B57" s="719"/>
      <c r="C57" s="719"/>
      <c r="D57" s="719"/>
      <c r="E57" s="719"/>
      <c r="F57" s="719"/>
      <c r="G57" s="719"/>
      <c r="H57" s="719"/>
      <c r="I57" s="719"/>
      <c r="J57" s="719"/>
      <c r="K57" s="719"/>
      <c r="L57" s="719"/>
      <c r="M57" s="719"/>
      <c r="N57" s="719"/>
      <c r="O57" s="719"/>
      <c r="P57" s="719" t="s">
        <v>1332</v>
      </c>
      <c r="Q57" s="719"/>
      <c r="R57" s="719"/>
      <c r="S57" s="719"/>
      <c r="T57" s="719"/>
      <c r="U57" s="719" t="s">
        <v>1321</v>
      </c>
      <c r="V57" s="719"/>
      <c r="W57" s="719"/>
      <c r="X57" s="719"/>
      <c r="Y57" s="719"/>
      <c r="Z57" s="719"/>
      <c r="AA57" s="719"/>
      <c r="AB57" s="719"/>
      <c r="AC57" s="719" t="s">
        <v>1322</v>
      </c>
      <c r="AD57" s="719"/>
      <c r="AE57" s="719"/>
      <c r="AF57" s="719"/>
      <c r="AG57" s="719"/>
      <c r="AH57" s="719"/>
      <c r="AI57" s="719"/>
      <c r="AJ57" s="719"/>
      <c r="AK57" s="719"/>
      <c r="AL57" s="719"/>
      <c r="AM57" s="719"/>
      <c r="AN57" s="719"/>
      <c r="AO57" s="719"/>
      <c r="AP57" s="719"/>
      <c r="AQ57" s="719"/>
      <c r="AR57" s="719"/>
      <c r="AS57" s="719"/>
      <c r="AT57" s="719"/>
      <c r="AU57" s="719"/>
      <c r="AV57" s="719"/>
      <c r="AW57" s="719"/>
      <c r="AX57" s="719"/>
      <c r="AY57" s="719"/>
      <c r="AZ57" s="198"/>
      <c r="BA57" s="198"/>
      <c r="BB57" s="198"/>
    </row>
    <row r="58" spans="1:54" ht="12.6" customHeight="1" x14ac:dyDescent="0.25">
      <c r="A58" s="719" t="s">
        <v>1323</v>
      </c>
      <c r="B58" s="719"/>
      <c r="C58" s="719"/>
      <c r="D58" s="719"/>
      <c r="E58" s="719"/>
      <c r="F58" s="719"/>
      <c r="G58" s="719"/>
      <c r="H58" s="719"/>
      <c r="I58" s="719"/>
      <c r="J58" s="719"/>
      <c r="K58" s="719"/>
      <c r="L58" s="719"/>
      <c r="M58" s="719"/>
      <c r="N58" s="719"/>
      <c r="O58" s="719"/>
      <c r="P58" s="719" t="s">
        <v>1324</v>
      </c>
      <c r="Q58" s="719"/>
      <c r="R58" s="719"/>
      <c r="S58" s="719"/>
      <c r="T58" s="719"/>
      <c r="U58" s="719" t="s">
        <v>1325</v>
      </c>
      <c r="V58" s="719"/>
      <c r="W58" s="719"/>
      <c r="X58" s="719"/>
      <c r="Y58" s="719"/>
      <c r="Z58" s="719"/>
      <c r="AA58" s="719"/>
      <c r="AB58" s="719"/>
      <c r="AC58" s="719" t="s">
        <v>1326</v>
      </c>
      <c r="AD58" s="719"/>
      <c r="AE58" s="719"/>
      <c r="AF58" s="719"/>
      <c r="AG58" s="719"/>
      <c r="AH58" s="719"/>
      <c r="AI58" s="719"/>
      <c r="AJ58" s="719" t="s">
        <v>1327</v>
      </c>
      <c r="AK58" s="719"/>
      <c r="AL58" s="719"/>
      <c r="AM58" s="719"/>
      <c r="AN58" s="719"/>
      <c r="AO58" s="719"/>
      <c r="AP58" s="719"/>
      <c r="AQ58" s="719"/>
      <c r="AR58" s="719" t="s">
        <v>1333</v>
      </c>
      <c r="AS58" s="719"/>
      <c r="AT58" s="719"/>
      <c r="AU58" s="719"/>
      <c r="AV58" s="719"/>
      <c r="AW58" s="719"/>
      <c r="AX58" s="719"/>
      <c r="AY58" s="719"/>
      <c r="AZ58" s="198"/>
      <c r="BA58" s="198"/>
      <c r="BB58" s="198"/>
    </row>
    <row r="59" spans="1:54" ht="12.6" customHeight="1" x14ac:dyDescent="0.25">
      <c r="A59" s="723"/>
      <c r="B59" s="723"/>
      <c r="C59" s="723"/>
      <c r="D59" s="723"/>
      <c r="E59" s="723"/>
      <c r="F59" s="723"/>
      <c r="G59" s="723"/>
      <c r="H59" s="723"/>
      <c r="I59" s="723"/>
      <c r="J59" s="723"/>
      <c r="K59" s="723"/>
      <c r="L59" s="723"/>
      <c r="M59" s="723"/>
      <c r="N59" s="723"/>
      <c r="O59" s="723"/>
      <c r="P59" s="723"/>
      <c r="Q59" s="723"/>
      <c r="R59" s="723"/>
      <c r="S59" s="723"/>
      <c r="T59" s="723"/>
      <c r="U59" s="720"/>
      <c r="V59" s="720"/>
      <c r="W59" s="720"/>
      <c r="X59" s="720"/>
      <c r="Y59" s="720"/>
      <c r="Z59" s="720"/>
      <c r="AA59" s="720"/>
      <c r="AB59" s="720"/>
      <c r="AC59" s="720"/>
      <c r="AD59" s="720"/>
      <c r="AE59" s="720"/>
      <c r="AF59" s="720"/>
      <c r="AG59" s="720"/>
      <c r="AH59" s="720"/>
      <c r="AI59" s="720"/>
      <c r="AJ59" s="720"/>
      <c r="AK59" s="720"/>
      <c r="AL59" s="720"/>
      <c r="AM59" s="720"/>
      <c r="AN59" s="720"/>
      <c r="AO59" s="720"/>
      <c r="AP59" s="720"/>
      <c r="AQ59" s="720"/>
      <c r="AR59" s="720"/>
      <c r="AS59" s="720"/>
      <c r="AT59" s="720"/>
      <c r="AU59" s="720"/>
      <c r="AV59" s="720"/>
      <c r="AW59" s="720"/>
      <c r="AX59" s="720"/>
      <c r="AY59" s="720"/>
      <c r="AZ59" s="198"/>
      <c r="BA59" s="198"/>
      <c r="BB59" s="198"/>
    </row>
    <row r="60" spans="1:54" ht="12.6" customHeight="1" x14ac:dyDescent="0.25">
      <c r="A60" s="723"/>
      <c r="B60" s="723"/>
      <c r="C60" s="723"/>
      <c r="D60" s="723"/>
      <c r="E60" s="723"/>
      <c r="F60" s="723"/>
      <c r="G60" s="723"/>
      <c r="H60" s="723"/>
      <c r="I60" s="723"/>
      <c r="J60" s="723"/>
      <c r="K60" s="723"/>
      <c r="L60" s="723"/>
      <c r="M60" s="723"/>
      <c r="N60" s="723"/>
      <c r="O60" s="723"/>
      <c r="P60" s="723"/>
      <c r="Q60" s="723"/>
      <c r="R60" s="723"/>
      <c r="S60" s="723"/>
      <c r="T60" s="723"/>
      <c r="U60" s="720"/>
      <c r="V60" s="720"/>
      <c r="W60" s="720"/>
      <c r="X60" s="720"/>
      <c r="Y60" s="720"/>
      <c r="Z60" s="720"/>
      <c r="AA60" s="720"/>
      <c r="AB60" s="720"/>
      <c r="AC60" s="720"/>
      <c r="AD60" s="720"/>
      <c r="AE60" s="720"/>
      <c r="AF60" s="720"/>
      <c r="AG60" s="720"/>
      <c r="AH60" s="720"/>
      <c r="AI60" s="720"/>
      <c r="AJ60" s="720"/>
      <c r="AK60" s="720"/>
      <c r="AL60" s="720"/>
      <c r="AM60" s="720"/>
      <c r="AN60" s="720"/>
      <c r="AO60" s="720"/>
      <c r="AP60" s="720"/>
      <c r="AQ60" s="720"/>
      <c r="AR60" s="720"/>
      <c r="AS60" s="720"/>
      <c r="AT60" s="720"/>
      <c r="AU60" s="720"/>
      <c r="AV60" s="720"/>
      <c r="AW60" s="720"/>
      <c r="AX60" s="720"/>
      <c r="AY60" s="720"/>
      <c r="AZ60" s="198"/>
      <c r="BA60" s="198"/>
      <c r="BB60" s="198"/>
    </row>
    <row r="61" spans="1:54" ht="12.6" customHeight="1" x14ac:dyDescent="0.25">
      <c r="A61" s="723"/>
      <c r="B61" s="723"/>
      <c r="C61" s="723"/>
      <c r="D61" s="723"/>
      <c r="E61" s="723"/>
      <c r="F61" s="723"/>
      <c r="G61" s="723"/>
      <c r="H61" s="723"/>
      <c r="I61" s="723"/>
      <c r="J61" s="723"/>
      <c r="K61" s="723"/>
      <c r="L61" s="723"/>
      <c r="M61" s="723"/>
      <c r="N61" s="723"/>
      <c r="O61" s="723"/>
      <c r="P61" s="723"/>
      <c r="Q61" s="723"/>
      <c r="R61" s="723"/>
      <c r="S61" s="723"/>
      <c r="T61" s="723"/>
      <c r="U61" s="720"/>
      <c r="V61" s="720"/>
      <c r="W61" s="720"/>
      <c r="X61" s="720"/>
      <c r="Y61" s="720"/>
      <c r="Z61" s="720"/>
      <c r="AA61" s="720"/>
      <c r="AB61" s="720"/>
      <c r="AC61" s="720"/>
      <c r="AD61" s="720"/>
      <c r="AE61" s="720"/>
      <c r="AF61" s="720"/>
      <c r="AG61" s="720"/>
      <c r="AH61" s="720"/>
      <c r="AI61" s="720"/>
      <c r="AJ61" s="720"/>
      <c r="AK61" s="720"/>
      <c r="AL61" s="720"/>
      <c r="AM61" s="720"/>
      <c r="AN61" s="720"/>
      <c r="AO61" s="720"/>
      <c r="AP61" s="720"/>
      <c r="AQ61" s="720"/>
      <c r="AR61" s="720"/>
      <c r="AS61" s="720"/>
      <c r="AT61" s="720"/>
      <c r="AU61" s="720"/>
      <c r="AV61" s="720"/>
      <c r="AW61" s="720"/>
      <c r="AX61" s="720"/>
      <c r="AY61" s="720"/>
      <c r="AZ61" s="198"/>
      <c r="BA61" s="198"/>
      <c r="BB61" s="198"/>
    </row>
    <row r="62" spans="1:54" ht="12.6" customHeight="1" x14ac:dyDescent="0.25">
      <c r="A62" s="723" t="s">
        <v>1328</v>
      </c>
      <c r="B62" s="723"/>
      <c r="C62" s="723"/>
      <c r="D62" s="723"/>
      <c r="E62" s="723"/>
      <c r="F62" s="723"/>
      <c r="G62" s="723"/>
      <c r="H62" s="723"/>
      <c r="I62" s="723"/>
      <c r="J62" s="723"/>
      <c r="K62" s="723"/>
      <c r="L62" s="723"/>
      <c r="M62" s="723"/>
      <c r="N62" s="723"/>
      <c r="O62" s="723"/>
      <c r="P62" s="723"/>
      <c r="Q62" s="723"/>
      <c r="R62" s="723"/>
      <c r="S62" s="723"/>
      <c r="T62" s="723"/>
      <c r="U62" s="720"/>
      <c r="V62" s="720"/>
      <c r="W62" s="720"/>
      <c r="X62" s="720"/>
      <c r="Y62" s="720"/>
      <c r="Z62" s="720"/>
      <c r="AA62" s="720"/>
      <c r="AB62" s="720"/>
      <c r="AC62" s="720"/>
      <c r="AD62" s="720"/>
      <c r="AE62" s="720"/>
      <c r="AF62" s="720"/>
      <c r="AG62" s="720"/>
      <c r="AH62" s="720"/>
      <c r="AI62" s="720"/>
      <c r="AJ62" s="720"/>
      <c r="AK62" s="720"/>
      <c r="AL62" s="720"/>
      <c r="AM62" s="720"/>
      <c r="AN62" s="720"/>
      <c r="AO62" s="720"/>
      <c r="AP62" s="720"/>
      <c r="AQ62" s="720"/>
      <c r="AR62" s="720"/>
      <c r="AS62" s="720"/>
      <c r="AT62" s="720"/>
      <c r="AU62" s="720"/>
      <c r="AV62" s="720"/>
      <c r="AW62" s="720"/>
      <c r="AX62" s="720"/>
      <c r="AY62" s="720"/>
      <c r="AZ62" s="198"/>
      <c r="BA62" s="198"/>
      <c r="BB62" s="198"/>
    </row>
    <row r="63" spans="1:54" ht="12.6" customHeight="1" x14ac:dyDescent="0.25">
      <c r="A63" s="198"/>
      <c r="B63" s="198"/>
      <c r="C63" s="198"/>
      <c r="D63" s="198"/>
      <c r="E63" s="198"/>
      <c r="F63" s="198"/>
      <c r="G63" s="198"/>
      <c r="H63" s="198"/>
      <c r="I63" s="198"/>
      <c r="J63" s="198"/>
      <c r="K63" s="198"/>
      <c r="L63" s="198"/>
      <c r="M63" s="198"/>
      <c r="N63" s="198"/>
      <c r="O63" s="198"/>
      <c r="P63" s="222"/>
      <c r="Q63" s="222"/>
      <c r="R63" s="222"/>
      <c r="S63" s="222"/>
      <c r="T63" s="222"/>
      <c r="U63" s="222"/>
      <c r="V63" s="222"/>
      <c r="W63" s="222"/>
      <c r="X63" s="222"/>
      <c r="Y63" s="222"/>
      <c r="Z63" s="222"/>
      <c r="AA63" s="222"/>
      <c r="AB63" s="222"/>
      <c r="AC63" s="222"/>
      <c r="AD63" s="222"/>
      <c r="AE63" s="222"/>
      <c r="AF63" s="222"/>
      <c r="AG63" s="222"/>
      <c r="AH63" s="222"/>
      <c r="AI63" s="223"/>
      <c r="AJ63" s="223"/>
      <c r="AK63" s="223"/>
      <c r="AL63" s="223"/>
      <c r="AM63" s="223"/>
      <c r="AN63" s="223"/>
      <c r="AO63" s="222"/>
      <c r="AP63" s="222"/>
      <c r="AQ63" s="222"/>
      <c r="AR63" s="222"/>
      <c r="AS63" s="222"/>
      <c r="AT63" s="222"/>
      <c r="AU63" s="222"/>
      <c r="AV63" s="222"/>
      <c r="AW63" s="222"/>
      <c r="AX63" s="222"/>
      <c r="AY63" s="222"/>
      <c r="AZ63" s="198"/>
      <c r="BA63" s="198"/>
      <c r="BB63" s="198"/>
    </row>
    <row r="64" spans="1:54" s="214" customFormat="1" ht="12.6" customHeight="1" x14ac:dyDescent="0.25">
      <c r="A64" s="697" t="s">
        <v>1334</v>
      </c>
      <c r="B64" s="697"/>
      <c r="C64" s="697"/>
      <c r="D64" s="697"/>
      <c r="E64" s="697"/>
      <c r="F64" s="697"/>
      <c r="G64" s="697"/>
      <c r="H64" s="697"/>
      <c r="I64" s="697"/>
      <c r="J64" s="697"/>
      <c r="K64" s="697"/>
      <c r="L64" s="697"/>
      <c r="M64" s="697"/>
      <c r="N64" s="697"/>
      <c r="O64" s="697"/>
      <c r="P64" s="697"/>
      <c r="Q64" s="697"/>
      <c r="R64" s="697"/>
      <c r="S64" s="697"/>
      <c r="T64" s="697"/>
      <c r="U64" s="697"/>
      <c r="V64" s="697"/>
      <c r="W64" s="697"/>
      <c r="X64" s="697"/>
      <c r="Y64" s="697"/>
      <c r="Z64" s="697"/>
      <c r="AA64" s="697"/>
      <c r="AB64" s="697"/>
      <c r="AC64" s="697"/>
      <c r="AD64" s="697"/>
      <c r="AE64" s="697"/>
      <c r="AF64" s="697"/>
      <c r="AG64" s="697"/>
      <c r="AH64" s="217"/>
      <c r="AI64" s="217"/>
      <c r="AJ64" s="217"/>
      <c r="AK64" s="713" t="s">
        <v>1278</v>
      </c>
      <c r="AL64" s="713"/>
      <c r="AM64" s="713"/>
      <c r="AN64" s="217"/>
      <c r="AO64" s="712"/>
      <c r="AP64" s="712"/>
      <c r="AQ64" s="217"/>
      <c r="AR64" s="217"/>
      <c r="AS64" s="712"/>
      <c r="AT64" s="712"/>
      <c r="AU64" s="217"/>
      <c r="AV64" s="712"/>
      <c r="AW64" s="712"/>
      <c r="AX64" s="217"/>
      <c r="AY64" s="217"/>
      <c r="AZ64" s="697"/>
      <c r="BA64" s="697"/>
      <c r="BB64" s="697"/>
    </row>
    <row r="65" spans="1:54" ht="12.6" customHeight="1" x14ac:dyDescent="0.25">
      <c r="A65" s="697" t="s">
        <v>1335</v>
      </c>
      <c r="B65" s="697"/>
      <c r="C65" s="697"/>
      <c r="D65" s="697"/>
      <c r="E65" s="697"/>
      <c r="F65" s="697"/>
      <c r="G65" s="697"/>
      <c r="H65" s="697"/>
      <c r="I65" s="697"/>
      <c r="J65" s="697"/>
      <c r="K65" s="697"/>
      <c r="L65" s="697"/>
      <c r="M65" s="697"/>
      <c r="N65" s="697"/>
      <c r="O65" s="697"/>
      <c r="P65" s="697"/>
      <c r="Q65" s="697"/>
      <c r="R65" s="697"/>
      <c r="S65" s="697"/>
      <c r="T65" s="697"/>
      <c r="U65" s="697"/>
      <c r="V65" s="697"/>
      <c r="W65" s="697"/>
      <c r="X65" s="697"/>
      <c r="Y65" s="697"/>
      <c r="Z65" s="697"/>
      <c r="AA65" s="697"/>
      <c r="AB65" s="697"/>
      <c r="AC65" s="697"/>
      <c r="AD65" s="697"/>
      <c r="AE65" s="697"/>
      <c r="AF65" s="697"/>
      <c r="AG65" s="697"/>
      <c r="AH65" s="206"/>
      <c r="AI65" s="206"/>
      <c r="AJ65" s="206"/>
      <c r="AK65" s="713" t="s">
        <v>1278</v>
      </c>
      <c r="AL65" s="713"/>
      <c r="AM65" s="713"/>
      <c r="AN65" s="217"/>
      <c r="AO65" s="712"/>
      <c r="AP65" s="712"/>
      <c r="AQ65" s="217"/>
      <c r="AR65" s="217"/>
      <c r="AS65" s="712"/>
      <c r="AT65" s="712"/>
      <c r="AU65" s="217"/>
      <c r="AV65" s="712"/>
      <c r="AW65" s="712"/>
      <c r="AX65" s="217"/>
      <c r="AY65" s="206"/>
      <c r="AZ65" s="206"/>
      <c r="BA65" s="206"/>
      <c r="BB65" s="206"/>
    </row>
    <row r="66" spans="1:54" s="225" customFormat="1" ht="12.6" customHeight="1" x14ac:dyDescent="0.25">
      <c r="A66" s="220" t="s">
        <v>1336</v>
      </c>
      <c r="B66" s="224"/>
      <c r="C66" s="224"/>
      <c r="D66" s="224"/>
      <c r="E66" s="224"/>
      <c r="F66" s="224"/>
      <c r="G66" s="224"/>
      <c r="H66" s="224"/>
      <c r="I66" s="224"/>
      <c r="J66" s="224"/>
      <c r="K66" s="224"/>
      <c r="L66" s="224"/>
      <c r="M66" s="224"/>
      <c r="N66" s="224"/>
      <c r="O66" s="224"/>
      <c r="P66" s="224"/>
      <c r="Q66" s="224"/>
      <c r="R66" s="224"/>
      <c r="S66" s="224"/>
      <c r="T66" s="224"/>
      <c r="U66" s="224"/>
      <c r="V66" s="224"/>
      <c r="W66" s="224"/>
      <c r="X66" s="224"/>
      <c r="Y66" s="224"/>
      <c r="Z66" s="224"/>
      <c r="AA66" s="224"/>
      <c r="AB66" s="224"/>
      <c r="AC66" s="224"/>
      <c r="AD66" s="224"/>
      <c r="AE66" s="224"/>
      <c r="AF66" s="224"/>
      <c r="AG66" s="224"/>
      <c r="AH66" s="224"/>
      <c r="AI66" s="224"/>
      <c r="AJ66" s="224"/>
      <c r="AK66" s="224"/>
      <c r="AL66" s="224"/>
      <c r="AM66" s="224"/>
      <c r="AN66" s="224"/>
      <c r="AO66" s="224"/>
      <c r="AP66" s="224"/>
      <c r="AQ66" s="224"/>
      <c r="AR66" s="224"/>
      <c r="AS66" s="224"/>
      <c r="AT66" s="224"/>
      <c r="AU66" s="224"/>
      <c r="AV66" s="224"/>
      <c r="AW66" s="224"/>
      <c r="AX66" s="224"/>
      <c r="AY66" s="224"/>
      <c r="AZ66" s="224"/>
      <c r="BA66" s="224"/>
      <c r="BB66" s="224"/>
    </row>
    <row r="67" spans="1:54" s="207" customFormat="1" ht="13.5" customHeight="1" x14ac:dyDescent="0.25">
      <c r="A67" s="724" t="s">
        <v>1337</v>
      </c>
      <c r="B67" s="724"/>
      <c r="C67" s="724"/>
      <c r="D67" s="725" t="s">
        <v>1277</v>
      </c>
      <c r="E67" s="725"/>
      <c r="F67" s="712" t="s">
        <v>1338</v>
      </c>
      <c r="G67" s="712"/>
      <c r="H67" s="712"/>
      <c r="I67" s="712"/>
      <c r="J67" s="712"/>
      <c r="K67" s="712"/>
      <c r="L67" s="712"/>
      <c r="M67" s="712"/>
      <c r="N67" s="712"/>
      <c r="O67" s="712"/>
      <c r="P67" s="712"/>
      <c r="Q67" s="712"/>
      <c r="R67" s="712"/>
      <c r="S67" s="712"/>
      <c r="T67" s="712"/>
      <c r="U67" s="712"/>
      <c r="V67" s="712"/>
      <c r="W67" s="712"/>
      <c r="X67" s="712"/>
      <c r="Y67" s="712"/>
      <c r="Z67" s="712"/>
      <c r="AA67" s="712"/>
      <c r="AB67" s="712"/>
      <c r="AC67" s="712"/>
      <c r="AD67" s="712"/>
      <c r="AE67" s="712"/>
      <c r="AF67" s="712"/>
      <c r="AG67" s="712"/>
      <c r="AH67" s="712"/>
      <c r="AI67" s="712"/>
      <c r="AJ67" s="712"/>
      <c r="AK67" s="712"/>
      <c r="AL67" s="712"/>
      <c r="AM67" s="712"/>
      <c r="AN67" s="712"/>
      <c r="AO67" s="712"/>
      <c r="AP67" s="712"/>
      <c r="AQ67" s="712"/>
      <c r="AR67" s="712"/>
      <c r="AS67" s="712"/>
      <c r="AT67" s="712"/>
      <c r="AU67" s="712"/>
      <c r="AV67" s="712"/>
      <c r="AW67" s="712"/>
      <c r="AX67" s="712"/>
      <c r="AY67" s="712"/>
      <c r="AZ67" s="712"/>
      <c r="BA67" s="712"/>
      <c r="BB67" s="712"/>
    </row>
    <row r="68" spans="1:54" ht="28.5" customHeight="1" x14ac:dyDescent="0.25">
      <c r="A68" s="723"/>
      <c r="B68" s="723"/>
      <c r="C68" s="723"/>
      <c r="D68" s="723"/>
      <c r="E68" s="723"/>
      <c r="F68" s="723"/>
      <c r="G68" s="723"/>
      <c r="H68" s="723"/>
      <c r="I68" s="723"/>
      <c r="J68" s="723"/>
      <c r="K68" s="723"/>
      <c r="L68" s="723"/>
      <c r="M68" s="723"/>
      <c r="N68" s="723"/>
      <c r="O68" s="723"/>
      <c r="P68" s="723"/>
      <c r="Q68" s="723"/>
      <c r="R68" s="723"/>
      <c r="S68" s="723"/>
      <c r="T68" s="723"/>
      <c r="U68" s="719" t="s">
        <v>156</v>
      </c>
      <c r="V68" s="719"/>
      <c r="W68" s="719"/>
      <c r="X68" s="719"/>
      <c r="Y68" s="719"/>
      <c r="Z68" s="719"/>
      <c r="AA68" s="719"/>
      <c r="AB68" s="719"/>
      <c r="AC68" s="719" t="s">
        <v>1339</v>
      </c>
      <c r="AD68" s="719"/>
      <c r="AE68" s="719"/>
      <c r="AF68" s="719"/>
      <c r="AG68" s="719"/>
      <c r="AH68" s="719"/>
      <c r="AI68" s="719"/>
      <c r="AJ68" s="719"/>
      <c r="AK68" s="719"/>
      <c r="AL68" s="719"/>
      <c r="AM68" s="719"/>
      <c r="AN68" s="719"/>
      <c r="AO68" s="719" t="s">
        <v>1340</v>
      </c>
      <c r="AP68" s="719"/>
      <c r="AQ68" s="719"/>
      <c r="AR68" s="719"/>
      <c r="AS68" s="719"/>
      <c r="AT68" s="719"/>
      <c r="AU68" s="719"/>
      <c r="AV68" s="719"/>
      <c r="AW68" s="719"/>
      <c r="AX68" s="719"/>
      <c r="AY68" s="719"/>
      <c r="AZ68" s="217"/>
      <c r="BA68" s="217"/>
      <c r="BB68" s="198"/>
    </row>
    <row r="69" spans="1:54" ht="15" customHeight="1" x14ac:dyDescent="0.25">
      <c r="A69" s="723"/>
      <c r="B69" s="723"/>
      <c r="C69" s="723"/>
      <c r="D69" s="723"/>
      <c r="E69" s="723"/>
      <c r="F69" s="723"/>
      <c r="G69" s="723"/>
      <c r="H69" s="723"/>
      <c r="I69" s="723"/>
      <c r="J69" s="723"/>
      <c r="K69" s="723"/>
      <c r="L69" s="723"/>
      <c r="M69" s="723"/>
      <c r="N69" s="723"/>
      <c r="O69" s="723"/>
      <c r="P69" s="723"/>
      <c r="Q69" s="723"/>
      <c r="R69" s="723"/>
      <c r="S69" s="723"/>
      <c r="T69" s="723"/>
      <c r="U69" s="719"/>
      <c r="V69" s="719"/>
      <c r="W69" s="719"/>
      <c r="X69" s="719"/>
      <c r="Y69" s="719"/>
      <c r="Z69" s="719"/>
      <c r="AA69" s="719"/>
      <c r="AB69" s="719"/>
      <c r="AC69" s="723"/>
      <c r="AD69" s="723"/>
      <c r="AE69" s="723"/>
      <c r="AF69" s="723"/>
      <c r="AG69" s="723"/>
      <c r="AH69" s="723"/>
      <c r="AI69" s="723"/>
      <c r="AJ69" s="723"/>
      <c r="AK69" s="723"/>
      <c r="AL69" s="723"/>
      <c r="AM69" s="723"/>
      <c r="AN69" s="723"/>
      <c r="AO69" s="723"/>
      <c r="AP69" s="723"/>
      <c r="AQ69" s="723"/>
      <c r="AR69" s="723"/>
      <c r="AS69" s="723"/>
      <c r="AT69" s="723"/>
      <c r="AU69" s="723"/>
      <c r="AV69" s="723"/>
      <c r="AW69" s="723"/>
      <c r="AX69" s="723"/>
      <c r="AY69" s="723"/>
      <c r="AZ69" s="217"/>
      <c r="BA69" s="217"/>
      <c r="BB69" s="198"/>
    </row>
    <row r="70" spans="1:54" ht="15" customHeight="1" x14ac:dyDescent="0.25">
      <c r="A70" s="723"/>
      <c r="B70" s="723"/>
      <c r="C70" s="723"/>
      <c r="D70" s="723"/>
      <c r="E70" s="723"/>
      <c r="F70" s="723"/>
      <c r="G70" s="723"/>
      <c r="H70" s="723"/>
      <c r="I70" s="723"/>
      <c r="J70" s="723"/>
      <c r="K70" s="723"/>
      <c r="L70" s="723"/>
      <c r="M70" s="723"/>
      <c r="N70" s="723"/>
      <c r="O70" s="723"/>
      <c r="P70" s="723"/>
      <c r="Q70" s="723"/>
      <c r="R70" s="723"/>
      <c r="S70" s="723"/>
      <c r="T70" s="723"/>
      <c r="U70" s="719"/>
      <c r="V70" s="719"/>
      <c r="W70" s="719"/>
      <c r="X70" s="719"/>
      <c r="Y70" s="719"/>
      <c r="Z70" s="719"/>
      <c r="AA70" s="719"/>
      <c r="AB70" s="719"/>
      <c r="AC70" s="723"/>
      <c r="AD70" s="723"/>
      <c r="AE70" s="723"/>
      <c r="AF70" s="723"/>
      <c r="AG70" s="723"/>
      <c r="AH70" s="723"/>
      <c r="AI70" s="723"/>
      <c r="AJ70" s="723"/>
      <c r="AK70" s="723"/>
      <c r="AL70" s="723"/>
      <c r="AM70" s="723"/>
      <c r="AN70" s="723"/>
      <c r="AO70" s="723"/>
      <c r="AP70" s="723"/>
      <c r="AQ70" s="723"/>
      <c r="AR70" s="723"/>
      <c r="AS70" s="723"/>
      <c r="AT70" s="723"/>
      <c r="AU70" s="723"/>
      <c r="AV70" s="723"/>
      <c r="AW70" s="723"/>
      <c r="AX70" s="723"/>
      <c r="AY70" s="723"/>
      <c r="AZ70" s="217"/>
      <c r="BA70" s="217"/>
      <c r="BB70" s="198"/>
    </row>
    <row r="71" spans="1:54" ht="15" customHeight="1" x14ac:dyDescent="0.25">
      <c r="A71" s="723"/>
      <c r="B71" s="723"/>
      <c r="C71" s="723"/>
      <c r="D71" s="723"/>
      <c r="E71" s="723"/>
      <c r="F71" s="723"/>
      <c r="G71" s="723"/>
      <c r="H71" s="723"/>
      <c r="I71" s="723"/>
      <c r="J71" s="723"/>
      <c r="K71" s="723"/>
      <c r="L71" s="723"/>
      <c r="M71" s="723"/>
      <c r="N71" s="723"/>
      <c r="O71" s="723"/>
      <c r="P71" s="723"/>
      <c r="Q71" s="723"/>
      <c r="R71" s="723"/>
      <c r="S71" s="723"/>
      <c r="T71" s="723"/>
      <c r="U71" s="719"/>
      <c r="V71" s="719"/>
      <c r="W71" s="719"/>
      <c r="X71" s="719"/>
      <c r="Y71" s="719"/>
      <c r="Z71" s="719"/>
      <c r="AA71" s="719"/>
      <c r="AB71" s="719"/>
      <c r="AC71" s="723"/>
      <c r="AD71" s="723"/>
      <c r="AE71" s="723"/>
      <c r="AF71" s="723"/>
      <c r="AG71" s="723"/>
      <c r="AH71" s="723"/>
      <c r="AI71" s="723"/>
      <c r="AJ71" s="723"/>
      <c r="AK71" s="723"/>
      <c r="AL71" s="723"/>
      <c r="AM71" s="723"/>
      <c r="AN71" s="723"/>
      <c r="AO71" s="723"/>
      <c r="AP71" s="723"/>
      <c r="AQ71" s="723"/>
      <c r="AR71" s="723"/>
      <c r="AS71" s="723"/>
      <c r="AT71" s="723"/>
      <c r="AU71" s="723"/>
      <c r="AV71" s="723"/>
      <c r="AW71" s="723"/>
      <c r="AX71" s="723"/>
      <c r="AY71" s="723"/>
      <c r="AZ71" s="217"/>
      <c r="BA71" s="217"/>
      <c r="BB71" s="198"/>
    </row>
    <row r="72" spans="1:54" ht="15" customHeight="1" x14ac:dyDescent="0.25">
      <c r="A72" s="723"/>
      <c r="B72" s="723"/>
      <c r="C72" s="723"/>
      <c r="D72" s="723"/>
      <c r="E72" s="723"/>
      <c r="F72" s="723"/>
      <c r="G72" s="723"/>
      <c r="H72" s="723"/>
      <c r="I72" s="723"/>
      <c r="J72" s="723"/>
      <c r="K72" s="723"/>
      <c r="L72" s="723"/>
      <c r="M72" s="723"/>
      <c r="N72" s="723"/>
      <c r="O72" s="723"/>
      <c r="P72" s="723"/>
      <c r="Q72" s="723"/>
      <c r="R72" s="723"/>
      <c r="S72" s="723"/>
      <c r="T72" s="723"/>
      <c r="U72" s="719"/>
      <c r="V72" s="719"/>
      <c r="W72" s="719"/>
      <c r="X72" s="719"/>
      <c r="Y72" s="719"/>
      <c r="Z72" s="719"/>
      <c r="AA72" s="719"/>
      <c r="AB72" s="719"/>
      <c r="AC72" s="723"/>
      <c r="AD72" s="723"/>
      <c r="AE72" s="723"/>
      <c r="AF72" s="723"/>
      <c r="AG72" s="723"/>
      <c r="AH72" s="723"/>
      <c r="AI72" s="723"/>
      <c r="AJ72" s="723"/>
      <c r="AK72" s="723"/>
      <c r="AL72" s="723"/>
      <c r="AM72" s="723"/>
      <c r="AN72" s="723"/>
      <c r="AO72" s="723"/>
      <c r="AP72" s="723"/>
      <c r="AQ72" s="723"/>
      <c r="AR72" s="723"/>
      <c r="AS72" s="723"/>
      <c r="AT72" s="723"/>
      <c r="AU72" s="723"/>
      <c r="AV72" s="723"/>
      <c r="AW72" s="723"/>
      <c r="AX72" s="723"/>
      <c r="AY72" s="723"/>
      <c r="AZ72" s="217"/>
      <c r="BA72" s="217"/>
      <c r="BB72" s="198"/>
    </row>
    <row r="73" spans="1:54" ht="15" customHeight="1" x14ac:dyDescent="0.25">
      <c r="A73" s="723"/>
      <c r="B73" s="723"/>
      <c r="C73" s="723"/>
      <c r="D73" s="723"/>
      <c r="E73" s="723"/>
      <c r="F73" s="723"/>
      <c r="G73" s="723"/>
      <c r="H73" s="723"/>
      <c r="I73" s="723"/>
      <c r="J73" s="723"/>
      <c r="K73" s="723"/>
      <c r="L73" s="723"/>
      <c r="M73" s="723"/>
      <c r="N73" s="723"/>
      <c r="O73" s="723"/>
      <c r="P73" s="723"/>
      <c r="Q73" s="723"/>
      <c r="R73" s="723"/>
      <c r="S73" s="723"/>
      <c r="T73" s="723"/>
      <c r="U73" s="719"/>
      <c r="V73" s="719"/>
      <c r="W73" s="719"/>
      <c r="X73" s="719"/>
      <c r="Y73" s="719"/>
      <c r="Z73" s="719"/>
      <c r="AA73" s="719"/>
      <c r="AB73" s="719"/>
      <c r="AC73" s="723"/>
      <c r="AD73" s="723"/>
      <c r="AE73" s="723"/>
      <c r="AF73" s="723"/>
      <c r="AG73" s="723"/>
      <c r="AH73" s="723"/>
      <c r="AI73" s="723"/>
      <c r="AJ73" s="723"/>
      <c r="AK73" s="723"/>
      <c r="AL73" s="723"/>
      <c r="AM73" s="723"/>
      <c r="AN73" s="723"/>
      <c r="AO73" s="723"/>
      <c r="AP73" s="723"/>
      <c r="AQ73" s="723"/>
      <c r="AR73" s="723"/>
      <c r="AS73" s="723"/>
      <c r="AT73" s="723"/>
      <c r="AU73" s="723"/>
      <c r="AV73" s="723"/>
      <c r="AW73" s="723"/>
      <c r="AX73" s="723"/>
      <c r="AY73" s="723"/>
      <c r="AZ73" s="217"/>
      <c r="BA73" s="217"/>
      <c r="BB73" s="198"/>
    </row>
    <row r="74" spans="1:54" ht="4.5" customHeight="1" x14ac:dyDescent="0.25">
      <c r="A74" s="198"/>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8"/>
      <c r="AY74" s="198"/>
      <c r="AZ74" s="198"/>
      <c r="BA74" s="198"/>
      <c r="BB74" s="198"/>
    </row>
    <row r="75" spans="1:54" ht="15" hidden="1" customHeight="1" x14ac:dyDescent="0.25">
      <c r="A75" s="198"/>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row>
    <row r="76" spans="1:54" ht="15" hidden="1" customHeight="1" x14ac:dyDescent="0.25">
      <c r="A76" s="198"/>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198"/>
      <c r="AW76" s="198"/>
      <c r="AX76" s="198"/>
      <c r="AY76" s="198"/>
      <c r="AZ76" s="198"/>
      <c r="BA76" s="198"/>
      <c r="BB76" s="198"/>
    </row>
    <row r="77" spans="1:54" s="225" customFormat="1" ht="47.25" customHeight="1" x14ac:dyDescent="0.25">
      <c r="A77" s="726" t="s">
        <v>1341</v>
      </c>
      <c r="B77" s="726"/>
      <c r="C77" s="726"/>
      <c r="D77" s="726"/>
      <c r="E77" s="726"/>
      <c r="F77" s="726"/>
      <c r="G77" s="726"/>
      <c r="H77" s="726"/>
      <c r="I77" s="726"/>
      <c r="J77" s="726"/>
      <c r="K77" s="726"/>
      <c r="L77" s="726"/>
      <c r="M77" s="726"/>
      <c r="N77" s="726"/>
      <c r="O77" s="726"/>
      <c r="P77" s="726"/>
      <c r="Q77" s="726"/>
      <c r="R77" s="726"/>
      <c r="S77" s="726"/>
      <c r="T77" s="726"/>
      <c r="U77" s="726"/>
      <c r="V77" s="726"/>
      <c r="W77" s="726"/>
      <c r="X77" s="726"/>
      <c r="Y77" s="726"/>
      <c r="Z77" s="726"/>
      <c r="AA77" s="726"/>
      <c r="AB77" s="726"/>
      <c r="AC77" s="726"/>
      <c r="AD77" s="726"/>
      <c r="AE77" s="726"/>
      <c r="AF77" s="726"/>
      <c r="AG77" s="726"/>
      <c r="AH77" s="726"/>
      <c r="AI77" s="726"/>
      <c r="AJ77" s="726"/>
      <c r="AK77" s="726"/>
      <c r="AL77" s="726"/>
      <c r="AM77" s="726"/>
      <c r="AN77" s="726"/>
      <c r="AO77" s="726"/>
      <c r="AP77" s="726"/>
      <c r="AQ77" s="726"/>
      <c r="AR77" s="726"/>
      <c r="AS77" s="726"/>
      <c r="AT77" s="726"/>
      <c r="AU77" s="726"/>
      <c r="AV77" s="726"/>
      <c r="AW77" s="726"/>
      <c r="AX77" s="726"/>
      <c r="AY77" s="726"/>
      <c r="AZ77" s="726"/>
      <c r="BA77" s="224"/>
      <c r="BB77" s="224"/>
    </row>
    <row r="78" spans="1:54" s="207" customFormat="1" ht="15" customHeight="1" x14ac:dyDescent="0.25">
      <c r="A78" s="727" t="s">
        <v>1342</v>
      </c>
      <c r="B78" s="727"/>
      <c r="C78" s="727"/>
      <c r="D78" s="727"/>
      <c r="E78" s="727"/>
      <c r="F78" s="727"/>
      <c r="G78" s="727"/>
      <c r="H78" s="727"/>
      <c r="I78" s="727"/>
      <c r="J78" s="727"/>
      <c r="K78" s="727"/>
      <c r="L78" s="727"/>
      <c r="M78" s="727"/>
      <c r="N78" s="727"/>
      <c r="O78" s="727"/>
      <c r="P78" s="727"/>
      <c r="Q78" s="727"/>
      <c r="R78" s="727"/>
      <c r="S78" s="727"/>
      <c r="T78" s="727"/>
      <c r="U78" s="727"/>
      <c r="V78" s="727"/>
      <c r="W78" s="727"/>
      <c r="X78" s="727"/>
      <c r="Y78" s="727"/>
      <c r="Z78" s="727"/>
      <c r="AA78" s="727"/>
      <c r="AB78" s="713" t="s">
        <v>1278</v>
      </c>
      <c r="AC78" s="713"/>
      <c r="AD78" s="713"/>
      <c r="AE78" s="198"/>
      <c r="AF78" s="198"/>
      <c r="AG78" s="712" t="s">
        <v>1343</v>
      </c>
      <c r="AH78" s="712"/>
      <c r="AI78" s="712"/>
      <c r="AJ78" s="198"/>
      <c r="AK78" s="728">
        <v>0</v>
      </c>
      <c r="AL78" s="728"/>
      <c r="AM78" s="728"/>
      <c r="AN78" s="728"/>
      <c r="AO78" s="728"/>
      <c r="AP78" s="728"/>
      <c r="AQ78" s="728"/>
      <c r="AR78" s="728"/>
      <c r="AS78" s="728"/>
      <c r="AT78" s="728"/>
      <c r="AU78" s="728"/>
      <c r="AV78" s="728"/>
      <c r="AW78" s="728"/>
      <c r="AX78" s="728"/>
      <c r="AY78" s="198"/>
      <c r="AZ78" s="198"/>
      <c r="BA78" s="198"/>
      <c r="BB78" s="198"/>
    </row>
    <row r="79" spans="1:54" ht="15" customHeight="1" x14ac:dyDescent="0.25">
      <c r="A79" s="227" t="s">
        <v>1344</v>
      </c>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198"/>
      <c r="AV79" s="198"/>
      <c r="AW79" s="198"/>
      <c r="AX79" s="198"/>
      <c r="AY79" s="198"/>
      <c r="AZ79" s="198"/>
      <c r="BA79" s="198"/>
      <c r="BB79" s="198"/>
    </row>
    <row r="80" spans="1:54" ht="15" customHeight="1" x14ac:dyDescent="0.25">
      <c r="A80" s="729"/>
      <c r="B80" s="729"/>
      <c r="C80" s="729"/>
      <c r="D80" s="729"/>
      <c r="E80" s="729"/>
      <c r="F80" s="729"/>
      <c r="G80" s="729"/>
      <c r="H80" s="729"/>
      <c r="I80" s="729"/>
      <c r="J80" s="729"/>
      <c r="K80" s="729"/>
      <c r="L80" s="729"/>
      <c r="M80" s="729"/>
      <c r="N80" s="729"/>
      <c r="O80" s="729"/>
      <c r="P80" s="729"/>
      <c r="Q80" s="729"/>
      <c r="R80" s="729"/>
      <c r="S80" s="729"/>
      <c r="T80" s="729"/>
      <c r="U80" s="729"/>
      <c r="V80" s="729"/>
      <c r="W80" s="729"/>
      <c r="X80" s="729"/>
      <c r="Y80" s="729"/>
      <c r="Z80" s="729"/>
      <c r="AA80" s="729"/>
      <c r="AB80" s="729"/>
      <c r="AC80" s="729"/>
      <c r="AD80" s="729"/>
      <c r="AE80" s="729"/>
      <c r="AF80" s="729"/>
      <c r="AG80" s="729"/>
      <c r="AH80" s="729"/>
      <c r="AI80" s="729"/>
      <c r="AJ80" s="729"/>
      <c r="AK80" s="729"/>
      <c r="AL80" s="729"/>
      <c r="AM80" s="729"/>
      <c r="AN80" s="729"/>
      <c r="AO80" s="729"/>
      <c r="AP80" s="729"/>
      <c r="AQ80" s="729"/>
      <c r="AR80" s="729"/>
      <c r="AS80" s="729"/>
      <c r="AT80" s="729"/>
      <c r="AU80" s="729"/>
      <c r="AV80" s="729"/>
      <c r="AW80" s="729"/>
      <c r="AX80" s="729"/>
      <c r="AY80" s="729"/>
      <c r="AZ80" s="729"/>
      <c r="BA80" s="198"/>
      <c r="BB80" s="198"/>
    </row>
    <row r="81" spans="1:1024" ht="9.75" customHeight="1" x14ac:dyDescent="0.25">
      <c r="A81" s="729"/>
      <c r="B81" s="729"/>
      <c r="C81" s="729"/>
      <c r="D81" s="729"/>
      <c r="E81" s="729"/>
      <c r="F81" s="729"/>
      <c r="G81" s="729"/>
      <c r="H81" s="729"/>
      <c r="I81" s="729"/>
      <c r="J81" s="729"/>
      <c r="K81" s="729"/>
      <c r="L81" s="729"/>
      <c r="M81" s="729"/>
      <c r="N81" s="729"/>
      <c r="O81" s="729"/>
      <c r="P81" s="729"/>
      <c r="Q81" s="729"/>
      <c r="R81" s="729"/>
      <c r="S81" s="729"/>
      <c r="T81" s="729"/>
      <c r="U81" s="729"/>
      <c r="V81" s="729"/>
      <c r="W81" s="729"/>
      <c r="X81" s="729"/>
      <c r="Y81" s="729"/>
      <c r="Z81" s="729"/>
      <c r="AA81" s="729"/>
      <c r="AB81" s="729"/>
      <c r="AC81" s="729"/>
      <c r="AD81" s="729"/>
      <c r="AE81" s="729"/>
      <c r="AF81" s="729"/>
      <c r="AG81" s="729"/>
      <c r="AH81" s="729"/>
      <c r="AI81" s="729"/>
      <c r="AJ81" s="729"/>
      <c r="AK81" s="729"/>
      <c r="AL81" s="729"/>
      <c r="AM81" s="729"/>
      <c r="AN81" s="729"/>
      <c r="AO81" s="729"/>
      <c r="AP81" s="729"/>
      <c r="AQ81" s="729"/>
      <c r="AR81" s="729"/>
      <c r="AS81" s="729"/>
      <c r="AT81" s="729"/>
      <c r="AU81" s="729"/>
      <c r="AV81" s="729"/>
      <c r="AW81" s="729"/>
      <c r="AX81" s="729"/>
      <c r="AY81" s="729"/>
      <c r="AZ81" s="729"/>
      <c r="BA81" s="198"/>
      <c r="BB81" s="198"/>
    </row>
    <row r="82" spans="1:1024" ht="15" customHeight="1" x14ac:dyDescent="0.25">
      <c r="A82" s="727" t="s">
        <v>1345</v>
      </c>
      <c r="B82" s="727"/>
      <c r="C82" s="727"/>
      <c r="D82" s="727"/>
      <c r="E82" s="727"/>
      <c r="F82" s="727"/>
      <c r="G82" s="727"/>
      <c r="H82" s="727"/>
      <c r="I82" s="727"/>
      <c r="J82" s="727"/>
      <c r="K82" s="727"/>
      <c r="L82" s="727"/>
      <c r="M82" s="727"/>
      <c r="N82" s="727"/>
      <c r="O82" s="727"/>
      <c r="P82" s="727"/>
      <c r="Q82" s="727"/>
      <c r="R82" s="727"/>
      <c r="S82" s="727"/>
      <c r="T82" s="727"/>
      <c r="U82" s="727"/>
      <c r="V82" s="727"/>
      <c r="W82" s="727"/>
      <c r="X82" s="727"/>
      <c r="Y82" s="727"/>
      <c r="Z82" s="727"/>
      <c r="AA82" s="727"/>
      <c r="AB82" s="713" t="s">
        <v>1278</v>
      </c>
      <c r="AC82" s="713"/>
      <c r="AD82" s="713"/>
      <c r="AE82" s="198"/>
      <c r="AF82" s="198"/>
      <c r="AG82" s="712" t="s">
        <v>1343</v>
      </c>
      <c r="AH82" s="712"/>
      <c r="AI82" s="712"/>
      <c r="AJ82" s="198"/>
      <c r="AK82" s="728">
        <v>0</v>
      </c>
      <c r="AL82" s="728"/>
      <c r="AM82" s="728"/>
      <c r="AN82" s="728"/>
      <c r="AO82" s="728"/>
      <c r="AP82" s="728"/>
      <c r="AQ82" s="728"/>
      <c r="AR82" s="728"/>
      <c r="AS82" s="728"/>
      <c r="AT82" s="728"/>
      <c r="AU82" s="728"/>
      <c r="AV82" s="728"/>
      <c r="AW82" s="728"/>
      <c r="AX82" s="728"/>
      <c r="AY82" s="198"/>
      <c r="AZ82" s="198"/>
      <c r="BA82" s="198"/>
      <c r="BB82" s="198"/>
    </row>
    <row r="83" spans="1:1024" ht="15" customHeight="1" x14ac:dyDescent="0.25">
      <c r="A83" s="227" t="s">
        <v>1344</v>
      </c>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198"/>
      <c r="AT83" s="198"/>
      <c r="AU83" s="198"/>
      <c r="AV83" s="198"/>
      <c r="AW83" s="198"/>
      <c r="AX83" s="198"/>
      <c r="AY83" s="198"/>
      <c r="AZ83" s="198"/>
      <c r="BA83" s="198"/>
      <c r="BB83" s="198"/>
    </row>
    <row r="84" spans="1:1024" ht="15" customHeight="1" x14ac:dyDescent="0.25">
      <c r="A84" s="729"/>
      <c r="B84" s="729"/>
      <c r="C84" s="729"/>
      <c r="D84" s="729"/>
      <c r="E84" s="729"/>
      <c r="F84" s="729"/>
      <c r="G84" s="729"/>
      <c r="H84" s="729"/>
      <c r="I84" s="729"/>
      <c r="J84" s="729"/>
      <c r="K84" s="729"/>
      <c r="L84" s="729"/>
      <c r="M84" s="729"/>
      <c r="N84" s="729"/>
      <c r="O84" s="729"/>
      <c r="P84" s="729"/>
      <c r="Q84" s="729"/>
      <c r="R84" s="729"/>
      <c r="S84" s="729"/>
      <c r="T84" s="729"/>
      <c r="U84" s="729"/>
      <c r="V84" s="729"/>
      <c r="W84" s="729"/>
      <c r="X84" s="729"/>
      <c r="Y84" s="729"/>
      <c r="Z84" s="729"/>
      <c r="AA84" s="729"/>
      <c r="AB84" s="729"/>
      <c r="AC84" s="729"/>
      <c r="AD84" s="729"/>
      <c r="AE84" s="729"/>
      <c r="AF84" s="729"/>
      <c r="AG84" s="729"/>
      <c r="AH84" s="729"/>
      <c r="AI84" s="729"/>
      <c r="AJ84" s="729"/>
      <c r="AK84" s="729"/>
      <c r="AL84" s="729"/>
      <c r="AM84" s="729"/>
      <c r="AN84" s="729"/>
      <c r="AO84" s="729"/>
      <c r="AP84" s="729"/>
      <c r="AQ84" s="729"/>
      <c r="AR84" s="729"/>
      <c r="AS84" s="729"/>
      <c r="AT84" s="729"/>
      <c r="AU84" s="729"/>
      <c r="AV84" s="729"/>
      <c r="AW84" s="729"/>
      <c r="AX84" s="729"/>
      <c r="AY84" s="729"/>
      <c r="AZ84" s="729"/>
      <c r="BA84" s="198"/>
      <c r="BB84" s="198"/>
    </row>
    <row r="85" spans="1:1024" ht="12" customHeight="1" x14ac:dyDescent="0.25">
      <c r="A85" s="729"/>
      <c r="B85" s="729"/>
      <c r="C85" s="729"/>
      <c r="D85" s="729"/>
      <c r="E85" s="729"/>
      <c r="F85" s="729"/>
      <c r="G85" s="729"/>
      <c r="H85" s="729"/>
      <c r="I85" s="729"/>
      <c r="J85" s="729"/>
      <c r="K85" s="729"/>
      <c r="L85" s="729"/>
      <c r="M85" s="729"/>
      <c r="N85" s="729"/>
      <c r="O85" s="729"/>
      <c r="P85" s="729"/>
      <c r="Q85" s="729"/>
      <c r="R85" s="729"/>
      <c r="S85" s="729"/>
      <c r="T85" s="729"/>
      <c r="U85" s="729"/>
      <c r="V85" s="729"/>
      <c r="W85" s="729"/>
      <c r="X85" s="729"/>
      <c r="Y85" s="729"/>
      <c r="Z85" s="729"/>
      <c r="AA85" s="729"/>
      <c r="AB85" s="729"/>
      <c r="AC85" s="729"/>
      <c r="AD85" s="729"/>
      <c r="AE85" s="729"/>
      <c r="AF85" s="729"/>
      <c r="AG85" s="729"/>
      <c r="AH85" s="729"/>
      <c r="AI85" s="729"/>
      <c r="AJ85" s="729"/>
      <c r="AK85" s="729"/>
      <c r="AL85" s="729"/>
      <c r="AM85" s="729"/>
      <c r="AN85" s="729"/>
      <c r="AO85" s="729"/>
      <c r="AP85" s="729"/>
      <c r="AQ85" s="729"/>
      <c r="AR85" s="729"/>
      <c r="AS85" s="729"/>
      <c r="AT85" s="729"/>
      <c r="AU85" s="729"/>
      <c r="AV85" s="729"/>
      <c r="AW85" s="729"/>
      <c r="AX85" s="729"/>
      <c r="AY85" s="729"/>
      <c r="AZ85" s="729"/>
      <c r="BA85" s="198"/>
      <c r="BB85" s="198"/>
    </row>
    <row r="86" spans="1:1024" ht="15" customHeight="1" x14ac:dyDescent="0.25">
      <c r="A86" s="727" t="s">
        <v>1346</v>
      </c>
      <c r="B86" s="727"/>
      <c r="C86" s="727"/>
      <c r="D86" s="727"/>
      <c r="E86" s="727"/>
      <c r="F86" s="727"/>
      <c r="G86" s="727"/>
      <c r="H86" s="727"/>
      <c r="I86" s="727"/>
      <c r="J86" s="727"/>
      <c r="K86" s="727"/>
      <c r="L86" s="727"/>
      <c r="M86" s="727"/>
      <c r="N86" s="727"/>
      <c r="O86" s="727"/>
      <c r="P86" s="727"/>
      <c r="Q86" s="727"/>
      <c r="R86" s="727"/>
      <c r="S86" s="727"/>
      <c r="T86" s="727"/>
      <c r="U86" s="727"/>
      <c r="V86" s="727"/>
      <c r="W86" s="727"/>
      <c r="X86" s="727"/>
      <c r="Y86" s="727"/>
      <c r="Z86" s="727"/>
      <c r="AA86" s="727"/>
      <c r="AB86" s="198"/>
      <c r="AC86" s="198"/>
      <c r="AD86" s="198"/>
      <c r="AE86" s="198"/>
      <c r="AF86" s="198"/>
      <c r="AG86" s="198"/>
      <c r="AH86" s="198"/>
      <c r="AI86" s="198"/>
      <c r="AJ86" s="198"/>
      <c r="AK86" s="198"/>
      <c r="AL86" s="198"/>
      <c r="AM86" s="198"/>
      <c r="AN86" s="198"/>
      <c r="AO86" s="198"/>
      <c r="AP86" s="198"/>
      <c r="AQ86" s="198"/>
      <c r="AR86" s="198"/>
      <c r="AS86" s="198"/>
      <c r="AT86" s="198"/>
      <c r="AU86" s="198"/>
      <c r="AV86" s="198"/>
      <c r="AW86" s="198"/>
      <c r="AX86" s="198"/>
      <c r="AY86" s="198"/>
      <c r="AZ86" s="198"/>
      <c r="BA86" s="198"/>
      <c r="BB86" s="198"/>
    </row>
    <row r="87" spans="1:1024" ht="15" customHeight="1" x14ac:dyDescent="0.25">
      <c r="A87" s="227" t="s">
        <v>1344</v>
      </c>
      <c r="B87" s="198"/>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c r="AE87" s="198"/>
      <c r="AF87" s="198"/>
      <c r="AG87" s="198"/>
      <c r="AH87" s="198"/>
      <c r="AI87" s="198"/>
      <c r="AJ87" s="198"/>
      <c r="AK87" s="198"/>
      <c r="AL87" s="198"/>
      <c r="AM87" s="198"/>
      <c r="AN87" s="198"/>
      <c r="AO87" s="198"/>
      <c r="AP87" s="198"/>
      <c r="AQ87" s="198"/>
      <c r="AR87" s="198"/>
      <c r="AS87" s="198"/>
      <c r="AT87" s="198"/>
      <c r="AU87" s="198"/>
      <c r="AV87" s="198"/>
      <c r="AW87" s="198"/>
      <c r="AX87" s="198"/>
      <c r="AY87" s="198"/>
      <c r="AZ87" s="198"/>
      <c r="BA87" s="198"/>
      <c r="BB87" s="198"/>
    </row>
    <row r="88" spans="1:1024" ht="15" customHeight="1" x14ac:dyDescent="0.25">
      <c r="A88" s="729"/>
      <c r="B88" s="729"/>
      <c r="C88" s="729"/>
      <c r="D88" s="729"/>
      <c r="E88" s="729"/>
      <c r="F88" s="729"/>
      <c r="G88" s="729"/>
      <c r="H88" s="729"/>
      <c r="I88" s="729"/>
      <c r="J88" s="729"/>
      <c r="K88" s="729"/>
      <c r="L88" s="729"/>
      <c r="M88" s="729"/>
      <c r="N88" s="729"/>
      <c r="O88" s="729"/>
      <c r="P88" s="729"/>
      <c r="Q88" s="729"/>
      <c r="R88" s="729"/>
      <c r="S88" s="729"/>
      <c r="T88" s="729"/>
      <c r="U88" s="729"/>
      <c r="V88" s="729"/>
      <c r="W88" s="729"/>
      <c r="X88" s="729"/>
      <c r="Y88" s="729"/>
      <c r="Z88" s="729"/>
      <c r="AA88" s="729"/>
      <c r="AB88" s="729"/>
      <c r="AC88" s="729"/>
      <c r="AD88" s="729"/>
      <c r="AE88" s="729"/>
      <c r="AF88" s="729"/>
      <c r="AG88" s="729"/>
      <c r="AH88" s="729"/>
      <c r="AI88" s="729"/>
      <c r="AJ88" s="729"/>
      <c r="AK88" s="729"/>
      <c r="AL88" s="729"/>
      <c r="AM88" s="729"/>
      <c r="AN88" s="729"/>
      <c r="AO88" s="729"/>
      <c r="AP88" s="729"/>
      <c r="AQ88" s="729"/>
      <c r="AR88" s="729"/>
      <c r="AS88" s="729"/>
      <c r="AT88" s="729"/>
      <c r="AU88" s="729"/>
      <c r="AV88" s="729"/>
      <c r="AW88" s="729"/>
      <c r="AX88" s="729"/>
      <c r="AY88" s="729"/>
      <c r="AZ88" s="729"/>
      <c r="BA88" s="198"/>
      <c r="BB88" s="198"/>
    </row>
    <row r="89" spans="1:1024" ht="15" customHeight="1" x14ac:dyDescent="0.25">
      <c r="A89" s="729"/>
      <c r="B89" s="729"/>
      <c r="C89" s="729"/>
      <c r="D89" s="729"/>
      <c r="E89" s="729"/>
      <c r="F89" s="729"/>
      <c r="G89" s="729"/>
      <c r="H89" s="729"/>
      <c r="I89" s="729"/>
      <c r="J89" s="729"/>
      <c r="K89" s="729"/>
      <c r="L89" s="729"/>
      <c r="M89" s="729"/>
      <c r="N89" s="729"/>
      <c r="O89" s="729"/>
      <c r="P89" s="729"/>
      <c r="Q89" s="729"/>
      <c r="R89" s="729"/>
      <c r="S89" s="729"/>
      <c r="T89" s="729"/>
      <c r="U89" s="729"/>
      <c r="V89" s="729"/>
      <c r="W89" s="729"/>
      <c r="X89" s="729"/>
      <c r="Y89" s="729"/>
      <c r="Z89" s="729"/>
      <c r="AA89" s="729"/>
      <c r="AB89" s="729"/>
      <c r="AC89" s="729"/>
      <c r="AD89" s="729"/>
      <c r="AE89" s="729"/>
      <c r="AF89" s="729"/>
      <c r="AG89" s="729"/>
      <c r="AH89" s="729"/>
      <c r="AI89" s="729"/>
      <c r="AJ89" s="729"/>
      <c r="AK89" s="729"/>
      <c r="AL89" s="729"/>
      <c r="AM89" s="729"/>
      <c r="AN89" s="729"/>
      <c r="AO89" s="729"/>
      <c r="AP89" s="729"/>
      <c r="AQ89" s="729"/>
      <c r="AR89" s="729"/>
      <c r="AS89" s="729"/>
      <c r="AT89" s="729"/>
      <c r="AU89" s="729"/>
      <c r="AV89" s="729"/>
      <c r="AW89" s="729"/>
      <c r="AX89" s="729"/>
      <c r="AY89" s="729"/>
      <c r="AZ89" s="729"/>
      <c r="BA89" s="198"/>
      <c r="BB89" s="198"/>
    </row>
    <row r="90" spans="1:1024" s="228" customFormat="1" ht="12.6" customHeight="1" x14ac:dyDescent="0.25">
      <c r="A90" s="220" t="s">
        <v>1347</v>
      </c>
      <c r="B90" s="220"/>
      <c r="C90" s="220"/>
      <c r="D90" s="220"/>
      <c r="E90" s="220"/>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20"/>
      <c r="AT90" s="220"/>
      <c r="AU90" s="220"/>
      <c r="AV90" s="220"/>
      <c r="AW90" s="220"/>
      <c r="AX90" s="220"/>
      <c r="AY90" s="220"/>
      <c r="AZ90" s="220"/>
      <c r="BA90" s="220"/>
      <c r="BB90" s="220"/>
    </row>
    <row r="91" spans="1:1024" s="207" customFormat="1" ht="12.6" customHeight="1" x14ac:dyDescent="0.25">
      <c r="A91" s="703" t="s">
        <v>1348</v>
      </c>
      <c r="B91" s="703"/>
      <c r="C91" s="703"/>
      <c r="D91" s="703"/>
      <c r="E91" s="703"/>
      <c r="F91" s="703"/>
      <c r="G91" s="703"/>
      <c r="H91" s="703"/>
      <c r="I91" s="703"/>
      <c r="J91" s="703"/>
      <c r="K91" s="703"/>
      <c r="L91" s="703"/>
      <c r="M91" s="703"/>
      <c r="N91" s="703"/>
      <c r="O91" s="703"/>
      <c r="P91" s="703"/>
      <c r="Q91" s="703"/>
      <c r="R91" s="703"/>
      <c r="S91" s="703"/>
      <c r="T91" s="703"/>
      <c r="U91" s="703"/>
      <c r="V91" s="703"/>
      <c r="W91" s="703"/>
      <c r="X91" s="703"/>
      <c r="Y91" s="703"/>
      <c r="Z91" s="703"/>
      <c r="AA91" s="703"/>
      <c r="AB91" s="703"/>
      <c r="AC91" s="703"/>
      <c r="AD91" s="703"/>
      <c r="AE91" s="703"/>
      <c r="AF91" s="703"/>
      <c r="AG91" s="703"/>
      <c r="AH91" s="703"/>
      <c r="AI91" s="703"/>
      <c r="AJ91" s="703"/>
      <c r="AK91" s="703"/>
      <c r="AL91" s="703"/>
      <c r="AM91" s="703"/>
      <c r="AN91" s="703"/>
      <c r="AO91" s="703"/>
      <c r="AP91" s="703"/>
      <c r="AQ91" s="703"/>
      <c r="AR91" s="703"/>
      <c r="AS91" s="703"/>
      <c r="AT91" s="703"/>
      <c r="AU91" s="703"/>
      <c r="AV91" s="703"/>
      <c r="AW91" s="703"/>
      <c r="AX91" s="703"/>
      <c r="AY91" s="703"/>
      <c r="AZ91" s="703"/>
      <c r="BA91" s="703"/>
      <c r="BB91" s="703"/>
    </row>
    <row r="92" spans="1:1024" ht="12.6" customHeight="1" x14ac:dyDescent="0.25">
      <c r="A92" s="697" t="s">
        <v>1349</v>
      </c>
      <c r="B92" s="697"/>
      <c r="C92" s="697"/>
      <c r="D92" s="697"/>
      <c r="E92" s="697"/>
      <c r="F92" s="697"/>
      <c r="G92" s="697"/>
      <c r="H92" s="697"/>
      <c r="I92" s="697"/>
      <c r="J92" s="697"/>
      <c r="K92" s="697"/>
      <c r="L92" s="697"/>
      <c r="M92" s="697"/>
      <c r="N92" s="697"/>
      <c r="O92" s="697"/>
      <c r="P92" s="697"/>
      <c r="Q92" s="697"/>
      <c r="R92" s="697"/>
      <c r="S92" s="697"/>
      <c r="T92" s="697"/>
      <c r="U92" s="697"/>
      <c r="V92" s="697"/>
      <c r="W92" s="697"/>
      <c r="X92" s="697"/>
      <c r="Y92" s="697"/>
      <c r="Z92" s="697"/>
      <c r="AA92" s="697"/>
      <c r="AB92" s="697"/>
      <c r="AC92" s="697"/>
      <c r="AD92" s="697"/>
      <c r="AE92" s="697"/>
      <c r="AF92" s="697"/>
      <c r="AG92" s="697"/>
      <c r="AH92" s="697"/>
      <c r="AI92" s="697"/>
      <c r="AJ92" s="697"/>
      <c r="AK92" s="697"/>
      <c r="AL92" s="217"/>
      <c r="AM92" s="730" t="s">
        <v>1273</v>
      </c>
      <c r="AN92" s="730"/>
      <c r="AO92" s="712"/>
      <c r="AP92" s="712"/>
      <c r="AQ92" s="217"/>
      <c r="AR92" s="712"/>
      <c r="AS92" s="712"/>
      <c r="AT92" s="712"/>
      <c r="AU92" s="712"/>
      <c r="AV92" s="217"/>
      <c r="AW92" s="217"/>
      <c r="AX92" s="217"/>
      <c r="AY92" s="217"/>
      <c r="AZ92" s="697"/>
      <c r="BA92" s="697"/>
      <c r="BB92" s="697"/>
    </row>
    <row r="93" spans="1:1024" ht="12.6" customHeight="1" x14ac:dyDescent="0.25">
      <c r="A93" s="703" t="s">
        <v>1350</v>
      </c>
      <c r="B93" s="703"/>
      <c r="C93" s="703"/>
      <c r="D93" s="703"/>
      <c r="E93" s="703"/>
      <c r="F93" s="703"/>
      <c r="G93" s="703"/>
      <c r="H93" s="703"/>
      <c r="I93" s="703"/>
      <c r="J93" s="703"/>
      <c r="K93" s="703"/>
      <c r="L93" s="703"/>
      <c r="M93" s="703"/>
      <c r="N93" s="703"/>
      <c r="O93" s="703"/>
      <c r="P93" s="703"/>
      <c r="Q93" s="703"/>
      <c r="R93" s="703"/>
      <c r="S93" s="703"/>
      <c r="T93" s="703"/>
      <c r="U93" s="703"/>
      <c r="V93" s="703"/>
      <c r="W93" s="703"/>
      <c r="X93" s="703"/>
      <c r="Y93" s="703"/>
      <c r="Z93" s="703"/>
      <c r="AA93" s="703"/>
      <c r="AB93" s="703"/>
      <c r="AC93" s="703"/>
      <c r="AD93" s="703"/>
      <c r="AE93" s="703"/>
      <c r="AF93" s="703"/>
      <c r="AG93" s="703"/>
      <c r="AH93" s="703"/>
      <c r="AI93" s="703"/>
      <c r="AJ93" s="703"/>
      <c r="AK93" s="703"/>
      <c r="AL93" s="703"/>
      <c r="AM93" s="703"/>
      <c r="AN93" s="703"/>
      <c r="AO93" s="703"/>
      <c r="AP93" s="703"/>
      <c r="AQ93" s="703"/>
      <c r="AR93" s="703"/>
      <c r="AS93" s="703"/>
      <c r="AT93" s="703"/>
      <c r="AU93" s="703"/>
      <c r="AV93" s="703"/>
      <c r="AW93" s="703"/>
      <c r="AX93" s="703"/>
      <c r="AY93" s="703"/>
      <c r="AZ93" s="703"/>
      <c r="BA93" s="703"/>
      <c r="BB93" s="703"/>
    </row>
    <row r="94" spans="1:1024" s="230" customFormat="1" ht="42.75" customHeight="1" x14ac:dyDescent="0.25">
      <c r="A94" s="731" t="s">
        <v>1351</v>
      </c>
      <c r="B94" s="731"/>
      <c r="C94" s="731"/>
      <c r="D94" s="731"/>
      <c r="E94" s="731"/>
      <c r="F94" s="731"/>
      <c r="G94" s="731"/>
      <c r="H94" s="731"/>
      <c r="I94" s="731"/>
      <c r="J94" s="731"/>
      <c r="K94" s="731"/>
      <c r="L94" s="731"/>
      <c r="M94" s="731"/>
      <c r="N94" s="731"/>
      <c r="O94" s="731"/>
      <c r="P94" s="731"/>
      <c r="Q94" s="731"/>
      <c r="R94" s="731"/>
      <c r="S94" s="731"/>
      <c r="T94" s="731"/>
      <c r="U94" s="731"/>
      <c r="V94" s="731"/>
      <c r="W94" s="731"/>
      <c r="X94" s="731"/>
      <c r="Y94" s="731"/>
      <c r="Z94" s="731"/>
      <c r="AA94" s="731"/>
      <c r="AB94" s="731"/>
      <c r="AC94" s="731"/>
      <c r="AD94" s="731"/>
      <c r="AE94" s="731"/>
      <c r="AF94" s="731"/>
      <c r="AG94" s="731"/>
      <c r="AH94" s="731"/>
      <c r="AI94" s="731"/>
      <c r="AJ94" s="731"/>
      <c r="AK94" s="731"/>
      <c r="AL94" s="731"/>
      <c r="AM94" s="731"/>
      <c r="AN94" s="731"/>
      <c r="AO94" s="731"/>
      <c r="AP94" s="731"/>
      <c r="AQ94" s="731"/>
      <c r="AR94" s="731"/>
      <c r="AS94" s="731"/>
      <c r="AT94" s="731"/>
      <c r="AU94" s="731"/>
      <c r="AV94" s="731"/>
      <c r="AW94" s="731"/>
      <c r="AX94" s="731"/>
      <c r="AY94" s="731"/>
      <c r="AZ94" s="229"/>
      <c r="BA94" s="229"/>
      <c r="BB94" s="229"/>
      <c r="BC94" s="229"/>
      <c r="BD94" s="229"/>
      <c r="BE94" s="229"/>
      <c r="BF94" s="229"/>
      <c r="BG94" s="229"/>
      <c r="BH94" s="229"/>
      <c r="BI94" s="229"/>
      <c r="BJ94" s="229"/>
      <c r="BK94" s="229"/>
      <c r="BL94" s="229"/>
      <c r="BM94" s="229"/>
      <c r="BN94" s="229"/>
      <c r="BO94" s="229"/>
      <c r="BP94" s="229"/>
      <c r="BQ94" s="229"/>
      <c r="BR94" s="229"/>
      <c r="BS94" s="229"/>
      <c r="BT94" s="229"/>
      <c r="BU94" s="229"/>
      <c r="BV94" s="229"/>
      <c r="BW94" s="229"/>
      <c r="BX94" s="229"/>
      <c r="BY94" s="229"/>
      <c r="BZ94" s="229"/>
      <c r="CA94" s="229"/>
      <c r="CB94" s="229"/>
      <c r="CC94" s="229"/>
      <c r="CD94" s="229"/>
      <c r="CE94" s="229"/>
      <c r="CF94" s="229"/>
      <c r="CG94" s="229"/>
      <c r="CH94" s="229"/>
      <c r="CI94" s="229"/>
      <c r="CJ94" s="229"/>
      <c r="CK94" s="229"/>
      <c r="CL94" s="229"/>
      <c r="CM94" s="229"/>
      <c r="CN94" s="229"/>
      <c r="CO94" s="229"/>
      <c r="CP94" s="229"/>
      <c r="CQ94" s="229"/>
      <c r="CR94" s="229"/>
      <c r="CS94" s="229"/>
      <c r="CT94" s="229"/>
      <c r="CU94" s="229"/>
      <c r="CV94" s="229"/>
      <c r="CW94" s="229"/>
      <c r="CX94" s="229"/>
      <c r="CY94" s="732"/>
      <c r="CZ94" s="732"/>
      <c r="DA94" s="732"/>
      <c r="DB94" s="732"/>
      <c r="DC94" s="732"/>
      <c r="DD94" s="732"/>
      <c r="DE94" s="732"/>
      <c r="DF94" s="732"/>
      <c r="DG94" s="732"/>
      <c r="DH94" s="732"/>
      <c r="DI94" s="732"/>
      <c r="DJ94" s="732"/>
      <c r="DK94" s="732"/>
      <c r="DL94" s="732"/>
      <c r="DM94" s="732"/>
      <c r="DN94" s="732"/>
      <c r="DO94" s="732"/>
      <c r="DP94" s="732"/>
      <c r="DQ94" s="732"/>
      <c r="DR94" s="732"/>
      <c r="DS94" s="732"/>
      <c r="DT94" s="732"/>
      <c r="DU94" s="732"/>
      <c r="DV94" s="732"/>
      <c r="DW94" s="732"/>
      <c r="DX94" s="732"/>
      <c r="DY94" s="732"/>
      <c r="DZ94" s="732"/>
      <c r="EA94" s="732"/>
      <c r="EB94" s="732"/>
      <c r="EC94" s="732"/>
      <c r="ED94" s="732"/>
      <c r="EE94" s="732"/>
      <c r="EF94" s="732"/>
      <c r="EG94" s="732"/>
      <c r="EH94" s="732"/>
      <c r="EI94" s="732"/>
      <c r="EJ94" s="732"/>
      <c r="EK94" s="732"/>
      <c r="EL94" s="732"/>
      <c r="EM94" s="732"/>
      <c r="EN94" s="732"/>
      <c r="EO94" s="732"/>
      <c r="EP94" s="732"/>
      <c r="EQ94" s="732"/>
      <c r="ER94" s="732"/>
      <c r="ES94" s="732"/>
      <c r="ET94" s="732"/>
      <c r="EU94" s="732"/>
      <c r="EV94" s="732"/>
      <c r="EW94" s="732"/>
      <c r="EX94" s="732"/>
      <c r="EY94" s="732"/>
      <c r="EZ94" s="732"/>
      <c r="FA94" s="732"/>
      <c r="FB94" s="732"/>
      <c r="FC94" s="732"/>
      <c r="FD94" s="732"/>
      <c r="FE94" s="732"/>
      <c r="FF94" s="732"/>
      <c r="FG94" s="732"/>
      <c r="FH94" s="732"/>
      <c r="FI94" s="732"/>
      <c r="FJ94" s="732"/>
      <c r="FK94" s="732"/>
      <c r="FL94" s="732"/>
      <c r="FM94" s="732"/>
      <c r="FN94" s="732"/>
      <c r="FO94" s="732"/>
      <c r="FP94" s="732"/>
      <c r="FQ94" s="732"/>
      <c r="FR94" s="732"/>
      <c r="FS94" s="732"/>
      <c r="FT94" s="732"/>
      <c r="FU94" s="732"/>
      <c r="FV94" s="732"/>
      <c r="FW94" s="732"/>
      <c r="FX94" s="732"/>
      <c r="FY94" s="732"/>
      <c r="FZ94" s="732"/>
      <c r="GA94" s="732"/>
      <c r="GB94" s="732"/>
      <c r="GC94" s="732"/>
      <c r="GD94" s="732"/>
      <c r="GE94" s="732"/>
      <c r="GF94" s="732"/>
      <c r="GG94" s="732"/>
      <c r="GH94" s="732"/>
      <c r="GI94" s="732"/>
      <c r="GJ94" s="732"/>
      <c r="GK94" s="732"/>
      <c r="GL94" s="732"/>
      <c r="GM94" s="732"/>
      <c r="GN94" s="732"/>
      <c r="GO94" s="732"/>
      <c r="GP94" s="732"/>
      <c r="GQ94" s="732"/>
      <c r="GR94" s="732"/>
      <c r="GS94" s="732"/>
      <c r="GT94" s="732"/>
      <c r="GU94" s="732"/>
      <c r="GV94" s="732"/>
      <c r="GW94" s="732"/>
      <c r="GX94" s="732"/>
      <c r="GY94" s="732"/>
      <c r="GZ94" s="732"/>
      <c r="HA94" s="732"/>
      <c r="HB94" s="732"/>
      <c r="HC94" s="732"/>
      <c r="HD94" s="732"/>
      <c r="HE94" s="732"/>
      <c r="HF94" s="732"/>
      <c r="HG94" s="732"/>
      <c r="HH94" s="732"/>
      <c r="HI94" s="732"/>
      <c r="HJ94" s="732"/>
      <c r="HK94" s="732"/>
      <c r="HL94" s="732"/>
      <c r="HM94" s="732"/>
      <c r="HN94" s="732"/>
      <c r="HO94" s="732"/>
      <c r="HP94" s="732"/>
      <c r="HQ94" s="732"/>
      <c r="HR94" s="732"/>
      <c r="HS94" s="732"/>
      <c r="HT94" s="732"/>
      <c r="HU94" s="732"/>
      <c r="HV94" s="732"/>
      <c r="HW94" s="732"/>
      <c r="HX94" s="732"/>
      <c r="HY94" s="732"/>
      <c r="HZ94" s="732"/>
      <c r="IA94" s="732"/>
      <c r="IB94" s="732"/>
      <c r="IC94" s="732"/>
      <c r="ID94" s="732"/>
      <c r="IE94" s="732"/>
      <c r="IF94" s="732"/>
      <c r="IG94" s="732"/>
      <c r="IH94" s="732"/>
      <c r="II94" s="732"/>
      <c r="IJ94" s="732"/>
      <c r="IK94" s="732"/>
      <c r="IL94" s="732"/>
      <c r="IM94" s="732"/>
      <c r="IN94" s="732"/>
      <c r="IO94" s="732"/>
      <c r="IP94" s="732"/>
      <c r="IQ94" s="732"/>
      <c r="IR94" s="732"/>
      <c r="IS94" s="732"/>
      <c r="IT94" s="732"/>
      <c r="IU94" s="732"/>
      <c r="IV94" s="732"/>
      <c r="IW94" s="732"/>
      <c r="IX94" s="732"/>
      <c r="IY94" s="732"/>
      <c r="IZ94" s="732"/>
      <c r="JA94" s="732"/>
      <c r="JB94" s="732"/>
      <c r="JC94" s="732"/>
      <c r="JD94" s="732"/>
      <c r="JE94" s="732"/>
      <c r="JF94" s="732"/>
      <c r="JG94" s="732"/>
      <c r="JH94" s="732"/>
      <c r="JI94" s="732"/>
      <c r="JJ94" s="732"/>
      <c r="JK94" s="732"/>
      <c r="JL94" s="732"/>
      <c r="JM94" s="732"/>
      <c r="JN94" s="732"/>
      <c r="JO94" s="732"/>
      <c r="JP94" s="732"/>
      <c r="JQ94" s="732"/>
      <c r="JR94" s="732"/>
      <c r="JS94" s="732"/>
      <c r="JT94" s="732"/>
      <c r="JU94" s="732"/>
      <c r="JV94" s="732"/>
      <c r="JW94" s="732"/>
      <c r="JX94" s="732"/>
      <c r="JY94" s="732"/>
      <c r="JZ94" s="732"/>
      <c r="KA94" s="732"/>
      <c r="KB94" s="732"/>
      <c r="KC94" s="732"/>
      <c r="KD94" s="732"/>
      <c r="KE94" s="732"/>
      <c r="KF94" s="732"/>
      <c r="KG94" s="732"/>
      <c r="KH94" s="732"/>
      <c r="KI94" s="732"/>
      <c r="KJ94" s="732"/>
      <c r="KK94" s="732"/>
      <c r="KL94" s="732"/>
      <c r="KM94" s="732"/>
      <c r="KN94" s="732"/>
      <c r="KO94" s="732"/>
      <c r="KP94" s="732"/>
      <c r="KQ94" s="732"/>
      <c r="KR94" s="732"/>
      <c r="KS94" s="732"/>
      <c r="KT94" s="732"/>
      <c r="KU94" s="732"/>
      <c r="KV94" s="732"/>
      <c r="KW94" s="732"/>
      <c r="KX94" s="732"/>
      <c r="KY94" s="732"/>
      <c r="KZ94" s="732"/>
      <c r="LA94" s="732"/>
      <c r="LB94" s="732"/>
      <c r="LC94" s="732"/>
      <c r="LD94" s="732"/>
      <c r="LE94" s="732"/>
      <c r="LF94" s="732"/>
      <c r="LG94" s="732"/>
      <c r="LH94" s="732"/>
      <c r="LI94" s="732"/>
      <c r="LJ94" s="732"/>
      <c r="LK94" s="732"/>
      <c r="LL94" s="732"/>
      <c r="LM94" s="732"/>
      <c r="LN94" s="732"/>
      <c r="LO94" s="732"/>
      <c r="LP94" s="732"/>
      <c r="LQ94" s="732"/>
      <c r="LR94" s="732"/>
      <c r="LS94" s="732"/>
      <c r="LT94" s="732"/>
      <c r="LU94" s="732"/>
      <c r="LV94" s="732"/>
      <c r="LW94" s="732"/>
      <c r="LX94" s="732"/>
      <c r="LY94" s="732"/>
      <c r="LZ94" s="732"/>
      <c r="MA94" s="732"/>
      <c r="MB94" s="732"/>
      <c r="MC94" s="732"/>
      <c r="MD94" s="732"/>
      <c r="ME94" s="732"/>
      <c r="MF94" s="732"/>
      <c r="MG94" s="732"/>
      <c r="MH94" s="732"/>
      <c r="MI94" s="732"/>
      <c r="MJ94" s="732"/>
      <c r="MK94" s="732"/>
      <c r="ML94" s="732"/>
      <c r="MM94" s="732"/>
      <c r="MN94" s="732"/>
      <c r="MO94" s="732"/>
      <c r="MP94" s="732"/>
      <c r="MQ94" s="732"/>
      <c r="MR94" s="732"/>
      <c r="MS94" s="732"/>
      <c r="MT94" s="732"/>
      <c r="MU94" s="732"/>
      <c r="MV94" s="732"/>
      <c r="MW94" s="732"/>
      <c r="MX94" s="732"/>
      <c r="MY94" s="732"/>
      <c r="MZ94" s="732"/>
      <c r="NA94" s="732"/>
      <c r="NB94" s="732"/>
      <c r="NC94" s="732"/>
      <c r="ND94" s="732"/>
      <c r="NE94" s="732"/>
      <c r="NF94" s="732"/>
      <c r="NG94" s="732"/>
      <c r="NH94" s="732"/>
      <c r="NI94" s="732"/>
      <c r="NJ94" s="732"/>
      <c r="NK94" s="732"/>
      <c r="NL94" s="732"/>
      <c r="NM94" s="732"/>
      <c r="NN94" s="732"/>
      <c r="NO94" s="732"/>
      <c r="NP94" s="732"/>
      <c r="NQ94" s="732"/>
      <c r="NR94" s="732"/>
      <c r="NS94" s="732"/>
      <c r="NT94" s="732"/>
      <c r="NU94" s="732"/>
      <c r="NV94" s="732"/>
      <c r="NW94" s="732"/>
      <c r="NX94" s="732"/>
      <c r="NY94" s="732"/>
      <c r="NZ94" s="732"/>
      <c r="OA94" s="732"/>
      <c r="OB94" s="732"/>
      <c r="OC94" s="732"/>
      <c r="OD94" s="732"/>
      <c r="OE94" s="732"/>
      <c r="OF94" s="732"/>
      <c r="OG94" s="732"/>
      <c r="OH94" s="732"/>
      <c r="OI94" s="732"/>
      <c r="OJ94" s="732"/>
      <c r="OK94" s="732"/>
      <c r="OL94" s="732"/>
      <c r="OM94" s="732"/>
      <c r="ON94" s="732"/>
      <c r="OO94" s="732"/>
      <c r="OP94" s="732"/>
      <c r="OQ94" s="732"/>
      <c r="OR94" s="732"/>
      <c r="OS94" s="732"/>
      <c r="OT94" s="732"/>
      <c r="OU94" s="732"/>
      <c r="OV94" s="732"/>
      <c r="OW94" s="732"/>
      <c r="OX94" s="732"/>
      <c r="OY94" s="732"/>
      <c r="OZ94" s="732"/>
      <c r="PA94" s="732"/>
      <c r="PB94" s="732"/>
      <c r="PC94" s="732"/>
      <c r="PD94" s="732"/>
      <c r="PE94" s="732"/>
      <c r="PF94" s="732"/>
      <c r="PG94" s="732"/>
      <c r="PH94" s="732"/>
      <c r="PI94" s="732"/>
      <c r="PJ94" s="732"/>
      <c r="PK94" s="732"/>
      <c r="PL94" s="732"/>
      <c r="PM94" s="732"/>
      <c r="PN94" s="732"/>
      <c r="PO94" s="732"/>
      <c r="PP94" s="732"/>
      <c r="PQ94" s="732"/>
      <c r="PR94" s="732"/>
      <c r="PS94" s="732"/>
      <c r="PT94" s="732"/>
      <c r="PU94" s="732"/>
      <c r="PV94" s="732"/>
      <c r="PW94" s="732"/>
      <c r="PX94" s="732"/>
      <c r="PY94" s="732"/>
      <c r="PZ94" s="732"/>
      <c r="QA94" s="732"/>
      <c r="QB94" s="732"/>
      <c r="QC94" s="732"/>
      <c r="QD94" s="732"/>
      <c r="QE94" s="732"/>
      <c r="QF94" s="732"/>
      <c r="QG94" s="732"/>
      <c r="QH94" s="732"/>
      <c r="QI94" s="732"/>
      <c r="QJ94" s="732"/>
      <c r="QK94" s="732"/>
      <c r="QL94" s="732"/>
      <c r="QM94" s="732"/>
      <c r="QN94" s="732"/>
      <c r="QO94" s="732"/>
      <c r="QP94" s="732"/>
      <c r="QQ94" s="732"/>
      <c r="QR94" s="732"/>
      <c r="QS94" s="732"/>
      <c r="QT94" s="732"/>
      <c r="QU94" s="732"/>
      <c r="QV94" s="732"/>
      <c r="QW94" s="732"/>
      <c r="QX94" s="732"/>
      <c r="QY94" s="732"/>
      <c r="QZ94" s="732"/>
      <c r="RA94" s="732"/>
      <c r="RB94" s="732"/>
      <c r="RC94" s="732"/>
      <c r="RD94" s="732"/>
      <c r="RE94" s="732"/>
      <c r="RF94" s="732"/>
      <c r="RG94" s="732"/>
      <c r="RH94" s="732"/>
      <c r="RI94" s="732"/>
      <c r="RJ94" s="732"/>
      <c r="RK94" s="732"/>
      <c r="RL94" s="732"/>
      <c r="RM94" s="732"/>
      <c r="RN94" s="732"/>
      <c r="RO94" s="732"/>
      <c r="RP94" s="732"/>
      <c r="RQ94" s="732"/>
      <c r="RR94" s="732"/>
      <c r="RS94" s="732"/>
      <c r="RT94" s="732"/>
      <c r="RU94" s="732"/>
      <c r="RV94" s="732"/>
      <c r="RW94" s="732"/>
      <c r="RX94" s="732"/>
      <c r="RY94" s="732"/>
      <c r="RZ94" s="732"/>
      <c r="SA94" s="732"/>
      <c r="SB94" s="732"/>
      <c r="SC94" s="732"/>
      <c r="SD94" s="732"/>
      <c r="SE94" s="732"/>
      <c r="SF94" s="732"/>
      <c r="SG94" s="732"/>
      <c r="SH94" s="732"/>
      <c r="SI94" s="732"/>
      <c r="SJ94" s="732"/>
      <c r="SK94" s="732"/>
      <c r="SL94" s="732"/>
      <c r="SM94" s="732"/>
      <c r="SN94" s="732"/>
      <c r="SO94" s="732"/>
      <c r="SP94" s="732"/>
      <c r="SQ94" s="732"/>
      <c r="SR94" s="732"/>
      <c r="SS94" s="732"/>
      <c r="ST94" s="732"/>
      <c r="SU94" s="732"/>
      <c r="SV94" s="732"/>
      <c r="SW94" s="732"/>
      <c r="SX94" s="732"/>
      <c r="SY94" s="732"/>
      <c r="SZ94" s="732"/>
      <c r="TA94" s="732"/>
      <c r="TB94" s="732"/>
      <c r="TC94" s="732"/>
      <c r="TD94" s="732"/>
      <c r="TE94" s="732"/>
      <c r="TF94" s="732"/>
      <c r="TG94" s="732"/>
      <c r="TH94" s="732"/>
      <c r="TI94" s="732"/>
      <c r="TJ94" s="732"/>
      <c r="TK94" s="732"/>
      <c r="TL94" s="732"/>
      <c r="TM94" s="732"/>
      <c r="TN94" s="732"/>
      <c r="TO94" s="732"/>
      <c r="TP94" s="732"/>
      <c r="TQ94" s="732"/>
      <c r="TR94" s="732"/>
      <c r="TS94" s="732"/>
      <c r="TT94" s="732"/>
      <c r="TU94" s="732"/>
      <c r="TV94" s="732"/>
      <c r="TW94" s="732"/>
      <c r="TX94" s="732"/>
      <c r="TY94" s="732"/>
      <c r="TZ94" s="732"/>
      <c r="UA94" s="732"/>
      <c r="UB94" s="732"/>
      <c r="UC94" s="732"/>
      <c r="UD94" s="732"/>
      <c r="UE94" s="732"/>
      <c r="UF94" s="732"/>
      <c r="UG94" s="732"/>
      <c r="UH94" s="732"/>
      <c r="UI94" s="732"/>
      <c r="UJ94" s="732"/>
      <c r="UK94" s="732"/>
      <c r="UL94" s="732"/>
      <c r="UM94" s="732"/>
      <c r="UN94" s="732"/>
      <c r="UO94" s="732"/>
      <c r="UP94" s="732"/>
      <c r="UQ94" s="732"/>
      <c r="UR94" s="732"/>
      <c r="US94" s="732"/>
      <c r="UT94" s="732"/>
      <c r="UU94" s="732"/>
      <c r="UV94" s="732"/>
      <c r="UW94" s="732"/>
      <c r="UX94" s="732"/>
      <c r="UY94" s="732"/>
      <c r="UZ94" s="732"/>
      <c r="VA94" s="732"/>
      <c r="VB94" s="732"/>
      <c r="VC94" s="732"/>
      <c r="VD94" s="732"/>
      <c r="VE94" s="732"/>
      <c r="VF94" s="732"/>
      <c r="VG94" s="732"/>
      <c r="VH94" s="732"/>
      <c r="VI94" s="732"/>
      <c r="VJ94" s="732"/>
      <c r="VK94" s="732"/>
      <c r="VL94" s="732"/>
      <c r="VM94" s="732"/>
      <c r="VN94" s="732"/>
      <c r="VO94" s="732"/>
      <c r="VP94" s="732"/>
      <c r="VQ94" s="732"/>
      <c r="VR94" s="732"/>
      <c r="VS94" s="732"/>
      <c r="VT94" s="732"/>
      <c r="VU94" s="732"/>
      <c r="VV94" s="732"/>
      <c r="VW94" s="732"/>
      <c r="VX94" s="732"/>
      <c r="VY94" s="732"/>
      <c r="VZ94" s="732"/>
      <c r="WA94" s="732"/>
      <c r="WB94" s="732"/>
      <c r="WC94" s="732"/>
      <c r="WD94" s="732"/>
      <c r="WE94" s="732"/>
      <c r="WF94" s="732"/>
      <c r="WG94" s="732"/>
      <c r="WH94" s="732"/>
      <c r="WI94" s="732"/>
      <c r="WJ94" s="732"/>
      <c r="WK94" s="732"/>
      <c r="WL94" s="732"/>
      <c r="WM94" s="732"/>
      <c r="WN94" s="732"/>
      <c r="WO94" s="732"/>
      <c r="WP94" s="732"/>
      <c r="WQ94" s="732"/>
      <c r="WR94" s="732"/>
      <c r="WS94" s="732"/>
      <c r="WT94" s="732"/>
      <c r="WU94" s="732"/>
      <c r="WV94" s="732"/>
      <c r="WW94" s="732"/>
      <c r="WX94" s="732"/>
      <c r="WY94" s="732"/>
      <c r="WZ94" s="732"/>
      <c r="XA94" s="732"/>
      <c r="XB94" s="732"/>
      <c r="XC94" s="732"/>
      <c r="XD94" s="732"/>
      <c r="XE94" s="732"/>
      <c r="XF94" s="732"/>
      <c r="XG94" s="732"/>
      <c r="XH94" s="732"/>
      <c r="XI94" s="732"/>
      <c r="XJ94" s="732"/>
      <c r="XK94" s="732"/>
      <c r="XL94" s="732"/>
      <c r="XM94" s="732"/>
      <c r="XN94" s="732"/>
      <c r="XO94" s="732"/>
      <c r="XP94" s="732"/>
      <c r="XQ94" s="732"/>
      <c r="XR94" s="732"/>
      <c r="XS94" s="732"/>
      <c r="XT94" s="732"/>
      <c r="XU94" s="732"/>
      <c r="XV94" s="732"/>
      <c r="XW94" s="732"/>
      <c r="XX94" s="732"/>
      <c r="XY94" s="732"/>
      <c r="XZ94" s="732"/>
      <c r="YA94" s="732"/>
      <c r="YB94" s="732"/>
      <c r="YC94" s="732"/>
      <c r="YD94" s="732"/>
      <c r="YE94" s="732"/>
      <c r="YF94" s="732"/>
      <c r="YG94" s="732"/>
      <c r="YH94" s="732"/>
      <c r="YI94" s="732"/>
      <c r="YJ94" s="732"/>
      <c r="YK94" s="732"/>
      <c r="YL94" s="732"/>
      <c r="YM94" s="732"/>
      <c r="YN94" s="732"/>
      <c r="YO94" s="732"/>
      <c r="YP94" s="732"/>
      <c r="YQ94" s="732"/>
      <c r="YR94" s="732"/>
      <c r="YS94" s="732"/>
      <c r="YT94" s="732"/>
      <c r="YU94" s="732"/>
      <c r="YV94" s="732"/>
      <c r="YW94" s="732"/>
      <c r="YX94" s="732"/>
      <c r="YY94" s="732"/>
      <c r="YZ94" s="732"/>
      <c r="ZA94" s="732"/>
      <c r="ZB94" s="732"/>
      <c r="ZC94" s="732"/>
      <c r="ZD94" s="732"/>
      <c r="ZE94" s="732"/>
      <c r="ZF94" s="732"/>
      <c r="ZG94" s="732"/>
      <c r="ZH94" s="732"/>
      <c r="ZI94" s="732"/>
      <c r="ZJ94" s="732"/>
      <c r="ZK94" s="732"/>
      <c r="ZL94" s="732"/>
      <c r="ZM94" s="732"/>
      <c r="ZN94" s="732"/>
      <c r="ZO94" s="732"/>
      <c r="ZP94" s="732"/>
      <c r="ZQ94" s="732"/>
      <c r="ZR94" s="732"/>
      <c r="ZS94" s="732"/>
      <c r="ZT94" s="732"/>
      <c r="ZU94" s="732"/>
      <c r="ZV94" s="732"/>
      <c r="ZW94" s="732"/>
      <c r="ZX94" s="732"/>
      <c r="ZY94" s="732"/>
      <c r="ZZ94" s="732"/>
      <c r="AAA94" s="732"/>
      <c r="AAB94" s="732"/>
      <c r="AAC94" s="732"/>
      <c r="AAD94" s="732"/>
      <c r="AAE94" s="732"/>
      <c r="AAF94" s="732"/>
      <c r="AAG94" s="732"/>
      <c r="AAH94" s="732"/>
      <c r="AAI94" s="732"/>
      <c r="AAJ94" s="732"/>
      <c r="AAK94" s="732"/>
      <c r="AAL94" s="732"/>
      <c r="AAM94" s="732"/>
      <c r="AAN94" s="732"/>
      <c r="AAO94" s="732"/>
      <c r="AAP94" s="732"/>
      <c r="AAQ94" s="732"/>
      <c r="AAR94" s="732"/>
      <c r="AAS94" s="732"/>
      <c r="AAT94" s="732"/>
      <c r="AAU94" s="732"/>
      <c r="AAV94" s="732"/>
      <c r="AAW94" s="732"/>
      <c r="AAX94" s="732"/>
      <c r="AAY94" s="732"/>
      <c r="AAZ94" s="732"/>
      <c r="ABA94" s="732"/>
      <c r="ABB94" s="732"/>
      <c r="ABC94" s="732"/>
      <c r="ABD94" s="732"/>
      <c r="ABE94" s="732"/>
      <c r="ABF94" s="732"/>
      <c r="ABG94" s="732"/>
      <c r="ABH94" s="732"/>
      <c r="ABI94" s="732"/>
      <c r="ABJ94" s="732"/>
      <c r="ABK94" s="732"/>
      <c r="ABL94" s="732"/>
      <c r="ABM94" s="732"/>
      <c r="ABN94" s="732"/>
      <c r="ABO94" s="732"/>
      <c r="ABP94" s="732"/>
      <c r="ABQ94" s="732"/>
      <c r="ABR94" s="732"/>
      <c r="ABS94" s="732"/>
      <c r="ABT94" s="732"/>
      <c r="ABU94" s="732"/>
      <c r="ABV94" s="732"/>
      <c r="ABW94" s="732"/>
      <c r="ABX94" s="732"/>
      <c r="ABY94" s="732"/>
      <c r="ABZ94" s="732"/>
      <c r="ACA94" s="732"/>
      <c r="ACB94" s="732"/>
      <c r="ACC94" s="732"/>
      <c r="ACD94" s="732"/>
      <c r="ACE94" s="732"/>
      <c r="ACF94" s="732"/>
      <c r="ACG94" s="732"/>
      <c r="ACH94" s="732"/>
      <c r="ACI94" s="732"/>
      <c r="ACJ94" s="732"/>
      <c r="ACK94" s="732"/>
      <c r="ACL94" s="732"/>
      <c r="ACM94" s="732"/>
      <c r="ACN94" s="732"/>
      <c r="ACO94" s="732"/>
      <c r="ACP94" s="732"/>
      <c r="ACQ94" s="732"/>
      <c r="ACR94" s="732"/>
      <c r="ACS94" s="732"/>
      <c r="ACT94" s="732"/>
      <c r="ACU94" s="732"/>
      <c r="ACV94" s="732"/>
      <c r="ACW94" s="732"/>
      <c r="ACX94" s="732"/>
      <c r="ACY94" s="732"/>
      <c r="ACZ94" s="732"/>
      <c r="ADA94" s="732"/>
      <c r="ADB94" s="732"/>
      <c r="ADC94" s="732"/>
      <c r="ADD94" s="732"/>
      <c r="ADE94" s="732"/>
      <c r="ADF94" s="732"/>
      <c r="ADG94" s="732"/>
      <c r="ADH94" s="732"/>
      <c r="ADI94" s="732"/>
      <c r="ADJ94" s="732"/>
      <c r="ADK94" s="732"/>
      <c r="ADL94" s="732"/>
      <c r="ADM94" s="732"/>
      <c r="ADN94" s="732"/>
      <c r="ADO94" s="732"/>
      <c r="ADP94" s="732"/>
      <c r="ADQ94" s="732"/>
      <c r="ADR94" s="732"/>
      <c r="ADS94" s="732"/>
      <c r="ADT94" s="732"/>
      <c r="ADU94" s="732"/>
      <c r="ADV94" s="732"/>
      <c r="ADW94" s="732"/>
      <c r="ADX94" s="732"/>
      <c r="ADY94" s="732"/>
      <c r="ADZ94" s="732"/>
      <c r="AEA94" s="732"/>
      <c r="AEB94" s="732"/>
      <c r="AEC94" s="732"/>
      <c r="AED94" s="732"/>
      <c r="AEE94" s="732"/>
      <c r="AEF94" s="732"/>
      <c r="AEG94" s="732"/>
      <c r="AEH94" s="732"/>
      <c r="AEI94" s="732"/>
      <c r="AEJ94" s="732"/>
      <c r="AEK94" s="732"/>
      <c r="AEL94" s="732"/>
      <c r="AEM94" s="732"/>
      <c r="AEN94" s="732"/>
      <c r="AEO94" s="732"/>
      <c r="AEP94" s="732"/>
      <c r="AEQ94" s="732"/>
      <c r="AER94" s="732"/>
      <c r="AES94" s="732"/>
      <c r="AET94" s="732"/>
      <c r="AEU94" s="732"/>
      <c r="AEV94" s="732"/>
      <c r="AEW94" s="732"/>
      <c r="AEX94" s="732"/>
      <c r="AEY94" s="732"/>
      <c r="AEZ94" s="732"/>
      <c r="AFA94" s="732"/>
      <c r="AFB94" s="732"/>
      <c r="AFC94" s="732"/>
      <c r="AFD94" s="732"/>
      <c r="AFE94" s="732"/>
      <c r="AFF94" s="732"/>
      <c r="AFG94" s="732"/>
      <c r="AFH94" s="732"/>
      <c r="AFI94" s="732"/>
      <c r="AFJ94" s="732"/>
      <c r="AFK94" s="732"/>
      <c r="AFL94" s="732"/>
      <c r="AFM94" s="732"/>
      <c r="AFN94" s="732"/>
      <c r="AFO94" s="732"/>
      <c r="AFP94" s="732"/>
      <c r="AFQ94" s="732"/>
      <c r="AFR94" s="732"/>
      <c r="AFS94" s="732"/>
      <c r="AFT94" s="732"/>
      <c r="AFU94" s="732"/>
      <c r="AFV94" s="732"/>
      <c r="AFW94" s="732"/>
      <c r="AFX94" s="732"/>
      <c r="AFY94" s="732"/>
      <c r="AFZ94" s="732"/>
      <c r="AGA94" s="732"/>
      <c r="AGB94" s="732"/>
      <c r="AGC94" s="732"/>
      <c r="AGD94" s="732"/>
      <c r="AGE94" s="732"/>
      <c r="AGF94" s="732"/>
      <c r="AGG94" s="732"/>
      <c r="AGH94" s="732"/>
      <c r="AGI94" s="732"/>
      <c r="AGJ94" s="732"/>
      <c r="AGK94" s="732"/>
      <c r="AGL94" s="732"/>
      <c r="AGM94" s="732"/>
      <c r="AGN94" s="732"/>
      <c r="AGO94" s="732"/>
      <c r="AGP94" s="732"/>
      <c r="AGQ94" s="732"/>
      <c r="AGR94" s="732"/>
      <c r="AGS94" s="732"/>
      <c r="AGT94" s="732"/>
      <c r="AGU94" s="732"/>
      <c r="AGV94" s="732"/>
      <c r="AGW94" s="732"/>
      <c r="AGX94" s="732"/>
      <c r="AGY94" s="732"/>
      <c r="AGZ94" s="732"/>
      <c r="AHA94" s="732"/>
      <c r="AHB94" s="732"/>
      <c r="AHC94" s="732"/>
      <c r="AHD94" s="732"/>
      <c r="AHE94" s="732"/>
      <c r="AHF94" s="732"/>
      <c r="AHG94" s="732"/>
      <c r="AHH94" s="732"/>
      <c r="AHI94" s="732"/>
      <c r="AHJ94" s="732"/>
      <c r="AHK94" s="732"/>
      <c r="AHL94" s="732"/>
      <c r="AHM94" s="732"/>
      <c r="AHN94" s="732"/>
      <c r="AHO94" s="732"/>
      <c r="AHP94" s="732"/>
      <c r="AHQ94" s="732"/>
      <c r="AHR94" s="732"/>
      <c r="AHS94" s="732"/>
      <c r="AHT94" s="732"/>
      <c r="AHU94" s="732"/>
      <c r="AHV94" s="732"/>
      <c r="AHW94" s="732"/>
      <c r="AHX94" s="732"/>
      <c r="AHY94" s="732"/>
      <c r="AHZ94" s="732"/>
      <c r="AIA94" s="732"/>
      <c r="AIB94" s="732"/>
      <c r="AIC94" s="732"/>
      <c r="AID94" s="732"/>
      <c r="AIE94" s="732"/>
      <c r="AIF94" s="732"/>
      <c r="AIG94" s="732"/>
      <c r="AIH94" s="732"/>
      <c r="AII94" s="732"/>
      <c r="AIJ94" s="732"/>
      <c r="AIK94" s="732"/>
      <c r="AIL94" s="732"/>
      <c r="AIM94" s="732"/>
      <c r="AIN94" s="732"/>
      <c r="AIO94" s="732"/>
      <c r="AIP94" s="732"/>
      <c r="AIQ94" s="732"/>
      <c r="AIR94" s="732"/>
      <c r="AIS94" s="732"/>
      <c r="AIT94" s="732"/>
      <c r="AIU94" s="732"/>
      <c r="AIV94" s="732"/>
      <c r="AIW94" s="732"/>
      <c r="AIX94" s="732"/>
      <c r="AIY94" s="732"/>
      <c r="AIZ94" s="732"/>
      <c r="AJA94" s="732"/>
      <c r="AJB94" s="732"/>
      <c r="AJC94" s="732"/>
      <c r="AJD94" s="732"/>
      <c r="AJE94" s="732"/>
      <c r="AJF94" s="732"/>
      <c r="AJG94" s="732"/>
      <c r="AJH94" s="732"/>
      <c r="AJI94" s="732"/>
      <c r="AJJ94" s="732"/>
      <c r="AJK94" s="732"/>
      <c r="AJL94" s="732"/>
      <c r="AJM94" s="732"/>
      <c r="AJN94" s="732"/>
      <c r="AJO94" s="732"/>
      <c r="AJP94" s="732"/>
      <c r="AJQ94" s="732"/>
      <c r="AJR94" s="732"/>
      <c r="AJS94" s="732"/>
      <c r="AJT94" s="732"/>
      <c r="AJU94" s="732"/>
      <c r="AJV94" s="732"/>
      <c r="AJW94" s="732"/>
      <c r="AJX94" s="732"/>
      <c r="AJY94" s="732"/>
      <c r="AJZ94" s="732"/>
      <c r="AKA94" s="732"/>
      <c r="AKB94" s="732"/>
      <c r="AKC94" s="732"/>
      <c r="AKD94" s="732"/>
      <c r="AKE94" s="732"/>
      <c r="AKF94" s="732"/>
      <c r="AKG94" s="732"/>
      <c r="AKH94" s="732"/>
      <c r="AKI94" s="732"/>
      <c r="AKJ94" s="732"/>
      <c r="AKK94" s="732"/>
      <c r="AKL94" s="732"/>
      <c r="AKM94" s="732"/>
      <c r="AKN94" s="732"/>
      <c r="AKO94" s="732"/>
      <c r="AKP94" s="732"/>
      <c r="AKQ94" s="732"/>
      <c r="AKR94" s="732"/>
      <c r="AKS94" s="732"/>
      <c r="AKT94" s="732"/>
      <c r="AKU94" s="732"/>
      <c r="AKV94" s="732"/>
      <c r="AKW94" s="732"/>
      <c r="AKX94" s="732"/>
      <c r="AKY94" s="732"/>
      <c r="AKZ94" s="732"/>
      <c r="ALA94" s="732"/>
      <c r="ALB94" s="732"/>
      <c r="ALC94" s="732"/>
      <c r="ALD94" s="732"/>
      <c r="ALE94" s="732"/>
      <c r="ALF94" s="732"/>
      <c r="ALG94" s="732"/>
      <c r="ALH94" s="732"/>
      <c r="ALI94" s="732"/>
      <c r="ALJ94" s="732"/>
      <c r="ALK94" s="732"/>
      <c r="ALL94" s="732"/>
      <c r="ALM94" s="732"/>
      <c r="ALN94" s="732"/>
      <c r="ALO94" s="732"/>
      <c r="ALP94" s="732"/>
      <c r="ALQ94" s="732"/>
      <c r="ALR94" s="732"/>
      <c r="ALS94" s="732"/>
      <c r="ALT94" s="732"/>
      <c r="ALU94" s="732"/>
      <c r="ALV94" s="732"/>
      <c r="ALW94" s="732"/>
      <c r="ALX94" s="732"/>
      <c r="ALY94" s="732"/>
      <c r="ALZ94" s="732"/>
      <c r="AMA94" s="732"/>
      <c r="AMB94" s="732"/>
      <c r="AMC94" s="732"/>
      <c r="AMD94" s="732"/>
      <c r="AME94" s="732"/>
      <c r="AMF94" s="732"/>
      <c r="AMG94" s="732"/>
      <c r="AMH94" s="732"/>
      <c r="AMI94" s="732"/>
      <c r="AMJ94" s="732"/>
    </row>
    <row r="95" spans="1:1024" s="230" customFormat="1" ht="13.5" customHeight="1" x14ac:dyDescent="0.25">
      <c r="A95" s="703" t="s">
        <v>1352</v>
      </c>
      <c r="B95" s="703"/>
      <c r="C95" s="703"/>
      <c r="D95" s="703"/>
      <c r="E95" s="703"/>
      <c r="F95" s="703"/>
      <c r="G95" s="703"/>
      <c r="H95" s="703"/>
      <c r="I95" s="703"/>
      <c r="J95" s="703"/>
      <c r="K95" s="703"/>
      <c r="L95" s="703"/>
      <c r="M95" s="703"/>
      <c r="N95" s="703"/>
      <c r="O95" s="703"/>
      <c r="P95" s="703"/>
      <c r="Q95" s="703"/>
      <c r="R95" s="703"/>
      <c r="S95" s="703"/>
      <c r="T95" s="703"/>
      <c r="U95" s="703"/>
      <c r="V95" s="703"/>
      <c r="W95" s="703"/>
      <c r="X95" s="703"/>
      <c r="Y95" s="703"/>
      <c r="Z95" s="703"/>
      <c r="AA95" s="703"/>
      <c r="AB95" s="703"/>
      <c r="AC95" s="703"/>
      <c r="AD95" s="703"/>
      <c r="AE95" s="703"/>
      <c r="AF95" s="703"/>
      <c r="AG95" s="703"/>
      <c r="AH95" s="703"/>
      <c r="AI95" s="703"/>
      <c r="AJ95" s="703"/>
      <c r="AK95" s="703"/>
      <c r="AL95" s="703"/>
      <c r="AM95" s="703"/>
      <c r="AN95" s="703"/>
      <c r="AO95" s="703"/>
      <c r="AP95" s="703"/>
      <c r="AQ95" s="703"/>
      <c r="AR95" s="703"/>
      <c r="AS95" s="703"/>
      <c r="AT95" s="703"/>
      <c r="AU95" s="703"/>
      <c r="AV95" s="703"/>
      <c r="AW95" s="703"/>
      <c r="AX95" s="703"/>
      <c r="AY95" s="703"/>
      <c r="AZ95" s="703"/>
      <c r="BA95" s="703"/>
      <c r="BB95" s="703"/>
    </row>
    <row r="96" spans="1:1024" s="230" customFormat="1" ht="44.25" customHeight="1" x14ac:dyDescent="0.25">
      <c r="A96" s="719" t="s">
        <v>1353</v>
      </c>
      <c r="B96" s="719"/>
      <c r="C96" s="719"/>
      <c r="D96" s="719"/>
      <c r="E96" s="719"/>
      <c r="F96" s="719"/>
      <c r="G96" s="719"/>
      <c r="H96" s="719"/>
      <c r="I96" s="719"/>
      <c r="J96" s="719"/>
      <c r="K96" s="719"/>
      <c r="L96" s="719"/>
      <c r="M96" s="719"/>
      <c r="N96" s="719"/>
      <c r="O96" s="719" t="s">
        <v>1354</v>
      </c>
      <c r="P96" s="719"/>
      <c r="Q96" s="719"/>
      <c r="R96" s="719"/>
      <c r="S96" s="719"/>
      <c r="T96" s="719"/>
      <c r="U96" s="719"/>
      <c r="V96" s="719"/>
      <c r="W96" s="719"/>
      <c r="X96" s="719"/>
      <c r="Y96" s="719"/>
      <c r="Z96" s="719"/>
      <c r="AA96" s="719"/>
      <c r="AB96" s="719" t="s">
        <v>1355</v>
      </c>
      <c r="AC96" s="719"/>
      <c r="AD96" s="719"/>
      <c r="AE96" s="719"/>
      <c r="AF96" s="719"/>
      <c r="AG96" s="719"/>
      <c r="AH96" s="719"/>
      <c r="AI96" s="719"/>
      <c r="AJ96" s="719"/>
      <c r="AK96" s="719"/>
      <c r="AL96" s="719"/>
      <c r="AM96" s="719"/>
      <c r="AN96" s="719"/>
      <c r="AO96" s="719"/>
      <c r="AP96" s="733" t="s">
        <v>1356</v>
      </c>
      <c r="AQ96" s="733"/>
      <c r="AR96" s="733"/>
      <c r="AS96" s="733"/>
      <c r="AT96" s="733"/>
      <c r="AU96" s="733"/>
      <c r="AV96" s="733"/>
      <c r="AW96" s="733"/>
      <c r="AX96" s="733"/>
      <c r="AY96" s="733"/>
      <c r="AZ96" s="203"/>
      <c r="BA96" s="231"/>
      <c r="BB96" s="231"/>
    </row>
    <row r="97" spans="1:54" s="230" customFormat="1" ht="13.5" customHeight="1" x14ac:dyDescent="0.25">
      <c r="A97" s="723" t="s">
        <v>1357</v>
      </c>
      <c r="B97" s="723"/>
      <c r="C97" s="723"/>
      <c r="D97" s="723"/>
      <c r="E97" s="723"/>
      <c r="F97" s="723"/>
      <c r="G97" s="723"/>
      <c r="H97" s="723"/>
      <c r="I97" s="723"/>
      <c r="J97" s="723"/>
      <c r="K97" s="723"/>
      <c r="L97" s="723"/>
      <c r="M97" s="723"/>
      <c r="N97" s="723"/>
      <c r="O97" s="734" t="s">
        <v>1358</v>
      </c>
      <c r="P97" s="734"/>
      <c r="Q97" s="734"/>
      <c r="R97" s="734"/>
      <c r="S97" s="734"/>
      <c r="T97" s="734"/>
      <c r="U97" s="734"/>
      <c r="V97" s="734"/>
      <c r="W97" s="734"/>
      <c r="X97" s="734"/>
      <c r="Y97" s="734"/>
      <c r="Z97" s="734"/>
      <c r="AA97" s="734"/>
      <c r="AB97" s="735"/>
      <c r="AC97" s="735"/>
      <c r="AD97" s="735"/>
      <c r="AE97" s="735"/>
      <c r="AF97" s="735"/>
      <c r="AG97" s="735"/>
      <c r="AH97" s="735"/>
      <c r="AI97" s="735"/>
      <c r="AJ97" s="735"/>
      <c r="AK97" s="735"/>
      <c r="AL97" s="735"/>
      <c r="AM97" s="735"/>
      <c r="AN97" s="735"/>
      <c r="AO97" s="735"/>
      <c r="AP97" s="736"/>
      <c r="AQ97" s="736"/>
      <c r="AR97" s="736"/>
      <c r="AS97" s="736"/>
      <c r="AT97" s="736"/>
      <c r="AU97" s="736"/>
      <c r="AV97" s="736"/>
      <c r="AW97" s="736"/>
      <c r="AX97" s="736"/>
      <c r="AY97" s="736"/>
      <c r="AZ97" s="232"/>
      <c r="BA97" s="231"/>
      <c r="BB97" s="231"/>
    </row>
    <row r="98" spans="1:54" s="230" customFormat="1" ht="13.5" customHeight="1" x14ac:dyDescent="0.25">
      <c r="A98" s="723" t="s">
        <v>1359</v>
      </c>
      <c r="B98" s="723"/>
      <c r="C98" s="723"/>
      <c r="D98" s="723"/>
      <c r="E98" s="723"/>
      <c r="F98" s="723"/>
      <c r="G98" s="723"/>
      <c r="H98" s="723"/>
      <c r="I98" s="723"/>
      <c r="J98" s="723"/>
      <c r="K98" s="723"/>
      <c r="L98" s="723"/>
      <c r="M98" s="723"/>
      <c r="N98" s="723"/>
      <c r="O98" s="734" t="s">
        <v>1358</v>
      </c>
      <c r="P98" s="734"/>
      <c r="Q98" s="734"/>
      <c r="R98" s="734"/>
      <c r="S98" s="734"/>
      <c r="T98" s="734"/>
      <c r="U98" s="734"/>
      <c r="V98" s="734"/>
      <c r="W98" s="734"/>
      <c r="X98" s="734"/>
      <c r="Y98" s="734"/>
      <c r="Z98" s="734"/>
      <c r="AA98" s="734"/>
      <c r="AB98" s="735"/>
      <c r="AC98" s="735"/>
      <c r="AD98" s="735"/>
      <c r="AE98" s="735"/>
      <c r="AF98" s="735"/>
      <c r="AG98" s="735"/>
      <c r="AH98" s="735"/>
      <c r="AI98" s="735"/>
      <c r="AJ98" s="735"/>
      <c r="AK98" s="735"/>
      <c r="AL98" s="735"/>
      <c r="AM98" s="735"/>
      <c r="AN98" s="735"/>
      <c r="AO98" s="735"/>
      <c r="AP98" s="736"/>
      <c r="AQ98" s="736"/>
      <c r="AR98" s="736"/>
      <c r="AS98" s="736"/>
      <c r="AT98" s="736"/>
      <c r="AU98" s="736"/>
      <c r="AV98" s="736"/>
      <c r="AW98" s="736"/>
      <c r="AX98" s="736"/>
      <c r="AY98" s="736"/>
      <c r="AZ98" s="232"/>
      <c r="BA98" s="231"/>
      <c r="BB98" s="231"/>
    </row>
    <row r="99" spans="1:54" s="230" customFormat="1" ht="23.25" customHeight="1" x14ac:dyDescent="0.25">
      <c r="A99" s="723" t="s">
        <v>1360</v>
      </c>
      <c r="B99" s="723"/>
      <c r="C99" s="723"/>
      <c r="D99" s="723"/>
      <c r="E99" s="723"/>
      <c r="F99" s="723"/>
      <c r="G99" s="723"/>
      <c r="H99" s="723"/>
      <c r="I99" s="723"/>
      <c r="J99" s="723"/>
      <c r="K99" s="723"/>
      <c r="L99" s="723"/>
      <c r="M99" s="723"/>
      <c r="N99" s="723"/>
      <c r="O99" s="734" t="s">
        <v>1361</v>
      </c>
      <c r="P99" s="734"/>
      <c r="Q99" s="734"/>
      <c r="R99" s="734"/>
      <c r="S99" s="734"/>
      <c r="T99" s="734"/>
      <c r="U99" s="734"/>
      <c r="V99" s="734"/>
      <c r="W99" s="734"/>
      <c r="X99" s="734"/>
      <c r="Y99" s="734"/>
      <c r="Z99" s="734"/>
      <c r="AA99" s="734"/>
      <c r="AB99" s="734" t="s">
        <v>1362</v>
      </c>
      <c r="AC99" s="734"/>
      <c r="AD99" s="734"/>
      <c r="AE99" s="734"/>
      <c r="AF99" s="734"/>
      <c r="AG99" s="734"/>
      <c r="AH99" s="734"/>
      <c r="AI99" s="734"/>
      <c r="AJ99" s="734"/>
      <c r="AK99" s="734"/>
      <c r="AL99" s="734"/>
      <c r="AM99" s="734"/>
      <c r="AN99" s="734"/>
      <c r="AO99" s="734"/>
      <c r="AP99" s="736" t="s">
        <v>1363</v>
      </c>
      <c r="AQ99" s="736"/>
      <c r="AR99" s="736"/>
      <c r="AS99" s="736"/>
      <c r="AT99" s="736"/>
      <c r="AU99" s="736"/>
      <c r="AV99" s="736"/>
      <c r="AW99" s="736"/>
      <c r="AX99" s="736"/>
      <c r="AY99" s="736"/>
      <c r="AZ99" s="203"/>
      <c r="BA99" s="231"/>
      <c r="BB99" s="231"/>
    </row>
    <row r="100" spans="1:54" s="230" customFormat="1" ht="32.25" customHeight="1" x14ac:dyDescent="0.25">
      <c r="A100" s="723" t="s">
        <v>1364</v>
      </c>
      <c r="B100" s="723"/>
      <c r="C100" s="723"/>
      <c r="D100" s="723"/>
      <c r="E100" s="723"/>
      <c r="F100" s="723"/>
      <c r="G100" s="723"/>
      <c r="H100" s="723"/>
      <c r="I100" s="723"/>
      <c r="J100" s="723"/>
      <c r="K100" s="723"/>
      <c r="L100" s="723"/>
      <c r="M100" s="723"/>
      <c r="N100" s="723"/>
      <c r="O100" s="734" t="s">
        <v>1365</v>
      </c>
      <c r="P100" s="734"/>
      <c r="Q100" s="734"/>
      <c r="R100" s="734"/>
      <c r="S100" s="734"/>
      <c r="T100" s="734"/>
      <c r="U100" s="734"/>
      <c r="V100" s="734"/>
      <c r="W100" s="734"/>
      <c r="X100" s="734"/>
      <c r="Y100" s="734"/>
      <c r="Z100" s="734"/>
      <c r="AA100" s="734"/>
      <c r="AB100" s="734" t="s">
        <v>1366</v>
      </c>
      <c r="AC100" s="734"/>
      <c r="AD100" s="734"/>
      <c r="AE100" s="734"/>
      <c r="AF100" s="734"/>
      <c r="AG100" s="734"/>
      <c r="AH100" s="734"/>
      <c r="AI100" s="734"/>
      <c r="AJ100" s="734"/>
      <c r="AK100" s="734"/>
      <c r="AL100" s="734"/>
      <c r="AM100" s="734"/>
      <c r="AN100" s="734"/>
      <c r="AO100" s="734"/>
      <c r="AP100" s="736" t="s">
        <v>1363</v>
      </c>
      <c r="AQ100" s="736"/>
      <c r="AR100" s="736"/>
      <c r="AS100" s="736"/>
      <c r="AT100" s="736"/>
      <c r="AU100" s="736"/>
      <c r="AV100" s="736"/>
      <c r="AW100" s="736"/>
      <c r="AX100" s="736"/>
      <c r="AY100" s="736"/>
      <c r="AZ100" s="203"/>
      <c r="BA100" s="231"/>
      <c r="BB100" s="231"/>
    </row>
    <row r="101" spans="1:54" s="230" customFormat="1" ht="13.5" customHeight="1" x14ac:dyDescent="0.25">
      <c r="A101" s="723" t="s">
        <v>1367</v>
      </c>
      <c r="B101" s="723"/>
      <c r="C101" s="723"/>
      <c r="D101" s="723"/>
      <c r="E101" s="723"/>
      <c r="F101" s="723"/>
      <c r="G101" s="723"/>
      <c r="H101" s="723"/>
      <c r="I101" s="723"/>
      <c r="J101" s="723"/>
      <c r="K101" s="723"/>
      <c r="L101" s="723"/>
      <c r="M101" s="723"/>
      <c r="N101" s="723"/>
      <c r="O101" s="734"/>
      <c r="P101" s="734"/>
      <c r="Q101" s="734"/>
      <c r="R101" s="734"/>
      <c r="S101" s="734"/>
      <c r="T101" s="734"/>
      <c r="U101" s="734"/>
      <c r="V101" s="734"/>
      <c r="W101" s="734"/>
      <c r="X101" s="734"/>
      <c r="Y101" s="734"/>
      <c r="Z101" s="734"/>
      <c r="AA101" s="734"/>
      <c r="AB101" s="735"/>
      <c r="AC101" s="735"/>
      <c r="AD101" s="735"/>
      <c r="AE101" s="735"/>
      <c r="AF101" s="735"/>
      <c r="AG101" s="735"/>
      <c r="AH101" s="735"/>
      <c r="AI101" s="735"/>
      <c r="AJ101" s="735"/>
      <c r="AK101" s="735"/>
      <c r="AL101" s="735"/>
      <c r="AM101" s="735"/>
      <c r="AN101" s="735"/>
      <c r="AO101" s="735"/>
      <c r="AP101" s="736"/>
      <c r="AQ101" s="736"/>
      <c r="AR101" s="736"/>
      <c r="AS101" s="736"/>
      <c r="AT101" s="736"/>
      <c r="AU101" s="736"/>
      <c r="AV101" s="736"/>
      <c r="AW101" s="736"/>
      <c r="AX101" s="736"/>
      <c r="AY101" s="736"/>
      <c r="AZ101" s="232"/>
      <c r="BA101" s="231"/>
      <c r="BB101" s="231"/>
    </row>
    <row r="102" spans="1:54" s="230" customFormat="1" ht="12.75" x14ac:dyDescent="0.25">
      <c r="A102" s="198"/>
      <c r="B102" s="198"/>
      <c r="C102" s="198"/>
      <c r="D102" s="198"/>
      <c r="E102" s="198"/>
      <c r="F102" s="198"/>
      <c r="G102" s="198"/>
      <c r="H102" s="198"/>
      <c r="I102" s="198"/>
      <c r="J102" s="198"/>
      <c r="K102" s="198"/>
      <c r="L102" s="198"/>
      <c r="M102" s="198"/>
      <c r="N102" s="198"/>
      <c r="O102" s="204"/>
      <c r="P102" s="204"/>
      <c r="Q102" s="204"/>
      <c r="R102" s="204"/>
      <c r="S102" s="204"/>
      <c r="T102" s="204"/>
      <c r="U102" s="204"/>
      <c r="V102" s="204"/>
      <c r="W102" s="204"/>
      <c r="X102" s="204"/>
      <c r="Y102" s="204"/>
      <c r="Z102" s="204"/>
      <c r="AA102" s="204"/>
      <c r="AB102" s="204"/>
      <c r="AC102" s="204"/>
      <c r="AD102" s="204"/>
      <c r="AE102" s="204"/>
      <c r="AF102" s="204"/>
      <c r="AG102" s="204"/>
      <c r="AH102" s="204"/>
      <c r="AI102" s="204"/>
      <c r="AJ102" s="204"/>
      <c r="AK102" s="204"/>
      <c r="AL102" s="204"/>
      <c r="AM102" s="204"/>
      <c r="AN102" s="204"/>
      <c r="AO102" s="204"/>
      <c r="AP102" s="233"/>
      <c r="AQ102" s="233"/>
      <c r="AR102" s="233"/>
      <c r="AS102" s="233"/>
      <c r="AT102" s="233"/>
      <c r="AU102" s="233"/>
      <c r="AV102" s="233"/>
      <c r="AW102" s="233"/>
      <c r="AX102" s="233"/>
      <c r="AY102" s="233"/>
      <c r="AZ102" s="203"/>
      <c r="BA102" s="231"/>
      <c r="BB102" s="231"/>
    </row>
    <row r="103" spans="1:54" s="230" customFormat="1" ht="13.5" x14ac:dyDescent="0.25">
      <c r="A103" s="227" t="s">
        <v>1344</v>
      </c>
      <c r="B103" s="198"/>
      <c r="C103" s="198"/>
      <c r="D103" s="198"/>
      <c r="E103" s="198"/>
      <c r="F103" s="198"/>
      <c r="G103" s="198"/>
      <c r="H103" s="198"/>
      <c r="I103" s="198"/>
      <c r="J103" s="198"/>
      <c r="K103" s="198"/>
      <c r="L103" s="198"/>
      <c r="M103" s="198"/>
      <c r="N103" s="198"/>
      <c r="O103" s="204"/>
      <c r="P103" s="204"/>
      <c r="Q103" s="204"/>
      <c r="R103" s="204"/>
      <c r="S103" s="204"/>
      <c r="T103" s="204"/>
      <c r="U103" s="204"/>
      <c r="V103" s="204"/>
      <c r="W103" s="204"/>
      <c r="X103" s="204"/>
      <c r="Y103" s="204"/>
      <c r="Z103" s="204"/>
      <c r="AA103" s="204"/>
      <c r="AB103" s="204"/>
      <c r="AC103" s="204"/>
      <c r="AD103" s="204"/>
      <c r="AE103" s="204"/>
      <c r="AF103" s="204"/>
      <c r="AG103" s="204"/>
      <c r="AH103" s="204"/>
      <c r="AI103" s="204"/>
      <c r="AJ103" s="204"/>
      <c r="AK103" s="204"/>
      <c r="AL103" s="204"/>
      <c r="AM103" s="204"/>
      <c r="AN103" s="204"/>
      <c r="AO103" s="204"/>
      <c r="AP103" s="233"/>
      <c r="AQ103" s="233"/>
      <c r="AR103" s="233"/>
      <c r="AS103" s="233"/>
      <c r="AT103" s="233"/>
      <c r="AU103" s="233"/>
      <c r="AV103" s="233"/>
      <c r="AW103" s="233"/>
      <c r="AX103" s="233"/>
      <c r="AY103" s="233"/>
      <c r="AZ103" s="203"/>
      <c r="BA103" s="231"/>
      <c r="BB103" s="231"/>
    </row>
    <row r="104" spans="1:54" s="230" customFormat="1" ht="12.75" x14ac:dyDescent="0.25">
      <c r="A104" s="737"/>
      <c r="B104" s="737"/>
      <c r="C104" s="737"/>
      <c r="D104" s="737"/>
      <c r="E104" s="737"/>
      <c r="F104" s="737"/>
      <c r="G104" s="737"/>
      <c r="H104" s="737"/>
      <c r="I104" s="737"/>
      <c r="J104" s="737"/>
      <c r="K104" s="737"/>
      <c r="L104" s="737"/>
      <c r="M104" s="737"/>
      <c r="N104" s="737"/>
      <c r="O104" s="737"/>
      <c r="P104" s="737"/>
      <c r="Q104" s="737"/>
      <c r="R104" s="737"/>
      <c r="S104" s="737"/>
      <c r="T104" s="737"/>
      <c r="U104" s="737"/>
      <c r="V104" s="737"/>
      <c r="W104" s="737"/>
      <c r="X104" s="737"/>
      <c r="Y104" s="737"/>
      <c r="Z104" s="737"/>
      <c r="AA104" s="737"/>
      <c r="AB104" s="737"/>
      <c r="AC104" s="737"/>
      <c r="AD104" s="737"/>
      <c r="AE104" s="737"/>
      <c r="AF104" s="737"/>
      <c r="AG104" s="737"/>
      <c r="AH104" s="737"/>
      <c r="AI104" s="737"/>
      <c r="AJ104" s="737"/>
      <c r="AK104" s="737"/>
      <c r="AL104" s="737"/>
      <c r="AM104" s="737"/>
      <c r="AN104" s="737"/>
      <c r="AO104" s="737"/>
      <c r="AP104" s="737"/>
      <c r="AQ104" s="737"/>
      <c r="AR104" s="737"/>
      <c r="AS104" s="737"/>
      <c r="AT104" s="737"/>
      <c r="AU104" s="737"/>
      <c r="AV104" s="737"/>
      <c r="AW104" s="737"/>
      <c r="AX104" s="737"/>
      <c r="AY104" s="737"/>
      <c r="AZ104" s="203"/>
      <c r="BA104" s="231"/>
      <c r="BB104" s="231"/>
    </row>
    <row r="105" spans="1:54" s="230" customFormat="1" ht="12.75" x14ac:dyDescent="0.25">
      <c r="A105" s="737"/>
      <c r="B105" s="737"/>
      <c r="C105" s="737"/>
      <c r="D105" s="737"/>
      <c r="E105" s="737"/>
      <c r="F105" s="737"/>
      <c r="G105" s="737"/>
      <c r="H105" s="737"/>
      <c r="I105" s="737"/>
      <c r="J105" s="737"/>
      <c r="K105" s="737"/>
      <c r="L105" s="737"/>
      <c r="M105" s="737"/>
      <c r="N105" s="737"/>
      <c r="O105" s="737"/>
      <c r="P105" s="737"/>
      <c r="Q105" s="737"/>
      <c r="R105" s="737"/>
      <c r="S105" s="737"/>
      <c r="T105" s="737"/>
      <c r="U105" s="737"/>
      <c r="V105" s="737"/>
      <c r="W105" s="737"/>
      <c r="X105" s="737"/>
      <c r="Y105" s="737"/>
      <c r="Z105" s="737"/>
      <c r="AA105" s="737"/>
      <c r="AB105" s="737"/>
      <c r="AC105" s="737"/>
      <c r="AD105" s="737"/>
      <c r="AE105" s="737"/>
      <c r="AF105" s="737"/>
      <c r="AG105" s="737"/>
      <c r="AH105" s="737"/>
      <c r="AI105" s="737"/>
      <c r="AJ105" s="737"/>
      <c r="AK105" s="737"/>
      <c r="AL105" s="737"/>
      <c r="AM105" s="737"/>
      <c r="AN105" s="737"/>
      <c r="AO105" s="737"/>
      <c r="AP105" s="737"/>
      <c r="AQ105" s="737"/>
      <c r="AR105" s="737"/>
      <c r="AS105" s="737"/>
      <c r="AT105" s="737"/>
      <c r="AU105" s="737"/>
      <c r="AV105" s="737"/>
      <c r="AW105" s="737"/>
      <c r="AX105" s="737"/>
      <c r="AY105" s="737"/>
      <c r="AZ105" s="203"/>
      <c r="BA105" s="231"/>
      <c r="BB105" s="231"/>
    </row>
    <row r="106" spans="1:54" s="230" customFormat="1" ht="12.75" x14ac:dyDescent="0.25">
      <c r="A106" s="737"/>
      <c r="B106" s="737"/>
      <c r="C106" s="737"/>
      <c r="D106" s="737"/>
      <c r="E106" s="737"/>
      <c r="F106" s="737"/>
      <c r="G106" s="737"/>
      <c r="H106" s="737"/>
      <c r="I106" s="737"/>
      <c r="J106" s="737"/>
      <c r="K106" s="737"/>
      <c r="L106" s="737"/>
      <c r="M106" s="737"/>
      <c r="N106" s="737"/>
      <c r="O106" s="737"/>
      <c r="P106" s="737"/>
      <c r="Q106" s="737"/>
      <c r="R106" s="737"/>
      <c r="S106" s="737"/>
      <c r="T106" s="737"/>
      <c r="U106" s="737"/>
      <c r="V106" s="737"/>
      <c r="W106" s="737"/>
      <c r="X106" s="737"/>
      <c r="Y106" s="737"/>
      <c r="Z106" s="737"/>
      <c r="AA106" s="737"/>
      <c r="AB106" s="737"/>
      <c r="AC106" s="737"/>
      <c r="AD106" s="737"/>
      <c r="AE106" s="737"/>
      <c r="AF106" s="737"/>
      <c r="AG106" s="737"/>
      <c r="AH106" s="737"/>
      <c r="AI106" s="737"/>
      <c r="AJ106" s="737"/>
      <c r="AK106" s="737"/>
      <c r="AL106" s="737"/>
      <c r="AM106" s="737"/>
      <c r="AN106" s="737"/>
      <c r="AO106" s="737"/>
      <c r="AP106" s="737"/>
      <c r="AQ106" s="737"/>
      <c r="AR106" s="737"/>
      <c r="AS106" s="737"/>
      <c r="AT106" s="737"/>
      <c r="AU106" s="737"/>
      <c r="AV106" s="737"/>
      <c r="AW106" s="737"/>
      <c r="AX106" s="737"/>
      <c r="AY106" s="737"/>
      <c r="AZ106" s="203"/>
      <c r="BA106" s="231"/>
      <c r="BB106" s="231"/>
    </row>
    <row r="107" spans="1:54" s="230" customFormat="1" ht="13.5" x14ac:dyDescent="0.25">
      <c r="A107" s="227"/>
      <c r="B107" s="198"/>
      <c r="C107" s="198"/>
      <c r="D107" s="198"/>
      <c r="E107" s="198"/>
      <c r="F107" s="198"/>
      <c r="G107" s="198"/>
      <c r="H107" s="198"/>
      <c r="I107" s="198"/>
      <c r="J107" s="198"/>
      <c r="K107" s="198"/>
      <c r="L107" s="198"/>
      <c r="M107" s="198"/>
      <c r="N107" s="198"/>
      <c r="O107" s="204"/>
      <c r="P107" s="204"/>
      <c r="Q107" s="204"/>
      <c r="R107" s="204"/>
      <c r="S107" s="204"/>
      <c r="T107" s="204"/>
      <c r="U107" s="204"/>
      <c r="V107" s="204"/>
      <c r="W107" s="204"/>
      <c r="X107" s="204"/>
      <c r="Y107" s="204"/>
      <c r="Z107" s="204"/>
      <c r="AA107" s="204"/>
      <c r="AB107" s="204"/>
      <c r="AC107" s="204"/>
      <c r="AD107" s="204"/>
      <c r="AE107" s="204"/>
      <c r="AF107" s="204"/>
      <c r="AG107" s="204"/>
      <c r="AH107" s="204"/>
      <c r="AI107" s="204"/>
      <c r="AJ107" s="204"/>
      <c r="AK107" s="204"/>
      <c r="AL107" s="204"/>
      <c r="AM107" s="204"/>
      <c r="AN107" s="204"/>
      <c r="AO107" s="204"/>
      <c r="AP107" s="233"/>
      <c r="AQ107" s="233"/>
      <c r="AR107" s="233"/>
      <c r="AS107" s="233"/>
      <c r="AT107" s="233"/>
      <c r="AU107" s="233"/>
      <c r="AV107" s="233"/>
      <c r="AW107" s="233"/>
      <c r="AX107" s="233"/>
      <c r="AY107" s="233"/>
      <c r="AZ107" s="203"/>
      <c r="BA107" s="231"/>
      <c r="BB107" s="231"/>
    </row>
    <row r="108" spans="1:54" s="230" customFormat="1" ht="13.5" customHeight="1" x14ac:dyDescent="0.25">
      <c r="A108" s="703" t="s">
        <v>1368</v>
      </c>
      <c r="B108" s="703"/>
      <c r="C108" s="703"/>
      <c r="D108" s="703"/>
      <c r="E108" s="703"/>
      <c r="F108" s="703"/>
      <c r="G108" s="703"/>
      <c r="H108" s="703"/>
      <c r="I108" s="703"/>
      <c r="J108" s="703"/>
      <c r="K108" s="703"/>
      <c r="L108" s="703"/>
      <c r="M108" s="703"/>
      <c r="N108" s="703"/>
      <c r="O108" s="703"/>
      <c r="P108" s="703"/>
      <c r="Q108" s="703"/>
      <c r="R108" s="703"/>
      <c r="S108" s="703"/>
      <c r="T108" s="703"/>
      <c r="U108" s="703"/>
      <c r="V108" s="703"/>
      <c r="W108" s="703"/>
      <c r="X108" s="703"/>
      <c r="Y108" s="703"/>
      <c r="Z108" s="703"/>
      <c r="AA108" s="703"/>
      <c r="AB108" s="703"/>
      <c r="AC108" s="703"/>
      <c r="AD108" s="703"/>
      <c r="AE108" s="703"/>
      <c r="AF108" s="703"/>
      <c r="AG108" s="703"/>
      <c r="AH108" s="703"/>
      <c r="AI108" s="703"/>
      <c r="AJ108" s="703"/>
      <c r="AK108" s="703"/>
      <c r="AL108" s="703"/>
      <c r="AM108" s="703"/>
      <c r="AN108" s="703"/>
      <c r="AO108" s="703"/>
      <c r="AP108" s="703"/>
      <c r="AQ108" s="703"/>
      <c r="AR108" s="703"/>
      <c r="AS108" s="703"/>
      <c r="AT108" s="703"/>
      <c r="AU108" s="703"/>
      <c r="AV108" s="703"/>
      <c r="AW108" s="703"/>
      <c r="AX108" s="703"/>
      <c r="AY108" s="703"/>
      <c r="AZ108" s="703"/>
      <c r="BA108" s="703"/>
      <c r="BB108" s="703"/>
    </row>
    <row r="109" spans="1:54" ht="12.6" customHeight="1" x14ac:dyDescent="0.25">
      <c r="A109" s="703" t="s">
        <v>1369</v>
      </c>
      <c r="B109" s="703"/>
      <c r="C109" s="703"/>
      <c r="D109" s="703"/>
      <c r="E109" s="703"/>
      <c r="F109" s="703"/>
      <c r="G109" s="703"/>
      <c r="H109" s="703"/>
      <c r="I109" s="703"/>
      <c r="J109" s="703"/>
      <c r="K109" s="703"/>
      <c r="L109" s="703"/>
      <c r="M109" s="703"/>
      <c r="N109" s="703"/>
      <c r="O109" s="703"/>
      <c r="P109" s="703"/>
      <c r="Q109" s="703"/>
      <c r="R109" s="703"/>
      <c r="S109" s="703"/>
      <c r="T109" s="703"/>
      <c r="U109" s="703"/>
      <c r="V109" s="703"/>
      <c r="W109" s="703"/>
      <c r="X109" s="703"/>
      <c r="Y109" s="703"/>
      <c r="Z109" s="703"/>
      <c r="AA109" s="703"/>
      <c r="AB109" s="703"/>
      <c r="AC109" s="703"/>
      <c r="AD109" s="703"/>
      <c r="AE109" s="703"/>
      <c r="AF109" s="703"/>
      <c r="AG109" s="703"/>
      <c r="AH109" s="703"/>
      <c r="AI109" s="703"/>
      <c r="AJ109" s="703"/>
      <c r="AK109" s="703"/>
      <c r="AL109" s="703"/>
      <c r="AM109" s="703"/>
      <c r="AN109" s="703"/>
      <c r="AO109" s="703"/>
      <c r="AP109" s="703"/>
      <c r="AQ109" s="703"/>
      <c r="AR109" s="703"/>
      <c r="AS109" s="703"/>
      <c r="AT109" s="703"/>
      <c r="AU109" s="703"/>
      <c r="AV109" s="703"/>
      <c r="AW109" s="703"/>
      <c r="AX109" s="703"/>
      <c r="AY109" s="703"/>
      <c r="AZ109" s="697"/>
      <c r="BA109" s="697"/>
      <c r="BB109" s="697"/>
    </row>
    <row r="110" spans="1:54" s="230" customFormat="1" ht="13.5" x14ac:dyDescent="0.25">
      <c r="A110" s="227"/>
      <c r="B110" s="198"/>
      <c r="C110" s="198"/>
      <c r="D110" s="198"/>
      <c r="E110" s="198"/>
      <c r="F110" s="198"/>
      <c r="G110" s="198"/>
      <c r="H110" s="198"/>
      <c r="I110" s="198"/>
      <c r="J110" s="198"/>
      <c r="K110" s="198"/>
      <c r="L110" s="198"/>
      <c r="M110" s="198"/>
      <c r="N110" s="198"/>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4"/>
      <c r="AN110" s="204"/>
      <c r="AO110" s="204"/>
      <c r="AP110" s="233"/>
      <c r="AQ110" s="233"/>
      <c r="AR110" s="233"/>
      <c r="AS110" s="233"/>
      <c r="AT110" s="233"/>
      <c r="AU110" s="233"/>
      <c r="AV110" s="233"/>
      <c r="AW110" s="233"/>
      <c r="AX110" s="233"/>
      <c r="AY110" s="233"/>
      <c r="AZ110" s="203"/>
      <c r="BA110" s="231"/>
      <c r="BB110" s="231"/>
    </row>
    <row r="111" spans="1:54" s="230" customFormat="1" ht="13.5" x14ac:dyDescent="0.25">
      <c r="A111" s="227"/>
      <c r="B111" s="198"/>
      <c r="C111" s="198"/>
      <c r="D111" s="198"/>
      <c r="E111" s="198"/>
      <c r="F111" s="198"/>
      <c r="G111" s="198"/>
      <c r="H111" s="198"/>
      <c r="I111" s="198"/>
      <c r="J111" s="198"/>
      <c r="K111" s="198"/>
      <c r="L111" s="198"/>
      <c r="M111" s="198"/>
      <c r="N111" s="198"/>
      <c r="O111" s="204"/>
      <c r="P111" s="204"/>
      <c r="Q111" s="204"/>
      <c r="R111" s="204"/>
      <c r="S111" s="204"/>
      <c r="T111" s="204"/>
      <c r="U111" s="204"/>
      <c r="V111" s="204"/>
      <c r="W111" s="204"/>
      <c r="X111" s="204"/>
      <c r="Y111" s="204"/>
      <c r="Z111" s="204"/>
      <c r="AA111" s="204"/>
      <c r="AB111" s="204"/>
      <c r="AC111" s="204"/>
      <c r="AD111" s="204"/>
      <c r="AE111" s="204"/>
      <c r="AF111" s="204"/>
      <c r="AG111" s="204"/>
      <c r="AH111" s="204"/>
      <c r="AI111" s="204"/>
      <c r="AJ111" s="204"/>
      <c r="AK111" s="204"/>
      <c r="AL111" s="204"/>
      <c r="AM111" s="204"/>
      <c r="AN111" s="204"/>
      <c r="AO111" s="204"/>
      <c r="AP111" s="233"/>
      <c r="AQ111" s="233"/>
      <c r="AR111" s="233"/>
      <c r="AS111" s="233"/>
      <c r="AT111" s="233"/>
      <c r="AU111" s="233"/>
      <c r="AV111" s="233"/>
      <c r="AW111" s="233"/>
      <c r="AX111" s="233"/>
      <c r="AY111" s="233"/>
      <c r="AZ111" s="203"/>
      <c r="BA111" s="231"/>
      <c r="BB111" s="231"/>
    </row>
    <row r="112" spans="1:54" s="230" customFormat="1" ht="13.5" x14ac:dyDescent="0.25">
      <c r="A112" s="227"/>
      <c r="B112" s="198"/>
      <c r="C112" s="198"/>
      <c r="D112" s="198"/>
      <c r="E112" s="198"/>
      <c r="F112" s="198"/>
      <c r="G112" s="198"/>
      <c r="H112" s="198"/>
      <c r="I112" s="198"/>
      <c r="J112" s="198"/>
      <c r="K112" s="198"/>
      <c r="L112" s="198"/>
      <c r="M112" s="198"/>
      <c r="N112" s="198"/>
      <c r="O112" s="204"/>
      <c r="P112" s="204"/>
      <c r="Q112" s="204"/>
      <c r="R112" s="204"/>
      <c r="S112" s="204"/>
      <c r="T112" s="204"/>
      <c r="U112" s="204"/>
      <c r="V112" s="204"/>
      <c r="W112" s="204"/>
      <c r="X112" s="204"/>
      <c r="Y112" s="204"/>
      <c r="Z112" s="204"/>
      <c r="AA112" s="204"/>
      <c r="AB112" s="204"/>
      <c r="AC112" s="204"/>
      <c r="AD112" s="204"/>
      <c r="AE112" s="204"/>
      <c r="AF112" s="204"/>
      <c r="AG112" s="204"/>
      <c r="AH112" s="204"/>
      <c r="AI112" s="204"/>
      <c r="AJ112" s="204"/>
      <c r="AK112" s="204"/>
      <c r="AL112" s="204"/>
      <c r="AM112" s="204"/>
      <c r="AN112" s="204"/>
      <c r="AO112" s="204"/>
      <c r="AP112" s="233"/>
      <c r="AQ112" s="233"/>
      <c r="AR112" s="233"/>
      <c r="AS112" s="233"/>
      <c r="AT112" s="233"/>
      <c r="AU112" s="233"/>
      <c r="AV112" s="233"/>
      <c r="AW112" s="233"/>
      <c r="AX112" s="233"/>
      <c r="AY112" s="233"/>
      <c r="AZ112" s="203"/>
      <c r="BA112" s="231"/>
      <c r="BB112" s="231"/>
    </row>
    <row r="113" spans="1:1023" s="230" customFormat="1" ht="13.5" x14ac:dyDescent="0.25">
      <c r="A113" s="227"/>
      <c r="B113" s="198"/>
      <c r="C113" s="198"/>
      <c r="D113" s="198"/>
      <c r="E113" s="198"/>
      <c r="F113" s="198"/>
      <c r="G113" s="198"/>
      <c r="H113" s="198"/>
      <c r="I113" s="198"/>
      <c r="J113" s="198"/>
      <c r="K113" s="198"/>
      <c r="L113" s="198"/>
      <c r="M113" s="198"/>
      <c r="N113" s="198"/>
      <c r="O113" s="204"/>
      <c r="P113" s="204"/>
      <c r="Q113" s="204"/>
      <c r="R113" s="204"/>
      <c r="S113" s="204"/>
      <c r="T113" s="204"/>
      <c r="U113" s="204"/>
      <c r="V113" s="204"/>
      <c r="W113" s="204"/>
      <c r="X113" s="204"/>
      <c r="Y113" s="204"/>
      <c r="Z113" s="204"/>
      <c r="AA113" s="204"/>
      <c r="AB113" s="204"/>
      <c r="AC113" s="204"/>
      <c r="AD113" s="204"/>
      <c r="AE113" s="204"/>
      <c r="AF113" s="204"/>
      <c r="AG113" s="204"/>
      <c r="AH113" s="204"/>
      <c r="AI113" s="204"/>
      <c r="AJ113" s="204"/>
      <c r="AK113" s="204"/>
      <c r="AL113" s="204"/>
      <c r="AM113" s="204"/>
      <c r="AN113" s="204"/>
      <c r="AO113" s="204"/>
      <c r="AP113" s="233"/>
      <c r="AQ113" s="233"/>
      <c r="AR113" s="233"/>
      <c r="AS113" s="233"/>
      <c r="AT113" s="233"/>
      <c r="AU113" s="233"/>
      <c r="AV113" s="233"/>
      <c r="AW113" s="233"/>
      <c r="AX113" s="233"/>
      <c r="AY113" s="233"/>
      <c r="AZ113" s="203"/>
      <c r="BA113" s="231"/>
      <c r="BB113" s="231"/>
    </row>
    <row r="114" spans="1:1023" s="230" customFormat="1" ht="13.5" x14ac:dyDescent="0.25">
      <c r="A114" s="227"/>
      <c r="B114" s="198"/>
      <c r="C114" s="198"/>
      <c r="D114" s="198"/>
      <c r="E114" s="198"/>
      <c r="F114" s="198"/>
      <c r="G114" s="198"/>
      <c r="H114" s="198"/>
      <c r="I114" s="198"/>
      <c r="J114" s="198"/>
      <c r="K114" s="198"/>
      <c r="L114" s="198"/>
      <c r="M114" s="198"/>
      <c r="N114" s="198"/>
      <c r="O114" s="204"/>
      <c r="P114" s="204"/>
      <c r="Q114" s="204"/>
      <c r="R114" s="204"/>
      <c r="S114" s="204"/>
      <c r="T114" s="204"/>
      <c r="U114" s="204"/>
      <c r="V114" s="204"/>
      <c r="W114" s="204"/>
      <c r="X114" s="204"/>
      <c r="Y114" s="204"/>
      <c r="Z114" s="204"/>
      <c r="AA114" s="204"/>
      <c r="AB114" s="204"/>
      <c r="AC114" s="204"/>
      <c r="AD114" s="204"/>
      <c r="AE114" s="204"/>
      <c r="AF114" s="204"/>
      <c r="AG114" s="204"/>
      <c r="AH114" s="204"/>
      <c r="AI114" s="204"/>
      <c r="AJ114" s="204"/>
      <c r="AK114" s="204"/>
      <c r="AL114" s="204"/>
      <c r="AM114" s="204"/>
      <c r="AN114" s="204"/>
      <c r="AO114" s="204"/>
      <c r="AP114" s="233"/>
      <c r="AQ114" s="233"/>
      <c r="AR114" s="233"/>
      <c r="AS114" s="233"/>
      <c r="AT114" s="233"/>
      <c r="AU114" s="233"/>
      <c r="AV114" s="233"/>
      <c r="AW114" s="233"/>
      <c r="AX114" s="233"/>
      <c r="AY114" s="233"/>
      <c r="AZ114" s="203"/>
      <c r="BA114" s="231"/>
      <c r="BB114" s="231"/>
    </row>
    <row r="115" spans="1:1023" s="230" customFormat="1" ht="13.5" x14ac:dyDescent="0.25">
      <c r="A115" s="227"/>
      <c r="B115" s="198"/>
      <c r="C115" s="198"/>
      <c r="D115" s="198"/>
      <c r="E115" s="198"/>
      <c r="F115" s="198"/>
      <c r="G115" s="198"/>
      <c r="H115" s="198"/>
      <c r="I115" s="198"/>
      <c r="J115" s="198"/>
      <c r="K115" s="198"/>
      <c r="L115" s="198"/>
      <c r="M115" s="198"/>
      <c r="N115" s="198"/>
      <c r="O115" s="204"/>
      <c r="P115" s="204"/>
      <c r="Q115" s="204"/>
      <c r="R115" s="204"/>
      <c r="S115" s="204"/>
      <c r="T115" s="204"/>
      <c r="U115" s="204"/>
      <c r="V115" s="204"/>
      <c r="W115" s="204"/>
      <c r="X115" s="204"/>
      <c r="Y115" s="204"/>
      <c r="Z115" s="204"/>
      <c r="AA115" s="204"/>
      <c r="AB115" s="204"/>
      <c r="AC115" s="204"/>
      <c r="AD115" s="204"/>
      <c r="AE115" s="204"/>
      <c r="AF115" s="204"/>
      <c r="AG115" s="204"/>
      <c r="AH115" s="204"/>
      <c r="AI115" s="204"/>
      <c r="AJ115" s="204"/>
      <c r="AK115" s="204"/>
      <c r="AL115" s="204"/>
      <c r="AM115" s="204"/>
      <c r="AN115" s="204"/>
      <c r="AO115" s="204"/>
      <c r="AP115" s="233"/>
      <c r="AQ115" s="233"/>
      <c r="AR115" s="233"/>
      <c r="AS115" s="233"/>
      <c r="AT115" s="233"/>
      <c r="AU115" s="233"/>
      <c r="AV115" s="233"/>
      <c r="AW115" s="233"/>
      <c r="AX115" s="233"/>
      <c r="AY115" s="233"/>
      <c r="AZ115" s="203"/>
      <c r="BA115" s="231"/>
      <c r="BB115" s="231"/>
    </row>
    <row r="116" spans="1:1023" ht="12.6" customHeight="1" x14ac:dyDescent="0.25"/>
    <row r="118" spans="1:1023" s="207" customFormat="1" ht="12.6" customHeight="1" x14ac:dyDescent="0.25">
      <c r="A118" s="205"/>
      <c r="B118" s="231"/>
      <c r="C118" s="231"/>
      <c r="D118" s="231"/>
      <c r="E118" s="231"/>
      <c r="F118" s="231"/>
      <c r="G118" s="231"/>
      <c r="H118" s="231"/>
      <c r="I118" s="231"/>
      <c r="J118" s="231"/>
      <c r="K118" s="231"/>
      <c r="L118" s="231"/>
      <c r="M118" s="231"/>
      <c r="N118" s="231"/>
      <c r="O118" s="231"/>
      <c r="P118" s="231"/>
      <c r="Q118" s="231"/>
      <c r="R118" s="231"/>
      <c r="S118" s="231"/>
      <c r="T118" s="231"/>
      <c r="U118" s="231"/>
      <c r="V118" s="231"/>
      <c r="W118" s="231"/>
      <c r="X118" s="231"/>
      <c r="Y118" s="231"/>
      <c r="Z118" s="231"/>
      <c r="AA118" s="231"/>
      <c r="AB118" s="231"/>
      <c r="AC118" s="231"/>
      <c r="AD118" s="231"/>
      <c r="AE118" s="231"/>
      <c r="AF118" s="231"/>
      <c r="AG118" s="231"/>
      <c r="AH118" s="231"/>
      <c r="AI118" s="231"/>
      <c r="AJ118" s="231"/>
      <c r="AK118" s="231"/>
      <c r="AL118" s="231"/>
      <c r="AM118" s="231"/>
      <c r="AN118" s="231"/>
      <c r="AO118" s="231"/>
      <c r="AP118" s="231"/>
      <c r="AQ118" s="231"/>
      <c r="AR118" s="231"/>
      <c r="AS118" s="231"/>
      <c r="AT118" s="231"/>
      <c r="AU118" s="231"/>
      <c r="AV118" s="231"/>
      <c r="AW118" s="231"/>
      <c r="AX118" s="231"/>
      <c r="AY118" s="231"/>
      <c r="AZ118" s="198"/>
      <c r="BA118" s="198"/>
      <c r="BB118" s="198"/>
    </row>
    <row r="119" spans="1:1023" ht="135" customHeight="1" x14ac:dyDescent="0.25">
      <c r="A119" s="697" t="s">
        <v>1370</v>
      </c>
      <c r="B119" s="697"/>
      <c r="C119" s="697"/>
      <c r="D119" s="697"/>
      <c r="E119" s="697"/>
      <c r="F119" s="697"/>
      <c r="G119" s="697"/>
      <c r="H119" s="697"/>
      <c r="I119" s="697"/>
      <c r="J119" s="697"/>
      <c r="K119" s="697"/>
      <c r="L119" s="697"/>
      <c r="M119" s="697"/>
      <c r="N119" s="697"/>
      <c r="O119" s="697"/>
      <c r="P119" s="697"/>
      <c r="Q119" s="697"/>
      <c r="R119" s="697"/>
      <c r="S119" s="697"/>
      <c r="T119" s="697"/>
      <c r="U119" s="697"/>
      <c r="V119" s="697"/>
      <c r="W119" s="697"/>
      <c r="X119" s="697"/>
      <c r="Y119" s="697"/>
      <c r="Z119" s="697"/>
      <c r="AA119" s="697"/>
      <c r="AB119" s="697"/>
      <c r="AC119" s="697"/>
      <c r="AD119" s="697"/>
      <c r="AE119" s="697"/>
      <c r="AF119" s="697"/>
      <c r="AG119" s="697"/>
      <c r="AH119" s="697"/>
      <c r="AI119" s="697"/>
      <c r="AJ119" s="697"/>
      <c r="AK119" s="697"/>
      <c r="AL119" s="697"/>
      <c r="AM119" s="697"/>
      <c r="AN119" s="697"/>
      <c r="AO119" s="697"/>
      <c r="AP119" s="697"/>
      <c r="AQ119" s="697"/>
      <c r="AR119" s="697"/>
      <c r="AS119" s="697"/>
      <c r="AT119" s="697"/>
      <c r="AU119" s="697"/>
      <c r="AV119" s="697"/>
      <c r="AW119" s="697"/>
      <c r="AX119" s="697"/>
      <c r="AY119" s="697"/>
      <c r="AZ119" s="697"/>
      <c r="BA119" s="697"/>
      <c r="BB119" s="697"/>
    </row>
    <row r="120" spans="1:1023" ht="135" customHeight="1" x14ac:dyDescent="0.25">
      <c r="A120" s="697" t="s">
        <v>1371</v>
      </c>
      <c r="B120" s="697"/>
      <c r="C120" s="697"/>
      <c r="D120" s="697"/>
      <c r="E120" s="697"/>
      <c r="F120" s="697"/>
      <c r="G120" s="697"/>
      <c r="H120" s="697"/>
      <c r="I120" s="697"/>
      <c r="J120" s="697"/>
      <c r="K120" s="697"/>
      <c r="L120" s="697"/>
      <c r="M120" s="697"/>
      <c r="N120" s="697"/>
      <c r="O120" s="697"/>
      <c r="P120" s="697"/>
      <c r="Q120" s="697"/>
      <c r="R120" s="697"/>
      <c r="S120" s="697"/>
      <c r="T120" s="697"/>
      <c r="U120" s="697"/>
      <c r="V120" s="697"/>
      <c r="W120" s="697"/>
      <c r="X120" s="697"/>
      <c r="Y120" s="697"/>
      <c r="Z120" s="697"/>
      <c r="AA120" s="697"/>
      <c r="AB120" s="697"/>
      <c r="AC120" s="697"/>
      <c r="AD120" s="697"/>
      <c r="AE120" s="697"/>
      <c r="AF120" s="697"/>
      <c r="AG120" s="697"/>
      <c r="AH120" s="697"/>
      <c r="AI120" s="697"/>
      <c r="AJ120" s="697"/>
      <c r="AK120" s="697"/>
      <c r="AL120" s="697"/>
      <c r="AM120" s="697"/>
      <c r="AN120" s="697"/>
      <c r="AO120" s="697"/>
      <c r="AP120" s="697"/>
      <c r="AQ120" s="697"/>
      <c r="AR120" s="697"/>
      <c r="AS120" s="697"/>
      <c r="AT120" s="697"/>
      <c r="AU120" s="697"/>
      <c r="AV120" s="697"/>
      <c r="AW120" s="697"/>
      <c r="AX120" s="697"/>
      <c r="AY120" s="697"/>
      <c r="AZ120" s="697"/>
      <c r="BA120" s="697"/>
      <c r="BB120" s="697"/>
    </row>
    <row r="121" spans="1:1023" ht="13.5" customHeight="1" x14ac:dyDescent="0.25">
      <c r="A121" s="703" t="s">
        <v>1372</v>
      </c>
      <c r="B121" s="703"/>
      <c r="C121" s="703"/>
      <c r="D121" s="703"/>
      <c r="E121" s="703"/>
      <c r="F121" s="703"/>
      <c r="G121" s="703"/>
      <c r="H121" s="703"/>
      <c r="I121" s="703"/>
      <c r="J121" s="703"/>
      <c r="K121" s="703"/>
      <c r="L121" s="703"/>
      <c r="M121" s="703"/>
      <c r="N121" s="703"/>
      <c r="O121" s="703"/>
      <c r="P121" s="703"/>
      <c r="Q121" s="703"/>
      <c r="R121" s="703"/>
      <c r="S121" s="703"/>
      <c r="T121" s="703"/>
      <c r="U121" s="703"/>
      <c r="V121" s="703"/>
      <c r="W121" s="703"/>
      <c r="X121" s="703"/>
      <c r="Y121" s="703"/>
      <c r="Z121" s="703"/>
      <c r="AA121" s="703"/>
      <c r="AB121" s="703"/>
      <c r="AC121" s="703"/>
      <c r="AD121" s="703"/>
      <c r="AE121" s="703"/>
      <c r="AF121" s="703"/>
      <c r="AG121" s="703"/>
      <c r="AH121" s="703"/>
      <c r="AI121" s="703"/>
      <c r="AJ121" s="703"/>
      <c r="AK121" s="703"/>
      <c r="AL121" s="703"/>
      <c r="AM121" s="703"/>
      <c r="AN121" s="703"/>
      <c r="AO121" s="703"/>
      <c r="AP121" s="703"/>
      <c r="AQ121" s="703"/>
      <c r="AR121" s="703"/>
      <c r="AS121" s="703"/>
      <c r="AT121" s="703"/>
      <c r="AU121" s="703"/>
      <c r="AV121" s="703"/>
      <c r="AW121" s="703"/>
      <c r="AX121" s="703"/>
      <c r="AY121" s="703"/>
      <c r="AZ121" s="198"/>
      <c r="BA121" s="198"/>
      <c r="BB121" s="198"/>
    </row>
    <row r="122" spans="1:1023" ht="13.5" customHeight="1" x14ac:dyDescent="0.25">
      <c r="A122" s="732" t="s">
        <v>1373</v>
      </c>
      <c r="B122" s="732"/>
      <c r="C122" s="732"/>
      <c r="D122" s="732"/>
      <c r="E122" s="732"/>
      <c r="F122" s="732"/>
      <c r="G122" s="732"/>
      <c r="H122" s="732"/>
      <c r="I122" s="732"/>
      <c r="J122" s="732"/>
      <c r="K122" s="732"/>
      <c r="L122" s="732"/>
      <c r="M122" s="732"/>
      <c r="N122" s="732"/>
      <c r="O122" s="732"/>
      <c r="P122" s="732"/>
      <c r="Q122" s="732"/>
      <c r="R122" s="732"/>
      <c r="S122" s="732"/>
      <c r="T122" s="732"/>
      <c r="U122" s="732"/>
      <c r="V122" s="732"/>
      <c r="W122" s="732"/>
      <c r="X122" s="732"/>
      <c r="Y122" s="732"/>
      <c r="Z122" s="732"/>
      <c r="AA122" s="732"/>
      <c r="AB122" s="732"/>
      <c r="AC122" s="732"/>
      <c r="AD122" s="732"/>
      <c r="AE122" s="732"/>
      <c r="AF122" s="732"/>
      <c r="AG122" s="732"/>
      <c r="AH122" s="732"/>
      <c r="AI122" s="732"/>
      <c r="AJ122" s="732"/>
      <c r="AK122" s="732"/>
      <c r="AL122" s="732"/>
      <c r="AM122" s="732"/>
      <c r="AN122" s="732"/>
      <c r="AO122" s="732"/>
      <c r="AP122" s="732"/>
      <c r="AQ122" s="732"/>
      <c r="AR122" s="732"/>
      <c r="AS122" s="732"/>
      <c r="AT122" s="732"/>
      <c r="AU122" s="732"/>
      <c r="AV122" s="732"/>
      <c r="AW122" s="732"/>
      <c r="AX122" s="732"/>
      <c r="AY122" s="732"/>
      <c r="AZ122" s="198"/>
      <c r="BA122" s="198"/>
      <c r="BB122" s="198"/>
    </row>
    <row r="123" spans="1:1023" s="199" customFormat="1" ht="24" customHeight="1" x14ac:dyDescent="0.25">
      <c r="A123" s="738" t="s">
        <v>1374</v>
      </c>
      <c r="B123" s="738"/>
      <c r="C123" s="738"/>
      <c r="D123" s="738"/>
      <c r="E123" s="738"/>
      <c r="F123" s="738"/>
      <c r="G123" s="738"/>
      <c r="H123" s="738"/>
      <c r="I123" s="738"/>
      <c r="J123" s="738"/>
      <c r="K123" s="738"/>
      <c r="L123" s="738"/>
      <c r="M123" s="738"/>
      <c r="N123" s="738"/>
      <c r="O123" s="738"/>
      <c r="P123" s="738"/>
      <c r="Q123" s="738"/>
      <c r="R123" s="738"/>
      <c r="S123" s="738"/>
      <c r="T123" s="234"/>
      <c r="U123" s="739" t="s">
        <v>1375</v>
      </c>
      <c r="V123" s="739"/>
      <c r="W123" s="739"/>
      <c r="X123" s="739"/>
      <c r="Y123" s="739"/>
      <c r="Z123" s="739"/>
      <c r="AA123" s="739"/>
      <c r="AB123" s="739"/>
      <c r="AC123" s="740" t="s">
        <v>1376</v>
      </c>
      <c r="AD123" s="740"/>
      <c r="AE123" s="740"/>
      <c r="AF123" s="740"/>
      <c r="AG123" s="740"/>
      <c r="AH123" s="740"/>
      <c r="AI123" s="740"/>
      <c r="AJ123" s="740"/>
      <c r="AK123" s="741" t="s">
        <v>1377</v>
      </c>
      <c r="AL123" s="741"/>
      <c r="AM123" s="741"/>
      <c r="AN123" s="741"/>
      <c r="AO123" s="741"/>
      <c r="AP123" s="741"/>
      <c r="AQ123" s="741"/>
      <c r="AR123" s="741"/>
      <c r="AS123" s="741"/>
      <c r="AT123" s="741"/>
      <c r="AU123" s="741"/>
      <c r="AV123" s="235"/>
      <c r="AW123" s="235"/>
      <c r="AX123" s="235"/>
      <c r="AY123" s="235"/>
      <c r="AZ123" s="235"/>
      <c r="BA123" s="235"/>
      <c r="BB123" s="235"/>
    </row>
    <row r="124" spans="1:1023" ht="12.75" customHeight="1" x14ac:dyDescent="0.25">
      <c r="A124" s="723" t="s">
        <v>1378</v>
      </c>
      <c r="B124" s="723"/>
      <c r="C124" s="723"/>
      <c r="D124" s="723"/>
      <c r="E124" s="723"/>
      <c r="F124" s="723"/>
      <c r="G124" s="723"/>
      <c r="H124" s="723"/>
      <c r="I124" s="723"/>
      <c r="J124" s="723"/>
      <c r="K124" s="723"/>
      <c r="L124" s="723"/>
      <c r="M124" s="723"/>
      <c r="N124" s="723"/>
      <c r="O124" s="723"/>
      <c r="P124" s="723"/>
      <c r="Q124" s="723"/>
      <c r="R124" s="723"/>
      <c r="S124" s="723"/>
      <c r="T124" s="733">
        <v>4</v>
      </c>
      <c r="U124" s="733"/>
      <c r="V124" s="733"/>
      <c r="W124" s="733"/>
      <c r="X124" s="733"/>
      <c r="Y124" s="733"/>
      <c r="Z124" s="733"/>
      <c r="AA124" s="733"/>
      <c r="AB124" s="733"/>
      <c r="AC124" s="733" t="s">
        <v>1379</v>
      </c>
      <c r="AD124" s="733"/>
      <c r="AE124" s="733"/>
      <c r="AF124" s="733"/>
      <c r="AG124" s="733"/>
      <c r="AH124" s="733"/>
      <c r="AI124" s="733"/>
      <c r="AJ124" s="733"/>
      <c r="AK124" s="733">
        <v>25</v>
      </c>
      <c r="AL124" s="733"/>
      <c r="AM124" s="733"/>
      <c r="AN124" s="733"/>
      <c r="AO124" s="733"/>
      <c r="AP124" s="733"/>
      <c r="AQ124" s="733"/>
      <c r="AR124" s="733"/>
      <c r="AS124" s="733"/>
      <c r="AT124" s="733"/>
      <c r="AU124" s="733"/>
      <c r="AV124" s="203"/>
      <c r="AW124" s="203"/>
      <c r="AX124" s="203"/>
      <c r="AY124" s="203"/>
      <c r="AZ124" s="203"/>
      <c r="BA124" s="203"/>
      <c r="BB124" s="203"/>
    </row>
    <row r="125" spans="1:1023" s="198" customFormat="1" ht="13.5" customHeight="1" x14ac:dyDescent="0.25">
      <c r="A125" s="723" t="s">
        <v>1380</v>
      </c>
      <c r="B125" s="723"/>
      <c r="C125" s="723"/>
      <c r="D125" s="723"/>
      <c r="E125" s="723"/>
      <c r="F125" s="723"/>
      <c r="G125" s="723"/>
      <c r="H125" s="723"/>
      <c r="I125" s="723"/>
      <c r="J125" s="723"/>
      <c r="K125" s="723"/>
      <c r="L125" s="723"/>
      <c r="M125" s="723"/>
      <c r="N125" s="723"/>
      <c r="O125" s="723"/>
      <c r="P125" s="723"/>
      <c r="Q125" s="723"/>
      <c r="R125" s="723"/>
      <c r="S125" s="723"/>
      <c r="T125" s="733" t="s">
        <v>1381</v>
      </c>
      <c r="U125" s="733"/>
      <c r="V125" s="733"/>
      <c r="W125" s="733"/>
      <c r="X125" s="733"/>
      <c r="Y125" s="733"/>
      <c r="Z125" s="733"/>
      <c r="AA125" s="733"/>
      <c r="AB125" s="733"/>
      <c r="AC125" s="733" t="s">
        <v>1382</v>
      </c>
      <c r="AD125" s="733"/>
      <c r="AE125" s="733"/>
      <c r="AF125" s="733"/>
      <c r="AG125" s="733"/>
      <c r="AH125" s="733"/>
      <c r="AI125" s="733"/>
      <c r="AJ125" s="733"/>
      <c r="AK125" s="733">
        <v>100</v>
      </c>
      <c r="AL125" s="733"/>
      <c r="AM125" s="733"/>
      <c r="AN125" s="733"/>
      <c r="AO125" s="733"/>
      <c r="AP125" s="733"/>
      <c r="AQ125" s="733"/>
      <c r="AR125" s="733"/>
      <c r="AS125" s="733"/>
      <c r="AT125" s="733"/>
      <c r="AU125" s="733"/>
      <c r="AV125" s="203"/>
      <c r="AW125" s="203"/>
      <c r="AX125" s="203"/>
      <c r="AY125" s="203"/>
      <c r="AZ125" s="697"/>
      <c r="BA125" s="697"/>
      <c r="BB125" s="697"/>
      <c r="BC125" s="697"/>
      <c r="BD125" s="697"/>
      <c r="BE125" s="697"/>
      <c r="BF125" s="697"/>
      <c r="BG125" s="697"/>
      <c r="BH125" s="697"/>
      <c r="BI125" s="697"/>
      <c r="BJ125" s="697"/>
      <c r="BK125" s="697"/>
      <c r="BL125" s="697"/>
      <c r="BM125" s="697"/>
      <c r="BN125" s="697"/>
      <c r="BO125" s="697"/>
      <c r="BP125" s="697"/>
      <c r="BQ125" s="697"/>
      <c r="BR125" s="697"/>
      <c r="BS125" s="697"/>
      <c r="BT125" s="697"/>
      <c r="BU125" s="697"/>
      <c r="BV125" s="697"/>
      <c r="BW125" s="697"/>
      <c r="BX125" s="697"/>
      <c r="BY125" s="697"/>
      <c r="BZ125" s="697"/>
      <c r="CA125" s="697"/>
      <c r="CB125" s="697"/>
      <c r="CC125" s="697"/>
      <c r="CD125" s="697"/>
      <c r="CE125" s="697"/>
      <c r="CF125" s="697"/>
      <c r="CG125" s="697"/>
      <c r="CH125" s="697"/>
      <c r="CI125" s="697"/>
      <c r="CJ125" s="697"/>
      <c r="CK125" s="697"/>
      <c r="CL125" s="697"/>
      <c r="CM125" s="697"/>
      <c r="CN125" s="697"/>
      <c r="CO125" s="697"/>
      <c r="CP125" s="697"/>
      <c r="CQ125" s="697"/>
      <c r="CR125" s="697"/>
      <c r="CS125" s="697"/>
      <c r="CT125" s="697"/>
      <c r="CU125" s="697"/>
      <c r="CV125" s="697"/>
      <c r="CW125" s="697"/>
      <c r="CX125" s="697"/>
      <c r="CY125" s="697"/>
      <c r="CZ125" s="697"/>
      <c r="DA125" s="697"/>
      <c r="DB125" s="697"/>
      <c r="DC125" s="697"/>
      <c r="DD125" s="697"/>
      <c r="DE125" s="697"/>
      <c r="DF125" s="697"/>
      <c r="DG125" s="697"/>
      <c r="DH125" s="697"/>
      <c r="DI125" s="697"/>
      <c r="DJ125" s="697"/>
      <c r="DK125" s="697"/>
      <c r="DL125" s="697"/>
      <c r="DM125" s="697"/>
      <c r="DN125" s="697"/>
      <c r="DO125" s="697"/>
      <c r="DP125" s="697"/>
      <c r="DQ125" s="697"/>
      <c r="DR125" s="697"/>
      <c r="DS125" s="697"/>
      <c r="DT125" s="697"/>
      <c r="DU125" s="697"/>
      <c r="DV125" s="697"/>
      <c r="DW125" s="697"/>
      <c r="DX125" s="697"/>
      <c r="DY125" s="697"/>
      <c r="DZ125" s="697"/>
      <c r="EA125" s="697"/>
      <c r="EB125" s="697"/>
      <c r="EC125" s="697"/>
      <c r="ED125" s="697"/>
      <c r="EE125" s="697"/>
      <c r="EF125" s="697"/>
      <c r="EG125" s="697"/>
      <c r="EH125" s="697"/>
      <c r="EI125" s="697"/>
      <c r="EJ125" s="697"/>
      <c r="EK125" s="697"/>
      <c r="EL125" s="697"/>
      <c r="EM125" s="697"/>
      <c r="EN125" s="697"/>
      <c r="EO125" s="697"/>
      <c r="EP125" s="697"/>
      <c r="EQ125" s="697"/>
      <c r="ER125" s="697"/>
      <c r="ES125" s="697"/>
      <c r="ET125" s="697"/>
      <c r="EU125" s="697"/>
      <c r="EV125" s="697"/>
      <c r="EW125" s="697"/>
      <c r="EX125" s="697"/>
      <c r="EY125" s="697"/>
      <c r="EZ125" s="697"/>
      <c r="FA125" s="697"/>
      <c r="FB125" s="697"/>
      <c r="FC125" s="697"/>
      <c r="FD125" s="697"/>
      <c r="FE125" s="697"/>
      <c r="FF125" s="697"/>
      <c r="FG125" s="697"/>
      <c r="FH125" s="697"/>
      <c r="FI125" s="697"/>
      <c r="FJ125" s="697"/>
      <c r="FK125" s="697"/>
      <c r="FL125" s="697"/>
      <c r="FM125" s="697"/>
      <c r="FN125" s="697"/>
      <c r="FO125" s="697"/>
      <c r="FP125" s="697"/>
      <c r="FQ125" s="697"/>
      <c r="FR125" s="697"/>
      <c r="FS125" s="697"/>
      <c r="FT125" s="697"/>
      <c r="FU125" s="697"/>
      <c r="FV125" s="697"/>
      <c r="FW125" s="697"/>
      <c r="FX125" s="697"/>
      <c r="FY125" s="697"/>
      <c r="FZ125" s="697"/>
      <c r="GA125" s="697"/>
      <c r="GB125" s="697"/>
      <c r="GC125" s="697"/>
      <c r="GD125" s="697"/>
      <c r="GE125" s="697"/>
      <c r="GF125" s="697"/>
      <c r="GG125" s="697"/>
      <c r="GH125" s="697"/>
      <c r="GI125" s="697"/>
      <c r="GJ125" s="697"/>
      <c r="GK125" s="697"/>
      <c r="GL125" s="697"/>
      <c r="GM125" s="697"/>
      <c r="GN125" s="697"/>
      <c r="GO125" s="697"/>
      <c r="GP125" s="697"/>
      <c r="GQ125" s="697"/>
      <c r="GR125" s="697"/>
      <c r="GS125" s="697"/>
      <c r="GT125" s="697"/>
      <c r="GU125" s="697"/>
      <c r="GV125" s="697"/>
      <c r="GW125" s="697"/>
      <c r="GX125" s="697"/>
      <c r="GY125" s="697"/>
      <c r="GZ125" s="697"/>
      <c r="HA125" s="697"/>
      <c r="HB125" s="697"/>
      <c r="HC125" s="697"/>
      <c r="HD125" s="697"/>
      <c r="HE125" s="697"/>
      <c r="HF125" s="697"/>
      <c r="HG125" s="697"/>
      <c r="HH125" s="697"/>
      <c r="HI125" s="697"/>
      <c r="HJ125" s="697"/>
      <c r="HK125" s="697"/>
      <c r="HL125" s="697"/>
      <c r="HM125" s="697"/>
      <c r="HN125" s="697"/>
      <c r="HO125" s="697"/>
      <c r="HP125" s="697"/>
      <c r="HQ125" s="697"/>
      <c r="HR125" s="697"/>
      <c r="HS125" s="697"/>
      <c r="HT125" s="697"/>
      <c r="HU125" s="697"/>
      <c r="HV125" s="697"/>
      <c r="HW125" s="697"/>
      <c r="HX125" s="697"/>
      <c r="HY125" s="697"/>
      <c r="HZ125" s="697"/>
      <c r="IA125" s="697"/>
      <c r="IB125" s="697"/>
      <c r="IC125" s="697"/>
      <c r="ID125" s="697"/>
      <c r="IE125" s="697"/>
      <c r="IF125" s="697"/>
      <c r="IG125" s="697"/>
      <c r="IH125" s="697"/>
      <c r="II125" s="697"/>
      <c r="IJ125" s="697"/>
      <c r="IK125" s="697"/>
      <c r="IL125" s="697"/>
      <c r="IM125" s="697"/>
      <c r="IN125" s="697"/>
      <c r="IO125" s="697"/>
      <c r="IP125" s="697"/>
      <c r="IQ125" s="697"/>
      <c r="IR125" s="697"/>
      <c r="IS125" s="697"/>
      <c r="IT125" s="697"/>
      <c r="IU125" s="697"/>
      <c r="IV125" s="697"/>
      <c r="IW125" s="697"/>
      <c r="IX125" s="697"/>
      <c r="IY125" s="697"/>
      <c r="IZ125" s="697"/>
      <c r="JA125" s="697"/>
      <c r="JB125" s="697"/>
      <c r="JC125" s="697"/>
      <c r="JD125" s="697"/>
      <c r="JE125" s="697"/>
      <c r="JF125" s="697"/>
      <c r="JG125" s="697"/>
      <c r="JH125" s="697"/>
      <c r="JI125" s="697"/>
      <c r="JJ125" s="697"/>
      <c r="JK125" s="697"/>
      <c r="JL125" s="697"/>
      <c r="JM125" s="697"/>
      <c r="JN125" s="697"/>
      <c r="JO125" s="697"/>
      <c r="JP125" s="697"/>
      <c r="JQ125" s="697"/>
      <c r="JR125" s="697"/>
      <c r="JS125" s="697"/>
      <c r="JT125" s="697"/>
      <c r="JU125" s="697"/>
      <c r="JV125" s="697"/>
      <c r="JW125" s="697"/>
      <c r="JX125" s="697"/>
      <c r="JY125" s="697"/>
      <c r="JZ125" s="697"/>
      <c r="KA125" s="697"/>
      <c r="KB125" s="697"/>
      <c r="KC125" s="697"/>
      <c r="KD125" s="697"/>
      <c r="KE125" s="697"/>
      <c r="KF125" s="697"/>
      <c r="KG125" s="697"/>
      <c r="KH125" s="697"/>
      <c r="KI125" s="697"/>
      <c r="KJ125" s="697"/>
      <c r="KK125" s="697"/>
      <c r="KL125" s="697"/>
      <c r="KM125" s="697"/>
      <c r="KN125" s="697"/>
      <c r="KO125" s="697"/>
      <c r="KP125" s="697"/>
      <c r="KQ125" s="697"/>
      <c r="KR125" s="697"/>
      <c r="KS125" s="697"/>
      <c r="KT125" s="697"/>
      <c r="KU125" s="697"/>
      <c r="KV125" s="697"/>
      <c r="KW125" s="697"/>
      <c r="KX125" s="697"/>
      <c r="KY125" s="697"/>
      <c r="KZ125" s="697"/>
      <c r="LA125" s="697"/>
      <c r="LB125" s="697"/>
      <c r="LC125" s="697"/>
      <c r="LD125" s="697"/>
      <c r="LE125" s="697"/>
      <c r="LF125" s="697"/>
      <c r="LG125" s="697"/>
      <c r="LH125" s="697"/>
      <c r="LI125" s="697"/>
      <c r="LJ125" s="697"/>
      <c r="LK125" s="697"/>
      <c r="LL125" s="697"/>
      <c r="LM125" s="697"/>
      <c r="LN125" s="697"/>
      <c r="LO125" s="697"/>
      <c r="LP125" s="697"/>
      <c r="LQ125" s="697"/>
      <c r="LR125" s="697"/>
      <c r="LS125" s="697"/>
      <c r="LT125" s="697"/>
      <c r="LU125" s="697"/>
      <c r="LV125" s="697"/>
      <c r="LW125" s="697"/>
      <c r="LX125" s="697"/>
      <c r="LY125" s="697"/>
      <c r="LZ125" s="697"/>
      <c r="MA125" s="697"/>
      <c r="MB125" s="697"/>
      <c r="MC125" s="697"/>
      <c r="MD125" s="697"/>
      <c r="ME125" s="697"/>
      <c r="MF125" s="697"/>
      <c r="MG125" s="697"/>
      <c r="MH125" s="697"/>
      <c r="MI125" s="697"/>
      <c r="MJ125" s="697"/>
      <c r="MK125" s="697"/>
      <c r="ML125" s="697"/>
      <c r="MM125" s="697"/>
      <c r="MN125" s="697"/>
      <c r="MO125" s="697"/>
      <c r="MP125" s="697"/>
      <c r="MQ125" s="697"/>
      <c r="MR125" s="697"/>
      <c r="MS125" s="697"/>
      <c r="MT125" s="697"/>
      <c r="MU125" s="697"/>
      <c r="MV125" s="697"/>
      <c r="MW125" s="697"/>
      <c r="MX125" s="697"/>
      <c r="MY125" s="697"/>
      <c r="MZ125" s="697"/>
      <c r="NA125" s="697"/>
      <c r="NB125" s="697"/>
      <c r="NC125" s="697"/>
      <c r="ND125" s="697"/>
      <c r="NE125" s="697"/>
      <c r="NF125" s="697"/>
      <c r="NG125" s="697"/>
      <c r="NH125" s="697"/>
      <c r="NI125" s="697"/>
      <c r="NJ125" s="697"/>
      <c r="NK125" s="697"/>
      <c r="NL125" s="697"/>
      <c r="NM125" s="697"/>
      <c r="NN125" s="697"/>
      <c r="NO125" s="697"/>
      <c r="NP125" s="697"/>
      <c r="NQ125" s="697"/>
      <c r="NR125" s="697"/>
      <c r="NS125" s="697"/>
      <c r="NT125" s="697"/>
      <c r="NU125" s="697"/>
      <c r="NV125" s="697"/>
      <c r="NW125" s="697"/>
      <c r="NX125" s="697"/>
      <c r="NY125" s="697"/>
      <c r="NZ125" s="697"/>
      <c r="OA125" s="697"/>
      <c r="OB125" s="697"/>
      <c r="OC125" s="697"/>
      <c r="OD125" s="697"/>
      <c r="OE125" s="697"/>
      <c r="OF125" s="697"/>
      <c r="OG125" s="697"/>
      <c r="OH125" s="697"/>
      <c r="OI125" s="697"/>
      <c r="OJ125" s="697"/>
      <c r="OK125" s="697"/>
      <c r="OL125" s="697"/>
      <c r="OM125" s="697"/>
      <c r="ON125" s="697"/>
      <c r="OO125" s="697"/>
      <c r="OP125" s="697"/>
      <c r="OQ125" s="697"/>
      <c r="OR125" s="697"/>
      <c r="OS125" s="697"/>
      <c r="OT125" s="697"/>
      <c r="OU125" s="697"/>
      <c r="OV125" s="697"/>
      <c r="OW125" s="697"/>
      <c r="OX125" s="697"/>
      <c r="OY125" s="697"/>
      <c r="OZ125" s="697"/>
      <c r="PA125" s="697"/>
      <c r="PB125" s="697"/>
      <c r="PC125" s="697"/>
      <c r="PD125" s="697"/>
      <c r="PE125" s="697"/>
      <c r="PF125" s="697"/>
      <c r="PG125" s="697"/>
      <c r="PH125" s="697"/>
      <c r="PI125" s="697"/>
      <c r="PJ125" s="697"/>
      <c r="PK125" s="697"/>
      <c r="PL125" s="697"/>
      <c r="PM125" s="697"/>
      <c r="PN125" s="697"/>
      <c r="PO125" s="697"/>
      <c r="PP125" s="697"/>
      <c r="PQ125" s="697"/>
      <c r="PR125" s="697"/>
      <c r="PS125" s="697"/>
      <c r="PT125" s="697"/>
      <c r="PU125" s="697"/>
      <c r="PV125" s="697"/>
      <c r="PW125" s="697"/>
      <c r="PX125" s="697"/>
      <c r="PY125" s="697"/>
      <c r="PZ125" s="697"/>
      <c r="QA125" s="697"/>
      <c r="QB125" s="697"/>
      <c r="QC125" s="697"/>
      <c r="QD125" s="697"/>
      <c r="QE125" s="697"/>
      <c r="QF125" s="697"/>
      <c r="QG125" s="697"/>
      <c r="QH125" s="697"/>
      <c r="QI125" s="697"/>
      <c r="QJ125" s="697"/>
      <c r="QK125" s="697"/>
      <c r="QL125" s="697"/>
      <c r="QM125" s="697"/>
      <c r="QN125" s="697"/>
      <c r="QO125" s="697"/>
      <c r="QP125" s="697"/>
      <c r="QQ125" s="697"/>
      <c r="QR125" s="697"/>
      <c r="QS125" s="697"/>
      <c r="QT125" s="697"/>
      <c r="QU125" s="697"/>
      <c r="QV125" s="697"/>
      <c r="QW125" s="697"/>
      <c r="QX125" s="697"/>
      <c r="QY125" s="697"/>
      <c r="QZ125" s="697"/>
      <c r="RA125" s="697"/>
      <c r="RB125" s="697"/>
      <c r="RC125" s="697"/>
      <c r="RD125" s="697"/>
      <c r="RE125" s="697"/>
      <c r="RF125" s="697"/>
      <c r="RG125" s="697"/>
      <c r="RH125" s="697"/>
      <c r="RI125" s="697"/>
      <c r="RJ125" s="697"/>
      <c r="RK125" s="697"/>
      <c r="RL125" s="697"/>
      <c r="RM125" s="697"/>
      <c r="RN125" s="697"/>
      <c r="RO125" s="697"/>
      <c r="RP125" s="697"/>
      <c r="RQ125" s="697"/>
      <c r="RR125" s="697"/>
      <c r="RS125" s="697"/>
      <c r="RT125" s="697"/>
      <c r="RU125" s="697"/>
      <c r="RV125" s="697"/>
      <c r="RW125" s="697"/>
      <c r="RX125" s="697"/>
      <c r="RY125" s="697"/>
      <c r="RZ125" s="697"/>
      <c r="SA125" s="697"/>
      <c r="SB125" s="697"/>
      <c r="SC125" s="697"/>
      <c r="SD125" s="697"/>
      <c r="SE125" s="697"/>
      <c r="SF125" s="697"/>
      <c r="SG125" s="697"/>
      <c r="SH125" s="697"/>
      <c r="SI125" s="697"/>
      <c r="SJ125" s="697"/>
      <c r="SK125" s="697"/>
      <c r="SL125" s="697"/>
      <c r="SM125" s="697"/>
      <c r="SN125" s="697"/>
      <c r="SO125" s="697"/>
      <c r="SP125" s="697"/>
      <c r="SQ125" s="697"/>
      <c r="SR125" s="697"/>
      <c r="SS125" s="697"/>
      <c r="ST125" s="697"/>
      <c r="SU125" s="697"/>
      <c r="SV125" s="697"/>
      <c r="SW125" s="697"/>
      <c r="SX125" s="697"/>
      <c r="SY125" s="697"/>
      <c r="SZ125" s="697"/>
      <c r="TA125" s="697"/>
      <c r="TB125" s="697"/>
      <c r="TC125" s="697"/>
      <c r="TD125" s="697"/>
      <c r="TE125" s="697"/>
      <c r="TF125" s="697"/>
      <c r="TG125" s="697"/>
      <c r="TH125" s="697"/>
      <c r="TI125" s="697"/>
      <c r="TJ125" s="697"/>
      <c r="TK125" s="697"/>
      <c r="TL125" s="697"/>
      <c r="TM125" s="697"/>
      <c r="TN125" s="697"/>
      <c r="TO125" s="697"/>
      <c r="TP125" s="697"/>
      <c r="TQ125" s="697"/>
      <c r="TR125" s="697"/>
      <c r="TS125" s="697"/>
      <c r="TT125" s="697"/>
      <c r="TU125" s="697"/>
      <c r="TV125" s="697"/>
      <c r="TW125" s="697"/>
      <c r="TX125" s="697"/>
      <c r="TY125" s="697"/>
      <c r="TZ125" s="697"/>
      <c r="UA125" s="697"/>
      <c r="UB125" s="697"/>
      <c r="UC125" s="697"/>
      <c r="UD125" s="697"/>
      <c r="UE125" s="697"/>
      <c r="UF125" s="697"/>
      <c r="UG125" s="697"/>
      <c r="UH125" s="697"/>
      <c r="UI125" s="697"/>
      <c r="UJ125" s="697"/>
      <c r="UK125" s="697"/>
      <c r="UL125" s="697"/>
      <c r="UM125" s="697"/>
      <c r="UN125" s="697"/>
      <c r="UO125" s="697"/>
      <c r="UP125" s="697"/>
      <c r="UQ125" s="697"/>
      <c r="UR125" s="697"/>
      <c r="US125" s="697"/>
      <c r="UT125" s="697"/>
      <c r="UU125" s="697"/>
      <c r="UV125" s="697"/>
      <c r="UW125" s="697"/>
      <c r="UX125" s="697"/>
      <c r="UY125" s="697"/>
      <c r="UZ125" s="697"/>
      <c r="VA125" s="697"/>
      <c r="VB125" s="697"/>
      <c r="VC125" s="697"/>
      <c r="VD125" s="697"/>
      <c r="VE125" s="697"/>
      <c r="VF125" s="697"/>
      <c r="VG125" s="697"/>
      <c r="VH125" s="697"/>
      <c r="VI125" s="697"/>
      <c r="VJ125" s="697"/>
      <c r="VK125" s="697"/>
      <c r="VL125" s="697"/>
      <c r="VM125" s="697"/>
      <c r="VN125" s="697"/>
      <c r="VO125" s="697"/>
      <c r="VP125" s="697"/>
      <c r="VQ125" s="697"/>
      <c r="VR125" s="697"/>
      <c r="VS125" s="697"/>
      <c r="VT125" s="697"/>
      <c r="VU125" s="697"/>
      <c r="VV125" s="697"/>
      <c r="VW125" s="697"/>
      <c r="VX125" s="697"/>
      <c r="VY125" s="697"/>
      <c r="VZ125" s="697"/>
      <c r="WA125" s="697"/>
      <c r="WB125" s="697"/>
      <c r="WC125" s="697"/>
      <c r="WD125" s="697"/>
      <c r="WE125" s="697"/>
      <c r="WF125" s="697"/>
      <c r="WG125" s="697"/>
      <c r="WH125" s="697"/>
      <c r="WI125" s="697"/>
      <c r="WJ125" s="697"/>
      <c r="WK125" s="697"/>
      <c r="WL125" s="697"/>
      <c r="WM125" s="697"/>
      <c r="WN125" s="697"/>
      <c r="WO125" s="697"/>
      <c r="WP125" s="697"/>
      <c r="WQ125" s="697"/>
      <c r="WR125" s="697"/>
      <c r="WS125" s="697"/>
      <c r="WT125" s="697"/>
      <c r="WU125" s="697"/>
      <c r="WV125" s="697"/>
      <c r="WW125" s="697"/>
      <c r="WX125" s="697"/>
      <c r="WY125" s="697"/>
      <c r="WZ125" s="697"/>
      <c r="XA125" s="697"/>
      <c r="XB125" s="697"/>
      <c r="XC125" s="697"/>
      <c r="XD125" s="697"/>
      <c r="XE125" s="697"/>
      <c r="XF125" s="697"/>
      <c r="XG125" s="697"/>
      <c r="XH125" s="697"/>
      <c r="XI125" s="697"/>
      <c r="XJ125" s="697"/>
      <c r="XK125" s="697"/>
      <c r="XL125" s="697"/>
      <c r="XM125" s="697"/>
      <c r="XN125" s="697"/>
      <c r="XO125" s="697"/>
      <c r="XP125" s="697"/>
      <c r="XQ125" s="697"/>
      <c r="XR125" s="697"/>
      <c r="XS125" s="697"/>
      <c r="XT125" s="697"/>
      <c r="XU125" s="697"/>
      <c r="XV125" s="697"/>
      <c r="XW125" s="697"/>
      <c r="XX125" s="697"/>
      <c r="XY125" s="697"/>
      <c r="XZ125" s="697"/>
      <c r="YA125" s="697"/>
      <c r="YB125" s="697"/>
      <c r="YC125" s="697"/>
      <c r="YD125" s="697"/>
      <c r="YE125" s="697"/>
      <c r="YF125" s="697"/>
      <c r="YG125" s="697"/>
      <c r="YH125" s="697"/>
      <c r="YI125" s="697"/>
      <c r="YJ125" s="697"/>
      <c r="YK125" s="697"/>
      <c r="YL125" s="697"/>
      <c r="YM125" s="697"/>
      <c r="YN125" s="697"/>
      <c r="YO125" s="697"/>
      <c r="YP125" s="697"/>
      <c r="YQ125" s="697"/>
      <c r="YR125" s="697"/>
      <c r="YS125" s="697"/>
      <c r="YT125" s="697"/>
      <c r="YU125" s="697"/>
      <c r="YV125" s="697"/>
      <c r="YW125" s="697"/>
      <c r="YX125" s="697"/>
      <c r="YY125" s="697"/>
      <c r="YZ125" s="697"/>
      <c r="ZA125" s="697"/>
      <c r="ZB125" s="697"/>
      <c r="ZC125" s="697"/>
      <c r="ZD125" s="697"/>
      <c r="ZE125" s="697"/>
      <c r="ZF125" s="697"/>
      <c r="ZG125" s="697"/>
      <c r="ZH125" s="697"/>
      <c r="ZI125" s="697"/>
      <c r="ZJ125" s="697"/>
      <c r="ZK125" s="697"/>
      <c r="ZL125" s="697"/>
      <c r="ZM125" s="697"/>
      <c r="ZN125" s="697"/>
      <c r="ZO125" s="697"/>
      <c r="ZP125" s="697"/>
      <c r="ZQ125" s="697"/>
      <c r="ZR125" s="697"/>
      <c r="ZS125" s="697"/>
      <c r="ZT125" s="697"/>
      <c r="ZU125" s="697"/>
      <c r="ZV125" s="697"/>
      <c r="ZW125" s="697"/>
      <c r="ZX125" s="697"/>
      <c r="ZY125" s="697"/>
      <c r="ZZ125" s="697"/>
      <c r="AAA125" s="697"/>
      <c r="AAB125" s="697"/>
      <c r="AAC125" s="697"/>
      <c r="AAD125" s="697"/>
      <c r="AAE125" s="697"/>
      <c r="AAF125" s="697"/>
      <c r="AAG125" s="697"/>
      <c r="AAH125" s="697"/>
      <c r="AAI125" s="697"/>
      <c r="AAJ125" s="697"/>
      <c r="AAK125" s="697"/>
      <c r="AAL125" s="697"/>
      <c r="AAM125" s="697"/>
      <c r="AAN125" s="697"/>
      <c r="AAO125" s="697"/>
      <c r="AAP125" s="697"/>
      <c r="AAQ125" s="697"/>
      <c r="AAR125" s="697"/>
      <c r="AAS125" s="697"/>
      <c r="AAT125" s="697"/>
      <c r="AAU125" s="697"/>
      <c r="AAV125" s="697"/>
      <c r="AAW125" s="697"/>
      <c r="AAX125" s="697"/>
      <c r="AAY125" s="697"/>
      <c r="AAZ125" s="697"/>
      <c r="ABA125" s="697"/>
      <c r="ABB125" s="697"/>
      <c r="ABC125" s="697"/>
      <c r="ABD125" s="697"/>
      <c r="ABE125" s="697"/>
      <c r="ABF125" s="697"/>
      <c r="ABG125" s="697"/>
      <c r="ABH125" s="697"/>
      <c r="ABI125" s="697"/>
      <c r="ABJ125" s="697"/>
      <c r="ABK125" s="697"/>
      <c r="ABL125" s="697"/>
      <c r="ABM125" s="697"/>
      <c r="ABN125" s="697"/>
      <c r="ABO125" s="697"/>
      <c r="ABP125" s="697"/>
      <c r="ABQ125" s="697"/>
      <c r="ABR125" s="697"/>
      <c r="ABS125" s="697"/>
      <c r="ABT125" s="697"/>
      <c r="ABU125" s="697"/>
      <c r="ABV125" s="697"/>
      <c r="ABW125" s="697"/>
      <c r="ABX125" s="697"/>
      <c r="ABY125" s="697"/>
      <c r="ABZ125" s="697"/>
      <c r="ACA125" s="697"/>
      <c r="ACB125" s="697"/>
      <c r="ACC125" s="697"/>
      <c r="ACD125" s="697"/>
      <c r="ACE125" s="697"/>
      <c r="ACF125" s="697"/>
      <c r="ACG125" s="697"/>
      <c r="ACH125" s="697"/>
      <c r="ACI125" s="697"/>
      <c r="ACJ125" s="697"/>
      <c r="ACK125" s="697"/>
      <c r="ACL125" s="697"/>
      <c r="ACM125" s="697"/>
      <c r="ACN125" s="697"/>
      <c r="ACO125" s="697"/>
      <c r="ACP125" s="697"/>
      <c r="ACQ125" s="697"/>
      <c r="ACR125" s="697"/>
      <c r="ACS125" s="697"/>
      <c r="ACT125" s="697"/>
      <c r="ACU125" s="697"/>
      <c r="ACV125" s="697"/>
      <c r="ACW125" s="697"/>
      <c r="ACX125" s="697"/>
      <c r="ACY125" s="697"/>
      <c r="ACZ125" s="697"/>
      <c r="ADA125" s="697"/>
      <c r="ADB125" s="697"/>
      <c r="ADC125" s="697"/>
      <c r="ADD125" s="697"/>
      <c r="ADE125" s="697"/>
      <c r="ADF125" s="697"/>
      <c r="ADG125" s="697"/>
      <c r="ADH125" s="697"/>
      <c r="ADI125" s="697"/>
      <c r="ADJ125" s="697"/>
      <c r="ADK125" s="697"/>
      <c r="ADL125" s="697"/>
      <c r="ADM125" s="697"/>
      <c r="ADN125" s="697"/>
      <c r="ADO125" s="697"/>
      <c r="ADP125" s="697"/>
      <c r="ADQ125" s="697"/>
      <c r="ADR125" s="697"/>
      <c r="ADS125" s="697"/>
      <c r="ADT125" s="697"/>
      <c r="ADU125" s="697"/>
      <c r="ADV125" s="697"/>
      <c r="ADW125" s="697"/>
      <c r="ADX125" s="697"/>
      <c r="ADY125" s="697"/>
      <c r="ADZ125" s="697"/>
      <c r="AEA125" s="697"/>
      <c r="AEB125" s="697"/>
      <c r="AEC125" s="697"/>
      <c r="AED125" s="697"/>
      <c r="AEE125" s="697"/>
      <c r="AEF125" s="697"/>
      <c r="AEG125" s="697"/>
      <c r="AEH125" s="697"/>
      <c r="AEI125" s="697"/>
      <c r="AEJ125" s="697"/>
      <c r="AEK125" s="697"/>
      <c r="AEL125" s="697"/>
      <c r="AEM125" s="697"/>
      <c r="AEN125" s="697"/>
      <c r="AEO125" s="697"/>
      <c r="AEP125" s="697"/>
      <c r="AEQ125" s="697"/>
      <c r="AER125" s="697"/>
      <c r="AES125" s="697"/>
      <c r="AET125" s="697"/>
      <c r="AEU125" s="697"/>
      <c r="AEV125" s="697"/>
      <c r="AEW125" s="697"/>
      <c r="AEX125" s="697"/>
      <c r="AEY125" s="697"/>
      <c r="AEZ125" s="697"/>
      <c r="AFA125" s="697"/>
      <c r="AFB125" s="697"/>
      <c r="AFC125" s="697"/>
      <c r="AFD125" s="697"/>
      <c r="AFE125" s="697"/>
      <c r="AFF125" s="697"/>
      <c r="AFG125" s="697"/>
      <c r="AFH125" s="697"/>
      <c r="AFI125" s="697"/>
      <c r="AFJ125" s="697"/>
      <c r="AFK125" s="697"/>
      <c r="AFL125" s="697"/>
      <c r="AFM125" s="697"/>
      <c r="AFN125" s="697"/>
      <c r="AFO125" s="697"/>
      <c r="AFP125" s="697"/>
      <c r="AFQ125" s="697"/>
      <c r="AFR125" s="697"/>
      <c r="AFS125" s="697"/>
      <c r="AFT125" s="697"/>
      <c r="AFU125" s="697"/>
      <c r="AFV125" s="697"/>
      <c r="AFW125" s="697"/>
      <c r="AFX125" s="697"/>
      <c r="AFY125" s="697"/>
      <c r="AFZ125" s="697"/>
      <c r="AGA125" s="697"/>
      <c r="AGB125" s="697"/>
      <c r="AGC125" s="697"/>
      <c r="AGD125" s="697"/>
      <c r="AGE125" s="697"/>
      <c r="AGF125" s="697"/>
      <c r="AGG125" s="697"/>
      <c r="AGH125" s="697"/>
      <c r="AGI125" s="697"/>
      <c r="AGJ125" s="697"/>
      <c r="AGK125" s="697"/>
      <c r="AGL125" s="697"/>
      <c r="AGM125" s="697"/>
      <c r="AGN125" s="697"/>
      <c r="AGO125" s="697"/>
      <c r="AGP125" s="697"/>
      <c r="AGQ125" s="697"/>
      <c r="AGR125" s="697"/>
      <c r="AGS125" s="697"/>
      <c r="AGT125" s="697"/>
      <c r="AGU125" s="697"/>
      <c r="AGV125" s="697"/>
      <c r="AGW125" s="697"/>
      <c r="AGX125" s="697"/>
      <c r="AGY125" s="697"/>
      <c r="AGZ125" s="697"/>
      <c r="AHA125" s="697"/>
      <c r="AHB125" s="697"/>
      <c r="AHC125" s="697"/>
      <c r="AHD125" s="697"/>
      <c r="AHE125" s="697"/>
      <c r="AHF125" s="697"/>
      <c r="AHG125" s="697"/>
      <c r="AHH125" s="697"/>
      <c r="AHI125" s="697"/>
      <c r="AHJ125" s="697"/>
      <c r="AHK125" s="697"/>
      <c r="AHL125" s="697"/>
      <c r="AHM125" s="697"/>
      <c r="AHN125" s="697"/>
      <c r="AHO125" s="697"/>
      <c r="AHP125" s="697"/>
      <c r="AHQ125" s="697"/>
      <c r="AHR125" s="697"/>
      <c r="AHS125" s="697"/>
      <c r="AHT125" s="697"/>
      <c r="AHU125" s="697"/>
      <c r="AHV125" s="697"/>
      <c r="AHW125" s="697"/>
      <c r="AHX125" s="697"/>
      <c r="AHY125" s="697"/>
      <c r="AHZ125" s="697"/>
      <c r="AIA125" s="697"/>
      <c r="AIB125" s="697"/>
      <c r="AIC125" s="697"/>
      <c r="AID125" s="697"/>
      <c r="AIE125" s="697"/>
      <c r="AIF125" s="697"/>
      <c r="AIG125" s="697"/>
      <c r="AIH125" s="697"/>
      <c r="AII125" s="697"/>
      <c r="AIJ125" s="697"/>
      <c r="AIK125" s="697"/>
      <c r="AIL125" s="697"/>
      <c r="AIM125" s="697"/>
      <c r="AIN125" s="697"/>
      <c r="AIO125" s="697"/>
      <c r="AIP125" s="697"/>
      <c r="AIQ125" s="697"/>
      <c r="AIR125" s="697"/>
      <c r="AIS125" s="697"/>
      <c r="AIT125" s="697"/>
      <c r="AIU125" s="697"/>
      <c r="AIV125" s="697"/>
      <c r="AIW125" s="697"/>
      <c r="AIX125" s="697"/>
      <c r="AIY125" s="697"/>
      <c r="AIZ125" s="697"/>
      <c r="AJA125" s="697"/>
      <c r="AJB125" s="697"/>
      <c r="AJC125" s="697"/>
      <c r="AJD125" s="697"/>
      <c r="AJE125" s="697"/>
      <c r="AJF125" s="697"/>
      <c r="AJG125" s="697"/>
      <c r="AJH125" s="697"/>
      <c r="AJI125" s="697"/>
      <c r="AJJ125" s="697"/>
      <c r="AJK125" s="697"/>
      <c r="AJL125" s="697"/>
      <c r="AJM125" s="697"/>
      <c r="AJN125" s="697"/>
      <c r="AJO125" s="697"/>
      <c r="AJP125" s="697"/>
      <c r="AJQ125" s="697"/>
      <c r="AJR125" s="697"/>
      <c r="AJS125" s="697"/>
      <c r="AJT125" s="697"/>
      <c r="AJU125" s="697"/>
      <c r="AJV125" s="697"/>
      <c r="AJW125" s="697"/>
      <c r="AJX125" s="697"/>
      <c r="AJY125" s="697"/>
      <c r="AJZ125" s="697"/>
      <c r="AKA125" s="697"/>
      <c r="AKB125" s="697"/>
      <c r="AKC125" s="697"/>
      <c r="AKD125" s="697"/>
      <c r="AKE125" s="697"/>
      <c r="AKF125" s="697"/>
      <c r="AKG125" s="697"/>
      <c r="AKH125" s="697"/>
      <c r="AKI125" s="697"/>
      <c r="AKJ125" s="697"/>
      <c r="AKK125" s="697"/>
      <c r="AKL125" s="697"/>
      <c r="AKM125" s="697"/>
      <c r="AKN125" s="697"/>
      <c r="AKO125" s="697"/>
      <c r="AKP125" s="697"/>
      <c r="AKQ125" s="697"/>
      <c r="AKR125" s="697"/>
      <c r="AKS125" s="697"/>
      <c r="AKT125" s="697"/>
      <c r="AKU125" s="697"/>
      <c r="AKV125" s="697"/>
      <c r="AKW125" s="697"/>
      <c r="AKX125" s="697"/>
      <c r="AKY125" s="697"/>
      <c r="AKZ125" s="697"/>
      <c r="ALA125" s="697"/>
      <c r="ALB125" s="697"/>
      <c r="ALC125" s="697"/>
      <c r="ALD125" s="697"/>
      <c r="ALE125" s="697"/>
      <c r="ALF125" s="697"/>
      <c r="ALG125" s="697"/>
      <c r="ALH125" s="697"/>
      <c r="ALI125" s="697"/>
      <c r="ALJ125" s="697"/>
      <c r="ALK125" s="697"/>
      <c r="ALL125" s="697"/>
      <c r="ALM125" s="697"/>
      <c r="ALN125" s="697"/>
      <c r="ALO125" s="697"/>
      <c r="ALP125" s="697"/>
      <c r="ALQ125" s="697"/>
      <c r="ALR125" s="697"/>
      <c r="ALS125" s="697"/>
      <c r="ALT125" s="697"/>
      <c r="ALU125" s="697"/>
      <c r="ALV125" s="697"/>
      <c r="ALW125" s="697"/>
      <c r="ALX125" s="697"/>
      <c r="ALY125" s="697"/>
      <c r="ALZ125" s="697"/>
      <c r="AMA125" s="697"/>
      <c r="AMB125" s="697"/>
      <c r="AMC125" s="697"/>
      <c r="AMD125" s="697"/>
      <c r="AME125" s="697"/>
      <c r="AMF125" s="697"/>
      <c r="AMG125" s="697"/>
      <c r="AMH125" s="697"/>
      <c r="AMI125" s="697"/>
    </row>
    <row r="126" spans="1:1023" s="236" customFormat="1" ht="12.6" customHeight="1" x14ac:dyDescent="0.25">
      <c r="A126" s="723" t="s">
        <v>1383</v>
      </c>
      <c r="B126" s="723"/>
      <c r="C126" s="723"/>
      <c r="D126" s="723"/>
      <c r="E126" s="723"/>
      <c r="F126" s="723"/>
      <c r="G126" s="723"/>
      <c r="H126" s="723"/>
      <c r="I126" s="723"/>
      <c r="J126" s="723"/>
      <c r="K126" s="723"/>
      <c r="L126" s="723"/>
      <c r="M126" s="723"/>
      <c r="N126" s="723"/>
      <c r="O126" s="723"/>
      <c r="P126" s="723"/>
      <c r="Q126" s="723"/>
      <c r="R126" s="723"/>
      <c r="S126" s="723"/>
      <c r="T126" s="733" t="s">
        <v>1384</v>
      </c>
      <c r="U126" s="733"/>
      <c r="V126" s="733"/>
      <c r="W126" s="733"/>
      <c r="X126" s="733"/>
      <c r="Y126" s="733"/>
      <c r="Z126" s="733"/>
      <c r="AA126" s="733"/>
      <c r="AB126" s="733"/>
      <c r="AC126" s="733" t="s">
        <v>1379</v>
      </c>
      <c r="AD126" s="733"/>
      <c r="AE126" s="733"/>
      <c r="AF126" s="733"/>
      <c r="AG126" s="733"/>
      <c r="AH126" s="733"/>
      <c r="AI126" s="733"/>
      <c r="AJ126" s="733"/>
      <c r="AK126" s="733" t="s">
        <v>1385</v>
      </c>
      <c r="AL126" s="733"/>
      <c r="AM126" s="733"/>
      <c r="AN126" s="733"/>
      <c r="AO126" s="733"/>
      <c r="AP126" s="733"/>
      <c r="AQ126" s="733"/>
      <c r="AR126" s="733"/>
      <c r="AS126" s="733"/>
      <c r="AT126" s="733"/>
      <c r="AU126" s="733"/>
      <c r="AV126" s="203"/>
      <c r="AW126" s="203"/>
      <c r="AX126" s="203"/>
      <c r="AY126" s="203"/>
    </row>
    <row r="127" spans="1:1023" s="208" customFormat="1" ht="12.6" customHeight="1" x14ac:dyDescent="0.25">
      <c r="A127" s="723" t="s">
        <v>1386</v>
      </c>
      <c r="B127" s="723"/>
      <c r="C127" s="723"/>
      <c r="D127" s="723"/>
      <c r="E127" s="723"/>
      <c r="F127" s="723"/>
      <c r="G127" s="723"/>
      <c r="H127" s="723"/>
      <c r="I127" s="723"/>
      <c r="J127" s="723"/>
      <c r="K127" s="723"/>
      <c r="L127" s="723"/>
      <c r="M127" s="723"/>
      <c r="N127" s="723"/>
      <c r="O127" s="723"/>
      <c r="P127" s="723"/>
      <c r="Q127" s="723"/>
      <c r="R127" s="723"/>
      <c r="S127" s="723"/>
      <c r="T127" s="733" t="s">
        <v>1387</v>
      </c>
      <c r="U127" s="733"/>
      <c r="V127" s="733"/>
      <c r="W127" s="733"/>
      <c r="X127" s="733"/>
      <c r="Y127" s="733"/>
      <c r="Z127" s="733"/>
      <c r="AA127" s="733"/>
      <c r="AB127" s="733"/>
      <c r="AC127" s="733" t="s">
        <v>1388</v>
      </c>
      <c r="AD127" s="733"/>
      <c r="AE127" s="733"/>
      <c r="AF127" s="733"/>
      <c r="AG127" s="733"/>
      <c r="AH127" s="733"/>
      <c r="AI127" s="733"/>
      <c r="AJ127" s="733"/>
      <c r="AK127" s="733" t="s">
        <v>1389</v>
      </c>
      <c r="AL127" s="733"/>
      <c r="AM127" s="733"/>
      <c r="AN127" s="733"/>
      <c r="AO127" s="733"/>
      <c r="AP127" s="733"/>
      <c r="AQ127" s="733"/>
      <c r="AR127" s="733"/>
      <c r="AS127" s="733"/>
      <c r="AT127" s="733"/>
      <c r="AU127" s="733"/>
      <c r="AV127" s="203"/>
      <c r="AW127" s="203"/>
      <c r="AX127" s="203"/>
      <c r="AY127" s="203"/>
      <c r="AZ127" s="237"/>
      <c r="BA127" s="237"/>
      <c r="BB127" s="237"/>
    </row>
    <row r="128" spans="1:1023" s="208" customFormat="1" ht="12.6" customHeight="1" x14ac:dyDescent="0.25">
      <c r="A128" s="723" t="s">
        <v>1390</v>
      </c>
      <c r="B128" s="723"/>
      <c r="C128" s="723"/>
      <c r="D128" s="723"/>
      <c r="E128" s="723"/>
      <c r="F128" s="723"/>
      <c r="G128" s="723"/>
      <c r="H128" s="723"/>
      <c r="I128" s="723"/>
      <c r="J128" s="723"/>
      <c r="K128" s="723"/>
      <c r="L128" s="723"/>
      <c r="M128" s="723"/>
      <c r="N128" s="723"/>
      <c r="O128" s="723"/>
      <c r="P128" s="723"/>
      <c r="Q128" s="723"/>
      <c r="R128" s="723"/>
      <c r="S128" s="723"/>
      <c r="T128" s="733">
        <v>6</v>
      </c>
      <c r="U128" s="733"/>
      <c r="V128" s="733"/>
      <c r="W128" s="733"/>
      <c r="X128" s="733"/>
      <c r="Y128" s="733"/>
      <c r="Z128" s="733"/>
      <c r="AA128" s="733"/>
      <c r="AB128" s="733"/>
      <c r="AC128" s="733" t="s">
        <v>1379</v>
      </c>
      <c r="AD128" s="733"/>
      <c r="AE128" s="733"/>
      <c r="AF128" s="733"/>
      <c r="AG128" s="733"/>
      <c r="AH128" s="733"/>
      <c r="AI128" s="733"/>
      <c r="AJ128" s="733"/>
      <c r="AK128" s="733">
        <v>16.670000000000002</v>
      </c>
      <c r="AL128" s="733"/>
      <c r="AM128" s="733"/>
      <c r="AN128" s="733"/>
      <c r="AO128" s="733"/>
      <c r="AP128" s="733"/>
      <c r="AQ128" s="733"/>
      <c r="AR128" s="733"/>
      <c r="AS128" s="733"/>
      <c r="AT128" s="733"/>
      <c r="AU128" s="733"/>
      <c r="AV128" s="203"/>
      <c r="AW128" s="203"/>
      <c r="AX128" s="203"/>
      <c r="AY128" s="203"/>
      <c r="AZ128" s="237"/>
      <c r="BA128" s="237"/>
      <c r="BB128" s="237"/>
    </row>
    <row r="129" spans="1:54" ht="12.6" customHeight="1" x14ac:dyDescent="0.25">
      <c r="A129" s="703" t="s">
        <v>1391</v>
      </c>
      <c r="B129" s="703"/>
      <c r="C129" s="703"/>
      <c r="D129" s="703"/>
      <c r="E129" s="703"/>
      <c r="F129" s="703"/>
      <c r="G129" s="703"/>
      <c r="H129" s="703"/>
      <c r="I129" s="703"/>
      <c r="J129" s="703"/>
      <c r="K129" s="703"/>
      <c r="L129" s="703"/>
      <c r="M129" s="703"/>
      <c r="N129" s="703"/>
      <c r="O129" s="703"/>
      <c r="P129" s="703"/>
      <c r="Q129" s="703"/>
      <c r="R129" s="703"/>
      <c r="S129" s="703"/>
      <c r="T129" s="703"/>
      <c r="U129" s="703"/>
      <c r="V129" s="703"/>
      <c r="W129" s="703"/>
      <c r="X129" s="703"/>
      <c r="Y129" s="703"/>
      <c r="Z129" s="703"/>
      <c r="AA129" s="703"/>
      <c r="AB129" s="703"/>
      <c r="AC129" s="703"/>
      <c r="AD129" s="703"/>
      <c r="AE129" s="703"/>
      <c r="AF129" s="703"/>
      <c r="AG129" s="703"/>
      <c r="AH129" s="703"/>
      <c r="AI129" s="703"/>
      <c r="AJ129" s="703"/>
      <c r="AK129" s="703"/>
      <c r="AL129" s="703"/>
      <c r="AM129" s="703"/>
      <c r="AN129" s="703"/>
      <c r="AO129" s="703"/>
      <c r="AP129" s="703"/>
      <c r="AQ129" s="703"/>
      <c r="AR129" s="703"/>
      <c r="AS129" s="703"/>
      <c r="AT129" s="703"/>
      <c r="AU129" s="703"/>
      <c r="AV129" s="703"/>
      <c r="AW129" s="703"/>
      <c r="AX129" s="703"/>
      <c r="AY129" s="703"/>
      <c r="AZ129" s="237"/>
      <c r="BA129" s="237"/>
      <c r="BB129" s="237"/>
    </row>
    <row r="130" spans="1:54" ht="12.6" customHeight="1" x14ac:dyDescent="0.25">
      <c r="A130" s="742" t="s">
        <v>1392</v>
      </c>
      <c r="B130" s="742"/>
      <c r="C130" s="742"/>
      <c r="D130" s="742"/>
      <c r="E130" s="742"/>
      <c r="F130" s="742"/>
      <c r="G130" s="742"/>
      <c r="H130" s="742"/>
      <c r="I130" s="742"/>
      <c r="J130" s="742"/>
      <c r="K130" s="742"/>
      <c r="L130" s="742"/>
      <c r="M130" s="742"/>
      <c r="N130" s="742"/>
      <c r="O130" s="742"/>
      <c r="P130" s="742"/>
      <c r="Q130" s="742"/>
      <c r="R130" s="742"/>
      <c r="S130" s="742"/>
      <c r="T130" s="742"/>
      <c r="U130" s="742"/>
      <c r="V130" s="742"/>
      <c r="W130" s="742"/>
      <c r="X130" s="742"/>
      <c r="Y130" s="742"/>
      <c r="Z130" s="742"/>
      <c r="AA130" s="742"/>
      <c r="AB130" s="742"/>
      <c r="AC130" s="742"/>
      <c r="AD130" s="742"/>
      <c r="AE130" s="742"/>
      <c r="AF130" s="742"/>
      <c r="AG130" s="742"/>
      <c r="AH130" s="742"/>
      <c r="AI130" s="742"/>
      <c r="AJ130" s="742"/>
      <c r="AK130" s="742"/>
      <c r="AL130" s="742"/>
      <c r="AM130" s="742"/>
      <c r="AN130" s="742"/>
      <c r="AO130" s="742"/>
      <c r="AP130" s="742"/>
      <c r="AQ130" s="742"/>
      <c r="AR130" s="742"/>
      <c r="AS130" s="742"/>
      <c r="AT130" s="742"/>
      <c r="AU130" s="742"/>
      <c r="AV130" s="743" t="s">
        <v>1273</v>
      </c>
      <c r="AW130" s="743"/>
      <c r="AX130" s="743"/>
      <c r="BB130" s="237"/>
    </row>
    <row r="131" spans="1:54" ht="6" customHeight="1" x14ac:dyDescent="0.25">
      <c r="A131" s="198"/>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98"/>
      <c r="AT131" s="198"/>
      <c r="AU131" s="198"/>
      <c r="AV131" s="198"/>
      <c r="AW131" s="198"/>
      <c r="AX131" s="198"/>
      <c r="AY131" s="231"/>
      <c r="AZ131" s="237"/>
      <c r="BA131" s="237"/>
      <c r="BB131" s="237"/>
    </row>
    <row r="132" spans="1:54" ht="12.6" customHeight="1" x14ac:dyDescent="0.25">
      <c r="A132" s="697" t="s">
        <v>1393</v>
      </c>
      <c r="B132" s="697"/>
      <c r="C132" s="697"/>
      <c r="D132" s="697"/>
      <c r="E132" s="697"/>
      <c r="F132" s="697"/>
      <c r="G132" s="697"/>
      <c r="H132" s="697"/>
      <c r="I132" s="697"/>
      <c r="J132" s="697"/>
      <c r="K132" s="697"/>
      <c r="L132" s="697"/>
      <c r="M132" s="697"/>
      <c r="N132" s="697"/>
      <c r="O132" s="697"/>
      <c r="P132" s="697"/>
      <c r="Q132" s="697"/>
      <c r="R132" s="697"/>
      <c r="S132" s="697"/>
      <c r="T132" s="697"/>
      <c r="U132" s="697"/>
      <c r="V132" s="697"/>
      <c r="W132" s="697"/>
      <c r="X132" s="697"/>
      <c r="Y132" s="697"/>
      <c r="Z132" s="697"/>
      <c r="AA132" s="697"/>
      <c r="AB132" s="697"/>
      <c r="AC132" s="697"/>
      <c r="AD132" s="697"/>
      <c r="AE132" s="697"/>
      <c r="AF132" s="697"/>
      <c r="AG132" s="697"/>
      <c r="AH132" s="697"/>
      <c r="AI132" s="697"/>
      <c r="AJ132" s="697"/>
      <c r="AK132" s="697"/>
      <c r="AL132" s="697"/>
      <c r="AM132" s="697"/>
      <c r="AN132" s="697"/>
      <c r="AO132" s="697"/>
      <c r="AP132" s="697"/>
      <c r="AQ132" s="697"/>
      <c r="AR132" s="697"/>
      <c r="AS132" s="697"/>
      <c r="AT132" s="697"/>
      <c r="AU132" s="697"/>
      <c r="AV132" s="697"/>
      <c r="AW132" s="697"/>
      <c r="AX132" s="217"/>
      <c r="AY132" s="231"/>
      <c r="AZ132" s="237"/>
      <c r="BA132" s="237"/>
      <c r="BB132" s="237"/>
    </row>
    <row r="133" spans="1:54" ht="12.6" customHeight="1" x14ac:dyDescent="0.25">
      <c r="A133" s="742" t="s">
        <v>1394</v>
      </c>
      <c r="B133" s="742"/>
      <c r="C133" s="742"/>
      <c r="D133" s="742"/>
      <c r="E133" s="742"/>
      <c r="F133" s="742"/>
      <c r="G133" s="742"/>
      <c r="H133" s="742"/>
      <c r="I133" s="742"/>
      <c r="J133" s="742"/>
      <c r="K133" s="742"/>
      <c r="L133" s="742"/>
      <c r="M133" s="742"/>
      <c r="N133" s="742"/>
      <c r="O133" s="742"/>
      <c r="P133" s="742"/>
      <c r="Q133" s="742"/>
      <c r="R133" s="742"/>
      <c r="S133" s="742"/>
      <c r="T133" s="742"/>
      <c r="U133" s="742"/>
      <c r="V133" s="742"/>
      <c r="W133" s="742"/>
      <c r="X133" s="742"/>
      <c r="Y133" s="742"/>
      <c r="Z133" s="742"/>
      <c r="AA133" s="742"/>
      <c r="AB133" s="742"/>
      <c r="AC133" s="742"/>
      <c r="AD133" s="742"/>
      <c r="AE133" s="742"/>
      <c r="AF133" s="742"/>
      <c r="AG133" s="742"/>
      <c r="AH133" s="742"/>
      <c r="AI133" s="742"/>
      <c r="AJ133" s="742"/>
      <c r="AK133" s="742"/>
      <c r="AL133" s="742"/>
      <c r="AM133" s="742"/>
      <c r="AN133" s="742"/>
      <c r="AO133" s="742"/>
      <c r="AP133" s="742"/>
      <c r="AQ133" s="742"/>
      <c r="AR133" s="742"/>
      <c r="AS133" s="742"/>
      <c r="AT133" s="742"/>
      <c r="AU133" s="742"/>
      <c r="AV133" s="743" t="s">
        <v>1273</v>
      </c>
      <c r="AW133" s="743"/>
      <c r="AX133" s="743"/>
      <c r="BB133" s="237"/>
    </row>
    <row r="134" spans="1:54" ht="5.25" customHeight="1" x14ac:dyDescent="0.25">
      <c r="A134" s="198"/>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8"/>
      <c r="AB134" s="198"/>
      <c r="AC134" s="198"/>
      <c r="AD134" s="198"/>
      <c r="AE134" s="198"/>
      <c r="AF134" s="198"/>
      <c r="AG134" s="198"/>
      <c r="AH134" s="198"/>
      <c r="AI134" s="198"/>
      <c r="AJ134" s="198"/>
      <c r="AK134" s="198"/>
      <c r="AL134" s="198"/>
      <c r="AM134" s="198"/>
      <c r="AN134" s="198"/>
      <c r="AO134" s="198"/>
      <c r="AP134" s="198"/>
      <c r="AQ134" s="198"/>
      <c r="AR134" s="198"/>
      <c r="AS134" s="198"/>
      <c r="AT134" s="198"/>
      <c r="AU134" s="198"/>
      <c r="AV134" s="198"/>
      <c r="AW134" s="198"/>
      <c r="AX134" s="198"/>
      <c r="AY134" s="231"/>
      <c r="AZ134" s="237"/>
      <c r="BA134" s="237"/>
      <c r="BB134" s="237"/>
    </row>
    <row r="135" spans="1:54" ht="12.6" customHeight="1" x14ac:dyDescent="0.25">
      <c r="A135" s="742" t="s">
        <v>1395</v>
      </c>
      <c r="B135" s="742"/>
      <c r="C135" s="742"/>
      <c r="D135" s="742"/>
      <c r="E135" s="742"/>
      <c r="F135" s="742"/>
      <c r="G135" s="742"/>
      <c r="H135" s="742"/>
      <c r="I135" s="742"/>
      <c r="J135" s="742"/>
      <c r="K135" s="742"/>
      <c r="L135" s="742"/>
      <c r="M135" s="742"/>
      <c r="N135" s="742"/>
      <c r="O135" s="742"/>
      <c r="P135" s="742"/>
      <c r="Q135" s="742"/>
      <c r="R135" s="742"/>
      <c r="S135" s="742"/>
      <c r="T135" s="742"/>
      <c r="U135" s="742"/>
      <c r="V135" s="742"/>
      <c r="W135" s="742"/>
      <c r="X135" s="742"/>
      <c r="Y135" s="742"/>
      <c r="Z135" s="742"/>
      <c r="AA135" s="742"/>
      <c r="AB135" s="742"/>
      <c r="AC135" s="742"/>
      <c r="AD135" s="742"/>
      <c r="AE135" s="742"/>
      <c r="AF135" s="742"/>
      <c r="AG135" s="742"/>
      <c r="AH135" s="742"/>
      <c r="AI135" s="742"/>
      <c r="AJ135" s="742"/>
      <c r="AK135" s="742"/>
      <c r="AL135" s="742"/>
      <c r="AM135" s="742"/>
      <c r="AN135" s="742"/>
      <c r="AO135" s="742"/>
      <c r="AP135" s="742"/>
      <c r="AQ135" s="742"/>
      <c r="AR135" s="742"/>
      <c r="AS135" s="742"/>
      <c r="AT135" s="742"/>
      <c r="AU135" s="742"/>
      <c r="AV135" s="743" t="s">
        <v>1273</v>
      </c>
      <c r="AW135" s="743"/>
      <c r="AX135" s="743"/>
      <c r="BB135" s="237"/>
    </row>
    <row r="136" spans="1:54" ht="4.5" customHeight="1" x14ac:dyDescent="0.25">
      <c r="A136" s="205"/>
      <c r="B136" s="231"/>
      <c r="C136" s="231"/>
      <c r="D136" s="231"/>
      <c r="E136" s="231"/>
      <c r="F136" s="231"/>
      <c r="G136" s="231"/>
      <c r="H136" s="231"/>
      <c r="I136" s="231"/>
      <c r="J136" s="231"/>
      <c r="K136" s="231"/>
      <c r="L136" s="231"/>
      <c r="M136" s="231"/>
      <c r="N136" s="231"/>
      <c r="O136" s="231"/>
      <c r="P136" s="231"/>
      <c r="Q136" s="231"/>
      <c r="R136" s="231"/>
      <c r="S136" s="231"/>
      <c r="T136" s="231"/>
      <c r="U136" s="231"/>
      <c r="V136" s="231"/>
      <c r="W136" s="231"/>
      <c r="X136" s="231"/>
      <c r="Y136" s="231"/>
      <c r="Z136" s="231"/>
      <c r="AA136" s="231"/>
      <c r="AB136" s="231"/>
      <c r="AC136" s="231"/>
      <c r="AD136" s="231"/>
      <c r="AE136" s="231"/>
      <c r="AF136" s="231"/>
      <c r="AG136" s="231"/>
      <c r="AH136" s="231"/>
      <c r="AI136" s="231"/>
      <c r="AJ136" s="231"/>
      <c r="AK136" s="231"/>
      <c r="AL136" s="231"/>
      <c r="AM136" s="231"/>
      <c r="AN136" s="231"/>
      <c r="AO136" s="231"/>
      <c r="AP136" s="231"/>
      <c r="AQ136" s="231"/>
      <c r="AR136" s="231"/>
      <c r="AS136" s="231"/>
      <c r="AT136" s="231"/>
      <c r="AU136" s="231"/>
      <c r="AV136" s="231"/>
      <c r="AW136" s="231"/>
      <c r="AX136" s="231"/>
      <c r="AY136" s="231"/>
      <c r="AZ136" s="237"/>
      <c r="BA136" s="237"/>
      <c r="BB136" s="237"/>
    </row>
    <row r="137" spans="1:54" ht="30" customHeight="1" x14ac:dyDescent="0.25">
      <c r="A137" s="732" t="s">
        <v>1396</v>
      </c>
      <c r="B137" s="732"/>
      <c r="C137" s="732"/>
      <c r="D137" s="732"/>
      <c r="E137" s="732"/>
      <c r="F137" s="732"/>
      <c r="G137" s="732"/>
      <c r="H137" s="732"/>
      <c r="I137" s="732"/>
      <c r="J137" s="732"/>
      <c r="K137" s="732"/>
      <c r="L137" s="732"/>
      <c r="M137" s="732"/>
      <c r="N137" s="732"/>
      <c r="O137" s="732"/>
      <c r="P137" s="732"/>
      <c r="Q137" s="732"/>
      <c r="R137" s="732"/>
      <c r="S137" s="732"/>
      <c r="T137" s="732"/>
      <c r="U137" s="732"/>
      <c r="V137" s="732"/>
      <c r="W137" s="732"/>
      <c r="X137" s="732"/>
      <c r="Y137" s="732"/>
      <c r="Z137" s="732"/>
      <c r="AA137" s="732"/>
      <c r="AB137" s="732"/>
      <c r="AC137" s="732"/>
      <c r="AD137" s="732"/>
      <c r="AE137" s="732"/>
      <c r="AF137" s="732"/>
      <c r="AG137" s="732"/>
      <c r="AH137" s="732"/>
      <c r="AI137" s="732"/>
      <c r="AJ137" s="732"/>
      <c r="AK137" s="732"/>
      <c r="AL137" s="732"/>
      <c r="AM137" s="732"/>
      <c r="AN137" s="732"/>
      <c r="AO137" s="732"/>
      <c r="AP137" s="732"/>
      <c r="AQ137" s="732"/>
      <c r="AR137" s="732"/>
      <c r="AS137" s="732"/>
      <c r="AT137" s="732"/>
      <c r="AU137" s="732"/>
      <c r="AV137" s="732"/>
      <c r="AW137" s="732"/>
      <c r="AX137" s="732"/>
      <c r="AY137" s="732"/>
      <c r="AZ137" s="237"/>
      <c r="BA137" s="237"/>
      <c r="BB137" s="237"/>
    </row>
    <row r="138" spans="1:54" ht="3.75" customHeight="1" x14ac:dyDescent="0.25">
      <c r="A138" s="230"/>
      <c r="B138" s="230"/>
      <c r="C138" s="230"/>
      <c r="D138" s="230"/>
      <c r="E138" s="230"/>
      <c r="F138" s="230"/>
      <c r="G138" s="230"/>
      <c r="H138" s="230"/>
      <c r="I138" s="230"/>
      <c r="J138" s="230"/>
      <c r="K138" s="230"/>
      <c r="L138" s="230"/>
      <c r="M138" s="230"/>
      <c r="N138" s="230"/>
      <c r="O138" s="230"/>
      <c r="P138" s="230"/>
      <c r="Q138" s="230"/>
      <c r="R138" s="230"/>
      <c r="S138" s="230"/>
      <c r="T138" s="230"/>
      <c r="U138" s="230"/>
      <c r="V138" s="230"/>
      <c r="W138" s="230"/>
      <c r="X138" s="230"/>
      <c r="Y138" s="230"/>
      <c r="Z138" s="230"/>
      <c r="AA138" s="230"/>
      <c r="AB138" s="230"/>
      <c r="AC138" s="230"/>
      <c r="AD138" s="230"/>
      <c r="AE138" s="230"/>
      <c r="AF138" s="230"/>
      <c r="AG138" s="230"/>
      <c r="AH138" s="230"/>
      <c r="AI138" s="230"/>
      <c r="AJ138" s="230"/>
      <c r="AK138" s="230"/>
      <c r="AL138" s="230"/>
      <c r="AM138" s="230"/>
      <c r="AN138" s="230"/>
      <c r="AO138" s="230"/>
      <c r="AP138" s="230"/>
      <c r="AQ138" s="230"/>
      <c r="AR138" s="230"/>
      <c r="AS138" s="230"/>
      <c r="AT138" s="230"/>
      <c r="AU138" s="230"/>
      <c r="AV138" s="230"/>
      <c r="AW138" s="230"/>
      <c r="AX138" s="230"/>
      <c r="AY138" s="230"/>
      <c r="AZ138" s="237"/>
      <c r="BA138" s="237"/>
      <c r="BB138" s="237"/>
    </row>
    <row r="139" spans="1:54" ht="13.5" customHeight="1" x14ac:dyDescent="0.25">
      <c r="A139" s="703" t="s">
        <v>1397</v>
      </c>
      <c r="B139" s="703"/>
      <c r="C139" s="703"/>
      <c r="D139" s="703"/>
      <c r="E139" s="703"/>
      <c r="F139" s="703"/>
      <c r="G139" s="703"/>
      <c r="H139" s="703"/>
      <c r="I139" s="703"/>
      <c r="J139" s="703"/>
      <c r="K139" s="703"/>
      <c r="L139" s="703"/>
      <c r="M139" s="703"/>
      <c r="N139" s="703"/>
      <c r="O139" s="703"/>
      <c r="P139" s="703"/>
      <c r="Q139" s="703"/>
      <c r="R139" s="703"/>
      <c r="S139" s="703"/>
      <c r="T139" s="703"/>
      <c r="U139" s="703"/>
      <c r="V139" s="703"/>
      <c r="W139" s="703"/>
      <c r="X139" s="703"/>
      <c r="Y139" s="703"/>
      <c r="Z139" s="703"/>
      <c r="AA139" s="703"/>
      <c r="AB139" s="703"/>
      <c r="AC139" s="703"/>
      <c r="AD139" s="703"/>
      <c r="AE139" s="703"/>
      <c r="AF139" s="703"/>
      <c r="AG139" s="703"/>
      <c r="AH139" s="703"/>
      <c r="AI139" s="703"/>
      <c r="AJ139" s="703"/>
      <c r="AK139" s="703"/>
      <c r="AL139" s="703"/>
      <c r="AM139" s="703"/>
      <c r="AN139" s="703"/>
      <c r="AO139" s="703"/>
      <c r="AP139" s="703"/>
      <c r="AQ139" s="703"/>
      <c r="AR139" s="703"/>
      <c r="AS139" s="703"/>
      <c r="AT139" s="703"/>
      <c r="AU139" s="703"/>
      <c r="AV139" s="703"/>
      <c r="AW139" s="703"/>
      <c r="AX139" s="703"/>
      <c r="AY139" s="703"/>
      <c r="AZ139" s="237"/>
      <c r="BA139" s="237"/>
      <c r="BB139" s="237"/>
    </row>
    <row r="140" spans="1:54" ht="13.9" customHeight="1" x14ac:dyDescent="0.25">
      <c r="A140" s="742" t="s">
        <v>1394</v>
      </c>
      <c r="B140" s="742"/>
      <c r="C140" s="742"/>
      <c r="D140" s="742"/>
      <c r="E140" s="742"/>
      <c r="F140" s="742"/>
      <c r="G140" s="742"/>
      <c r="H140" s="742"/>
      <c r="I140" s="742"/>
      <c r="J140" s="742"/>
      <c r="K140" s="742"/>
      <c r="L140" s="742"/>
      <c r="M140" s="742"/>
      <c r="N140" s="742"/>
      <c r="O140" s="742"/>
      <c r="P140" s="742"/>
      <c r="Q140" s="742"/>
      <c r="R140" s="742"/>
      <c r="S140" s="742"/>
      <c r="T140" s="742"/>
      <c r="U140" s="742"/>
      <c r="V140" s="742"/>
      <c r="W140" s="742"/>
      <c r="X140" s="742"/>
      <c r="Y140" s="742"/>
      <c r="Z140" s="742"/>
      <c r="AA140" s="742"/>
      <c r="AB140" s="742"/>
      <c r="AC140" s="742"/>
      <c r="AD140" s="742"/>
      <c r="AE140" s="742"/>
      <c r="AF140" s="742"/>
      <c r="AG140" s="742"/>
      <c r="AH140" s="742"/>
      <c r="AI140" s="742"/>
      <c r="AJ140" s="742"/>
      <c r="AK140" s="742"/>
      <c r="AL140" s="742"/>
      <c r="AM140" s="742"/>
      <c r="AN140" s="742"/>
      <c r="AO140" s="742"/>
      <c r="AP140" s="742"/>
      <c r="AQ140" s="742"/>
      <c r="AR140" s="742"/>
      <c r="AS140" s="742"/>
      <c r="AT140" s="742"/>
      <c r="AU140" s="742"/>
      <c r="AV140" s="743" t="s">
        <v>1273</v>
      </c>
      <c r="AW140" s="743"/>
      <c r="AX140" s="743"/>
      <c r="BB140" s="237"/>
    </row>
    <row r="141" spans="1:54" ht="2.25" customHeight="1" x14ac:dyDescent="0.25">
      <c r="A141" s="198"/>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8"/>
      <c r="AI141" s="198"/>
      <c r="AJ141" s="198"/>
      <c r="AK141" s="198"/>
      <c r="AL141" s="198"/>
      <c r="AM141" s="198"/>
      <c r="AN141" s="198"/>
      <c r="AO141" s="198"/>
      <c r="AP141" s="198"/>
      <c r="AQ141" s="198"/>
      <c r="AR141" s="198"/>
      <c r="AS141" s="198"/>
      <c r="AT141" s="198"/>
      <c r="AU141" s="198"/>
      <c r="AV141" s="198"/>
      <c r="AW141" s="198"/>
      <c r="AX141" s="198"/>
      <c r="AY141" s="216"/>
      <c r="AZ141" s="216"/>
      <c r="BA141" s="237"/>
      <c r="BB141" s="237"/>
    </row>
    <row r="142" spans="1:54" ht="13.9" customHeight="1" x14ac:dyDescent="0.25">
      <c r="A142" s="238" t="s">
        <v>1398</v>
      </c>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c r="Z142" s="198"/>
      <c r="AA142" s="198"/>
      <c r="AB142" s="198"/>
      <c r="AC142" s="198"/>
      <c r="AD142" s="198"/>
      <c r="AE142" s="198"/>
      <c r="AF142" s="198"/>
      <c r="AG142" s="198"/>
      <c r="AH142" s="198"/>
      <c r="AI142" s="198"/>
      <c r="AJ142" s="198"/>
      <c r="AK142" s="198"/>
      <c r="AL142" s="198"/>
      <c r="AM142" s="198"/>
      <c r="AN142" s="198"/>
      <c r="AO142" s="198"/>
      <c r="AP142" s="198"/>
      <c r="AQ142" s="198"/>
      <c r="AR142" s="198"/>
      <c r="AS142" s="198"/>
      <c r="AT142" s="198"/>
      <c r="AU142" s="198"/>
      <c r="AV142" s="743" t="s">
        <v>1273</v>
      </c>
      <c r="AW142" s="743"/>
      <c r="AX142" s="743"/>
      <c r="BB142" s="237"/>
    </row>
    <row r="143" spans="1:54" ht="2.25" customHeight="1" x14ac:dyDescent="0.25">
      <c r="A143" s="230"/>
      <c r="B143" s="230"/>
      <c r="C143" s="230"/>
      <c r="D143" s="230"/>
      <c r="E143" s="230"/>
      <c r="F143" s="230"/>
      <c r="G143" s="230"/>
      <c r="H143" s="230"/>
      <c r="I143" s="230"/>
      <c r="J143" s="230"/>
      <c r="K143" s="230"/>
      <c r="L143" s="230"/>
      <c r="M143" s="230"/>
      <c r="N143" s="230"/>
      <c r="O143" s="230"/>
      <c r="P143" s="230"/>
      <c r="Q143" s="230"/>
      <c r="R143" s="230"/>
      <c r="S143" s="230"/>
      <c r="T143" s="230"/>
      <c r="U143" s="230"/>
      <c r="V143" s="230"/>
      <c r="W143" s="230"/>
      <c r="X143" s="230"/>
      <c r="Y143" s="230"/>
      <c r="Z143" s="230"/>
      <c r="AA143" s="230"/>
      <c r="AB143" s="230"/>
      <c r="AC143" s="230"/>
      <c r="AD143" s="230"/>
      <c r="AE143" s="230"/>
      <c r="AF143" s="230"/>
      <c r="AG143" s="230"/>
      <c r="AH143" s="230"/>
      <c r="AI143" s="230"/>
      <c r="AJ143" s="230"/>
      <c r="AK143" s="230"/>
      <c r="AL143" s="230"/>
      <c r="AM143" s="230"/>
      <c r="AN143" s="230"/>
      <c r="AO143" s="230"/>
      <c r="AP143" s="230"/>
      <c r="AQ143" s="230"/>
      <c r="AR143" s="230"/>
      <c r="AS143" s="230"/>
      <c r="AT143" s="230"/>
      <c r="AU143" s="230"/>
      <c r="AV143" s="230"/>
      <c r="AW143" s="230"/>
      <c r="AX143" s="230"/>
      <c r="AY143" s="230"/>
      <c r="AZ143" s="237"/>
      <c r="BA143" s="237"/>
      <c r="BB143" s="237"/>
    </row>
    <row r="144" spans="1:54" ht="12" customHeight="1" x14ac:dyDescent="0.25">
      <c r="A144" s="703" t="s">
        <v>1399</v>
      </c>
      <c r="B144" s="703"/>
      <c r="C144" s="703"/>
      <c r="D144" s="703"/>
      <c r="E144" s="703"/>
      <c r="F144" s="703"/>
      <c r="G144" s="703"/>
      <c r="H144" s="703"/>
      <c r="I144" s="703"/>
      <c r="J144" s="703"/>
      <c r="K144" s="703"/>
      <c r="L144" s="703"/>
      <c r="M144" s="703"/>
      <c r="N144" s="703"/>
      <c r="O144" s="703"/>
      <c r="P144" s="703"/>
      <c r="Q144" s="703"/>
      <c r="R144" s="703"/>
      <c r="S144" s="703"/>
      <c r="T144" s="703"/>
      <c r="U144" s="703"/>
      <c r="V144" s="703"/>
      <c r="W144" s="703"/>
      <c r="X144" s="703"/>
      <c r="Y144" s="703"/>
      <c r="Z144" s="703"/>
      <c r="AA144" s="703"/>
      <c r="AB144" s="703"/>
      <c r="AC144" s="703"/>
      <c r="AD144" s="703"/>
      <c r="AE144" s="703"/>
      <c r="AF144" s="703"/>
      <c r="AG144" s="703"/>
      <c r="AH144" s="703"/>
      <c r="AI144" s="703"/>
      <c r="AJ144" s="703"/>
      <c r="AK144" s="703"/>
      <c r="AL144" s="703"/>
      <c r="AM144" s="703"/>
      <c r="AN144" s="703"/>
      <c r="AO144" s="703"/>
      <c r="AP144" s="703"/>
      <c r="AQ144" s="703"/>
      <c r="AR144" s="703"/>
      <c r="AS144" s="703"/>
      <c r="AT144" s="703"/>
      <c r="AU144" s="703"/>
      <c r="AV144" s="703"/>
      <c r="AW144" s="703"/>
      <c r="AX144" s="703"/>
      <c r="AY144" s="217"/>
      <c r="AZ144" s="217"/>
      <c r="BA144" s="217"/>
      <c r="BB144" s="217"/>
    </row>
    <row r="145" spans="1:54" ht="13.9" customHeight="1" x14ac:dyDescent="0.25">
      <c r="A145" s="697" t="s">
        <v>1400</v>
      </c>
      <c r="B145" s="697"/>
      <c r="C145" s="697"/>
      <c r="D145" s="697"/>
      <c r="E145" s="697"/>
      <c r="F145" s="697"/>
      <c r="G145" s="697"/>
      <c r="H145" s="697"/>
      <c r="I145" s="697"/>
      <c r="J145" s="697"/>
      <c r="K145" s="697"/>
      <c r="L145" s="697"/>
      <c r="M145" s="697"/>
      <c r="N145" s="697"/>
      <c r="O145" s="697"/>
      <c r="P145" s="697"/>
      <c r="Q145" s="697"/>
      <c r="R145" s="697"/>
      <c r="S145" s="697"/>
      <c r="T145" s="697"/>
      <c r="U145" s="697"/>
      <c r="V145" s="697"/>
      <c r="W145" s="697"/>
      <c r="X145" s="697"/>
      <c r="Y145" s="697"/>
      <c r="Z145" s="697"/>
      <c r="AA145" s="697"/>
      <c r="AB145" s="697"/>
      <c r="AC145" s="697"/>
      <c r="AD145" s="697"/>
      <c r="AE145" s="697"/>
      <c r="AF145" s="697"/>
      <c r="AG145" s="697"/>
      <c r="AH145" s="697"/>
      <c r="AI145" s="697"/>
      <c r="AJ145" s="697"/>
      <c r="AK145" s="697"/>
      <c r="AL145" s="697"/>
      <c r="AM145" s="697"/>
      <c r="AN145" s="697"/>
      <c r="AO145" s="697"/>
      <c r="AP145" s="697"/>
      <c r="AQ145" s="697"/>
      <c r="AR145" s="697"/>
      <c r="AS145" s="697"/>
      <c r="AT145" s="697"/>
      <c r="AU145" s="697"/>
      <c r="AV145" s="743" t="s">
        <v>1273</v>
      </c>
      <c r="AW145" s="743"/>
      <c r="AX145" s="743"/>
      <c r="BB145" s="198"/>
    </row>
    <row r="146" spans="1:54" ht="2.25" customHeight="1" x14ac:dyDescent="0.25">
      <c r="A146" s="697"/>
      <c r="B146" s="697"/>
      <c r="C146" s="697"/>
      <c r="D146" s="697"/>
      <c r="E146" s="697"/>
      <c r="F146" s="697"/>
      <c r="G146" s="697"/>
      <c r="H146" s="697"/>
      <c r="I146" s="697"/>
      <c r="J146" s="697"/>
      <c r="K146" s="697"/>
      <c r="L146" s="697"/>
      <c r="M146" s="697"/>
      <c r="N146" s="697"/>
      <c r="O146" s="697"/>
      <c r="P146" s="697"/>
      <c r="Q146" s="697"/>
      <c r="R146" s="697"/>
      <c r="S146" s="697"/>
      <c r="T146" s="697"/>
      <c r="U146" s="697"/>
      <c r="V146" s="697"/>
      <c r="W146" s="697"/>
      <c r="X146" s="697"/>
      <c r="Y146" s="697"/>
      <c r="Z146" s="697"/>
      <c r="AA146" s="697"/>
      <c r="AB146" s="697"/>
      <c r="AC146" s="697"/>
      <c r="AD146" s="697"/>
      <c r="AE146" s="697"/>
      <c r="AF146" s="697"/>
      <c r="AG146" s="697"/>
      <c r="AH146" s="697"/>
      <c r="AI146" s="697"/>
      <c r="AJ146" s="697"/>
      <c r="AK146" s="697"/>
      <c r="AL146" s="697"/>
      <c r="AM146" s="697"/>
      <c r="AN146" s="697"/>
      <c r="AO146" s="697"/>
      <c r="AP146" s="697"/>
      <c r="AQ146" s="697"/>
      <c r="AR146" s="697"/>
      <c r="AS146" s="697"/>
      <c r="AT146" s="697"/>
      <c r="AU146" s="697"/>
      <c r="AV146" s="198"/>
      <c r="AW146" s="198"/>
      <c r="AX146" s="198"/>
      <c r="BB146" s="198"/>
    </row>
    <row r="147" spans="1:54" ht="13.9" customHeight="1" x14ac:dyDescent="0.25">
      <c r="A147" s="742" t="s">
        <v>1395</v>
      </c>
      <c r="B147" s="742"/>
      <c r="C147" s="742"/>
      <c r="D147" s="742"/>
      <c r="E147" s="742"/>
      <c r="F147" s="742"/>
      <c r="G147" s="742"/>
      <c r="H147" s="742"/>
      <c r="I147" s="742"/>
      <c r="J147" s="742"/>
      <c r="K147" s="742"/>
      <c r="L147" s="742"/>
      <c r="M147" s="742"/>
      <c r="N147" s="742"/>
      <c r="O147" s="742"/>
      <c r="P147" s="742"/>
      <c r="Q147" s="742"/>
      <c r="R147" s="742"/>
      <c r="S147" s="742"/>
      <c r="T147" s="742"/>
      <c r="U147" s="742"/>
      <c r="V147" s="742"/>
      <c r="W147" s="742"/>
      <c r="X147" s="742"/>
      <c r="Y147" s="742"/>
      <c r="Z147" s="742"/>
      <c r="AA147" s="742"/>
      <c r="AB147" s="742"/>
      <c r="AC147" s="742"/>
      <c r="AD147" s="742"/>
      <c r="AE147" s="742"/>
      <c r="AF147" s="742"/>
      <c r="AG147" s="742"/>
      <c r="AH147" s="742"/>
      <c r="AI147" s="742"/>
      <c r="AJ147" s="742"/>
      <c r="AK147" s="742"/>
      <c r="AL147" s="742"/>
      <c r="AM147" s="742"/>
      <c r="AN147" s="742"/>
      <c r="AO147" s="742"/>
      <c r="AP147" s="742"/>
      <c r="AQ147" s="742"/>
      <c r="AR147" s="742"/>
      <c r="AS147" s="742"/>
      <c r="AT147" s="742"/>
      <c r="AU147" s="742"/>
      <c r="AV147" s="743" t="s">
        <v>1273</v>
      </c>
      <c r="AW147" s="743"/>
      <c r="AX147" s="743"/>
      <c r="BB147" s="198"/>
    </row>
    <row r="148" spans="1:54" ht="2.25" customHeight="1" x14ac:dyDescent="0.25">
      <c r="A148" s="198"/>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c r="AA148" s="198"/>
      <c r="AB148" s="198"/>
      <c r="AC148" s="198"/>
      <c r="AD148" s="198"/>
      <c r="AE148" s="198"/>
      <c r="AF148" s="198"/>
      <c r="AG148" s="198"/>
      <c r="AH148" s="198"/>
      <c r="AI148" s="198"/>
      <c r="AJ148" s="198"/>
      <c r="AK148" s="198"/>
      <c r="AL148" s="198"/>
      <c r="AM148" s="198"/>
      <c r="AN148" s="198"/>
      <c r="AO148" s="198"/>
      <c r="AP148" s="198"/>
      <c r="AQ148" s="198"/>
      <c r="AR148" s="198"/>
      <c r="AS148" s="198"/>
      <c r="AT148" s="198"/>
      <c r="AU148" s="198"/>
      <c r="AV148" s="198"/>
      <c r="AW148" s="198"/>
      <c r="AX148" s="198"/>
      <c r="AY148" s="198"/>
      <c r="AZ148" s="198"/>
      <c r="BA148" s="198"/>
      <c r="BB148" s="198"/>
    </row>
    <row r="149" spans="1:54" ht="66.75" customHeight="1" x14ac:dyDescent="0.25">
      <c r="A149" s="697" t="s">
        <v>1401</v>
      </c>
      <c r="B149" s="697"/>
      <c r="C149" s="697"/>
      <c r="D149" s="697"/>
      <c r="E149" s="697"/>
      <c r="F149" s="697"/>
      <c r="G149" s="697"/>
      <c r="H149" s="697"/>
      <c r="I149" s="697"/>
      <c r="J149" s="697"/>
      <c r="K149" s="697"/>
      <c r="L149" s="697"/>
      <c r="M149" s="697"/>
      <c r="N149" s="697"/>
      <c r="O149" s="697"/>
      <c r="P149" s="697"/>
      <c r="Q149" s="697"/>
      <c r="R149" s="697"/>
      <c r="S149" s="697"/>
      <c r="T149" s="697"/>
      <c r="U149" s="697"/>
      <c r="V149" s="697"/>
      <c r="W149" s="697"/>
      <c r="X149" s="697"/>
      <c r="Y149" s="697"/>
      <c r="Z149" s="697"/>
      <c r="AA149" s="697"/>
      <c r="AB149" s="697"/>
      <c r="AC149" s="697"/>
      <c r="AD149" s="697"/>
      <c r="AE149" s="697"/>
      <c r="AF149" s="697"/>
      <c r="AG149" s="697"/>
      <c r="AH149" s="697"/>
      <c r="AI149" s="697"/>
      <c r="AJ149" s="697"/>
      <c r="AK149" s="697"/>
      <c r="AL149" s="697"/>
      <c r="AM149" s="697"/>
      <c r="AN149" s="697"/>
      <c r="AO149" s="697"/>
      <c r="AP149" s="697"/>
      <c r="AQ149" s="697"/>
      <c r="AR149" s="697"/>
      <c r="AS149" s="697"/>
      <c r="AT149" s="697"/>
      <c r="AU149" s="697"/>
      <c r="AV149" s="697"/>
      <c r="AW149" s="697"/>
      <c r="AX149" s="697"/>
      <c r="AY149" s="217"/>
      <c r="AZ149" s="217"/>
      <c r="BA149" s="217"/>
      <c r="BB149" s="217"/>
    </row>
    <row r="150" spans="1:54" ht="1.5" customHeight="1" x14ac:dyDescent="0.25">
      <c r="A150" s="239"/>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39"/>
      <c r="AH150" s="239"/>
      <c r="AI150" s="239"/>
      <c r="AJ150" s="239"/>
      <c r="AK150" s="239"/>
      <c r="AL150" s="239"/>
      <c r="AM150" s="239"/>
      <c r="AN150" s="239"/>
      <c r="AO150" s="239"/>
      <c r="AP150" s="239"/>
      <c r="AQ150" s="239"/>
      <c r="AR150" s="239"/>
      <c r="AS150" s="239"/>
      <c r="AT150" s="239"/>
      <c r="AU150" s="239"/>
      <c r="AV150" s="239"/>
      <c r="AW150" s="239"/>
      <c r="AX150" s="239"/>
      <c r="AY150" s="239"/>
      <c r="AZ150" s="239"/>
      <c r="BA150" s="239"/>
      <c r="BB150" s="239"/>
    </row>
    <row r="151" spans="1:54" ht="12.6" customHeight="1" x14ac:dyDescent="0.25">
      <c r="A151" s="703" t="s">
        <v>1402</v>
      </c>
      <c r="B151" s="703"/>
      <c r="C151" s="703"/>
      <c r="D151" s="703"/>
      <c r="E151" s="703"/>
      <c r="F151" s="703"/>
      <c r="G151" s="703"/>
      <c r="H151" s="703"/>
      <c r="I151" s="703"/>
      <c r="J151" s="703"/>
      <c r="K151" s="703"/>
      <c r="L151" s="703"/>
      <c r="M151" s="703"/>
      <c r="N151" s="703"/>
      <c r="O151" s="703"/>
      <c r="P151" s="703"/>
      <c r="Q151" s="703"/>
      <c r="R151" s="703"/>
      <c r="S151" s="703"/>
      <c r="T151" s="703"/>
      <c r="U151" s="703"/>
      <c r="V151" s="703"/>
      <c r="W151" s="703"/>
      <c r="X151" s="703"/>
      <c r="Y151" s="703"/>
      <c r="Z151" s="703"/>
      <c r="AA151" s="703"/>
      <c r="AB151" s="703"/>
      <c r="AC151" s="703"/>
      <c r="AD151" s="703"/>
      <c r="AE151" s="703"/>
      <c r="AF151" s="703"/>
      <c r="AG151" s="703"/>
      <c r="AH151" s="703"/>
      <c r="AI151" s="703"/>
      <c r="AJ151" s="703"/>
      <c r="AK151" s="703"/>
      <c r="AL151" s="703"/>
      <c r="AM151" s="703"/>
      <c r="AN151" s="703"/>
      <c r="AO151" s="703"/>
      <c r="AP151" s="703"/>
      <c r="AQ151" s="703"/>
      <c r="AR151" s="703"/>
      <c r="AS151" s="703"/>
      <c r="AT151" s="703"/>
      <c r="AU151" s="703"/>
      <c r="AV151" s="703"/>
      <c r="AW151" s="703"/>
      <c r="AX151" s="703"/>
      <c r="AY151" s="703"/>
      <c r="AZ151" s="239"/>
      <c r="BA151" s="239"/>
      <c r="BB151" s="239"/>
    </row>
    <row r="152" spans="1:54" ht="25.5" customHeight="1" x14ac:dyDescent="0.25">
      <c r="A152" s="732" t="s">
        <v>1403</v>
      </c>
      <c r="B152" s="732"/>
      <c r="C152" s="732"/>
      <c r="D152" s="732"/>
      <c r="E152" s="732"/>
      <c r="F152" s="732"/>
      <c r="G152" s="732"/>
      <c r="H152" s="732"/>
      <c r="I152" s="732"/>
      <c r="J152" s="732"/>
      <c r="K152" s="732"/>
      <c r="L152" s="732"/>
      <c r="M152" s="732"/>
      <c r="N152" s="732"/>
      <c r="O152" s="732"/>
      <c r="P152" s="732"/>
      <c r="Q152" s="732"/>
      <c r="R152" s="732"/>
      <c r="S152" s="732"/>
      <c r="T152" s="732"/>
      <c r="U152" s="732"/>
      <c r="V152" s="732"/>
      <c r="W152" s="732"/>
      <c r="X152" s="732"/>
      <c r="Y152" s="732"/>
      <c r="Z152" s="732"/>
      <c r="AA152" s="732"/>
      <c r="AB152" s="732"/>
      <c r="AC152" s="732"/>
      <c r="AD152" s="732"/>
      <c r="AE152" s="732"/>
      <c r="AF152" s="732"/>
      <c r="AG152" s="732"/>
      <c r="AH152" s="732"/>
      <c r="AI152" s="732"/>
      <c r="AJ152" s="732"/>
      <c r="AK152" s="732"/>
      <c r="AL152" s="732"/>
      <c r="AM152" s="732"/>
      <c r="AN152" s="732"/>
      <c r="AO152" s="732"/>
      <c r="AP152" s="732"/>
      <c r="AQ152" s="732"/>
      <c r="AR152" s="732"/>
      <c r="AS152" s="732"/>
      <c r="AT152" s="732"/>
      <c r="AU152" s="732"/>
      <c r="AV152" s="732"/>
      <c r="AW152" s="732"/>
      <c r="AX152" s="732"/>
      <c r="AY152" s="732"/>
      <c r="AZ152" s="239"/>
      <c r="BA152" s="239"/>
      <c r="BB152" s="239"/>
    </row>
    <row r="153" spans="1:54" ht="12.6" customHeight="1" x14ac:dyDescent="0.25">
      <c r="A153" s="703" t="s">
        <v>1404</v>
      </c>
      <c r="B153" s="703"/>
      <c r="C153" s="703"/>
      <c r="D153" s="703"/>
      <c r="E153" s="703"/>
      <c r="F153" s="703"/>
      <c r="G153" s="703"/>
      <c r="H153" s="703"/>
      <c r="I153" s="703"/>
      <c r="J153" s="703"/>
      <c r="K153" s="703"/>
      <c r="L153" s="703"/>
      <c r="M153" s="703"/>
      <c r="N153" s="703"/>
      <c r="O153" s="703"/>
      <c r="P153" s="703"/>
      <c r="Q153" s="703"/>
      <c r="R153" s="703"/>
      <c r="S153" s="703"/>
      <c r="T153" s="703"/>
      <c r="U153" s="703"/>
      <c r="V153" s="703"/>
      <c r="W153" s="703"/>
      <c r="X153" s="703"/>
      <c r="Y153" s="703"/>
      <c r="Z153" s="703"/>
      <c r="AA153" s="703"/>
      <c r="AB153" s="703"/>
      <c r="AC153" s="703"/>
      <c r="AD153" s="703"/>
      <c r="AE153" s="703"/>
      <c r="AF153" s="703"/>
      <c r="AG153" s="703"/>
      <c r="AH153" s="703"/>
      <c r="AI153" s="703"/>
      <c r="AJ153" s="703"/>
      <c r="AK153" s="703"/>
      <c r="AL153" s="703"/>
      <c r="AM153" s="703"/>
      <c r="AN153" s="703"/>
      <c r="AO153" s="703"/>
      <c r="AP153" s="703"/>
      <c r="AQ153" s="703"/>
      <c r="AR153" s="703"/>
      <c r="AS153" s="703"/>
      <c r="AT153" s="703"/>
      <c r="AU153" s="703"/>
      <c r="AV153" s="703"/>
      <c r="AW153" s="703"/>
      <c r="AX153" s="703"/>
      <c r="AY153" s="703"/>
      <c r="AZ153" s="239"/>
      <c r="BA153" s="239"/>
      <c r="BB153" s="239"/>
    </row>
    <row r="154" spans="1:54" ht="105" customHeight="1" x14ac:dyDescent="0.25">
      <c r="A154" s="732" t="s">
        <v>1405</v>
      </c>
      <c r="B154" s="732"/>
      <c r="C154" s="732"/>
      <c r="D154" s="732"/>
      <c r="E154" s="732"/>
      <c r="F154" s="732"/>
      <c r="G154" s="732"/>
      <c r="H154" s="732"/>
      <c r="I154" s="732"/>
      <c r="J154" s="732"/>
      <c r="K154" s="732"/>
      <c r="L154" s="732"/>
      <c r="M154" s="732"/>
      <c r="N154" s="732"/>
      <c r="O154" s="732"/>
      <c r="P154" s="732"/>
      <c r="Q154" s="732"/>
      <c r="R154" s="732"/>
      <c r="S154" s="732"/>
      <c r="T154" s="732"/>
      <c r="U154" s="732"/>
      <c r="V154" s="732"/>
      <c r="W154" s="732"/>
      <c r="X154" s="732"/>
      <c r="Y154" s="732"/>
      <c r="Z154" s="732"/>
      <c r="AA154" s="732"/>
      <c r="AB154" s="732"/>
      <c r="AC154" s="732"/>
      <c r="AD154" s="732"/>
      <c r="AE154" s="732"/>
      <c r="AF154" s="732"/>
      <c r="AG154" s="732"/>
      <c r="AH154" s="732"/>
      <c r="AI154" s="732"/>
      <c r="AJ154" s="732"/>
      <c r="AK154" s="732"/>
      <c r="AL154" s="732"/>
      <c r="AM154" s="732"/>
      <c r="AN154" s="732"/>
      <c r="AO154" s="732"/>
      <c r="AP154" s="732"/>
      <c r="AQ154" s="732"/>
      <c r="AR154" s="732"/>
      <c r="AS154" s="732"/>
      <c r="AT154" s="732"/>
      <c r="AU154" s="732"/>
      <c r="AV154" s="732"/>
      <c r="AW154" s="732"/>
      <c r="AX154" s="732"/>
      <c r="AY154" s="732"/>
      <c r="AZ154" s="239"/>
      <c r="BA154" s="239"/>
      <c r="BB154" s="239"/>
    </row>
    <row r="155" spans="1:54" ht="13.5" customHeight="1" x14ac:dyDescent="0.25">
      <c r="A155" s="703" t="s">
        <v>1406</v>
      </c>
      <c r="B155" s="703"/>
      <c r="C155" s="703"/>
      <c r="D155" s="703"/>
      <c r="E155" s="703"/>
      <c r="F155" s="703"/>
      <c r="G155" s="703"/>
      <c r="H155" s="703"/>
      <c r="I155" s="703"/>
      <c r="J155" s="703"/>
      <c r="K155" s="703"/>
      <c r="L155" s="703"/>
      <c r="M155" s="703"/>
      <c r="N155" s="703"/>
      <c r="O155" s="703"/>
      <c r="P155" s="703"/>
      <c r="Q155" s="703"/>
      <c r="R155" s="703"/>
      <c r="S155" s="703"/>
      <c r="T155" s="703"/>
      <c r="U155" s="703"/>
      <c r="V155" s="703"/>
      <c r="W155" s="703"/>
      <c r="X155" s="703"/>
      <c r="Y155" s="703"/>
      <c r="Z155" s="703"/>
      <c r="AA155" s="703"/>
      <c r="AB155" s="703"/>
      <c r="AC155" s="703"/>
      <c r="AD155" s="703"/>
      <c r="AE155" s="703"/>
      <c r="AF155" s="703"/>
      <c r="AG155" s="703"/>
      <c r="AH155" s="703"/>
      <c r="AI155" s="703"/>
      <c r="AJ155" s="703"/>
      <c r="AK155" s="703"/>
      <c r="AL155" s="703"/>
      <c r="AM155" s="703"/>
      <c r="AN155" s="703"/>
      <c r="AO155" s="703"/>
      <c r="AP155" s="703"/>
      <c r="AQ155" s="703"/>
      <c r="AR155" s="703"/>
      <c r="AS155" s="703"/>
      <c r="AT155" s="703"/>
      <c r="AU155" s="703"/>
      <c r="AV155" s="703"/>
      <c r="AW155" s="703"/>
      <c r="AX155" s="703"/>
      <c r="AY155" s="703"/>
      <c r="AZ155" s="239"/>
      <c r="BA155" s="239"/>
      <c r="BB155" s="239"/>
    </row>
    <row r="156" spans="1:54" ht="12.6" customHeight="1" x14ac:dyDescent="0.25">
      <c r="A156" s="697" t="s">
        <v>1407</v>
      </c>
      <c r="B156" s="697"/>
      <c r="C156" s="697"/>
      <c r="D156" s="697"/>
      <c r="E156" s="697"/>
      <c r="F156" s="697"/>
      <c r="G156" s="697"/>
      <c r="H156" s="697"/>
      <c r="I156" s="697"/>
      <c r="J156" s="697"/>
      <c r="K156" s="697"/>
      <c r="L156" s="697"/>
      <c r="M156" s="697"/>
      <c r="N156" s="697"/>
      <c r="O156" s="697"/>
      <c r="P156" s="697"/>
      <c r="Q156" s="697"/>
      <c r="R156" s="697"/>
      <c r="S156" s="697"/>
      <c r="T156" s="697"/>
      <c r="U156" s="697"/>
      <c r="V156" s="697"/>
      <c r="W156" s="697"/>
      <c r="X156" s="697"/>
      <c r="Y156" s="697"/>
      <c r="Z156" s="697"/>
      <c r="AA156" s="697"/>
      <c r="AB156" s="697"/>
      <c r="AC156" s="697"/>
      <c r="AD156" s="697"/>
      <c r="AE156" s="697"/>
      <c r="AF156" s="697"/>
      <c r="AG156" s="697"/>
      <c r="AH156" s="697"/>
      <c r="AI156" s="697"/>
      <c r="AJ156" s="697"/>
      <c r="AK156" s="697"/>
      <c r="AL156" s="697"/>
      <c r="AM156" s="697"/>
      <c r="AN156" s="697"/>
      <c r="AO156" s="697"/>
      <c r="AP156" s="697"/>
      <c r="AQ156" s="697"/>
      <c r="AR156" s="697"/>
      <c r="AS156" s="697"/>
      <c r="AT156" s="697"/>
      <c r="AU156" s="697"/>
      <c r="AV156" s="697"/>
      <c r="AW156" s="697"/>
      <c r="AX156" s="697"/>
      <c r="AY156" s="697"/>
      <c r="AZ156" s="239"/>
      <c r="BA156" s="239"/>
      <c r="BB156" s="239"/>
    </row>
    <row r="157" spans="1:54" ht="12.6" customHeight="1" x14ac:dyDescent="0.25">
      <c r="A157" s="703" t="s">
        <v>1408</v>
      </c>
      <c r="B157" s="703"/>
      <c r="C157" s="703"/>
      <c r="D157" s="703"/>
      <c r="E157" s="703"/>
      <c r="F157" s="703"/>
      <c r="G157" s="703"/>
      <c r="H157" s="703"/>
      <c r="I157" s="703"/>
      <c r="J157" s="703"/>
      <c r="K157" s="703"/>
      <c r="L157" s="703"/>
      <c r="M157" s="703"/>
      <c r="N157" s="703"/>
      <c r="O157" s="703"/>
      <c r="P157" s="703"/>
      <c r="Q157" s="703"/>
      <c r="R157" s="703"/>
      <c r="S157" s="703"/>
      <c r="T157" s="703"/>
      <c r="U157" s="703"/>
      <c r="V157" s="703"/>
      <c r="W157" s="703"/>
      <c r="X157" s="703"/>
      <c r="Y157" s="703"/>
      <c r="Z157" s="703"/>
      <c r="AA157" s="703"/>
      <c r="AB157" s="703"/>
      <c r="AC157" s="703"/>
      <c r="AD157" s="703"/>
      <c r="AE157" s="703"/>
      <c r="AF157" s="703"/>
      <c r="AG157" s="703"/>
      <c r="AH157" s="703"/>
      <c r="AI157" s="703"/>
      <c r="AJ157" s="703"/>
      <c r="AK157" s="703"/>
      <c r="AL157" s="703"/>
      <c r="AM157" s="703"/>
      <c r="AN157" s="703"/>
      <c r="AO157" s="703"/>
      <c r="AP157" s="703"/>
      <c r="AQ157" s="703"/>
      <c r="AR157" s="703"/>
      <c r="AS157" s="703"/>
      <c r="AT157" s="703"/>
      <c r="AU157" s="703"/>
      <c r="AV157" s="703"/>
      <c r="AW157" s="703"/>
      <c r="AX157" s="703"/>
      <c r="AY157" s="703"/>
      <c r="AZ157" s="239"/>
      <c r="BA157" s="239"/>
      <c r="BB157" s="239"/>
    </row>
    <row r="158" spans="1:54" ht="63.75" customHeight="1" x14ac:dyDescent="0.25">
      <c r="A158" s="732" t="s">
        <v>1409</v>
      </c>
      <c r="B158" s="732"/>
      <c r="C158" s="732"/>
      <c r="D158" s="732"/>
      <c r="E158" s="732"/>
      <c r="F158" s="732"/>
      <c r="G158" s="732"/>
      <c r="H158" s="732"/>
      <c r="I158" s="732"/>
      <c r="J158" s="732"/>
      <c r="K158" s="732"/>
      <c r="L158" s="732"/>
      <c r="M158" s="732"/>
      <c r="N158" s="732"/>
      <c r="O158" s="732"/>
      <c r="P158" s="732"/>
      <c r="Q158" s="732"/>
      <c r="R158" s="732"/>
      <c r="S158" s="732"/>
      <c r="T158" s="732"/>
      <c r="U158" s="732"/>
      <c r="V158" s="732"/>
      <c r="W158" s="732"/>
      <c r="X158" s="732"/>
      <c r="Y158" s="732"/>
      <c r="Z158" s="732"/>
      <c r="AA158" s="732"/>
      <c r="AB158" s="732"/>
      <c r="AC158" s="732"/>
      <c r="AD158" s="732"/>
      <c r="AE158" s="732"/>
      <c r="AF158" s="732"/>
      <c r="AG158" s="732"/>
      <c r="AH158" s="732"/>
      <c r="AI158" s="732"/>
      <c r="AJ158" s="732"/>
      <c r="AK158" s="732"/>
      <c r="AL158" s="732"/>
      <c r="AM158" s="732"/>
      <c r="AN158" s="732"/>
      <c r="AO158" s="732"/>
      <c r="AP158" s="732"/>
      <c r="AQ158" s="732"/>
      <c r="AR158" s="732"/>
      <c r="AS158" s="732"/>
      <c r="AT158" s="732"/>
      <c r="AU158" s="732"/>
      <c r="AV158" s="732"/>
      <c r="AW158" s="732"/>
      <c r="AX158" s="732"/>
      <c r="AY158" s="732"/>
      <c r="AZ158" s="239"/>
      <c r="BA158" s="239"/>
      <c r="BB158" s="239"/>
    </row>
    <row r="159" spans="1:54" ht="12.6" customHeight="1" x14ac:dyDescent="0.25">
      <c r="A159" s="703" t="s">
        <v>1410</v>
      </c>
      <c r="B159" s="703"/>
      <c r="C159" s="703"/>
      <c r="D159" s="703"/>
      <c r="E159" s="703"/>
      <c r="F159" s="703"/>
      <c r="G159" s="703"/>
      <c r="H159" s="703"/>
      <c r="I159" s="703"/>
      <c r="J159" s="703"/>
      <c r="K159" s="703"/>
      <c r="L159" s="703"/>
      <c r="M159" s="703"/>
      <c r="N159" s="703"/>
      <c r="O159" s="703"/>
      <c r="P159" s="703"/>
      <c r="Q159" s="703"/>
      <c r="R159" s="703"/>
      <c r="S159" s="703"/>
      <c r="T159" s="703"/>
      <c r="U159" s="703"/>
      <c r="V159" s="703"/>
      <c r="W159" s="703"/>
      <c r="X159" s="703"/>
      <c r="Y159" s="703"/>
      <c r="Z159" s="703"/>
      <c r="AA159" s="703"/>
      <c r="AB159" s="703"/>
      <c r="AC159" s="703"/>
      <c r="AD159" s="703"/>
      <c r="AE159" s="703"/>
      <c r="AF159" s="703"/>
      <c r="AG159" s="703"/>
      <c r="AH159" s="703"/>
      <c r="AI159" s="703"/>
      <c r="AJ159" s="703"/>
      <c r="AK159" s="703"/>
      <c r="AL159" s="703"/>
      <c r="AM159" s="703"/>
      <c r="AN159" s="703"/>
      <c r="AO159" s="703"/>
      <c r="AP159" s="703"/>
      <c r="AQ159" s="703"/>
      <c r="AR159" s="703"/>
      <c r="AS159" s="703"/>
      <c r="AT159" s="703"/>
      <c r="AU159" s="703"/>
      <c r="AV159" s="703"/>
      <c r="AW159" s="703"/>
      <c r="AX159" s="703"/>
      <c r="AY159" s="703"/>
      <c r="AZ159" s="239"/>
      <c r="BA159" s="239"/>
      <c r="BB159" s="239"/>
    </row>
    <row r="160" spans="1:54" ht="25.5" customHeight="1" x14ac:dyDescent="0.25">
      <c r="A160" s="732" t="s">
        <v>1411</v>
      </c>
      <c r="B160" s="732"/>
      <c r="C160" s="732"/>
      <c r="D160" s="732"/>
      <c r="E160" s="732"/>
      <c r="F160" s="732"/>
      <c r="G160" s="732"/>
      <c r="H160" s="732"/>
      <c r="I160" s="732"/>
      <c r="J160" s="732"/>
      <c r="K160" s="732"/>
      <c r="L160" s="732"/>
      <c r="M160" s="732"/>
      <c r="N160" s="732"/>
      <c r="O160" s="732"/>
      <c r="P160" s="732"/>
      <c r="Q160" s="732"/>
      <c r="R160" s="732"/>
      <c r="S160" s="732"/>
      <c r="T160" s="732"/>
      <c r="U160" s="732"/>
      <c r="V160" s="732"/>
      <c r="W160" s="732"/>
      <c r="X160" s="732"/>
      <c r="Y160" s="732"/>
      <c r="Z160" s="732"/>
      <c r="AA160" s="732"/>
      <c r="AB160" s="732"/>
      <c r="AC160" s="732"/>
      <c r="AD160" s="732"/>
      <c r="AE160" s="732"/>
      <c r="AF160" s="732"/>
      <c r="AG160" s="732"/>
      <c r="AH160" s="732"/>
      <c r="AI160" s="732"/>
      <c r="AJ160" s="732"/>
      <c r="AK160" s="732"/>
      <c r="AL160" s="732"/>
      <c r="AM160" s="732"/>
      <c r="AN160" s="732"/>
      <c r="AO160" s="732"/>
      <c r="AP160" s="732"/>
      <c r="AQ160" s="732"/>
      <c r="AR160" s="732"/>
      <c r="AS160" s="732"/>
      <c r="AT160" s="732"/>
      <c r="AU160" s="732"/>
      <c r="AV160" s="732"/>
      <c r="AW160" s="732"/>
      <c r="AX160" s="732"/>
      <c r="AY160" s="732"/>
      <c r="AZ160" s="239"/>
      <c r="BA160" s="239"/>
      <c r="BB160" s="239"/>
    </row>
    <row r="161" spans="1:54" ht="12.6" customHeight="1" x14ac:dyDescent="0.25">
      <c r="A161" s="703" t="s">
        <v>1412</v>
      </c>
      <c r="B161" s="703"/>
      <c r="C161" s="703"/>
      <c r="D161" s="703"/>
      <c r="E161" s="703"/>
      <c r="F161" s="703"/>
      <c r="G161" s="703"/>
      <c r="H161" s="703"/>
      <c r="I161" s="703"/>
      <c r="J161" s="703"/>
      <c r="K161" s="703"/>
      <c r="L161" s="703"/>
      <c r="M161" s="703"/>
      <c r="N161" s="703"/>
      <c r="O161" s="703"/>
      <c r="P161" s="703"/>
      <c r="Q161" s="703"/>
      <c r="R161" s="703"/>
      <c r="S161" s="703"/>
      <c r="T161" s="703"/>
      <c r="U161" s="703"/>
      <c r="V161" s="703"/>
      <c r="W161" s="703"/>
      <c r="X161" s="703"/>
      <c r="Y161" s="703"/>
      <c r="Z161" s="703"/>
      <c r="AA161" s="703"/>
      <c r="AB161" s="703"/>
      <c r="AC161" s="703"/>
      <c r="AD161" s="703"/>
      <c r="AE161" s="703"/>
      <c r="AF161" s="703"/>
      <c r="AG161" s="703"/>
      <c r="AH161" s="703"/>
      <c r="AI161" s="703"/>
      <c r="AJ161" s="703"/>
      <c r="AK161" s="703"/>
      <c r="AL161" s="703"/>
      <c r="AM161" s="703"/>
      <c r="AN161" s="703"/>
      <c r="AO161" s="703"/>
      <c r="AP161" s="703"/>
      <c r="AQ161" s="703"/>
      <c r="AR161" s="703"/>
      <c r="AS161" s="703"/>
      <c r="AT161" s="703"/>
      <c r="AU161" s="703"/>
      <c r="AV161" s="703"/>
      <c r="AW161" s="703"/>
      <c r="AX161" s="703"/>
      <c r="AY161" s="703"/>
      <c r="AZ161" s="239"/>
      <c r="BA161" s="239"/>
      <c r="BB161" s="239"/>
    </row>
    <row r="162" spans="1:54" ht="12.6" customHeight="1" x14ac:dyDescent="0.25">
      <c r="A162" s="697" t="s">
        <v>1413</v>
      </c>
      <c r="B162" s="697"/>
      <c r="C162" s="697"/>
      <c r="D162" s="697"/>
      <c r="E162" s="697"/>
      <c r="F162" s="697"/>
      <c r="G162" s="697"/>
      <c r="H162" s="697"/>
      <c r="I162" s="697"/>
      <c r="J162" s="697"/>
      <c r="K162" s="697"/>
      <c r="L162" s="697"/>
      <c r="M162" s="697"/>
      <c r="N162" s="697"/>
      <c r="O162" s="697"/>
      <c r="P162" s="697"/>
      <c r="Q162" s="697"/>
      <c r="R162" s="697"/>
      <c r="S162" s="697"/>
      <c r="T162" s="697"/>
      <c r="U162" s="697"/>
      <c r="V162" s="697"/>
      <c r="W162" s="697"/>
      <c r="X162" s="697"/>
      <c r="Y162" s="697"/>
      <c r="Z162" s="697"/>
      <c r="AA162" s="697"/>
      <c r="AB162" s="697"/>
      <c r="AC162" s="697"/>
      <c r="AD162" s="697"/>
      <c r="AE162" s="697"/>
      <c r="AF162" s="697"/>
      <c r="AG162" s="697"/>
      <c r="AH162" s="697"/>
      <c r="AI162" s="697"/>
      <c r="AJ162" s="697"/>
      <c r="AK162" s="697"/>
      <c r="AL162" s="697"/>
      <c r="AM162" s="697"/>
      <c r="AN162" s="697"/>
      <c r="AO162" s="697"/>
      <c r="AP162" s="697"/>
      <c r="AQ162" s="697"/>
      <c r="AR162" s="697"/>
      <c r="AS162" s="697"/>
      <c r="AT162" s="697"/>
      <c r="AU162" s="697"/>
      <c r="AV162" s="697"/>
      <c r="AW162" s="697"/>
      <c r="AX162" s="697"/>
      <c r="AY162" s="697"/>
      <c r="AZ162" s="239"/>
      <c r="BA162" s="239"/>
      <c r="BB162" s="239"/>
    </row>
    <row r="163" spans="1:54" ht="12.6" customHeight="1" x14ac:dyDescent="0.25">
      <c r="A163" s="703" t="s">
        <v>1414</v>
      </c>
      <c r="B163" s="703"/>
      <c r="C163" s="703"/>
      <c r="D163" s="703"/>
      <c r="E163" s="703"/>
      <c r="F163" s="703"/>
      <c r="G163" s="703"/>
      <c r="H163" s="703"/>
      <c r="I163" s="703"/>
      <c r="J163" s="703"/>
      <c r="K163" s="703"/>
      <c r="L163" s="703"/>
      <c r="M163" s="703"/>
      <c r="N163" s="703"/>
      <c r="O163" s="703"/>
      <c r="P163" s="703"/>
      <c r="Q163" s="703"/>
      <c r="R163" s="703"/>
      <c r="S163" s="703"/>
      <c r="T163" s="703"/>
      <c r="U163" s="703"/>
      <c r="V163" s="703"/>
      <c r="W163" s="703"/>
      <c r="X163" s="703"/>
      <c r="Y163" s="703"/>
      <c r="Z163" s="703"/>
      <c r="AA163" s="703"/>
      <c r="AB163" s="703"/>
      <c r="AC163" s="703"/>
      <c r="AD163" s="703"/>
      <c r="AE163" s="703"/>
      <c r="AF163" s="703"/>
      <c r="AG163" s="703"/>
      <c r="AH163" s="703"/>
      <c r="AI163" s="703"/>
      <c r="AJ163" s="703"/>
      <c r="AK163" s="703"/>
      <c r="AL163" s="703"/>
      <c r="AM163" s="703"/>
      <c r="AN163" s="703"/>
      <c r="AO163" s="703"/>
      <c r="AP163" s="703"/>
      <c r="AQ163" s="703"/>
      <c r="AR163" s="703"/>
      <c r="AS163" s="703"/>
      <c r="AT163" s="703"/>
      <c r="AU163" s="703"/>
      <c r="AV163" s="703"/>
      <c r="AW163" s="703"/>
      <c r="AX163" s="703"/>
      <c r="AY163" s="703"/>
      <c r="AZ163" s="239"/>
      <c r="BA163" s="239"/>
      <c r="BB163" s="239"/>
    </row>
    <row r="164" spans="1:54" ht="13.5" customHeight="1" x14ac:dyDescent="0.25">
      <c r="A164" s="732" t="s">
        <v>1415</v>
      </c>
      <c r="B164" s="732"/>
      <c r="C164" s="732"/>
      <c r="D164" s="732"/>
      <c r="E164" s="732"/>
      <c r="F164" s="732"/>
      <c r="G164" s="732"/>
      <c r="H164" s="732"/>
      <c r="I164" s="732"/>
      <c r="J164" s="732"/>
      <c r="K164" s="732"/>
      <c r="L164" s="732"/>
      <c r="M164" s="732"/>
      <c r="N164" s="732"/>
      <c r="O164" s="732"/>
      <c r="P164" s="732"/>
      <c r="Q164" s="732"/>
      <c r="R164" s="732"/>
      <c r="S164" s="732"/>
      <c r="T164" s="732"/>
      <c r="U164" s="732"/>
      <c r="V164" s="732"/>
      <c r="W164" s="732"/>
      <c r="X164" s="732"/>
      <c r="Y164" s="732"/>
      <c r="Z164" s="732"/>
      <c r="AA164" s="732"/>
      <c r="AB164" s="732"/>
      <c r="AC164" s="732"/>
      <c r="AD164" s="732"/>
      <c r="AE164" s="732"/>
      <c r="AF164" s="732"/>
      <c r="AG164" s="732"/>
      <c r="AH164" s="732"/>
      <c r="AI164" s="732"/>
      <c r="AJ164" s="732"/>
      <c r="AK164" s="732"/>
      <c r="AL164" s="732"/>
      <c r="AM164" s="732"/>
      <c r="AN164" s="732"/>
      <c r="AO164" s="732"/>
      <c r="AP164" s="732"/>
      <c r="AQ164" s="732"/>
      <c r="AR164" s="732"/>
      <c r="AS164" s="732"/>
      <c r="AT164" s="732"/>
      <c r="AU164" s="732"/>
      <c r="AV164" s="732"/>
      <c r="AW164" s="732"/>
      <c r="AX164" s="732"/>
      <c r="AY164" s="732"/>
      <c r="AZ164" s="239"/>
      <c r="BA164" s="239"/>
      <c r="BB164" s="239"/>
    </row>
    <row r="165" spans="1:54" ht="12.6" customHeight="1" x14ac:dyDescent="0.25">
      <c r="A165" s="703" t="s">
        <v>1416</v>
      </c>
      <c r="B165" s="703"/>
      <c r="C165" s="703"/>
      <c r="D165" s="703"/>
      <c r="E165" s="703"/>
      <c r="F165" s="703"/>
      <c r="G165" s="703"/>
      <c r="H165" s="703"/>
      <c r="I165" s="703"/>
      <c r="J165" s="703"/>
      <c r="K165" s="703"/>
      <c r="L165" s="703"/>
      <c r="M165" s="703"/>
      <c r="N165" s="703"/>
      <c r="O165" s="703"/>
      <c r="P165" s="703"/>
      <c r="Q165" s="703"/>
      <c r="R165" s="703"/>
      <c r="S165" s="703"/>
      <c r="T165" s="703"/>
      <c r="U165" s="703"/>
      <c r="V165" s="703"/>
      <c r="W165" s="703"/>
      <c r="X165" s="703"/>
      <c r="Y165" s="703"/>
      <c r="Z165" s="703"/>
      <c r="AA165" s="703"/>
      <c r="AB165" s="703"/>
      <c r="AC165" s="703"/>
      <c r="AD165" s="703"/>
      <c r="AE165" s="703"/>
      <c r="AF165" s="703"/>
      <c r="AG165" s="703"/>
      <c r="AH165" s="703"/>
      <c r="AI165" s="703"/>
      <c r="AJ165" s="703"/>
      <c r="AK165" s="703"/>
      <c r="AL165" s="703"/>
      <c r="AM165" s="703"/>
      <c r="AN165" s="703"/>
      <c r="AO165" s="703"/>
      <c r="AP165" s="703"/>
      <c r="AQ165" s="703"/>
      <c r="AR165" s="703"/>
      <c r="AS165" s="703"/>
      <c r="AT165" s="703"/>
      <c r="AU165" s="703"/>
      <c r="AV165" s="703"/>
      <c r="AW165" s="703"/>
      <c r="AX165" s="703"/>
      <c r="AY165" s="703"/>
      <c r="AZ165" s="239"/>
      <c r="BA165" s="239"/>
      <c r="BB165" s="239"/>
    </row>
    <row r="166" spans="1:54" s="214" customFormat="1" ht="92.25" customHeight="1" x14ac:dyDescent="0.25">
      <c r="A166" s="732" t="s">
        <v>1417</v>
      </c>
      <c r="B166" s="732"/>
      <c r="C166" s="732"/>
      <c r="D166" s="732"/>
      <c r="E166" s="732"/>
      <c r="F166" s="732"/>
      <c r="G166" s="732"/>
      <c r="H166" s="732"/>
      <c r="I166" s="732"/>
      <c r="J166" s="732"/>
      <c r="K166" s="732"/>
      <c r="L166" s="732"/>
      <c r="M166" s="732"/>
      <c r="N166" s="732"/>
      <c r="O166" s="732"/>
      <c r="P166" s="732"/>
      <c r="Q166" s="732"/>
      <c r="R166" s="732"/>
      <c r="S166" s="732"/>
      <c r="T166" s="732"/>
      <c r="U166" s="732"/>
      <c r="V166" s="732"/>
      <c r="W166" s="732"/>
      <c r="X166" s="732"/>
      <c r="Y166" s="732"/>
      <c r="Z166" s="732"/>
      <c r="AA166" s="732"/>
      <c r="AB166" s="732"/>
      <c r="AC166" s="732"/>
      <c r="AD166" s="732"/>
      <c r="AE166" s="732"/>
      <c r="AF166" s="732"/>
      <c r="AG166" s="732"/>
      <c r="AH166" s="732"/>
      <c r="AI166" s="732"/>
      <c r="AJ166" s="732"/>
      <c r="AK166" s="732"/>
      <c r="AL166" s="732"/>
      <c r="AM166" s="732"/>
      <c r="AN166" s="732"/>
      <c r="AO166" s="732"/>
      <c r="AP166" s="732"/>
      <c r="AQ166" s="732"/>
      <c r="AR166" s="732"/>
      <c r="AS166" s="732"/>
      <c r="AT166" s="732"/>
      <c r="AU166" s="732"/>
      <c r="AV166" s="732"/>
      <c r="AW166" s="732"/>
      <c r="AX166" s="732"/>
      <c r="AY166" s="732"/>
      <c r="AZ166" s="206"/>
      <c r="BA166" s="206"/>
      <c r="BB166" s="206"/>
    </row>
    <row r="167" spans="1:54" ht="12.6" customHeight="1" x14ac:dyDescent="0.25">
      <c r="A167" s="703" t="s">
        <v>1418</v>
      </c>
      <c r="B167" s="703"/>
      <c r="C167" s="703"/>
      <c r="D167" s="703"/>
      <c r="E167" s="703"/>
      <c r="F167" s="703"/>
      <c r="G167" s="703"/>
      <c r="H167" s="703"/>
      <c r="I167" s="703"/>
      <c r="J167" s="703"/>
      <c r="K167" s="703"/>
      <c r="L167" s="703"/>
      <c r="M167" s="703"/>
      <c r="N167" s="703"/>
      <c r="O167" s="703"/>
      <c r="P167" s="703"/>
      <c r="Q167" s="703"/>
      <c r="R167" s="703"/>
      <c r="S167" s="703"/>
      <c r="T167" s="703"/>
      <c r="U167" s="703"/>
      <c r="V167" s="703"/>
      <c r="W167" s="703"/>
      <c r="X167" s="703"/>
      <c r="Y167" s="703"/>
      <c r="Z167" s="703"/>
      <c r="AA167" s="703"/>
      <c r="AB167" s="703"/>
      <c r="AC167" s="703"/>
      <c r="AD167" s="703"/>
      <c r="AE167" s="703"/>
      <c r="AF167" s="703"/>
      <c r="AG167" s="703"/>
      <c r="AH167" s="703"/>
      <c r="AI167" s="703"/>
      <c r="AJ167" s="703"/>
      <c r="AK167" s="703"/>
      <c r="AL167" s="703"/>
      <c r="AM167" s="703"/>
      <c r="AN167" s="703"/>
      <c r="AO167" s="703"/>
      <c r="AP167" s="703"/>
      <c r="AQ167" s="703"/>
      <c r="AR167" s="703"/>
      <c r="AS167" s="703"/>
      <c r="AT167" s="703"/>
      <c r="AU167" s="703"/>
      <c r="AV167" s="703"/>
      <c r="AW167" s="703"/>
      <c r="AX167" s="703"/>
      <c r="AY167" s="703"/>
      <c r="AZ167" s="206"/>
      <c r="BA167" s="206"/>
      <c r="BB167" s="206"/>
    </row>
    <row r="168" spans="1:54" ht="25.5" customHeight="1" x14ac:dyDescent="0.25">
      <c r="A168" s="732" t="s">
        <v>1419</v>
      </c>
      <c r="B168" s="732"/>
      <c r="C168" s="732"/>
      <c r="D168" s="732"/>
      <c r="E168" s="732"/>
      <c r="F168" s="732"/>
      <c r="G168" s="732"/>
      <c r="H168" s="732"/>
      <c r="I168" s="732"/>
      <c r="J168" s="732"/>
      <c r="K168" s="732"/>
      <c r="L168" s="732"/>
      <c r="M168" s="732"/>
      <c r="N168" s="732"/>
      <c r="O168" s="732"/>
      <c r="P168" s="732"/>
      <c r="Q168" s="732"/>
      <c r="R168" s="732"/>
      <c r="S168" s="732"/>
      <c r="T168" s="732"/>
      <c r="U168" s="732"/>
      <c r="V168" s="732"/>
      <c r="W168" s="732"/>
      <c r="X168" s="732"/>
      <c r="Y168" s="732"/>
      <c r="Z168" s="732"/>
      <c r="AA168" s="732"/>
      <c r="AB168" s="732"/>
      <c r="AC168" s="732"/>
      <c r="AD168" s="732"/>
      <c r="AE168" s="732"/>
      <c r="AF168" s="732"/>
      <c r="AG168" s="732"/>
      <c r="AH168" s="732"/>
      <c r="AI168" s="732"/>
      <c r="AJ168" s="732"/>
      <c r="AK168" s="732"/>
      <c r="AL168" s="732"/>
      <c r="AM168" s="732"/>
      <c r="AN168" s="732"/>
      <c r="AO168" s="732"/>
      <c r="AP168" s="732"/>
      <c r="AQ168" s="732"/>
      <c r="AR168" s="732"/>
      <c r="AS168" s="732"/>
      <c r="AT168" s="732"/>
      <c r="AU168" s="732"/>
      <c r="AV168" s="732"/>
      <c r="AW168" s="732"/>
      <c r="AX168" s="732"/>
      <c r="AY168" s="732"/>
      <c r="AZ168" s="206"/>
      <c r="BA168" s="206"/>
      <c r="BB168" s="206"/>
    </row>
    <row r="169" spans="1:54" ht="13.5" customHeight="1" x14ac:dyDescent="0.25">
      <c r="A169" s="703" t="s">
        <v>1420</v>
      </c>
      <c r="B169" s="703"/>
      <c r="C169" s="703"/>
      <c r="D169" s="703"/>
      <c r="E169" s="703"/>
      <c r="F169" s="703"/>
      <c r="G169" s="703"/>
      <c r="H169" s="703"/>
      <c r="I169" s="703"/>
      <c r="J169" s="703"/>
      <c r="K169" s="703"/>
      <c r="L169" s="703"/>
      <c r="M169" s="703"/>
      <c r="N169" s="703"/>
      <c r="O169" s="703"/>
      <c r="P169" s="703"/>
      <c r="Q169" s="703"/>
      <c r="R169" s="703"/>
      <c r="S169" s="703"/>
      <c r="T169" s="703"/>
      <c r="U169" s="703"/>
      <c r="V169" s="703"/>
      <c r="W169" s="703"/>
      <c r="X169" s="703"/>
      <c r="Y169" s="703"/>
      <c r="Z169" s="703"/>
      <c r="AA169" s="703"/>
      <c r="AB169" s="703"/>
      <c r="AC169" s="703"/>
      <c r="AD169" s="703"/>
      <c r="AE169" s="703"/>
      <c r="AF169" s="703"/>
      <c r="AG169" s="703"/>
      <c r="AH169" s="703"/>
      <c r="AI169" s="703"/>
      <c r="AJ169" s="703"/>
      <c r="AK169" s="703"/>
      <c r="AL169" s="703"/>
      <c r="AM169" s="703"/>
      <c r="AN169" s="703"/>
      <c r="AO169" s="703"/>
      <c r="AP169" s="703"/>
      <c r="AQ169" s="703"/>
      <c r="AR169" s="703"/>
      <c r="AS169" s="703"/>
      <c r="AT169" s="703"/>
      <c r="AU169" s="703"/>
      <c r="AV169" s="703"/>
      <c r="AW169" s="703"/>
      <c r="AX169" s="703"/>
      <c r="AY169" s="703"/>
      <c r="AZ169" s="206"/>
      <c r="BA169" s="206"/>
      <c r="BB169" s="206"/>
    </row>
    <row r="170" spans="1:54" ht="51.75" customHeight="1" x14ac:dyDescent="0.25">
      <c r="A170" s="732" t="s">
        <v>1421</v>
      </c>
      <c r="B170" s="732"/>
      <c r="C170" s="732"/>
      <c r="D170" s="732"/>
      <c r="E170" s="732"/>
      <c r="F170" s="732"/>
      <c r="G170" s="732"/>
      <c r="H170" s="732"/>
      <c r="I170" s="732"/>
      <c r="J170" s="732"/>
      <c r="K170" s="732"/>
      <c r="L170" s="732"/>
      <c r="M170" s="732"/>
      <c r="N170" s="732"/>
      <c r="O170" s="732"/>
      <c r="P170" s="732"/>
      <c r="Q170" s="732"/>
      <c r="R170" s="732"/>
      <c r="S170" s="732"/>
      <c r="T170" s="732"/>
      <c r="U170" s="732"/>
      <c r="V170" s="732"/>
      <c r="W170" s="732"/>
      <c r="X170" s="732"/>
      <c r="Y170" s="732"/>
      <c r="Z170" s="732"/>
      <c r="AA170" s="732"/>
      <c r="AB170" s="732"/>
      <c r="AC170" s="732"/>
      <c r="AD170" s="732"/>
      <c r="AE170" s="732"/>
      <c r="AF170" s="732"/>
      <c r="AG170" s="732"/>
      <c r="AH170" s="732"/>
      <c r="AI170" s="732"/>
      <c r="AJ170" s="732"/>
      <c r="AK170" s="732"/>
      <c r="AL170" s="732"/>
      <c r="AM170" s="732"/>
      <c r="AN170" s="732"/>
      <c r="AO170" s="732"/>
      <c r="AP170" s="732"/>
      <c r="AQ170" s="732"/>
      <c r="AR170" s="732"/>
      <c r="AS170" s="732"/>
      <c r="AT170" s="732"/>
      <c r="AU170" s="732"/>
      <c r="AV170" s="732"/>
      <c r="AW170" s="732"/>
      <c r="AX170" s="732"/>
      <c r="AY170" s="732"/>
      <c r="AZ170" s="206"/>
      <c r="BA170" s="206"/>
      <c r="BB170" s="206"/>
    </row>
    <row r="171" spans="1:54" ht="13.5" customHeight="1" x14ac:dyDescent="0.25">
      <c r="A171" s="703" t="s">
        <v>1422</v>
      </c>
      <c r="B171" s="703"/>
      <c r="C171" s="703"/>
      <c r="D171" s="703"/>
      <c r="E171" s="703"/>
      <c r="F171" s="703"/>
      <c r="G171" s="703"/>
      <c r="H171" s="703"/>
      <c r="I171" s="703"/>
      <c r="J171" s="703"/>
      <c r="K171" s="703"/>
      <c r="L171" s="703"/>
      <c r="M171" s="703"/>
      <c r="N171" s="703"/>
      <c r="O171" s="703"/>
      <c r="P171" s="703"/>
      <c r="Q171" s="703"/>
      <c r="R171" s="703"/>
      <c r="S171" s="703"/>
      <c r="T171" s="703"/>
      <c r="U171" s="703"/>
      <c r="V171" s="703"/>
      <c r="W171" s="703"/>
      <c r="X171" s="703"/>
      <c r="Y171" s="703"/>
      <c r="Z171" s="703"/>
      <c r="AA171" s="703"/>
      <c r="AB171" s="703"/>
      <c r="AC171" s="703"/>
      <c r="AD171" s="703"/>
      <c r="AE171" s="703"/>
      <c r="AF171" s="703"/>
      <c r="AG171" s="703"/>
      <c r="AH171" s="703"/>
      <c r="AI171" s="703"/>
      <c r="AJ171" s="703"/>
      <c r="AK171" s="703"/>
      <c r="AL171" s="703"/>
      <c r="AM171" s="703"/>
      <c r="AN171" s="703"/>
      <c r="AO171" s="703"/>
      <c r="AP171" s="703"/>
      <c r="AQ171" s="703"/>
      <c r="AR171" s="703"/>
      <c r="AS171" s="703"/>
      <c r="AT171" s="703"/>
      <c r="AU171" s="703"/>
      <c r="AV171" s="703"/>
      <c r="AW171" s="703"/>
      <c r="AX171" s="703"/>
      <c r="AY171" s="703"/>
      <c r="AZ171" s="206"/>
      <c r="BA171" s="206"/>
      <c r="BB171" s="206"/>
    </row>
    <row r="172" spans="1:54" ht="51.75" customHeight="1" x14ac:dyDescent="0.25">
      <c r="A172" s="732" t="s">
        <v>1423</v>
      </c>
      <c r="B172" s="732"/>
      <c r="C172" s="732"/>
      <c r="D172" s="732"/>
      <c r="E172" s="732"/>
      <c r="F172" s="732"/>
      <c r="G172" s="732"/>
      <c r="H172" s="732"/>
      <c r="I172" s="732"/>
      <c r="J172" s="732"/>
      <c r="K172" s="732"/>
      <c r="L172" s="732"/>
      <c r="M172" s="732"/>
      <c r="N172" s="732"/>
      <c r="O172" s="732"/>
      <c r="P172" s="732"/>
      <c r="Q172" s="732"/>
      <c r="R172" s="732"/>
      <c r="S172" s="732"/>
      <c r="T172" s="732"/>
      <c r="U172" s="732"/>
      <c r="V172" s="732"/>
      <c r="W172" s="732"/>
      <c r="X172" s="732"/>
      <c r="Y172" s="732"/>
      <c r="Z172" s="732"/>
      <c r="AA172" s="732"/>
      <c r="AB172" s="732"/>
      <c r="AC172" s="732"/>
      <c r="AD172" s="732"/>
      <c r="AE172" s="732"/>
      <c r="AF172" s="732"/>
      <c r="AG172" s="732"/>
      <c r="AH172" s="732"/>
      <c r="AI172" s="732"/>
      <c r="AJ172" s="732"/>
      <c r="AK172" s="732"/>
      <c r="AL172" s="732"/>
      <c r="AM172" s="732"/>
      <c r="AN172" s="732"/>
      <c r="AO172" s="732"/>
      <c r="AP172" s="732"/>
      <c r="AQ172" s="732"/>
      <c r="AR172" s="732"/>
      <c r="AS172" s="732"/>
      <c r="AT172" s="732"/>
      <c r="AU172" s="732"/>
      <c r="AV172" s="732"/>
      <c r="AW172" s="732"/>
      <c r="AX172" s="732"/>
      <c r="AY172" s="732"/>
      <c r="AZ172" s="206"/>
      <c r="BA172" s="206"/>
      <c r="BB172" s="206"/>
    </row>
    <row r="173" spans="1:54" ht="10.5" customHeight="1" x14ac:dyDescent="0.25">
      <c r="A173" s="230"/>
      <c r="B173" s="230"/>
      <c r="C173" s="230"/>
      <c r="D173" s="230"/>
      <c r="E173" s="230"/>
      <c r="F173" s="230"/>
      <c r="G173" s="230"/>
      <c r="H173" s="230"/>
      <c r="I173" s="230"/>
      <c r="J173" s="230"/>
      <c r="K173" s="230"/>
      <c r="L173" s="230"/>
      <c r="M173" s="230"/>
      <c r="N173" s="230"/>
      <c r="O173" s="230"/>
      <c r="P173" s="230"/>
      <c r="Q173" s="230"/>
      <c r="R173" s="230"/>
      <c r="S173" s="230"/>
      <c r="T173" s="230"/>
      <c r="U173" s="230"/>
      <c r="V173" s="230"/>
      <c r="W173" s="230"/>
      <c r="X173" s="230"/>
      <c r="Y173" s="230"/>
      <c r="Z173" s="230"/>
      <c r="AA173" s="230"/>
      <c r="AB173" s="230"/>
      <c r="AC173" s="230"/>
      <c r="AD173" s="230"/>
      <c r="AE173" s="230"/>
      <c r="AF173" s="230"/>
      <c r="AG173" s="230"/>
      <c r="AH173" s="230"/>
      <c r="AI173" s="230"/>
      <c r="AJ173" s="230"/>
      <c r="AK173" s="230"/>
      <c r="AL173" s="230"/>
      <c r="AM173" s="230"/>
      <c r="AN173" s="230"/>
      <c r="AO173" s="230"/>
      <c r="AP173" s="230"/>
      <c r="AQ173" s="230"/>
      <c r="AR173" s="230"/>
      <c r="AS173" s="230"/>
      <c r="AT173" s="230"/>
      <c r="AU173" s="230"/>
      <c r="AV173" s="230"/>
      <c r="AW173" s="230"/>
      <c r="AX173" s="230"/>
      <c r="AY173" s="230"/>
      <c r="AZ173" s="206"/>
      <c r="BA173" s="206"/>
      <c r="BB173" s="206"/>
    </row>
    <row r="174" spans="1:54" ht="13.5" customHeight="1" x14ac:dyDescent="0.25">
      <c r="A174" s="703" t="s">
        <v>1424</v>
      </c>
      <c r="B174" s="703"/>
      <c r="C174" s="703"/>
      <c r="D174" s="703"/>
      <c r="E174" s="703"/>
      <c r="F174" s="703"/>
      <c r="G174" s="703"/>
      <c r="H174" s="703"/>
      <c r="I174" s="703"/>
      <c r="J174" s="703"/>
      <c r="K174" s="703"/>
      <c r="L174" s="703"/>
      <c r="M174" s="703"/>
      <c r="N174" s="703"/>
      <c r="O174" s="703"/>
      <c r="P174" s="703"/>
      <c r="Q174" s="703"/>
      <c r="R174" s="703"/>
      <c r="S174" s="703"/>
      <c r="T174" s="703"/>
      <c r="U174" s="703"/>
      <c r="V174" s="703"/>
      <c r="W174" s="703"/>
      <c r="X174" s="703"/>
      <c r="Y174" s="703"/>
      <c r="Z174" s="703"/>
      <c r="AA174" s="703"/>
      <c r="AB174" s="703"/>
      <c r="AC174" s="703"/>
      <c r="AD174" s="703"/>
      <c r="AE174" s="703"/>
      <c r="AF174" s="703"/>
      <c r="AG174" s="703"/>
      <c r="AH174" s="703"/>
      <c r="AI174" s="703"/>
      <c r="AJ174" s="703"/>
      <c r="AK174" s="703"/>
      <c r="AL174" s="703"/>
      <c r="AM174" s="703"/>
      <c r="AN174" s="703"/>
      <c r="AO174" s="703"/>
      <c r="AP174" s="703"/>
      <c r="AQ174" s="703"/>
      <c r="AR174" s="703"/>
      <c r="AS174" s="703"/>
      <c r="AT174" s="703"/>
      <c r="AU174" s="703"/>
      <c r="AV174" s="703"/>
      <c r="AW174" s="703"/>
      <c r="AX174" s="703"/>
      <c r="AY174" s="703"/>
      <c r="AZ174" s="206"/>
      <c r="BA174" s="206"/>
      <c r="BB174" s="206"/>
    </row>
    <row r="175" spans="1:54" ht="143.25" customHeight="1" x14ac:dyDescent="0.25">
      <c r="A175" s="732" t="s">
        <v>1425</v>
      </c>
      <c r="B175" s="732"/>
      <c r="C175" s="732"/>
      <c r="D175" s="732"/>
      <c r="E175" s="732"/>
      <c r="F175" s="732"/>
      <c r="G175" s="732"/>
      <c r="H175" s="732"/>
      <c r="I175" s="732"/>
      <c r="J175" s="732"/>
      <c r="K175" s="732"/>
      <c r="L175" s="732"/>
      <c r="M175" s="732"/>
      <c r="N175" s="732"/>
      <c r="O175" s="732"/>
      <c r="P175" s="732"/>
      <c r="Q175" s="732"/>
      <c r="R175" s="732"/>
      <c r="S175" s="732"/>
      <c r="T175" s="732"/>
      <c r="U175" s="732"/>
      <c r="V175" s="732"/>
      <c r="W175" s="732"/>
      <c r="X175" s="732"/>
      <c r="Y175" s="732"/>
      <c r="Z175" s="732"/>
      <c r="AA175" s="732"/>
      <c r="AB175" s="732"/>
      <c r="AC175" s="732"/>
      <c r="AD175" s="732"/>
      <c r="AE175" s="732"/>
      <c r="AF175" s="732"/>
      <c r="AG175" s="732"/>
      <c r="AH175" s="732"/>
      <c r="AI175" s="732"/>
      <c r="AJ175" s="732"/>
      <c r="AK175" s="732"/>
      <c r="AL175" s="732"/>
      <c r="AM175" s="732"/>
      <c r="AN175" s="732"/>
      <c r="AO175" s="732"/>
      <c r="AP175" s="732"/>
      <c r="AQ175" s="732"/>
      <c r="AR175" s="732"/>
      <c r="AS175" s="732"/>
      <c r="AT175" s="732"/>
      <c r="AU175" s="732"/>
      <c r="AV175" s="732"/>
      <c r="AW175" s="732"/>
      <c r="AX175" s="732"/>
      <c r="AY175" s="732"/>
      <c r="AZ175" s="206"/>
      <c r="BA175" s="206"/>
      <c r="BB175" s="206"/>
    </row>
    <row r="176" spans="1:54" ht="12.6" customHeight="1" x14ac:dyDescent="0.25">
      <c r="A176" s="703" t="s">
        <v>1426</v>
      </c>
      <c r="B176" s="703"/>
      <c r="C176" s="703"/>
      <c r="D176" s="703"/>
      <c r="E176" s="703"/>
      <c r="F176" s="703"/>
      <c r="G176" s="703"/>
      <c r="H176" s="703"/>
      <c r="I176" s="703"/>
      <c r="J176" s="703"/>
      <c r="K176" s="703"/>
      <c r="L176" s="703"/>
      <c r="M176" s="703"/>
      <c r="N176" s="703"/>
      <c r="O176" s="703"/>
      <c r="P176" s="703"/>
      <c r="Q176" s="703"/>
      <c r="R176" s="703"/>
      <c r="S176" s="703"/>
      <c r="T176" s="703"/>
      <c r="U176" s="703"/>
      <c r="V176" s="703"/>
      <c r="W176" s="703"/>
      <c r="X176" s="703"/>
      <c r="Y176" s="703"/>
      <c r="Z176" s="703"/>
      <c r="AA176" s="703"/>
      <c r="AB176" s="703"/>
      <c r="AC176" s="703"/>
      <c r="AD176" s="703"/>
      <c r="AE176" s="703"/>
      <c r="AF176" s="703"/>
      <c r="AG176" s="703"/>
      <c r="AH176" s="703"/>
      <c r="AI176" s="703"/>
      <c r="AJ176" s="703"/>
      <c r="AK176" s="703"/>
      <c r="AL176" s="703"/>
      <c r="AM176" s="703"/>
      <c r="AN176" s="703"/>
      <c r="AO176" s="703"/>
      <c r="AP176" s="703"/>
      <c r="AQ176" s="703"/>
      <c r="AR176" s="703"/>
      <c r="AS176" s="703"/>
      <c r="AT176" s="703"/>
      <c r="AU176" s="703"/>
      <c r="AV176" s="703"/>
      <c r="AW176" s="703"/>
      <c r="AX176" s="703"/>
      <c r="AY176" s="703"/>
      <c r="AZ176" s="206"/>
      <c r="BA176" s="206"/>
      <c r="BB176" s="206"/>
    </row>
    <row r="177" spans="1:1024" ht="55.5" customHeight="1" x14ac:dyDescent="0.25">
      <c r="A177" s="732" t="s">
        <v>1427</v>
      </c>
      <c r="B177" s="732"/>
      <c r="C177" s="732"/>
      <c r="D177" s="732"/>
      <c r="E177" s="732"/>
      <c r="F177" s="732"/>
      <c r="G177" s="732"/>
      <c r="H177" s="732"/>
      <c r="I177" s="732"/>
      <c r="J177" s="732"/>
      <c r="K177" s="732"/>
      <c r="L177" s="732"/>
      <c r="M177" s="732"/>
      <c r="N177" s="732"/>
      <c r="O177" s="732"/>
      <c r="P177" s="732"/>
      <c r="Q177" s="732"/>
      <c r="R177" s="732"/>
      <c r="S177" s="732"/>
      <c r="T177" s="732"/>
      <c r="U177" s="732"/>
      <c r="V177" s="732"/>
      <c r="W177" s="732"/>
      <c r="X177" s="732"/>
      <c r="Y177" s="732"/>
      <c r="Z177" s="732"/>
      <c r="AA177" s="732"/>
      <c r="AB177" s="732"/>
      <c r="AC177" s="732"/>
      <c r="AD177" s="732"/>
      <c r="AE177" s="732"/>
      <c r="AF177" s="732"/>
      <c r="AG177" s="732"/>
      <c r="AH177" s="732"/>
      <c r="AI177" s="732"/>
      <c r="AJ177" s="732"/>
      <c r="AK177" s="732"/>
      <c r="AL177" s="732"/>
      <c r="AM177" s="732"/>
      <c r="AN177" s="732"/>
      <c r="AO177" s="732"/>
      <c r="AP177" s="732"/>
      <c r="AQ177" s="732"/>
      <c r="AR177" s="732"/>
      <c r="AS177" s="732"/>
      <c r="AT177" s="732"/>
      <c r="AU177" s="732"/>
      <c r="AV177" s="732"/>
      <c r="AW177" s="732"/>
      <c r="AX177" s="732"/>
      <c r="AY177" s="732"/>
      <c r="AZ177" s="206"/>
      <c r="BA177" s="206"/>
      <c r="BB177" s="206"/>
    </row>
    <row r="178" spans="1:1024" ht="12.6" customHeight="1" x14ac:dyDescent="0.25">
      <c r="A178" s="703" t="s">
        <v>1428</v>
      </c>
      <c r="B178" s="703"/>
      <c r="C178" s="703"/>
      <c r="D178" s="703"/>
      <c r="E178" s="703"/>
      <c r="F178" s="703"/>
      <c r="G178" s="703"/>
      <c r="H178" s="703"/>
      <c r="I178" s="703"/>
      <c r="J178" s="703"/>
      <c r="K178" s="703"/>
      <c r="L178" s="703"/>
      <c r="M178" s="703"/>
      <c r="N178" s="703"/>
      <c r="O178" s="703"/>
      <c r="P178" s="703"/>
      <c r="Q178" s="703"/>
      <c r="R178" s="703"/>
      <c r="S178" s="703"/>
      <c r="T178" s="703"/>
      <c r="U178" s="703"/>
      <c r="V178" s="703"/>
      <c r="W178" s="703"/>
      <c r="X178" s="703"/>
      <c r="Y178" s="703"/>
      <c r="Z178" s="703"/>
      <c r="AA178" s="703"/>
      <c r="AB178" s="703"/>
      <c r="AC178" s="703"/>
      <c r="AD178" s="703"/>
      <c r="AE178" s="703"/>
      <c r="AF178" s="703"/>
      <c r="AG178" s="703"/>
      <c r="AH178" s="703"/>
      <c r="AI178" s="703"/>
      <c r="AJ178" s="703"/>
      <c r="AK178" s="703"/>
      <c r="AL178" s="703"/>
      <c r="AM178" s="703"/>
      <c r="AN178" s="703"/>
      <c r="AO178" s="703"/>
      <c r="AP178" s="703"/>
      <c r="AQ178" s="703"/>
      <c r="AR178" s="703"/>
      <c r="AS178" s="703"/>
      <c r="AT178" s="703"/>
      <c r="AU178" s="703"/>
      <c r="AV178" s="703"/>
      <c r="AW178" s="703"/>
      <c r="AX178" s="703"/>
      <c r="AY178" s="703"/>
      <c r="AZ178" s="206"/>
      <c r="BA178" s="206"/>
      <c r="BB178" s="206"/>
    </row>
    <row r="179" spans="1:1024" ht="12.6" customHeight="1" x14ac:dyDescent="0.25">
      <c r="A179" s="697" t="s">
        <v>1429</v>
      </c>
      <c r="B179" s="697"/>
      <c r="C179" s="697"/>
      <c r="D179" s="697"/>
      <c r="E179" s="697"/>
      <c r="F179" s="697"/>
      <c r="G179" s="697"/>
      <c r="H179" s="697"/>
      <c r="I179" s="697"/>
      <c r="J179" s="697"/>
      <c r="K179" s="697"/>
      <c r="L179" s="697"/>
      <c r="M179" s="697"/>
      <c r="N179" s="697"/>
      <c r="O179" s="697"/>
      <c r="P179" s="697"/>
      <c r="Q179" s="697"/>
      <c r="R179" s="697"/>
      <c r="S179" s="697"/>
      <c r="T179" s="697"/>
      <c r="U179" s="697"/>
      <c r="V179" s="697"/>
      <c r="W179" s="697"/>
      <c r="X179" s="697"/>
      <c r="Y179" s="697"/>
      <c r="Z179" s="697"/>
      <c r="AA179" s="697"/>
      <c r="AB179" s="697"/>
      <c r="AC179" s="697"/>
      <c r="AD179" s="697"/>
      <c r="AE179" s="697"/>
      <c r="AF179" s="697"/>
      <c r="AG179" s="697"/>
      <c r="AH179" s="697"/>
      <c r="AI179" s="697"/>
      <c r="AJ179" s="697"/>
      <c r="AK179" s="697"/>
      <c r="AL179" s="697"/>
      <c r="AM179" s="697"/>
      <c r="AN179" s="697"/>
      <c r="AO179" s="697"/>
      <c r="AP179" s="697"/>
      <c r="AQ179" s="697"/>
      <c r="AR179" s="697"/>
      <c r="AS179" s="697"/>
      <c r="AT179" s="697"/>
      <c r="AU179" s="697"/>
      <c r="AV179" s="697"/>
      <c r="AW179" s="697"/>
      <c r="AX179" s="697"/>
      <c r="AY179" s="697"/>
      <c r="AZ179" s="206"/>
      <c r="BA179" s="206"/>
      <c r="BB179" s="206"/>
    </row>
    <row r="180" spans="1:1024" ht="12.6" customHeight="1" x14ac:dyDescent="0.25">
      <c r="A180" s="703" t="s">
        <v>1430</v>
      </c>
      <c r="B180" s="703"/>
      <c r="C180" s="703"/>
      <c r="D180" s="703"/>
      <c r="E180" s="703"/>
      <c r="F180" s="703"/>
      <c r="G180" s="703"/>
      <c r="H180" s="703"/>
      <c r="I180" s="703"/>
      <c r="J180" s="703"/>
      <c r="K180" s="703"/>
      <c r="L180" s="703"/>
      <c r="M180" s="703"/>
      <c r="N180" s="703"/>
      <c r="O180" s="703"/>
      <c r="P180" s="703"/>
      <c r="Q180" s="703"/>
      <c r="R180" s="703"/>
      <c r="S180" s="703"/>
      <c r="T180" s="703"/>
      <c r="U180" s="703"/>
      <c r="V180" s="703"/>
      <c r="W180" s="703"/>
      <c r="X180" s="703"/>
      <c r="Y180" s="703"/>
      <c r="Z180" s="703"/>
      <c r="AA180" s="703"/>
      <c r="AB180" s="703"/>
      <c r="AC180" s="703"/>
      <c r="AD180" s="703"/>
      <c r="AE180" s="703"/>
      <c r="AF180" s="703"/>
      <c r="AG180" s="703"/>
      <c r="AH180" s="703"/>
      <c r="AI180" s="703"/>
      <c r="AJ180" s="703"/>
      <c r="AK180" s="703"/>
      <c r="AL180" s="703"/>
      <c r="AM180" s="703"/>
      <c r="AN180" s="703"/>
      <c r="AO180" s="703"/>
      <c r="AP180" s="703"/>
      <c r="AQ180" s="703"/>
      <c r="AR180" s="703"/>
      <c r="AS180" s="703"/>
      <c r="AT180" s="703"/>
      <c r="AU180" s="703"/>
      <c r="AV180" s="703"/>
      <c r="AW180" s="703"/>
      <c r="AX180" s="703"/>
      <c r="AY180" s="703"/>
      <c r="AZ180" s="206"/>
      <c r="BA180" s="206"/>
      <c r="BB180" s="206"/>
    </row>
    <row r="181" spans="1:1024" ht="13.5" customHeight="1" x14ac:dyDescent="0.25">
      <c r="A181" s="732" t="s">
        <v>1431</v>
      </c>
      <c r="B181" s="732"/>
      <c r="C181" s="732"/>
      <c r="D181" s="732"/>
      <c r="E181" s="732"/>
      <c r="F181" s="732"/>
      <c r="G181" s="732"/>
      <c r="H181" s="732"/>
      <c r="I181" s="732"/>
      <c r="J181" s="732"/>
      <c r="K181" s="732"/>
      <c r="L181" s="732"/>
      <c r="M181" s="732"/>
      <c r="N181" s="732"/>
      <c r="O181" s="732"/>
      <c r="P181" s="732"/>
      <c r="Q181" s="732"/>
      <c r="R181" s="732"/>
      <c r="S181" s="732"/>
      <c r="T181" s="732"/>
      <c r="U181" s="732"/>
      <c r="V181" s="732"/>
      <c r="W181" s="732"/>
      <c r="X181" s="732"/>
      <c r="Y181" s="732"/>
      <c r="Z181" s="732"/>
      <c r="AA181" s="732"/>
      <c r="AB181" s="732"/>
      <c r="AC181" s="732"/>
      <c r="AD181" s="732"/>
      <c r="AE181" s="732"/>
      <c r="AF181" s="732"/>
      <c r="AG181" s="732"/>
      <c r="AH181" s="732"/>
      <c r="AI181" s="732"/>
      <c r="AJ181" s="732"/>
      <c r="AK181" s="732"/>
      <c r="AL181" s="732"/>
      <c r="AM181" s="732"/>
      <c r="AN181" s="732"/>
      <c r="AO181" s="732"/>
      <c r="AP181" s="732"/>
      <c r="AQ181" s="732"/>
      <c r="AR181" s="732"/>
      <c r="AS181" s="732"/>
      <c r="AT181" s="732"/>
      <c r="AU181" s="732"/>
      <c r="AV181" s="732"/>
      <c r="AW181" s="732"/>
      <c r="AX181" s="732"/>
      <c r="AY181" s="732"/>
      <c r="AZ181" s="206"/>
      <c r="BA181" s="206"/>
      <c r="BB181" s="206"/>
    </row>
    <row r="182" spans="1:1024" ht="12.6" customHeight="1" x14ac:dyDescent="0.25">
      <c r="A182" s="703" t="s">
        <v>1432</v>
      </c>
      <c r="B182" s="703"/>
      <c r="C182" s="703"/>
      <c r="D182" s="703"/>
      <c r="E182" s="703"/>
      <c r="F182" s="703"/>
      <c r="G182" s="703"/>
      <c r="H182" s="703"/>
      <c r="I182" s="703"/>
      <c r="J182" s="703"/>
      <c r="K182" s="703"/>
      <c r="L182" s="703"/>
      <c r="M182" s="703"/>
      <c r="N182" s="703"/>
      <c r="O182" s="703"/>
      <c r="P182" s="703"/>
      <c r="Q182" s="703"/>
      <c r="R182" s="703"/>
      <c r="S182" s="703"/>
      <c r="T182" s="703"/>
      <c r="U182" s="703"/>
      <c r="V182" s="703"/>
      <c r="W182" s="703"/>
      <c r="X182" s="703"/>
      <c r="Y182" s="703"/>
      <c r="Z182" s="703"/>
      <c r="AA182" s="703"/>
      <c r="AB182" s="703"/>
      <c r="AC182" s="703"/>
      <c r="AD182" s="703"/>
      <c r="AE182" s="703"/>
      <c r="AF182" s="703"/>
      <c r="AG182" s="703"/>
      <c r="AH182" s="703"/>
      <c r="AI182" s="703"/>
      <c r="AJ182" s="703"/>
      <c r="AK182" s="703"/>
      <c r="AL182" s="703"/>
      <c r="AM182" s="703"/>
      <c r="AN182" s="703"/>
      <c r="AO182" s="703"/>
      <c r="AP182" s="703"/>
      <c r="AQ182" s="703"/>
      <c r="AR182" s="703"/>
      <c r="AS182" s="703"/>
      <c r="AT182" s="703"/>
      <c r="AU182" s="703"/>
      <c r="AV182" s="703"/>
      <c r="AW182" s="703"/>
      <c r="AX182" s="703"/>
      <c r="AY182" s="703"/>
      <c r="AZ182" s="206"/>
      <c r="BA182" s="206"/>
      <c r="BB182" s="206"/>
    </row>
    <row r="183" spans="1:1024" ht="51" customHeight="1" x14ac:dyDescent="0.25">
      <c r="A183" s="732" t="s">
        <v>1433</v>
      </c>
      <c r="B183" s="732"/>
      <c r="C183" s="732"/>
      <c r="D183" s="732"/>
      <c r="E183" s="732"/>
      <c r="F183" s="732"/>
      <c r="G183" s="732"/>
      <c r="H183" s="732"/>
      <c r="I183" s="732"/>
      <c r="J183" s="732"/>
      <c r="K183" s="732"/>
      <c r="L183" s="732"/>
      <c r="M183" s="732"/>
      <c r="N183" s="732"/>
      <c r="O183" s="732"/>
      <c r="P183" s="732"/>
      <c r="Q183" s="732"/>
      <c r="R183" s="732"/>
      <c r="S183" s="732"/>
      <c r="T183" s="732"/>
      <c r="U183" s="732"/>
      <c r="V183" s="732"/>
      <c r="W183" s="732"/>
      <c r="X183" s="732"/>
      <c r="Y183" s="732"/>
      <c r="Z183" s="732"/>
      <c r="AA183" s="732"/>
      <c r="AB183" s="732"/>
      <c r="AC183" s="732"/>
      <c r="AD183" s="732"/>
      <c r="AE183" s="732"/>
      <c r="AF183" s="732"/>
      <c r="AG183" s="732"/>
      <c r="AH183" s="732"/>
      <c r="AI183" s="732"/>
      <c r="AJ183" s="732"/>
      <c r="AK183" s="732"/>
      <c r="AL183" s="732"/>
      <c r="AM183" s="732"/>
      <c r="AN183" s="732"/>
      <c r="AO183" s="732"/>
      <c r="AP183" s="732"/>
      <c r="AQ183" s="732"/>
      <c r="AR183" s="732"/>
      <c r="AS183" s="732"/>
      <c r="AT183" s="732"/>
      <c r="AU183" s="732"/>
      <c r="AV183" s="732"/>
      <c r="AW183" s="732"/>
      <c r="AX183" s="732"/>
      <c r="AY183" s="732"/>
      <c r="AZ183" s="206"/>
      <c r="BA183" s="206"/>
      <c r="BB183" s="206"/>
    </row>
    <row r="184" spans="1:1024" ht="12.6" customHeight="1" x14ac:dyDescent="0.25">
      <c r="A184" s="703" t="s">
        <v>1434</v>
      </c>
      <c r="B184" s="703"/>
      <c r="C184" s="703"/>
      <c r="D184" s="703"/>
      <c r="E184" s="703"/>
      <c r="F184" s="703"/>
      <c r="G184" s="703"/>
      <c r="H184" s="703"/>
      <c r="I184" s="703"/>
      <c r="J184" s="703"/>
      <c r="K184" s="703"/>
      <c r="L184" s="703"/>
      <c r="M184" s="703"/>
      <c r="N184" s="703"/>
      <c r="O184" s="703"/>
      <c r="P184" s="703"/>
      <c r="Q184" s="703"/>
      <c r="R184" s="703"/>
      <c r="S184" s="703"/>
      <c r="T184" s="703"/>
      <c r="U184" s="703"/>
      <c r="V184" s="703"/>
      <c r="W184" s="703"/>
      <c r="X184" s="703"/>
      <c r="Y184" s="703"/>
      <c r="Z184" s="703"/>
      <c r="AA184" s="703"/>
      <c r="AB184" s="703"/>
      <c r="AC184" s="703"/>
      <c r="AD184" s="703"/>
      <c r="AE184" s="703"/>
      <c r="AF184" s="703"/>
      <c r="AG184" s="703"/>
      <c r="AH184" s="703"/>
      <c r="AI184" s="703"/>
      <c r="AJ184" s="703"/>
      <c r="AK184" s="703"/>
      <c r="AL184" s="703"/>
      <c r="AM184" s="703"/>
      <c r="AN184" s="703"/>
      <c r="AO184" s="703"/>
      <c r="AP184" s="703"/>
      <c r="AQ184" s="703"/>
      <c r="AR184" s="703"/>
      <c r="AS184" s="703"/>
      <c r="AT184" s="703"/>
      <c r="AU184" s="703"/>
      <c r="AV184" s="703"/>
      <c r="AW184" s="703"/>
      <c r="AX184" s="703"/>
      <c r="AY184" s="703"/>
      <c r="AZ184" s="206"/>
      <c r="BA184" s="206"/>
      <c r="BB184" s="206"/>
    </row>
    <row r="185" spans="1:1024" ht="63" customHeight="1" x14ac:dyDescent="0.25">
      <c r="A185" s="732" t="s">
        <v>1435</v>
      </c>
      <c r="B185" s="732"/>
      <c r="C185" s="732"/>
      <c r="D185" s="732"/>
      <c r="E185" s="732"/>
      <c r="F185" s="732"/>
      <c r="G185" s="732"/>
      <c r="H185" s="732"/>
      <c r="I185" s="732"/>
      <c r="J185" s="732"/>
      <c r="K185" s="732"/>
      <c r="L185" s="732"/>
      <c r="M185" s="732"/>
      <c r="N185" s="732"/>
      <c r="O185" s="732"/>
      <c r="P185" s="732"/>
      <c r="Q185" s="732"/>
      <c r="R185" s="732"/>
      <c r="S185" s="732"/>
      <c r="T185" s="732"/>
      <c r="U185" s="732"/>
      <c r="V185" s="732"/>
      <c r="W185" s="732"/>
      <c r="X185" s="732"/>
      <c r="Y185" s="732"/>
      <c r="Z185" s="732"/>
      <c r="AA185" s="732"/>
      <c r="AB185" s="732"/>
      <c r="AC185" s="732"/>
      <c r="AD185" s="732"/>
      <c r="AE185" s="732"/>
      <c r="AF185" s="732"/>
      <c r="AG185" s="732"/>
      <c r="AH185" s="732"/>
      <c r="AI185" s="732"/>
      <c r="AJ185" s="732"/>
      <c r="AK185" s="732"/>
      <c r="AL185" s="732"/>
      <c r="AM185" s="732"/>
      <c r="AN185" s="732"/>
      <c r="AO185" s="732"/>
      <c r="AP185" s="732"/>
      <c r="AQ185" s="732"/>
      <c r="AR185" s="732"/>
      <c r="AS185" s="732"/>
      <c r="AT185" s="732"/>
      <c r="AU185" s="732"/>
      <c r="AV185" s="732"/>
      <c r="AW185" s="732"/>
      <c r="AX185" s="732"/>
      <c r="AY185" s="732"/>
      <c r="AZ185" s="206"/>
      <c r="BA185" s="206"/>
      <c r="BB185" s="206"/>
    </row>
    <row r="186" spans="1:1024" ht="13.5" customHeight="1" x14ac:dyDescent="0.25">
      <c r="A186" s="703" t="s">
        <v>1436</v>
      </c>
      <c r="B186" s="703"/>
      <c r="C186" s="703"/>
      <c r="D186" s="703"/>
      <c r="E186" s="703"/>
      <c r="F186" s="703"/>
      <c r="G186" s="703"/>
      <c r="H186" s="703"/>
      <c r="I186" s="703"/>
      <c r="J186" s="703"/>
      <c r="K186" s="703"/>
      <c r="L186" s="703"/>
      <c r="M186" s="703"/>
      <c r="N186" s="703"/>
      <c r="O186" s="703"/>
      <c r="P186" s="703"/>
      <c r="Q186" s="703"/>
      <c r="R186" s="703"/>
      <c r="S186" s="703"/>
      <c r="T186" s="703"/>
      <c r="U186" s="703"/>
      <c r="V186" s="703"/>
      <c r="W186" s="703"/>
      <c r="X186" s="703"/>
      <c r="Y186" s="703"/>
      <c r="Z186" s="703"/>
      <c r="AA186" s="703"/>
      <c r="AB186" s="703"/>
      <c r="AC186" s="703"/>
      <c r="AD186" s="703"/>
      <c r="AE186" s="703"/>
      <c r="AF186" s="703"/>
      <c r="AG186" s="703"/>
      <c r="AH186" s="703"/>
      <c r="AI186" s="703"/>
      <c r="AJ186" s="703"/>
      <c r="AK186" s="703"/>
      <c r="AL186" s="703"/>
      <c r="AM186" s="703"/>
      <c r="AN186" s="703"/>
      <c r="AO186" s="703"/>
      <c r="AP186" s="703"/>
      <c r="AQ186" s="703"/>
      <c r="AR186" s="703"/>
      <c r="AS186" s="703"/>
      <c r="AT186" s="703"/>
      <c r="AU186" s="703"/>
      <c r="AV186" s="703"/>
      <c r="AW186" s="703"/>
      <c r="AX186" s="703"/>
      <c r="AY186" s="703"/>
      <c r="AZ186" s="206"/>
      <c r="BA186" s="206"/>
      <c r="BB186" s="206"/>
    </row>
    <row r="187" spans="1:1024" s="230" customFormat="1" ht="114" customHeight="1" x14ac:dyDescent="0.25">
      <c r="A187" s="732" t="s">
        <v>1437</v>
      </c>
      <c r="B187" s="732"/>
      <c r="C187" s="732"/>
      <c r="D187" s="732"/>
      <c r="E187" s="732"/>
      <c r="F187" s="732"/>
      <c r="G187" s="732"/>
      <c r="H187" s="732"/>
      <c r="I187" s="732"/>
      <c r="J187" s="732"/>
      <c r="K187" s="732"/>
      <c r="L187" s="732"/>
      <c r="M187" s="732"/>
      <c r="N187" s="732"/>
      <c r="O187" s="732"/>
      <c r="P187" s="732"/>
      <c r="Q187" s="732"/>
      <c r="R187" s="732"/>
      <c r="S187" s="732"/>
      <c r="T187" s="732"/>
      <c r="U187" s="732"/>
      <c r="V187" s="732"/>
      <c r="W187" s="732"/>
      <c r="X187" s="732"/>
      <c r="Y187" s="732"/>
      <c r="Z187" s="732"/>
      <c r="AA187" s="732"/>
      <c r="AB187" s="732"/>
      <c r="AC187" s="732"/>
      <c r="AD187" s="732"/>
      <c r="AE187" s="732"/>
      <c r="AF187" s="732"/>
      <c r="AG187" s="732"/>
      <c r="AH187" s="732"/>
      <c r="AI187" s="732"/>
      <c r="AJ187" s="732"/>
      <c r="AK187" s="732"/>
      <c r="AL187" s="732"/>
      <c r="AM187" s="732"/>
      <c r="AN187" s="732"/>
      <c r="AO187" s="732"/>
      <c r="AP187" s="732"/>
      <c r="AQ187" s="732"/>
      <c r="AR187" s="732"/>
      <c r="AS187" s="732"/>
      <c r="AT187" s="732"/>
      <c r="AU187" s="732"/>
      <c r="AV187" s="732"/>
      <c r="AW187" s="732"/>
      <c r="AX187" s="732"/>
      <c r="AY187" s="732"/>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T187" s="229"/>
      <c r="BU187" s="229"/>
      <c r="BV187" s="229"/>
      <c r="BW187" s="229"/>
      <c r="BX187" s="229"/>
      <c r="BY187" s="229"/>
      <c r="BZ187" s="229"/>
      <c r="CA187" s="229"/>
      <c r="CB187" s="229"/>
      <c r="CC187" s="229"/>
      <c r="CD187" s="229"/>
      <c r="CE187" s="229"/>
      <c r="CF187" s="229"/>
      <c r="CG187" s="229"/>
      <c r="CH187" s="229"/>
      <c r="CI187" s="229"/>
      <c r="CJ187" s="229"/>
      <c r="CK187" s="229"/>
      <c r="CL187" s="229"/>
      <c r="CM187" s="229"/>
      <c r="CN187" s="229"/>
      <c r="CO187" s="229"/>
      <c r="CP187" s="229"/>
      <c r="CQ187" s="229"/>
      <c r="CR187" s="229"/>
      <c r="CS187" s="229"/>
      <c r="CT187" s="229"/>
      <c r="CU187" s="229"/>
      <c r="CV187" s="229"/>
      <c r="CW187" s="229"/>
      <c r="CX187" s="229"/>
      <c r="CY187" s="732"/>
      <c r="CZ187" s="732"/>
      <c r="DA187" s="732"/>
      <c r="DB187" s="732"/>
      <c r="DC187" s="732"/>
      <c r="DD187" s="732"/>
      <c r="DE187" s="732"/>
      <c r="DF187" s="732"/>
      <c r="DG187" s="732"/>
      <c r="DH187" s="732"/>
      <c r="DI187" s="732"/>
      <c r="DJ187" s="732"/>
      <c r="DK187" s="732"/>
      <c r="DL187" s="732"/>
      <c r="DM187" s="732"/>
      <c r="DN187" s="732"/>
      <c r="DO187" s="732"/>
      <c r="DP187" s="732"/>
      <c r="DQ187" s="732"/>
      <c r="DR187" s="732"/>
      <c r="DS187" s="732"/>
      <c r="DT187" s="732"/>
      <c r="DU187" s="732"/>
      <c r="DV187" s="732"/>
      <c r="DW187" s="732"/>
      <c r="DX187" s="732"/>
      <c r="DY187" s="732"/>
      <c r="DZ187" s="732"/>
      <c r="EA187" s="732"/>
      <c r="EB187" s="732"/>
      <c r="EC187" s="732"/>
      <c r="ED187" s="732"/>
      <c r="EE187" s="732"/>
      <c r="EF187" s="732"/>
      <c r="EG187" s="732"/>
      <c r="EH187" s="732"/>
      <c r="EI187" s="732"/>
      <c r="EJ187" s="732"/>
      <c r="EK187" s="732"/>
      <c r="EL187" s="732"/>
      <c r="EM187" s="732"/>
      <c r="EN187" s="732"/>
      <c r="EO187" s="732"/>
      <c r="EP187" s="732"/>
      <c r="EQ187" s="732"/>
      <c r="ER187" s="732"/>
      <c r="ES187" s="732"/>
      <c r="ET187" s="732"/>
      <c r="EU187" s="732"/>
      <c r="EV187" s="732"/>
      <c r="EW187" s="732"/>
      <c r="EX187" s="732"/>
      <c r="EY187" s="732"/>
      <c r="EZ187" s="732"/>
      <c r="FA187" s="732"/>
      <c r="FB187" s="732"/>
      <c r="FC187" s="732"/>
      <c r="FD187" s="732"/>
      <c r="FE187" s="732"/>
      <c r="FF187" s="732"/>
      <c r="FG187" s="732"/>
      <c r="FH187" s="732"/>
      <c r="FI187" s="732"/>
      <c r="FJ187" s="732"/>
      <c r="FK187" s="732"/>
      <c r="FL187" s="732"/>
      <c r="FM187" s="732"/>
      <c r="FN187" s="732"/>
      <c r="FO187" s="732"/>
      <c r="FP187" s="732"/>
      <c r="FQ187" s="732"/>
      <c r="FR187" s="732"/>
      <c r="FS187" s="732"/>
      <c r="FT187" s="732"/>
      <c r="FU187" s="732"/>
      <c r="FV187" s="732"/>
      <c r="FW187" s="732"/>
      <c r="FX187" s="732"/>
      <c r="FY187" s="732"/>
      <c r="FZ187" s="732"/>
      <c r="GA187" s="732"/>
      <c r="GB187" s="732"/>
      <c r="GC187" s="732"/>
      <c r="GD187" s="732"/>
      <c r="GE187" s="732"/>
      <c r="GF187" s="732"/>
      <c r="GG187" s="732"/>
      <c r="GH187" s="732"/>
      <c r="GI187" s="732"/>
      <c r="GJ187" s="732"/>
      <c r="GK187" s="732"/>
      <c r="GL187" s="732"/>
      <c r="GM187" s="732"/>
      <c r="GN187" s="732"/>
      <c r="GO187" s="732"/>
      <c r="GP187" s="732"/>
      <c r="GQ187" s="732"/>
      <c r="GR187" s="732"/>
      <c r="GS187" s="732"/>
      <c r="GT187" s="732"/>
      <c r="GU187" s="732"/>
      <c r="GV187" s="732"/>
      <c r="GW187" s="732"/>
      <c r="GX187" s="732"/>
      <c r="GY187" s="732"/>
      <c r="GZ187" s="732"/>
      <c r="HA187" s="732"/>
      <c r="HB187" s="732"/>
      <c r="HC187" s="732"/>
      <c r="HD187" s="732"/>
      <c r="HE187" s="732"/>
      <c r="HF187" s="732"/>
      <c r="HG187" s="732"/>
      <c r="HH187" s="732"/>
      <c r="HI187" s="732"/>
      <c r="HJ187" s="732"/>
      <c r="HK187" s="732"/>
      <c r="HL187" s="732"/>
      <c r="HM187" s="732"/>
      <c r="HN187" s="732"/>
      <c r="HO187" s="732"/>
      <c r="HP187" s="732"/>
      <c r="HQ187" s="732"/>
      <c r="HR187" s="732"/>
      <c r="HS187" s="732"/>
      <c r="HT187" s="732"/>
      <c r="HU187" s="732"/>
      <c r="HV187" s="732"/>
      <c r="HW187" s="732"/>
      <c r="HX187" s="732"/>
      <c r="HY187" s="732"/>
      <c r="HZ187" s="732"/>
      <c r="IA187" s="732"/>
      <c r="IB187" s="732"/>
      <c r="IC187" s="732"/>
      <c r="ID187" s="732"/>
      <c r="IE187" s="732"/>
      <c r="IF187" s="732"/>
      <c r="IG187" s="732"/>
      <c r="IH187" s="732"/>
      <c r="II187" s="732"/>
      <c r="IJ187" s="732"/>
      <c r="IK187" s="732"/>
      <c r="IL187" s="732"/>
      <c r="IM187" s="732"/>
      <c r="IN187" s="732"/>
      <c r="IO187" s="732"/>
      <c r="IP187" s="732"/>
      <c r="IQ187" s="732"/>
      <c r="IR187" s="732"/>
      <c r="IS187" s="732"/>
      <c r="IT187" s="732"/>
      <c r="IU187" s="732"/>
      <c r="IV187" s="732"/>
      <c r="IW187" s="732"/>
      <c r="IX187" s="732"/>
      <c r="IY187" s="732"/>
      <c r="IZ187" s="732"/>
      <c r="JA187" s="732"/>
      <c r="JB187" s="732"/>
      <c r="JC187" s="732"/>
      <c r="JD187" s="732"/>
      <c r="JE187" s="732"/>
      <c r="JF187" s="732"/>
      <c r="JG187" s="732"/>
      <c r="JH187" s="732"/>
      <c r="JI187" s="732"/>
      <c r="JJ187" s="732"/>
      <c r="JK187" s="732"/>
      <c r="JL187" s="732"/>
      <c r="JM187" s="732"/>
      <c r="JN187" s="732"/>
      <c r="JO187" s="732"/>
      <c r="JP187" s="732"/>
      <c r="JQ187" s="732"/>
      <c r="JR187" s="732"/>
      <c r="JS187" s="732"/>
      <c r="JT187" s="732"/>
      <c r="JU187" s="732"/>
      <c r="JV187" s="732"/>
      <c r="JW187" s="732"/>
      <c r="JX187" s="732"/>
      <c r="JY187" s="732"/>
      <c r="JZ187" s="732"/>
      <c r="KA187" s="732"/>
      <c r="KB187" s="732"/>
      <c r="KC187" s="732"/>
      <c r="KD187" s="732"/>
      <c r="KE187" s="732"/>
      <c r="KF187" s="732"/>
      <c r="KG187" s="732"/>
      <c r="KH187" s="732"/>
      <c r="KI187" s="732"/>
      <c r="KJ187" s="732"/>
      <c r="KK187" s="732"/>
      <c r="KL187" s="732"/>
      <c r="KM187" s="732"/>
      <c r="KN187" s="732"/>
      <c r="KO187" s="732"/>
      <c r="KP187" s="732"/>
      <c r="KQ187" s="732"/>
      <c r="KR187" s="732"/>
      <c r="KS187" s="732"/>
      <c r="KT187" s="732"/>
      <c r="KU187" s="732"/>
      <c r="KV187" s="732"/>
      <c r="KW187" s="732"/>
      <c r="KX187" s="732"/>
      <c r="KY187" s="732"/>
      <c r="KZ187" s="732"/>
      <c r="LA187" s="732"/>
      <c r="LB187" s="732"/>
      <c r="LC187" s="732"/>
      <c r="LD187" s="732"/>
      <c r="LE187" s="732"/>
      <c r="LF187" s="732"/>
      <c r="LG187" s="732"/>
      <c r="LH187" s="732"/>
      <c r="LI187" s="732"/>
      <c r="LJ187" s="732"/>
      <c r="LK187" s="732"/>
      <c r="LL187" s="732"/>
      <c r="LM187" s="732"/>
      <c r="LN187" s="732"/>
      <c r="LO187" s="732"/>
      <c r="LP187" s="732"/>
      <c r="LQ187" s="732"/>
      <c r="LR187" s="732"/>
      <c r="LS187" s="732"/>
      <c r="LT187" s="732"/>
      <c r="LU187" s="732"/>
      <c r="LV187" s="732"/>
      <c r="LW187" s="732"/>
      <c r="LX187" s="732"/>
      <c r="LY187" s="732"/>
      <c r="LZ187" s="732"/>
      <c r="MA187" s="732"/>
      <c r="MB187" s="732"/>
      <c r="MC187" s="732"/>
      <c r="MD187" s="732"/>
      <c r="ME187" s="732"/>
      <c r="MF187" s="732"/>
      <c r="MG187" s="732"/>
      <c r="MH187" s="732"/>
      <c r="MI187" s="732"/>
      <c r="MJ187" s="732"/>
      <c r="MK187" s="732"/>
      <c r="ML187" s="732"/>
      <c r="MM187" s="732"/>
      <c r="MN187" s="732"/>
      <c r="MO187" s="732"/>
      <c r="MP187" s="732"/>
      <c r="MQ187" s="732"/>
      <c r="MR187" s="732"/>
      <c r="MS187" s="732"/>
      <c r="MT187" s="732"/>
      <c r="MU187" s="732"/>
      <c r="MV187" s="732"/>
      <c r="MW187" s="732"/>
      <c r="MX187" s="732"/>
      <c r="MY187" s="732"/>
      <c r="MZ187" s="732"/>
      <c r="NA187" s="732"/>
      <c r="NB187" s="732"/>
      <c r="NC187" s="732"/>
      <c r="ND187" s="732"/>
      <c r="NE187" s="732"/>
      <c r="NF187" s="732"/>
      <c r="NG187" s="732"/>
      <c r="NH187" s="732"/>
      <c r="NI187" s="732"/>
      <c r="NJ187" s="732"/>
      <c r="NK187" s="732"/>
      <c r="NL187" s="732"/>
      <c r="NM187" s="732"/>
      <c r="NN187" s="732"/>
      <c r="NO187" s="732"/>
      <c r="NP187" s="732"/>
      <c r="NQ187" s="732"/>
      <c r="NR187" s="732"/>
      <c r="NS187" s="732"/>
      <c r="NT187" s="732"/>
      <c r="NU187" s="732"/>
      <c r="NV187" s="732"/>
      <c r="NW187" s="732"/>
      <c r="NX187" s="732"/>
      <c r="NY187" s="732"/>
      <c r="NZ187" s="732"/>
      <c r="OA187" s="732"/>
      <c r="OB187" s="732"/>
      <c r="OC187" s="732"/>
      <c r="OD187" s="732"/>
      <c r="OE187" s="732"/>
      <c r="OF187" s="732"/>
      <c r="OG187" s="732"/>
      <c r="OH187" s="732"/>
      <c r="OI187" s="732"/>
      <c r="OJ187" s="732"/>
      <c r="OK187" s="732"/>
      <c r="OL187" s="732"/>
      <c r="OM187" s="732"/>
      <c r="ON187" s="732"/>
      <c r="OO187" s="732"/>
      <c r="OP187" s="732"/>
      <c r="OQ187" s="732"/>
      <c r="OR187" s="732"/>
      <c r="OS187" s="732"/>
      <c r="OT187" s="732"/>
      <c r="OU187" s="732"/>
      <c r="OV187" s="732"/>
      <c r="OW187" s="732"/>
      <c r="OX187" s="732"/>
      <c r="OY187" s="732"/>
      <c r="OZ187" s="732"/>
      <c r="PA187" s="732"/>
      <c r="PB187" s="732"/>
      <c r="PC187" s="732"/>
      <c r="PD187" s="732"/>
      <c r="PE187" s="732"/>
      <c r="PF187" s="732"/>
      <c r="PG187" s="732"/>
      <c r="PH187" s="732"/>
      <c r="PI187" s="732"/>
      <c r="PJ187" s="732"/>
      <c r="PK187" s="732"/>
      <c r="PL187" s="732"/>
      <c r="PM187" s="732"/>
      <c r="PN187" s="732"/>
      <c r="PO187" s="732"/>
      <c r="PP187" s="732"/>
      <c r="PQ187" s="732"/>
      <c r="PR187" s="732"/>
      <c r="PS187" s="732"/>
      <c r="PT187" s="732"/>
      <c r="PU187" s="732"/>
      <c r="PV187" s="732"/>
      <c r="PW187" s="732"/>
      <c r="PX187" s="732"/>
      <c r="PY187" s="732"/>
      <c r="PZ187" s="732"/>
      <c r="QA187" s="732"/>
      <c r="QB187" s="732"/>
      <c r="QC187" s="732"/>
      <c r="QD187" s="732"/>
      <c r="QE187" s="732"/>
      <c r="QF187" s="732"/>
      <c r="QG187" s="732"/>
      <c r="QH187" s="732"/>
      <c r="QI187" s="732"/>
      <c r="QJ187" s="732"/>
      <c r="QK187" s="732"/>
      <c r="QL187" s="732"/>
      <c r="QM187" s="732"/>
      <c r="QN187" s="732"/>
      <c r="QO187" s="732"/>
      <c r="QP187" s="732"/>
      <c r="QQ187" s="732"/>
      <c r="QR187" s="732"/>
      <c r="QS187" s="732"/>
      <c r="QT187" s="732"/>
      <c r="QU187" s="732"/>
      <c r="QV187" s="732"/>
      <c r="QW187" s="732"/>
      <c r="QX187" s="732"/>
      <c r="QY187" s="732"/>
      <c r="QZ187" s="732"/>
      <c r="RA187" s="732"/>
      <c r="RB187" s="732"/>
      <c r="RC187" s="732"/>
      <c r="RD187" s="732"/>
      <c r="RE187" s="732"/>
      <c r="RF187" s="732"/>
      <c r="RG187" s="732"/>
      <c r="RH187" s="732"/>
      <c r="RI187" s="732"/>
      <c r="RJ187" s="732"/>
      <c r="RK187" s="732"/>
      <c r="RL187" s="732"/>
      <c r="RM187" s="732"/>
      <c r="RN187" s="732"/>
      <c r="RO187" s="732"/>
      <c r="RP187" s="732"/>
      <c r="RQ187" s="732"/>
      <c r="RR187" s="732"/>
      <c r="RS187" s="732"/>
      <c r="RT187" s="732"/>
      <c r="RU187" s="732"/>
      <c r="RV187" s="732"/>
      <c r="RW187" s="732"/>
      <c r="RX187" s="732"/>
      <c r="RY187" s="732"/>
      <c r="RZ187" s="732"/>
      <c r="SA187" s="732"/>
      <c r="SB187" s="732"/>
      <c r="SC187" s="732"/>
      <c r="SD187" s="732"/>
      <c r="SE187" s="732"/>
      <c r="SF187" s="732"/>
      <c r="SG187" s="732"/>
      <c r="SH187" s="732"/>
      <c r="SI187" s="732"/>
      <c r="SJ187" s="732"/>
      <c r="SK187" s="732"/>
      <c r="SL187" s="732"/>
      <c r="SM187" s="732"/>
      <c r="SN187" s="732"/>
      <c r="SO187" s="732"/>
      <c r="SP187" s="732"/>
      <c r="SQ187" s="732"/>
      <c r="SR187" s="732"/>
      <c r="SS187" s="732"/>
      <c r="ST187" s="732"/>
      <c r="SU187" s="732"/>
      <c r="SV187" s="732"/>
      <c r="SW187" s="732"/>
      <c r="SX187" s="732"/>
      <c r="SY187" s="732"/>
      <c r="SZ187" s="732"/>
      <c r="TA187" s="732"/>
      <c r="TB187" s="732"/>
      <c r="TC187" s="732"/>
      <c r="TD187" s="732"/>
      <c r="TE187" s="732"/>
      <c r="TF187" s="732"/>
      <c r="TG187" s="732"/>
      <c r="TH187" s="732"/>
      <c r="TI187" s="732"/>
      <c r="TJ187" s="732"/>
      <c r="TK187" s="732"/>
      <c r="TL187" s="732"/>
      <c r="TM187" s="732"/>
      <c r="TN187" s="732"/>
      <c r="TO187" s="732"/>
      <c r="TP187" s="732"/>
      <c r="TQ187" s="732"/>
      <c r="TR187" s="732"/>
      <c r="TS187" s="732"/>
      <c r="TT187" s="732"/>
      <c r="TU187" s="732"/>
      <c r="TV187" s="732"/>
      <c r="TW187" s="732"/>
      <c r="TX187" s="732"/>
      <c r="TY187" s="732"/>
      <c r="TZ187" s="732"/>
      <c r="UA187" s="732"/>
      <c r="UB187" s="732"/>
      <c r="UC187" s="732"/>
      <c r="UD187" s="732"/>
      <c r="UE187" s="732"/>
      <c r="UF187" s="732"/>
      <c r="UG187" s="732"/>
      <c r="UH187" s="732"/>
      <c r="UI187" s="732"/>
      <c r="UJ187" s="732"/>
      <c r="UK187" s="732"/>
      <c r="UL187" s="732"/>
      <c r="UM187" s="732"/>
      <c r="UN187" s="732"/>
      <c r="UO187" s="732"/>
      <c r="UP187" s="732"/>
      <c r="UQ187" s="732"/>
      <c r="UR187" s="732"/>
      <c r="US187" s="732"/>
      <c r="UT187" s="732"/>
      <c r="UU187" s="732"/>
      <c r="UV187" s="732"/>
      <c r="UW187" s="732"/>
      <c r="UX187" s="732"/>
      <c r="UY187" s="732"/>
      <c r="UZ187" s="732"/>
      <c r="VA187" s="732"/>
      <c r="VB187" s="732"/>
      <c r="VC187" s="732"/>
      <c r="VD187" s="732"/>
      <c r="VE187" s="732"/>
      <c r="VF187" s="732"/>
      <c r="VG187" s="732"/>
      <c r="VH187" s="732"/>
      <c r="VI187" s="732"/>
      <c r="VJ187" s="732"/>
      <c r="VK187" s="732"/>
      <c r="VL187" s="732"/>
      <c r="VM187" s="732"/>
      <c r="VN187" s="732"/>
      <c r="VO187" s="732"/>
      <c r="VP187" s="732"/>
      <c r="VQ187" s="732"/>
      <c r="VR187" s="732"/>
      <c r="VS187" s="732"/>
      <c r="VT187" s="732"/>
      <c r="VU187" s="732"/>
      <c r="VV187" s="732"/>
      <c r="VW187" s="732"/>
      <c r="VX187" s="732"/>
      <c r="VY187" s="732"/>
      <c r="VZ187" s="732"/>
      <c r="WA187" s="732"/>
      <c r="WB187" s="732"/>
      <c r="WC187" s="732"/>
      <c r="WD187" s="732"/>
      <c r="WE187" s="732"/>
      <c r="WF187" s="732"/>
      <c r="WG187" s="732"/>
      <c r="WH187" s="732"/>
      <c r="WI187" s="732"/>
      <c r="WJ187" s="732"/>
      <c r="WK187" s="732"/>
      <c r="WL187" s="732"/>
      <c r="WM187" s="732"/>
      <c r="WN187" s="732"/>
      <c r="WO187" s="732"/>
      <c r="WP187" s="732"/>
      <c r="WQ187" s="732"/>
      <c r="WR187" s="732"/>
      <c r="WS187" s="732"/>
      <c r="WT187" s="732"/>
      <c r="WU187" s="732"/>
      <c r="WV187" s="732"/>
      <c r="WW187" s="732"/>
      <c r="WX187" s="732"/>
      <c r="WY187" s="732"/>
      <c r="WZ187" s="732"/>
      <c r="XA187" s="732"/>
      <c r="XB187" s="732"/>
      <c r="XC187" s="732"/>
      <c r="XD187" s="732"/>
      <c r="XE187" s="732"/>
      <c r="XF187" s="732"/>
      <c r="XG187" s="732"/>
      <c r="XH187" s="732"/>
      <c r="XI187" s="732"/>
      <c r="XJ187" s="732"/>
      <c r="XK187" s="732"/>
      <c r="XL187" s="732"/>
      <c r="XM187" s="732"/>
      <c r="XN187" s="732"/>
      <c r="XO187" s="732"/>
      <c r="XP187" s="732"/>
      <c r="XQ187" s="732"/>
      <c r="XR187" s="732"/>
      <c r="XS187" s="732"/>
      <c r="XT187" s="732"/>
      <c r="XU187" s="732"/>
      <c r="XV187" s="732"/>
      <c r="XW187" s="732"/>
      <c r="XX187" s="732"/>
      <c r="XY187" s="732"/>
      <c r="XZ187" s="732"/>
      <c r="YA187" s="732"/>
      <c r="YB187" s="732"/>
      <c r="YC187" s="732"/>
      <c r="YD187" s="732"/>
      <c r="YE187" s="732"/>
      <c r="YF187" s="732"/>
      <c r="YG187" s="732"/>
      <c r="YH187" s="732"/>
      <c r="YI187" s="732"/>
      <c r="YJ187" s="732"/>
      <c r="YK187" s="732"/>
      <c r="YL187" s="732"/>
      <c r="YM187" s="732"/>
      <c r="YN187" s="732"/>
      <c r="YO187" s="732"/>
      <c r="YP187" s="732"/>
      <c r="YQ187" s="732"/>
      <c r="YR187" s="732"/>
      <c r="YS187" s="732"/>
      <c r="YT187" s="732"/>
      <c r="YU187" s="732"/>
      <c r="YV187" s="732"/>
      <c r="YW187" s="732"/>
      <c r="YX187" s="732"/>
      <c r="YY187" s="732"/>
      <c r="YZ187" s="732"/>
      <c r="ZA187" s="732"/>
      <c r="ZB187" s="732"/>
      <c r="ZC187" s="732"/>
      <c r="ZD187" s="732"/>
      <c r="ZE187" s="732"/>
      <c r="ZF187" s="732"/>
      <c r="ZG187" s="732"/>
      <c r="ZH187" s="732"/>
      <c r="ZI187" s="732"/>
      <c r="ZJ187" s="732"/>
      <c r="ZK187" s="732"/>
      <c r="ZL187" s="732"/>
      <c r="ZM187" s="732"/>
      <c r="ZN187" s="732"/>
      <c r="ZO187" s="732"/>
      <c r="ZP187" s="732"/>
      <c r="ZQ187" s="732"/>
      <c r="ZR187" s="732"/>
      <c r="ZS187" s="732"/>
      <c r="ZT187" s="732"/>
      <c r="ZU187" s="732"/>
      <c r="ZV187" s="732"/>
      <c r="ZW187" s="732"/>
      <c r="ZX187" s="732"/>
      <c r="ZY187" s="732"/>
      <c r="ZZ187" s="732"/>
      <c r="AAA187" s="732"/>
      <c r="AAB187" s="732"/>
      <c r="AAC187" s="732"/>
      <c r="AAD187" s="732"/>
      <c r="AAE187" s="732"/>
      <c r="AAF187" s="732"/>
      <c r="AAG187" s="732"/>
      <c r="AAH187" s="732"/>
      <c r="AAI187" s="732"/>
      <c r="AAJ187" s="732"/>
      <c r="AAK187" s="732"/>
      <c r="AAL187" s="732"/>
      <c r="AAM187" s="732"/>
      <c r="AAN187" s="732"/>
      <c r="AAO187" s="732"/>
      <c r="AAP187" s="732"/>
      <c r="AAQ187" s="732"/>
      <c r="AAR187" s="732"/>
      <c r="AAS187" s="732"/>
      <c r="AAT187" s="732"/>
      <c r="AAU187" s="732"/>
      <c r="AAV187" s="732"/>
      <c r="AAW187" s="732"/>
      <c r="AAX187" s="732"/>
      <c r="AAY187" s="732"/>
      <c r="AAZ187" s="732"/>
      <c r="ABA187" s="732"/>
      <c r="ABB187" s="732"/>
      <c r="ABC187" s="732"/>
      <c r="ABD187" s="732"/>
      <c r="ABE187" s="732"/>
      <c r="ABF187" s="732"/>
      <c r="ABG187" s="732"/>
      <c r="ABH187" s="732"/>
      <c r="ABI187" s="732"/>
      <c r="ABJ187" s="732"/>
      <c r="ABK187" s="732"/>
      <c r="ABL187" s="732"/>
      <c r="ABM187" s="732"/>
      <c r="ABN187" s="732"/>
      <c r="ABO187" s="732"/>
      <c r="ABP187" s="732"/>
      <c r="ABQ187" s="732"/>
      <c r="ABR187" s="732"/>
      <c r="ABS187" s="732"/>
      <c r="ABT187" s="732"/>
      <c r="ABU187" s="732"/>
      <c r="ABV187" s="732"/>
      <c r="ABW187" s="732"/>
      <c r="ABX187" s="732"/>
      <c r="ABY187" s="732"/>
      <c r="ABZ187" s="732"/>
      <c r="ACA187" s="732"/>
      <c r="ACB187" s="732"/>
      <c r="ACC187" s="732"/>
      <c r="ACD187" s="732"/>
      <c r="ACE187" s="732"/>
      <c r="ACF187" s="732"/>
      <c r="ACG187" s="732"/>
      <c r="ACH187" s="732"/>
      <c r="ACI187" s="732"/>
      <c r="ACJ187" s="732"/>
      <c r="ACK187" s="732"/>
      <c r="ACL187" s="732"/>
      <c r="ACM187" s="732"/>
      <c r="ACN187" s="732"/>
      <c r="ACO187" s="732"/>
      <c r="ACP187" s="732"/>
      <c r="ACQ187" s="732"/>
      <c r="ACR187" s="732"/>
      <c r="ACS187" s="732"/>
      <c r="ACT187" s="732"/>
      <c r="ACU187" s="732"/>
      <c r="ACV187" s="732"/>
      <c r="ACW187" s="732"/>
      <c r="ACX187" s="732"/>
      <c r="ACY187" s="732"/>
      <c r="ACZ187" s="732"/>
      <c r="ADA187" s="732"/>
      <c r="ADB187" s="732"/>
      <c r="ADC187" s="732"/>
      <c r="ADD187" s="732"/>
      <c r="ADE187" s="732"/>
      <c r="ADF187" s="732"/>
      <c r="ADG187" s="732"/>
      <c r="ADH187" s="732"/>
      <c r="ADI187" s="732"/>
      <c r="ADJ187" s="732"/>
      <c r="ADK187" s="732"/>
      <c r="ADL187" s="732"/>
      <c r="ADM187" s="732"/>
      <c r="ADN187" s="732"/>
      <c r="ADO187" s="732"/>
      <c r="ADP187" s="732"/>
      <c r="ADQ187" s="732"/>
      <c r="ADR187" s="732"/>
      <c r="ADS187" s="732"/>
      <c r="ADT187" s="732"/>
      <c r="ADU187" s="732"/>
      <c r="ADV187" s="732"/>
      <c r="ADW187" s="732"/>
      <c r="ADX187" s="732"/>
      <c r="ADY187" s="732"/>
      <c r="ADZ187" s="732"/>
      <c r="AEA187" s="732"/>
      <c r="AEB187" s="732"/>
      <c r="AEC187" s="732"/>
      <c r="AED187" s="732"/>
      <c r="AEE187" s="732"/>
      <c r="AEF187" s="732"/>
      <c r="AEG187" s="732"/>
      <c r="AEH187" s="732"/>
      <c r="AEI187" s="732"/>
      <c r="AEJ187" s="732"/>
      <c r="AEK187" s="732"/>
      <c r="AEL187" s="732"/>
      <c r="AEM187" s="732"/>
      <c r="AEN187" s="732"/>
      <c r="AEO187" s="732"/>
      <c r="AEP187" s="732"/>
      <c r="AEQ187" s="732"/>
      <c r="AER187" s="732"/>
      <c r="AES187" s="732"/>
      <c r="AET187" s="732"/>
      <c r="AEU187" s="732"/>
      <c r="AEV187" s="732"/>
      <c r="AEW187" s="732"/>
      <c r="AEX187" s="732"/>
      <c r="AEY187" s="732"/>
      <c r="AEZ187" s="732"/>
      <c r="AFA187" s="732"/>
      <c r="AFB187" s="732"/>
      <c r="AFC187" s="732"/>
      <c r="AFD187" s="732"/>
      <c r="AFE187" s="732"/>
      <c r="AFF187" s="732"/>
      <c r="AFG187" s="732"/>
      <c r="AFH187" s="732"/>
      <c r="AFI187" s="732"/>
      <c r="AFJ187" s="732"/>
      <c r="AFK187" s="732"/>
      <c r="AFL187" s="732"/>
      <c r="AFM187" s="732"/>
      <c r="AFN187" s="732"/>
      <c r="AFO187" s="732"/>
      <c r="AFP187" s="732"/>
      <c r="AFQ187" s="732"/>
      <c r="AFR187" s="732"/>
      <c r="AFS187" s="732"/>
      <c r="AFT187" s="732"/>
      <c r="AFU187" s="732"/>
      <c r="AFV187" s="732"/>
      <c r="AFW187" s="732"/>
      <c r="AFX187" s="732"/>
      <c r="AFY187" s="732"/>
      <c r="AFZ187" s="732"/>
      <c r="AGA187" s="732"/>
      <c r="AGB187" s="732"/>
      <c r="AGC187" s="732"/>
      <c r="AGD187" s="732"/>
      <c r="AGE187" s="732"/>
      <c r="AGF187" s="732"/>
      <c r="AGG187" s="732"/>
      <c r="AGH187" s="732"/>
      <c r="AGI187" s="732"/>
      <c r="AGJ187" s="732"/>
      <c r="AGK187" s="732"/>
      <c r="AGL187" s="732"/>
      <c r="AGM187" s="732"/>
      <c r="AGN187" s="732"/>
      <c r="AGO187" s="732"/>
      <c r="AGP187" s="732"/>
      <c r="AGQ187" s="732"/>
      <c r="AGR187" s="732"/>
      <c r="AGS187" s="732"/>
      <c r="AGT187" s="732"/>
      <c r="AGU187" s="732"/>
      <c r="AGV187" s="732"/>
      <c r="AGW187" s="732"/>
      <c r="AGX187" s="732"/>
      <c r="AGY187" s="732"/>
      <c r="AGZ187" s="732"/>
      <c r="AHA187" s="732"/>
      <c r="AHB187" s="732"/>
      <c r="AHC187" s="732"/>
      <c r="AHD187" s="732"/>
      <c r="AHE187" s="732"/>
      <c r="AHF187" s="732"/>
      <c r="AHG187" s="732"/>
      <c r="AHH187" s="732"/>
      <c r="AHI187" s="732"/>
      <c r="AHJ187" s="732"/>
      <c r="AHK187" s="732"/>
      <c r="AHL187" s="732"/>
      <c r="AHM187" s="732"/>
      <c r="AHN187" s="732"/>
      <c r="AHO187" s="732"/>
      <c r="AHP187" s="732"/>
      <c r="AHQ187" s="732"/>
      <c r="AHR187" s="732"/>
      <c r="AHS187" s="732"/>
      <c r="AHT187" s="732"/>
      <c r="AHU187" s="732"/>
      <c r="AHV187" s="732"/>
      <c r="AHW187" s="732"/>
      <c r="AHX187" s="732"/>
      <c r="AHY187" s="732"/>
      <c r="AHZ187" s="732"/>
      <c r="AIA187" s="732"/>
      <c r="AIB187" s="732"/>
      <c r="AIC187" s="732"/>
      <c r="AID187" s="732"/>
      <c r="AIE187" s="732"/>
      <c r="AIF187" s="732"/>
      <c r="AIG187" s="732"/>
      <c r="AIH187" s="732"/>
      <c r="AII187" s="732"/>
      <c r="AIJ187" s="732"/>
      <c r="AIK187" s="732"/>
      <c r="AIL187" s="732"/>
      <c r="AIM187" s="732"/>
      <c r="AIN187" s="732"/>
      <c r="AIO187" s="732"/>
      <c r="AIP187" s="732"/>
      <c r="AIQ187" s="732"/>
      <c r="AIR187" s="732"/>
      <c r="AIS187" s="732"/>
      <c r="AIT187" s="732"/>
      <c r="AIU187" s="732"/>
      <c r="AIV187" s="732"/>
      <c r="AIW187" s="732"/>
      <c r="AIX187" s="732"/>
      <c r="AIY187" s="732"/>
      <c r="AIZ187" s="732"/>
      <c r="AJA187" s="732"/>
      <c r="AJB187" s="732"/>
      <c r="AJC187" s="732"/>
      <c r="AJD187" s="732"/>
      <c r="AJE187" s="732"/>
      <c r="AJF187" s="732"/>
      <c r="AJG187" s="732"/>
      <c r="AJH187" s="732"/>
      <c r="AJI187" s="732"/>
      <c r="AJJ187" s="732"/>
      <c r="AJK187" s="732"/>
      <c r="AJL187" s="732"/>
      <c r="AJM187" s="732"/>
      <c r="AJN187" s="732"/>
      <c r="AJO187" s="732"/>
      <c r="AJP187" s="732"/>
      <c r="AJQ187" s="732"/>
      <c r="AJR187" s="732"/>
      <c r="AJS187" s="732"/>
      <c r="AJT187" s="732"/>
      <c r="AJU187" s="732"/>
      <c r="AJV187" s="732"/>
      <c r="AJW187" s="732"/>
      <c r="AJX187" s="732"/>
      <c r="AJY187" s="732"/>
      <c r="AJZ187" s="732"/>
      <c r="AKA187" s="732"/>
      <c r="AKB187" s="732"/>
      <c r="AKC187" s="732"/>
      <c r="AKD187" s="732"/>
      <c r="AKE187" s="732"/>
      <c r="AKF187" s="732"/>
      <c r="AKG187" s="732"/>
      <c r="AKH187" s="732"/>
      <c r="AKI187" s="732"/>
      <c r="AKJ187" s="732"/>
      <c r="AKK187" s="732"/>
      <c r="AKL187" s="732"/>
      <c r="AKM187" s="732"/>
      <c r="AKN187" s="732"/>
      <c r="AKO187" s="732"/>
      <c r="AKP187" s="732"/>
      <c r="AKQ187" s="732"/>
      <c r="AKR187" s="732"/>
      <c r="AKS187" s="732"/>
      <c r="AKT187" s="732"/>
      <c r="AKU187" s="732"/>
      <c r="AKV187" s="732"/>
      <c r="AKW187" s="732"/>
      <c r="AKX187" s="732"/>
      <c r="AKY187" s="732"/>
      <c r="AKZ187" s="732"/>
      <c r="ALA187" s="732"/>
      <c r="ALB187" s="732"/>
      <c r="ALC187" s="732"/>
      <c r="ALD187" s="732"/>
      <c r="ALE187" s="732"/>
      <c r="ALF187" s="732"/>
      <c r="ALG187" s="732"/>
      <c r="ALH187" s="732"/>
      <c r="ALI187" s="732"/>
      <c r="ALJ187" s="732"/>
      <c r="ALK187" s="732"/>
      <c r="ALL187" s="732"/>
      <c r="ALM187" s="732"/>
      <c r="ALN187" s="732"/>
      <c r="ALO187" s="732"/>
      <c r="ALP187" s="732"/>
      <c r="ALQ187" s="732"/>
      <c r="ALR187" s="732"/>
      <c r="ALS187" s="732"/>
      <c r="ALT187" s="732"/>
      <c r="ALU187" s="732"/>
      <c r="ALV187" s="732"/>
      <c r="ALW187" s="732"/>
      <c r="ALX187" s="732"/>
      <c r="ALY187" s="732"/>
      <c r="ALZ187" s="732"/>
      <c r="AMA187" s="732"/>
      <c r="AMB187" s="732"/>
      <c r="AMC187" s="732"/>
      <c r="AMD187" s="732"/>
      <c r="AME187" s="732"/>
      <c r="AMF187" s="732"/>
      <c r="AMG187" s="732"/>
      <c r="AMH187" s="732"/>
      <c r="AMI187" s="732"/>
      <c r="AMJ187" s="732"/>
    </row>
    <row r="188" spans="1:1024" ht="13.5" customHeight="1" x14ac:dyDescent="0.25">
      <c r="A188" s="703" t="s">
        <v>1438</v>
      </c>
      <c r="B188" s="703"/>
      <c r="C188" s="703"/>
      <c r="D188" s="703"/>
      <c r="E188" s="703"/>
      <c r="F188" s="703"/>
      <c r="G188" s="703"/>
      <c r="H188" s="703"/>
      <c r="I188" s="703"/>
      <c r="J188" s="703"/>
      <c r="K188" s="703"/>
      <c r="L188" s="703"/>
      <c r="M188" s="703"/>
      <c r="N188" s="703"/>
      <c r="O188" s="703"/>
      <c r="P188" s="703"/>
      <c r="Q188" s="703"/>
      <c r="R188" s="703"/>
      <c r="S188" s="703"/>
      <c r="T188" s="703"/>
      <c r="U188" s="703"/>
      <c r="V188" s="703"/>
      <c r="W188" s="703"/>
      <c r="X188" s="703"/>
      <c r="Y188" s="703"/>
      <c r="Z188" s="703"/>
      <c r="AA188" s="703"/>
      <c r="AB188" s="703"/>
      <c r="AC188" s="703"/>
      <c r="AD188" s="703"/>
      <c r="AE188" s="703"/>
      <c r="AF188" s="703"/>
      <c r="AG188" s="703"/>
      <c r="AH188" s="703"/>
      <c r="AI188" s="703"/>
      <c r="AJ188" s="703"/>
      <c r="AK188" s="703"/>
      <c r="AL188" s="703"/>
      <c r="AM188" s="703"/>
      <c r="AN188" s="703"/>
      <c r="AO188" s="703"/>
      <c r="AP188" s="703"/>
      <c r="AQ188" s="703"/>
      <c r="AR188" s="703"/>
      <c r="AS188" s="703"/>
      <c r="AT188" s="703"/>
      <c r="AU188" s="703"/>
      <c r="AV188" s="703"/>
      <c r="AW188" s="703"/>
      <c r="AX188" s="703"/>
      <c r="AY188" s="703"/>
      <c r="AZ188" s="206"/>
      <c r="BA188" s="206"/>
      <c r="BB188" s="206"/>
    </row>
    <row r="189" spans="1:1024" ht="63" customHeight="1" x14ac:dyDescent="0.25">
      <c r="A189" s="732" t="s">
        <v>1439</v>
      </c>
      <c r="B189" s="732"/>
      <c r="C189" s="732"/>
      <c r="D189" s="732"/>
      <c r="E189" s="732"/>
      <c r="F189" s="732"/>
      <c r="G189" s="732"/>
      <c r="H189" s="732"/>
      <c r="I189" s="732"/>
      <c r="J189" s="732"/>
      <c r="K189" s="732"/>
      <c r="L189" s="732"/>
      <c r="M189" s="732"/>
      <c r="N189" s="732"/>
      <c r="O189" s="732"/>
      <c r="P189" s="732"/>
      <c r="Q189" s="732"/>
      <c r="R189" s="732"/>
      <c r="S189" s="732"/>
      <c r="T189" s="732"/>
      <c r="U189" s="732"/>
      <c r="V189" s="732"/>
      <c r="W189" s="732"/>
      <c r="X189" s="732"/>
      <c r="Y189" s="732"/>
      <c r="Z189" s="732"/>
      <c r="AA189" s="732"/>
      <c r="AB189" s="732"/>
      <c r="AC189" s="732"/>
      <c r="AD189" s="732"/>
      <c r="AE189" s="732"/>
      <c r="AF189" s="732"/>
      <c r="AG189" s="732"/>
      <c r="AH189" s="732"/>
      <c r="AI189" s="732"/>
      <c r="AJ189" s="732"/>
      <c r="AK189" s="732"/>
      <c r="AL189" s="732"/>
      <c r="AM189" s="732"/>
      <c r="AN189" s="732"/>
      <c r="AO189" s="732"/>
      <c r="AP189" s="732"/>
      <c r="AQ189" s="732"/>
      <c r="AR189" s="732"/>
      <c r="AS189" s="732"/>
      <c r="AT189" s="732"/>
      <c r="AU189" s="732"/>
      <c r="AV189" s="732"/>
      <c r="AW189" s="732"/>
      <c r="AX189" s="732"/>
      <c r="AY189" s="732"/>
      <c r="AZ189" s="206"/>
      <c r="BA189" s="206"/>
      <c r="BB189" s="206"/>
    </row>
    <row r="190" spans="1:1024" ht="13.5" customHeight="1" x14ac:dyDescent="0.25">
      <c r="A190" s="703" t="s">
        <v>1440</v>
      </c>
      <c r="B190" s="703"/>
      <c r="C190" s="703"/>
      <c r="D190" s="703"/>
      <c r="E190" s="703"/>
      <c r="F190" s="703"/>
      <c r="G190" s="703"/>
      <c r="H190" s="703"/>
      <c r="I190" s="703"/>
      <c r="J190" s="703"/>
      <c r="K190" s="703"/>
      <c r="L190" s="703"/>
      <c r="M190" s="703"/>
      <c r="N190" s="703"/>
      <c r="O190" s="703"/>
      <c r="P190" s="703"/>
      <c r="Q190" s="703"/>
      <c r="R190" s="703"/>
      <c r="S190" s="703"/>
      <c r="T190" s="703"/>
      <c r="U190" s="703"/>
      <c r="V190" s="703"/>
      <c r="W190" s="703"/>
      <c r="X190" s="703"/>
      <c r="Y190" s="703"/>
      <c r="Z190" s="703"/>
      <c r="AA190" s="703"/>
      <c r="AB190" s="703"/>
      <c r="AC190" s="703"/>
      <c r="AD190" s="703"/>
      <c r="AE190" s="703"/>
      <c r="AF190" s="703"/>
      <c r="AG190" s="703"/>
      <c r="AH190" s="703"/>
      <c r="AI190" s="703"/>
      <c r="AJ190" s="703"/>
      <c r="AK190" s="703"/>
      <c r="AL190" s="703"/>
      <c r="AM190" s="703"/>
      <c r="AN190" s="703"/>
      <c r="AO190" s="703"/>
      <c r="AP190" s="703"/>
      <c r="AQ190" s="703"/>
      <c r="AR190" s="703"/>
      <c r="AS190" s="703"/>
      <c r="AT190" s="703"/>
      <c r="AU190" s="703"/>
      <c r="AV190" s="703"/>
      <c r="AW190" s="703"/>
      <c r="AX190" s="703"/>
      <c r="AY190" s="703"/>
      <c r="AZ190" s="206"/>
      <c r="BA190" s="206"/>
      <c r="BB190" s="206"/>
    </row>
    <row r="191" spans="1:1024" ht="25.5" customHeight="1" x14ac:dyDescent="0.25">
      <c r="A191" s="732" t="s">
        <v>1441</v>
      </c>
      <c r="B191" s="732"/>
      <c r="C191" s="732"/>
      <c r="D191" s="732"/>
      <c r="E191" s="732"/>
      <c r="F191" s="732"/>
      <c r="G191" s="732"/>
      <c r="H191" s="732"/>
      <c r="I191" s="732"/>
      <c r="J191" s="732"/>
      <c r="K191" s="732"/>
      <c r="L191" s="732"/>
      <c r="M191" s="732"/>
      <c r="N191" s="732"/>
      <c r="O191" s="732"/>
      <c r="P191" s="732"/>
      <c r="Q191" s="732"/>
      <c r="R191" s="732"/>
      <c r="S191" s="732"/>
      <c r="T191" s="732"/>
      <c r="U191" s="732"/>
      <c r="V191" s="732"/>
      <c r="W191" s="732"/>
      <c r="X191" s="732"/>
      <c r="Y191" s="732"/>
      <c r="Z191" s="732"/>
      <c r="AA191" s="732"/>
      <c r="AB191" s="732"/>
      <c r="AC191" s="732"/>
      <c r="AD191" s="732"/>
      <c r="AE191" s="732"/>
      <c r="AF191" s="732"/>
      <c r="AG191" s="732"/>
      <c r="AH191" s="732"/>
      <c r="AI191" s="732"/>
      <c r="AJ191" s="732"/>
      <c r="AK191" s="732"/>
      <c r="AL191" s="732"/>
      <c r="AM191" s="732"/>
      <c r="AN191" s="732"/>
      <c r="AO191" s="732"/>
      <c r="AP191" s="732"/>
      <c r="AQ191" s="732"/>
      <c r="AR191" s="732"/>
      <c r="AS191" s="732"/>
      <c r="AT191" s="732"/>
      <c r="AU191" s="732"/>
      <c r="AV191" s="732"/>
      <c r="AW191" s="732"/>
      <c r="AX191" s="732"/>
      <c r="AY191" s="732"/>
      <c r="AZ191" s="206"/>
      <c r="BA191" s="206"/>
      <c r="BB191" s="206"/>
    </row>
    <row r="192" spans="1:1024" ht="13.5" customHeight="1" x14ac:dyDescent="0.25">
      <c r="A192" s="703" t="s">
        <v>1442</v>
      </c>
      <c r="B192" s="703"/>
      <c r="C192" s="703"/>
      <c r="D192" s="703"/>
      <c r="E192" s="703"/>
      <c r="F192" s="703"/>
      <c r="G192" s="703"/>
      <c r="H192" s="703"/>
      <c r="I192" s="703"/>
      <c r="J192" s="703"/>
      <c r="K192" s="703"/>
      <c r="L192" s="703"/>
      <c r="M192" s="703"/>
      <c r="N192" s="703"/>
      <c r="O192" s="703"/>
      <c r="P192" s="703"/>
      <c r="Q192" s="703"/>
      <c r="R192" s="703"/>
      <c r="S192" s="703"/>
      <c r="T192" s="703"/>
      <c r="U192" s="703"/>
      <c r="V192" s="703"/>
      <c r="W192" s="703"/>
      <c r="X192" s="703"/>
      <c r="Y192" s="703"/>
      <c r="Z192" s="703"/>
      <c r="AA192" s="703"/>
      <c r="AB192" s="703"/>
      <c r="AC192" s="703"/>
      <c r="AD192" s="703"/>
      <c r="AE192" s="703"/>
      <c r="AF192" s="703"/>
      <c r="AG192" s="703"/>
      <c r="AH192" s="703"/>
      <c r="AI192" s="703"/>
      <c r="AJ192" s="703"/>
      <c r="AK192" s="703"/>
      <c r="AL192" s="703"/>
      <c r="AM192" s="703"/>
      <c r="AN192" s="703"/>
      <c r="AO192" s="703"/>
      <c r="AP192" s="703"/>
      <c r="AQ192" s="703"/>
      <c r="AR192" s="703"/>
      <c r="AS192" s="703"/>
      <c r="AT192" s="703"/>
      <c r="AU192" s="703"/>
      <c r="AV192" s="703"/>
      <c r="AW192" s="703"/>
      <c r="AX192" s="703"/>
      <c r="AY192" s="703"/>
      <c r="AZ192" s="206"/>
      <c r="BA192" s="206"/>
      <c r="BB192" s="206"/>
    </row>
    <row r="193" spans="1:1024" s="230" customFormat="1" ht="143.25" customHeight="1" x14ac:dyDescent="0.25">
      <c r="A193" s="732" t="s">
        <v>1443</v>
      </c>
      <c r="B193" s="732"/>
      <c r="C193" s="732"/>
      <c r="D193" s="732"/>
      <c r="E193" s="732"/>
      <c r="F193" s="732"/>
      <c r="G193" s="732"/>
      <c r="H193" s="732"/>
      <c r="I193" s="732"/>
      <c r="J193" s="732"/>
      <c r="K193" s="732"/>
      <c r="L193" s="732"/>
      <c r="M193" s="732"/>
      <c r="N193" s="732"/>
      <c r="O193" s="732"/>
      <c r="P193" s="732"/>
      <c r="Q193" s="732"/>
      <c r="R193" s="732"/>
      <c r="S193" s="732"/>
      <c r="T193" s="732"/>
      <c r="U193" s="732"/>
      <c r="V193" s="732"/>
      <c r="W193" s="732"/>
      <c r="X193" s="732"/>
      <c r="Y193" s="732"/>
      <c r="Z193" s="732"/>
      <c r="AA193" s="732"/>
      <c r="AB193" s="732"/>
      <c r="AC193" s="732"/>
      <c r="AD193" s="732"/>
      <c r="AE193" s="732"/>
      <c r="AF193" s="732"/>
      <c r="AG193" s="732"/>
      <c r="AH193" s="732"/>
      <c r="AI193" s="732"/>
      <c r="AJ193" s="732"/>
      <c r="AK193" s="732"/>
      <c r="AL193" s="732"/>
      <c r="AM193" s="732"/>
      <c r="AN193" s="732"/>
      <c r="AO193" s="732"/>
      <c r="AP193" s="732"/>
      <c r="AQ193" s="732"/>
      <c r="AR193" s="732"/>
      <c r="AS193" s="732"/>
      <c r="AT193" s="732"/>
      <c r="AU193" s="732"/>
      <c r="AV193" s="732"/>
      <c r="AW193" s="732"/>
      <c r="AX193" s="732"/>
      <c r="AY193" s="732"/>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T193" s="229"/>
      <c r="BU193" s="229"/>
      <c r="BV193" s="229"/>
      <c r="BW193" s="229"/>
      <c r="BX193" s="229"/>
      <c r="BY193" s="229"/>
      <c r="BZ193" s="229"/>
      <c r="CA193" s="229"/>
      <c r="CB193" s="229"/>
      <c r="CC193" s="229"/>
      <c r="CD193" s="229"/>
      <c r="CE193" s="229"/>
      <c r="CF193" s="229"/>
      <c r="CG193" s="229"/>
      <c r="CH193" s="229"/>
      <c r="CI193" s="229"/>
      <c r="CJ193" s="229"/>
      <c r="CK193" s="229"/>
      <c r="CL193" s="229"/>
      <c r="CM193" s="229"/>
      <c r="CN193" s="229"/>
      <c r="CO193" s="229"/>
      <c r="CP193" s="229"/>
      <c r="CQ193" s="229"/>
      <c r="CR193" s="229"/>
      <c r="CS193" s="229"/>
      <c r="CT193" s="229"/>
      <c r="CU193" s="229"/>
      <c r="CV193" s="229"/>
      <c r="CW193" s="229"/>
      <c r="CX193" s="229"/>
      <c r="CY193" s="732"/>
      <c r="CZ193" s="732"/>
      <c r="DA193" s="732"/>
      <c r="DB193" s="732"/>
      <c r="DC193" s="732"/>
      <c r="DD193" s="732"/>
      <c r="DE193" s="732"/>
      <c r="DF193" s="732"/>
      <c r="DG193" s="732"/>
      <c r="DH193" s="732"/>
      <c r="DI193" s="732"/>
      <c r="DJ193" s="732"/>
      <c r="DK193" s="732"/>
      <c r="DL193" s="732"/>
      <c r="DM193" s="732"/>
      <c r="DN193" s="732"/>
      <c r="DO193" s="732"/>
      <c r="DP193" s="732"/>
      <c r="DQ193" s="732"/>
      <c r="DR193" s="732"/>
      <c r="DS193" s="732"/>
      <c r="DT193" s="732"/>
      <c r="DU193" s="732"/>
      <c r="DV193" s="732"/>
      <c r="DW193" s="732"/>
      <c r="DX193" s="732"/>
      <c r="DY193" s="732"/>
      <c r="DZ193" s="732"/>
      <c r="EA193" s="732"/>
      <c r="EB193" s="732"/>
      <c r="EC193" s="732"/>
      <c r="ED193" s="732"/>
      <c r="EE193" s="732"/>
      <c r="EF193" s="732"/>
      <c r="EG193" s="732"/>
      <c r="EH193" s="732"/>
      <c r="EI193" s="732"/>
      <c r="EJ193" s="732"/>
      <c r="EK193" s="732"/>
      <c r="EL193" s="732"/>
      <c r="EM193" s="732"/>
      <c r="EN193" s="732"/>
      <c r="EO193" s="732"/>
      <c r="EP193" s="732"/>
      <c r="EQ193" s="732"/>
      <c r="ER193" s="732"/>
      <c r="ES193" s="732"/>
      <c r="ET193" s="732"/>
      <c r="EU193" s="732"/>
      <c r="EV193" s="732"/>
      <c r="EW193" s="732"/>
      <c r="EX193" s="732"/>
      <c r="EY193" s="732"/>
      <c r="EZ193" s="732"/>
      <c r="FA193" s="732"/>
      <c r="FB193" s="732"/>
      <c r="FC193" s="732"/>
      <c r="FD193" s="732"/>
      <c r="FE193" s="732"/>
      <c r="FF193" s="732"/>
      <c r="FG193" s="732"/>
      <c r="FH193" s="732"/>
      <c r="FI193" s="732"/>
      <c r="FJ193" s="732"/>
      <c r="FK193" s="732"/>
      <c r="FL193" s="732"/>
      <c r="FM193" s="732"/>
      <c r="FN193" s="732"/>
      <c r="FO193" s="732"/>
      <c r="FP193" s="732"/>
      <c r="FQ193" s="732"/>
      <c r="FR193" s="732"/>
      <c r="FS193" s="732"/>
      <c r="FT193" s="732"/>
      <c r="FU193" s="732"/>
      <c r="FV193" s="732"/>
      <c r="FW193" s="732"/>
      <c r="FX193" s="732"/>
      <c r="FY193" s="732"/>
      <c r="FZ193" s="732"/>
      <c r="GA193" s="732"/>
      <c r="GB193" s="732"/>
      <c r="GC193" s="732"/>
      <c r="GD193" s="732"/>
      <c r="GE193" s="732"/>
      <c r="GF193" s="732"/>
      <c r="GG193" s="732"/>
      <c r="GH193" s="732"/>
      <c r="GI193" s="732"/>
      <c r="GJ193" s="732"/>
      <c r="GK193" s="732"/>
      <c r="GL193" s="732"/>
      <c r="GM193" s="732"/>
      <c r="GN193" s="732"/>
      <c r="GO193" s="732"/>
      <c r="GP193" s="732"/>
      <c r="GQ193" s="732"/>
      <c r="GR193" s="732"/>
      <c r="GS193" s="732"/>
      <c r="GT193" s="732"/>
      <c r="GU193" s="732"/>
      <c r="GV193" s="732"/>
      <c r="GW193" s="732"/>
      <c r="GX193" s="732"/>
      <c r="GY193" s="732"/>
      <c r="GZ193" s="732"/>
      <c r="HA193" s="732"/>
      <c r="HB193" s="732"/>
      <c r="HC193" s="732"/>
      <c r="HD193" s="732"/>
      <c r="HE193" s="732"/>
      <c r="HF193" s="732"/>
      <c r="HG193" s="732"/>
      <c r="HH193" s="732"/>
      <c r="HI193" s="732"/>
      <c r="HJ193" s="732"/>
      <c r="HK193" s="732"/>
      <c r="HL193" s="732"/>
      <c r="HM193" s="732"/>
      <c r="HN193" s="732"/>
      <c r="HO193" s="732"/>
      <c r="HP193" s="732"/>
      <c r="HQ193" s="732"/>
      <c r="HR193" s="732"/>
      <c r="HS193" s="732"/>
      <c r="HT193" s="732"/>
      <c r="HU193" s="732"/>
      <c r="HV193" s="732"/>
      <c r="HW193" s="732"/>
      <c r="HX193" s="732"/>
      <c r="HY193" s="732"/>
      <c r="HZ193" s="732"/>
      <c r="IA193" s="732"/>
      <c r="IB193" s="732"/>
      <c r="IC193" s="732"/>
      <c r="ID193" s="732"/>
      <c r="IE193" s="732"/>
      <c r="IF193" s="732"/>
      <c r="IG193" s="732"/>
      <c r="IH193" s="732"/>
      <c r="II193" s="732"/>
      <c r="IJ193" s="732"/>
      <c r="IK193" s="732"/>
      <c r="IL193" s="732"/>
      <c r="IM193" s="732"/>
      <c r="IN193" s="732"/>
      <c r="IO193" s="732"/>
      <c r="IP193" s="732"/>
      <c r="IQ193" s="732"/>
      <c r="IR193" s="732"/>
      <c r="IS193" s="732"/>
      <c r="IT193" s="732"/>
      <c r="IU193" s="732"/>
      <c r="IV193" s="732"/>
      <c r="IW193" s="732"/>
      <c r="IX193" s="732"/>
      <c r="IY193" s="732"/>
      <c r="IZ193" s="732"/>
      <c r="JA193" s="732"/>
      <c r="JB193" s="732"/>
      <c r="JC193" s="732"/>
      <c r="JD193" s="732"/>
      <c r="JE193" s="732"/>
      <c r="JF193" s="732"/>
      <c r="JG193" s="732"/>
      <c r="JH193" s="732"/>
      <c r="JI193" s="732"/>
      <c r="JJ193" s="732"/>
      <c r="JK193" s="732"/>
      <c r="JL193" s="732"/>
      <c r="JM193" s="732"/>
      <c r="JN193" s="732"/>
      <c r="JO193" s="732"/>
      <c r="JP193" s="732"/>
      <c r="JQ193" s="732"/>
      <c r="JR193" s="732"/>
      <c r="JS193" s="732"/>
      <c r="JT193" s="732"/>
      <c r="JU193" s="732"/>
      <c r="JV193" s="732"/>
      <c r="JW193" s="732"/>
      <c r="JX193" s="732"/>
      <c r="JY193" s="732"/>
      <c r="JZ193" s="732"/>
      <c r="KA193" s="732"/>
      <c r="KB193" s="732"/>
      <c r="KC193" s="732"/>
      <c r="KD193" s="732"/>
      <c r="KE193" s="732"/>
      <c r="KF193" s="732"/>
      <c r="KG193" s="732"/>
      <c r="KH193" s="732"/>
      <c r="KI193" s="732"/>
      <c r="KJ193" s="732"/>
      <c r="KK193" s="732"/>
      <c r="KL193" s="732"/>
      <c r="KM193" s="732"/>
      <c r="KN193" s="732"/>
      <c r="KO193" s="732"/>
      <c r="KP193" s="732"/>
      <c r="KQ193" s="732"/>
      <c r="KR193" s="732"/>
      <c r="KS193" s="732"/>
      <c r="KT193" s="732"/>
      <c r="KU193" s="732"/>
      <c r="KV193" s="732"/>
      <c r="KW193" s="732"/>
      <c r="KX193" s="732"/>
      <c r="KY193" s="732"/>
      <c r="KZ193" s="732"/>
      <c r="LA193" s="732"/>
      <c r="LB193" s="732"/>
      <c r="LC193" s="732"/>
      <c r="LD193" s="732"/>
      <c r="LE193" s="732"/>
      <c r="LF193" s="732"/>
      <c r="LG193" s="732"/>
      <c r="LH193" s="732"/>
      <c r="LI193" s="732"/>
      <c r="LJ193" s="732"/>
      <c r="LK193" s="732"/>
      <c r="LL193" s="732"/>
      <c r="LM193" s="732"/>
      <c r="LN193" s="732"/>
      <c r="LO193" s="732"/>
      <c r="LP193" s="732"/>
      <c r="LQ193" s="732"/>
      <c r="LR193" s="732"/>
      <c r="LS193" s="732"/>
      <c r="LT193" s="732"/>
      <c r="LU193" s="732"/>
      <c r="LV193" s="732"/>
      <c r="LW193" s="732"/>
      <c r="LX193" s="732"/>
      <c r="LY193" s="732"/>
      <c r="LZ193" s="732"/>
      <c r="MA193" s="732"/>
      <c r="MB193" s="732"/>
      <c r="MC193" s="732"/>
      <c r="MD193" s="732"/>
      <c r="ME193" s="732"/>
      <c r="MF193" s="732"/>
      <c r="MG193" s="732"/>
      <c r="MH193" s="732"/>
      <c r="MI193" s="732"/>
      <c r="MJ193" s="732"/>
      <c r="MK193" s="732"/>
      <c r="ML193" s="732"/>
      <c r="MM193" s="732"/>
      <c r="MN193" s="732"/>
      <c r="MO193" s="732"/>
      <c r="MP193" s="732"/>
      <c r="MQ193" s="732"/>
      <c r="MR193" s="732"/>
      <c r="MS193" s="732"/>
      <c r="MT193" s="732"/>
      <c r="MU193" s="732"/>
      <c r="MV193" s="732"/>
      <c r="MW193" s="732"/>
      <c r="MX193" s="732"/>
      <c r="MY193" s="732"/>
      <c r="MZ193" s="732"/>
      <c r="NA193" s="732"/>
      <c r="NB193" s="732"/>
      <c r="NC193" s="732"/>
      <c r="ND193" s="732"/>
      <c r="NE193" s="732"/>
      <c r="NF193" s="732"/>
      <c r="NG193" s="732"/>
      <c r="NH193" s="732"/>
      <c r="NI193" s="732"/>
      <c r="NJ193" s="732"/>
      <c r="NK193" s="732"/>
      <c r="NL193" s="732"/>
      <c r="NM193" s="732"/>
      <c r="NN193" s="732"/>
      <c r="NO193" s="732"/>
      <c r="NP193" s="732"/>
      <c r="NQ193" s="732"/>
      <c r="NR193" s="732"/>
      <c r="NS193" s="732"/>
      <c r="NT193" s="732"/>
      <c r="NU193" s="732"/>
      <c r="NV193" s="732"/>
      <c r="NW193" s="732"/>
      <c r="NX193" s="732"/>
      <c r="NY193" s="732"/>
      <c r="NZ193" s="732"/>
      <c r="OA193" s="732"/>
      <c r="OB193" s="732"/>
      <c r="OC193" s="732"/>
      <c r="OD193" s="732"/>
      <c r="OE193" s="732"/>
      <c r="OF193" s="732"/>
      <c r="OG193" s="732"/>
      <c r="OH193" s="732"/>
      <c r="OI193" s="732"/>
      <c r="OJ193" s="732"/>
      <c r="OK193" s="732"/>
      <c r="OL193" s="732"/>
      <c r="OM193" s="732"/>
      <c r="ON193" s="732"/>
      <c r="OO193" s="732"/>
      <c r="OP193" s="732"/>
      <c r="OQ193" s="732"/>
      <c r="OR193" s="732"/>
      <c r="OS193" s="732"/>
      <c r="OT193" s="732"/>
      <c r="OU193" s="732"/>
      <c r="OV193" s="732"/>
      <c r="OW193" s="732"/>
      <c r="OX193" s="732"/>
      <c r="OY193" s="732"/>
      <c r="OZ193" s="732"/>
      <c r="PA193" s="732"/>
      <c r="PB193" s="732"/>
      <c r="PC193" s="732"/>
      <c r="PD193" s="732"/>
      <c r="PE193" s="732"/>
      <c r="PF193" s="732"/>
      <c r="PG193" s="732"/>
      <c r="PH193" s="732"/>
      <c r="PI193" s="732"/>
      <c r="PJ193" s="732"/>
      <c r="PK193" s="732"/>
      <c r="PL193" s="732"/>
      <c r="PM193" s="732"/>
      <c r="PN193" s="732"/>
      <c r="PO193" s="732"/>
      <c r="PP193" s="732"/>
      <c r="PQ193" s="732"/>
      <c r="PR193" s="732"/>
      <c r="PS193" s="732"/>
      <c r="PT193" s="732"/>
      <c r="PU193" s="732"/>
      <c r="PV193" s="732"/>
      <c r="PW193" s="732"/>
      <c r="PX193" s="732"/>
      <c r="PY193" s="732"/>
      <c r="PZ193" s="732"/>
      <c r="QA193" s="732"/>
      <c r="QB193" s="732"/>
      <c r="QC193" s="732"/>
      <c r="QD193" s="732"/>
      <c r="QE193" s="732"/>
      <c r="QF193" s="732"/>
      <c r="QG193" s="732"/>
      <c r="QH193" s="732"/>
      <c r="QI193" s="732"/>
      <c r="QJ193" s="732"/>
      <c r="QK193" s="732"/>
      <c r="QL193" s="732"/>
      <c r="QM193" s="732"/>
      <c r="QN193" s="732"/>
      <c r="QO193" s="732"/>
      <c r="QP193" s="732"/>
      <c r="QQ193" s="732"/>
      <c r="QR193" s="732"/>
      <c r="QS193" s="732"/>
      <c r="QT193" s="732"/>
      <c r="QU193" s="732"/>
      <c r="QV193" s="732"/>
      <c r="QW193" s="732"/>
      <c r="QX193" s="732"/>
      <c r="QY193" s="732"/>
      <c r="QZ193" s="732"/>
      <c r="RA193" s="732"/>
      <c r="RB193" s="732"/>
      <c r="RC193" s="732"/>
      <c r="RD193" s="732"/>
      <c r="RE193" s="732"/>
      <c r="RF193" s="732"/>
      <c r="RG193" s="732"/>
      <c r="RH193" s="732"/>
      <c r="RI193" s="732"/>
      <c r="RJ193" s="732"/>
      <c r="RK193" s="732"/>
      <c r="RL193" s="732"/>
      <c r="RM193" s="732"/>
      <c r="RN193" s="732"/>
      <c r="RO193" s="732"/>
      <c r="RP193" s="732"/>
      <c r="RQ193" s="732"/>
      <c r="RR193" s="732"/>
      <c r="RS193" s="732"/>
      <c r="RT193" s="732"/>
      <c r="RU193" s="732"/>
      <c r="RV193" s="732"/>
      <c r="RW193" s="732"/>
      <c r="RX193" s="732"/>
      <c r="RY193" s="732"/>
      <c r="RZ193" s="732"/>
      <c r="SA193" s="732"/>
      <c r="SB193" s="732"/>
      <c r="SC193" s="732"/>
      <c r="SD193" s="732"/>
      <c r="SE193" s="732"/>
      <c r="SF193" s="732"/>
      <c r="SG193" s="732"/>
      <c r="SH193" s="732"/>
      <c r="SI193" s="732"/>
      <c r="SJ193" s="732"/>
      <c r="SK193" s="732"/>
      <c r="SL193" s="732"/>
      <c r="SM193" s="732"/>
      <c r="SN193" s="732"/>
      <c r="SO193" s="732"/>
      <c r="SP193" s="732"/>
      <c r="SQ193" s="732"/>
      <c r="SR193" s="732"/>
      <c r="SS193" s="732"/>
      <c r="ST193" s="732"/>
      <c r="SU193" s="732"/>
      <c r="SV193" s="732"/>
      <c r="SW193" s="732"/>
      <c r="SX193" s="732"/>
      <c r="SY193" s="732"/>
      <c r="SZ193" s="732"/>
      <c r="TA193" s="732"/>
      <c r="TB193" s="732"/>
      <c r="TC193" s="732"/>
      <c r="TD193" s="732"/>
      <c r="TE193" s="732"/>
      <c r="TF193" s="732"/>
      <c r="TG193" s="732"/>
      <c r="TH193" s="732"/>
      <c r="TI193" s="732"/>
      <c r="TJ193" s="732"/>
      <c r="TK193" s="732"/>
      <c r="TL193" s="732"/>
      <c r="TM193" s="732"/>
      <c r="TN193" s="732"/>
      <c r="TO193" s="732"/>
      <c r="TP193" s="732"/>
      <c r="TQ193" s="732"/>
      <c r="TR193" s="732"/>
      <c r="TS193" s="732"/>
      <c r="TT193" s="732"/>
      <c r="TU193" s="732"/>
      <c r="TV193" s="732"/>
      <c r="TW193" s="732"/>
      <c r="TX193" s="732"/>
      <c r="TY193" s="732"/>
      <c r="TZ193" s="732"/>
      <c r="UA193" s="732"/>
      <c r="UB193" s="732"/>
      <c r="UC193" s="732"/>
      <c r="UD193" s="732"/>
      <c r="UE193" s="732"/>
      <c r="UF193" s="732"/>
      <c r="UG193" s="732"/>
      <c r="UH193" s="732"/>
      <c r="UI193" s="732"/>
      <c r="UJ193" s="732"/>
      <c r="UK193" s="732"/>
      <c r="UL193" s="732"/>
      <c r="UM193" s="732"/>
      <c r="UN193" s="732"/>
      <c r="UO193" s="732"/>
      <c r="UP193" s="732"/>
      <c r="UQ193" s="732"/>
      <c r="UR193" s="732"/>
      <c r="US193" s="732"/>
      <c r="UT193" s="732"/>
      <c r="UU193" s="732"/>
      <c r="UV193" s="732"/>
      <c r="UW193" s="732"/>
      <c r="UX193" s="732"/>
      <c r="UY193" s="732"/>
      <c r="UZ193" s="732"/>
      <c r="VA193" s="732"/>
      <c r="VB193" s="732"/>
      <c r="VC193" s="732"/>
      <c r="VD193" s="732"/>
      <c r="VE193" s="732"/>
      <c r="VF193" s="732"/>
      <c r="VG193" s="732"/>
      <c r="VH193" s="732"/>
      <c r="VI193" s="732"/>
      <c r="VJ193" s="732"/>
      <c r="VK193" s="732"/>
      <c r="VL193" s="732"/>
      <c r="VM193" s="732"/>
      <c r="VN193" s="732"/>
      <c r="VO193" s="732"/>
      <c r="VP193" s="732"/>
      <c r="VQ193" s="732"/>
      <c r="VR193" s="732"/>
      <c r="VS193" s="732"/>
      <c r="VT193" s="732"/>
      <c r="VU193" s="732"/>
      <c r="VV193" s="732"/>
      <c r="VW193" s="732"/>
      <c r="VX193" s="732"/>
      <c r="VY193" s="732"/>
      <c r="VZ193" s="732"/>
      <c r="WA193" s="732"/>
      <c r="WB193" s="732"/>
      <c r="WC193" s="732"/>
      <c r="WD193" s="732"/>
      <c r="WE193" s="732"/>
      <c r="WF193" s="732"/>
      <c r="WG193" s="732"/>
      <c r="WH193" s="732"/>
      <c r="WI193" s="732"/>
      <c r="WJ193" s="732"/>
      <c r="WK193" s="732"/>
      <c r="WL193" s="732"/>
      <c r="WM193" s="732"/>
      <c r="WN193" s="732"/>
      <c r="WO193" s="732"/>
      <c r="WP193" s="732"/>
      <c r="WQ193" s="732"/>
      <c r="WR193" s="732"/>
      <c r="WS193" s="732"/>
      <c r="WT193" s="732"/>
      <c r="WU193" s="732"/>
      <c r="WV193" s="732"/>
      <c r="WW193" s="732"/>
      <c r="WX193" s="732"/>
      <c r="WY193" s="732"/>
      <c r="WZ193" s="732"/>
      <c r="XA193" s="732"/>
      <c r="XB193" s="732"/>
      <c r="XC193" s="732"/>
      <c r="XD193" s="732"/>
      <c r="XE193" s="732"/>
      <c r="XF193" s="732"/>
      <c r="XG193" s="732"/>
      <c r="XH193" s="732"/>
      <c r="XI193" s="732"/>
      <c r="XJ193" s="732"/>
      <c r="XK193" s="732"/>
      <c r="XL193" s="732"/>
      <c r="XM193" s="732"/>
      <c r="XN193" s="732"/>
      <c r="XO193" s="732"/>
      <c r="XP193" s="732"/>
      <c r="XQ193" s="732"/>
      <c r="XR193" s="732"/>
      <c r="XS193" s="732"/>
      <c r="XT193" s="732"/>
      <c r="XU193" s="732"/>
      <c r="XV193" s="732"/>
      <c r="XW193" s="732"/>
      <c r="XX193" s="732"/>
      <c r="XY193" s="732"/>
      <c r="XZ193" s="732"/>
      <c r="YA193" s="732"/>
      <c r="YB193" s="732"/>
      <c r="YC193" s="732"/>
      <c r="YD193" s="732"/>
      <c r="YE193" s="732"/>
      <c r="YF193" s="732"/>
      <c r="YG193" s="732"/>
      <c r="YH193" s="732"/>
      <c r="YI193" s="732"/>
      <c r="YJ193" s="732"/>
      <c r="YK193" s="732"/>
      <c r="YL193" s="732"/>
      <c r="YM193" s="732"/>
      <c r="YN193" s="732"/>
      <c r="YO193" s="732"/>
      <c r="YP193" s="732"/>
      <c r="YQ193" s="732"/>
      <c r="YR193" s="732"/>
      <c r="YS193" s="732"/>
      <c r="YT193" s="732"/>
      <c r="YU193" s="732"/>
      <c r="YV193" s="732"/>
      <c r="YW193" s="732"/>
      <c r="YX193" s="732"/>
      <c r="YY193" s="732"/>
      <c r="YZ193" s="732"/>
      <c r="ZA193" s="732"/>
      <c r="ZB193" s="732"/>
      <c r="ZC193" s="732"/>
      <c r="ZD193" s="732"/>
      <c r="ZE193" s="732"/>
      <c r="ZF193" s="732"/>
      <c r="ZG193" s="732"/>
      <c r="ZH193" s="732"/>
      <c r="ZI193" s="732"/>
      <c r="ZJ193" s="732"/>
      <c r="ZK193" s="732"/>
      <c r="ZL193" s="732"/>
      <c r="ZM193" s="732"/>
      <c r="ZN193" s="732"/>
      <c r="ZO193" s="732"/>
      <c r="ZP193" s="732"/>
      <c r="ZQ193" s="732"/>
      <c r="ZR193" s="732"/>
      <c r="ZS193" s="732"/>
      <c r="ZT193" s="732"/>
      <c r="ZU193" s="732"/>
      <c r="ZV193" s="732"/>
      <c r="ZW193" s="732"/>
      <c r="ZX193" s="732"/>
      <c r="ZY193" s="732"/>
      <c r="ZZ193" s="732"/>
      <c r="AAA193" s="732"/>
      <c r="AAB193" s="732"/>
      <c r="AAC193" s="732"/>
      <c r="AAD193" s="732"/>
      <c r="AAE193" s="732"/>
      <c r="AAF193" s="732"/>
      <c r="AAG193" s="732"/>
      <c r="AAH193" s="732"/>
      <c r="AAI193" s="732"/>
      <c r="AAJ193" s="732"/>
      <c r="AAK193" s="732"/>
      <c r="AAL193" s="732"/>
      <c r="AAM193" s="732"/>
      <c r="AAN193" s="732"/>
      <c r="AAO193" s="732"/>
      <c r="AAP193" s="732"/>
      <c r="AAQ193" s="732"/>
      <c r="AAR193" s="732"/>
      <c r="AAS193" s="732"/>
      <c r="AAT193" s="732"/>
      <c r="AAU193" s="732"/>
      <c r="AAV193" s="732"/>
      <c r="AAW193" s="732"/>
      <c r="AAX193" s="732"/>
      <c r="AAY193" s="732"/>
      <c r="AAZ193" s="732"/>
      <c r="ABA193" s="732"/>
      <c r="ABB193" s="732"/>
      <c r="ABC193" s="732"/>
      <c r="ABD193" s="732"/>
      <c r="ABE193" s="732"/>
      <c r="ABF193" s="732"/>
      <c r="ABG193" s="732"/>
      <c r="ABH193" s="732"/>
      <c r="ABI193" s="732"/>
      <c r="ABJ193" s="732"/>
      <c r="ABK193" s="732"/>
      <c r="ABL193" s="732"/>
      <c r="ABM193" s="732"/>
      <c r="ABN193" s="732"/>
      <c r="ABO193" s="732"/>
      <c r="ABP193" s="732"/>
      <c r="ABQ193" s="732"/>
      <c r="ABR193" s="732"/>
      <c r="ABS193" s="732"/>
      <c r="ABT193" s="732"/>
      <c r="ABU193" s="732"/>
      <c r="ABV193" s="732"/>
      <c r="ABW193" s="732"/>
      <c r="ABX193" s="732"/>
      <c r="ABY193" s="732"/>
      <c r="ABZ193" s="732"/>
      <c r="ACA193" s="732"/>
      <c r="ACB193" s="732"/>
      <c r="ACC193" s="732"/>
      <c r="ACD193" s="732"/>
      <c r="ACE193" s="732"/>
      <c r="ACF193" s="732"/>
      <c r="ACG193" s="732"/>
      <c r="ACH193" s="732"/>
      <c r="ACI193" s="732"/>
      <c r="ACJ193" s="732"/>
      <c r="ACK193" s="732"/>
      <c r="ACL193" s="732"/>
      <c r="ACM193" s="732"/>
      <c r="ACN193" s="732"/>
      <c r="ACO193" s="732"/>
      <c r="ACP193" s="732"/>
      <c r="ACQ193" s="732"/>
      <c r="ACR193" s="732"/>
      <c r="ACS193" s="732"/>
      <c r="ACT193" s="732"/>
      <c r="ACU193" s="732"/>
      <c r="ACV193" s="732"/>
      <c r="ACW193" s="732"/>
      <c r="ACX193" s="732"/>
      <c r="ACY193" s="732"/>
      <c r="ACZ193" s="732"/>
      <c r="ADA193" s="732"/>
      <c r="ADB193" s="732"/>
      <c r="ADC193" s="732"/>
      <c r="ADD193" s="732"/>
      <c r="ADE193" s="732"/>
      <c r="ADF193" s="732"/>
      <c r="ADG193" s="732"/>
      <c r="ADH193" s="732"/>
      <c r="ADI193" s="732"/>
      <c r="ADJ193" s="732"/>
      <c r="ADK193" s="732"/>
      <c r="ADL193" s="732"/>
      <c r="ADM193" s="732"/>
      <c r="ADN193" s="732"/>
      <c r="ADO193" s="732"/>
      <c r="ADP193" s="732"/>
      <c r="ADQ193" s="732"/>
      <c r="ADR193" s="732"/>
      <c r="ADS193" s="732"/>
      <c r="ADT193" s="732"/>
      <c r="ADU193" s="732"/>
      <c r="ADV193" s="732"/>
      <c r="ADW193" s="732"/>
      <c r="ADX193" s="732"/>
      <c r="ADY193" s="732"/>
      <c r="ADZ193" s="732"/>
      <c r="AEA193" s="732"/>
      <c r="AEB193" s="732"/>
      <c r="AEC193" s="732"/>
      <c r="AED193" s="732"/>
      <c r="AEE193" s="732"/>
      <c r="AEF193" s="732"/>
      <c r="AEG193" s="732"/>
      <c r="AEH193" s="732"/>
      <c r="AEI193" s="732"/>
      <c r="AEJ193" s="732"/>
      <c r="AEK193" s="732"/>
      <c r="AEL193" s="732"/>
      <c r="AEM193" s="732"/>
      <c r="AEN193" s="732"/>
      <c r="AEO193" s="732"/>
      <c r="AEP193" s="732"/>
      <c r="AEQ193" s="732"/>
      <c r="AER193" s="732"/>
      <c r="AES193" s="732"/>
      <c r="AET193" s="732"/>
      <c r="AEU193" s="732"/>
      <c r="AEV193" s="732"/>
      <c r="AEW193" s="732"/>
      <c r="AEX193" s="732"/>
      <c r="AEY193" s="732"/>
      <c r="AEZ193" s="732"/>
      <c r="AFA193" s="732"/>
      <c r="AFB193" s="732"/>
      <c r="AFC193" s="732"/>
      <c r="AFD193" s="732"/>
      <c r="AFE193" s="732"/>
      <c r="AFF193" s="732"/>
      <c r="AFG193" s="732"/>
      <c r="AFH193" s="732"/>
      <c r="AFI193" s="732"/>
      <c r="AFJ193" s="732"/>
      <c r="AFK193" s="732"/>
      <c r="AFL193" s="732"/>
      <c r="AFM193" s="732"/>
      <c r="AFN193" s="732"/>
      <c r="AFO193" s="732"/>
      <c r="AFP193" s="732"/>
      <c r="AFQ193" s="732"/>
      <c r="AFR193" s="732"/>
      <c r="AFS193" s="732"/>
      <c r="AFT193" s="732"/>
      <c r="AFU193" s="732"/>
      <c r="AFV193" s="732"/>
      <c r="AFW193" s="732"/>
      <c r="AFX193" s="732"/>
      <c r="AFY193" s="732"/>
      <c r="AFZ193" s="732"/>
      <c r="AGA193" s="732"/>
      <c r="AGB193" s="732"/>
      <c r="AGC193" s="732"/>
      <c r="AGD193" s="732"/>
      <c r="AGE193" s="732"/>
      <c r="AGF193" s="732"/>
      <c r="AGG193" s="732"/>
      <c r="AGH193" s="732"/>
      <c r="AGI193" s="732"/>
      <c r="AGJ193" s="732"/>
      <c r="AGK193" s="732"/>
      <c r="AGL193" s="732"/>
      <c r="AGM193" s="732"/>
      <c r="AGN193" s="732"/>
      <c r="AGO193" s="732"/>
      <c r="AGP193" s="732"/>
      <c r="AGQ193" s="732"/>
      <c r="AGR193" s="732"/>
      <c r="AGS193" s="732"/>
      <c r="AGT193" s="732"/>
      <c r="AGU193" s="732"/>
      <c r="AGV193" s="732"/>
      <c r="AGW193" s="732"/>
      <c r="AGX193" s="732"/>
      <c r="AGY193" s="732"/>
      <c r="AGZ193" s="732"/>
      <c r="AHA193" s="732"/>
      <c r="AHB193" s="732"/>
      <c r="AHC193" s="732"/>
      <c r="AHD193" s="732"/>
      <c r="AHE193" s="732"/>
      <c r="AHF193" s="732"/>
      <c r="AHG193" s="732"/>
      <c r="AHH193" s="732"/>
      <c r="AHI193" s="732"/>
      <c r="AHJ193" s="732"/>
      <c r="AHK193" s="732"/>
      <c r="AHL193" s="732"/>
      <c r="AHM193" s="732"/>
      <c r="AHN193" s="732"/>
      <c r="AHO193" s="732"/>
      <c r="AHP193" s="732"/>
      <c r="AHQ193" s="732"/>
      <c r="AHR193" s="732"/>
      <c r="AHS193" s="732"/>
      <c r="AHT193" s="732"/>
      <c r="AHU193" s="732"/>
      <c r="AHV193" s="732"/>
      <c r="AHW193" s="732"/>
      <c r="AHX193" s="732"/>
      <c r="AHY193" s="732"/>
      <c r="AHZ193" s="732"/>
      <c r="AIA193" s="732"/>
      <c r="AIB193" s="732"/>
      <c r="AIC193" s="732"/>
      <c r="AID193" s="732"/>
      <c r="AIE193" s="732"/>
      <c r="AIF193" s="732"/>
      <c r="AIG193" s="732"/>
      <c r="AIH193" s="732"/>
      <c r="AII193" s="732"/>
      <c r="AIJ193" s="732"/>
      <c r="AIK193" s="732"/>
      <c r="AIL193" s="732"/>
      <c r="AIM193" s="732"/>
      <c r="AIN193" s="732"/>
      <c r="AIO193" s="732"/>
      <c r="AIP193" s="732"/>
      <c r="AIQ193" s="732"/>
      <c r="AIR193" s="732"/>
      <c r="AIS193" s="732"/>
      <c r="AIT193" s="732"/>
      <c r="AIU193" s="732"/>
      <c r="AIV193" s="732"/>
      <c r="AIW193" s="732"/>
      <c r="AIX193" s="732"/>
      <c r="AIY193" s="732"/>
      <c r="AIZ193" s="732"/>
      <c r="AJA193" s="732"/>
      <c r="AJB193" s="732"/>
      <c r="AJC193" s="732"/>
      <c r="AJD193" s="732"/>
      <c r="AJE193" s="732"/>
      <c r="AJF193" s="732"/>
      <c r="AJG193" s="732"/>
      <c r="AJH193" s="732"/>
      <c r="AJI193" s="732"/>
      <c r="AJJ193" s="732"/>
      <c r="AJK193" s="732"/>
      <c r="AJL193" s="732"/>
      <c r="AJM193" s="732"/>
      <c r="AJN193" s="732"/>
      <c r="AJO193" s="732"/>
      <c r="AJP193" s="732"/>
      <c r="AJQ193" s="732"/>
      <c r="AJR193" s="732"/>
      <c r="AJS193" s="732"/>
      <c r="AJT193" s="732"/>
      <c r="AJU193" s="732"/>
      <c r="AJV193" s="732"/>
      <c r="AJW193" s="732"/>
      <c r="AJX193" s="732"/>
      <c r="AJY193" s="732"/>
      <c r="AJZ193" s="732"/>
      <c r="AKA193" s="732"/>
      <c r="AKB193" s="732"/>
      <c r="AKC193" s="732"/>
      <c r="AKD193" s="732"/>
      <c r="AKE193" s="732"/>
      <c r="AKF193" s="732"/>
      <c r="AKG193" s="732"/>
      <c r="AKH193" s="732"/>
      <c r="AKI193" s="732"/>
      <c r="AKJ193" s="732"/>
      <c r="AKK193" s="732"/>
      <c r="AKL193" s="732"/>
      <c r="AKM193" s="732"/>
      <c r="AKN193" s="732"/>
      <c r="AKO193" s="732"/>
      <c r="AKP193" s="732"/>
      <c r="AKQ193" s="732"/>
      <c r="AKR193" s="732"/>
      <c r="AKS193" s="732"/>
      <c r="AKT193" s="732"/>
      <c r="AKU193" s="732"/>
      <c r="AKV193" s="732"/>
      <c r="AKW193" s="732"/>
      <c r="AKX193" s="732"/>
      <c r="AKY193" s="732"/>
      <c r="AKZ193" s="732"/>
      <c r="ALA193" s="732"/>
      <c r="ALB193" s="732"/>
      <c r="ALC193" s="732"/>
      <c r="ALD193" s="732"/>
      <c r="ALE193" s="732"/>
      <c r="ALF193" s="732"/>
      <c r="ALG193" s="732"/>
      <c r="ALH193" s="732"/>
      <c r="ALI193" s="732"/>
      <c r="ALJ193" s="732"/>
      <c r="ALK193" s="732"/>
      <c r="ALL193" s="732"/>
      <c r="ALM193" s="732"/>
      <c r="ALN193" s="732"/>
      <c r="ALO193" s="732"/>
      <c r="ALP193" s="732"/>
      <c r="ALQ193" s="732"/>
      <c r="ALR193" s="732"/>
      <c r="ALS193" s="732"/>
      <c r="ALT193" s="732"/>
      <c r="ALU193" s="732"/>
      <c r="ALV193" s="732"/>
      <c r="ALW193" s="732"/>
      <c r="ALX193" s="732"/>
      <c r="ALY193" s="732"/>
      <c r="ALZ193" s="732"/>
      <c r="AMA193" s="732"/>
      <c r="AMB193" s="732"/>
      <c r="AMC193" s="732"/>
      <c r="AMD193" s="732"/>
      <c r="AME193" s="732"/>
      <c r="AMF193" s="732"/>
      <c r="AMG193" s="732"/>
      <c r="AMH193" s="732"/>
      <c r="AMI193" s="732"/>
      <c r="AMJ193" s="732"/>
    </row>
    <row r="194" spans="1:1024" s="207" customFormat="1" ht="13.5" customHeight="1" x14ac:dyDescent="0.25">
      <c r="A194" s="703" t="s">
        <v>1444</v>
      </c>
      <c r="B194" s="703"/>
      <c r="C194" s="703"/>
      <c r="D194" s="703"/>
      <c r="E194" s="703"/>
      <c r="F194" s="703"/>
      <c r="G194" s="703"/>
      <c r="H194" s="703"/>
      <c r="I194" s="703"/>
      <c r="J194" s="703"/>
      <c r="K194" s="703"/>
      <c r="L194" s="703"/>
      <c r="M194" s="703"/>
      <c r="N194" s="703"/>
      <c r="O194" s="703"/>
      <c r="P194" s="703"/>
      <c r="Q194" s="703"/>
      <c r="R194" s="703"/>
      <c r="S194" s="703"/>
      <c r="T194" s="703"/>
      <c r="U194" s="703"/>
      <c r="V194" s="703"/>
      <c r="W194" s="703"/>
      <c r="X194" s="703"/>
      <c r="Y194" s="703"/>
      <c r="Z194" s="703"/>
      <c r="AA194" s="703"/>
      <c r="AB194" s="703"/>
      <c r="AC194" s="703"/>
      <c r="AD194" s="703"/>
      <c r="AE194" s="703"/>
      <c r="AF194" s="703"/>
      <c r="AG194" s="703"/>
      <c r="AH194" s="703"/>
      <c r="AI194" s="703"/>
      <c r="AJ194" s="703"/>
      <c r="AK194" s="703"/>
      <c r="AL194" s="703"/>
      <c r="AM194" s="703"/>
      <c r="AN194" s="703"/>
      <c r="AO194" s="703"/>
      <c r="AP194" s="703"/>
      <c r="AQ194" s="703"/>
      <c r="AR194" s="703"/>
      <c r="AS194" s="703"/>
      <c r="AT194" s="703"/>
      <c r="AU194" s="703"/>
      <c r="AV194" s="703"/>
      <c r="AW194" s="703"/>
      <c r="AX194" s="703"/>
      <c r="AY194" s="703"/>
      <c r="AZ194" s="206"/>
      <c r="BA194" s="206"/>
      <c r="BB194" s="206"/>
    </row>
    <row r="195" spans="1:1024" ht="59.25" customHeight="1" x14ac:dyDescent="0.25">
      <c r="A195" s="732" t="s">
        <v>1445</v>
      </c>
      <c r="B195" s="732"/>
      <c r="C195" s="732"/>
      <c r="D195" s="732"/>
      <c r="E195" s="732"/>
      <c r="F195" s="732"/>
      <c r="G195" s="732"/>
      <c r="H195" s="732"/>
      <c r="I195" s="732"/>
      <c r="J195" s="732"/>
      <c r="K195" s="732"/>
      <c r="L195" s="732"/>
      <c r="M195" s="732"/>
      <c r="N195" s="732"/>
      <c r="O195" s="732"/>
      <c r="P195" s="732"/>
      <c r="Q195" s="732"/>
      <c r="R195" s="732"/>
      <c r="S195" s="732"/>
      <c r="T195" s="732"/>
      <c r="U195" s="732"/>
      <c r="V195" s="732"/>
      <c r="W195" s="732"/>
      <c r="X195" s="732"/>
      <c r="Y195" s="732"/>
      <c r="Z195" s="732"/>
      <c r="AA195" s="732"/>
      <c r="AB195" s="732"/>
      <c r="AC195" s="732"/>
      <c r="AD195" s="732"/>
      <c r="AE195" s="732"/>
      <c r="AF195" s="732"/>
      <c r="AG195" s="732"/>
      <c r="AH195" s="732"/>
      <c r="AI195" s="732"/>
      <c r="AJ195" s="732"/>
      <c r="AK195" s="732"/>
      <c r="AL195" s="732"/>
      <c r="AM195" s="732"/>
      <c r="AN195" s="732"/>
      <c r="AO195" s="732"/>
      <c r="AP195" s="732"/>
      <c r="AQ195" s="732"/>
      <c r="AR195" s="732"/>
      <c r="AS195" s="732"/>
      <c r="AT195" s="732"/>
      <c r="AU195" s="732"/>
      <c r="AV195" s="732"/>
      <c r="AW195" s="732"/>
      <c r="AX195" s="732"/>
      <c r="AY195" s="732"/>
      <c r="AZ195" s="206"/>
      <c r="BA195" s="206"/>
      <c r="BB195" s="206"/>
    </row>
    <row r="196" spans="1:1024" s="228" customFormat="1" ht="13.5" x14ac:dyDescent="0.25">
      <c r="A196" s="220" t="s">
        <v>1446</v>
      </c>
      <c r="B196" s="220"/>
      <c r="C196" s="220"/>
      <c r="D196" s="220"/>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c r="AA196" s="220"/>
      <c r="AB196" s="220"/>
      <c r="AC196" s="220"/>
      <c r="AD196" s="220"/>
      <c r="AE196" s="220"/>
      <c r="AF196" s="220"/>
      <c r="AG196" s="220"/>
      <c r="AH196" s="220"/>
      <c r="AI196" s="220"/>
      <c r="AJ196" s="220"/>
      <c r="AK196" s="220"/>
      <c r="AL196" s="220"/>
      <c r="AM196" s="220"/>
      <c r="AN196" s="220"/>
      <c r="AO196" s="220"/>
      <c r="AP196" s="220"/>
      <c r="AQ196" s="220"/>
      <c r="AR196" s="220"/>
      <c r="AS196" s="220"/>
      <c r="AT196" s="220"/>
      <c r="AU196" s="220"/>
      <c r="AV196" s="220"/>
      <c r="AW196" s="220"/>
      <c r="AX196" s="220"/>
      <c r="AY196" s="220"/>
      <c r="AZ196" s="220"/>
      <c r="BA196" s="220"/>
      <c r="BB196" s="220"/>
    </row>
    <row r="197" spans="1:1024" s="207" customFormat="1" ht="13.15" customHeight="1" x14ac:dyDescent="0.25">
      <c r="A197" s="744" t="s">
        <v>1447</v>
      </c>
      <c r="B197" s="744"/>
      <c r="C197" s="713" t="s">
        <v>1276</v>
      </c>
      <c r="D197" s="713"/>
      <c r="E197" s="731" t="s">
        <v>1448</v>
      </c>
      <c r="F197" s="731"/>
      <c r="G197" s="731"/>
      <c r="H197" s="731"/>
      <c r="I197" s="731"/>
      <c r="J197" s="731"/>
      <c r="K197" s="731"/>
      <c r="L197" s="731"/>
      <c r="M197" s="731"/>
      <c r="N197" s="731"/>
      <c r="O197" s="731"/>
      <c r="P197" s="731"/>
      <c r="Q197" s="731"/>
      <c r="R197" s="731"/>
      <c r="S197" s="731"/>
      <c r="T197" s="731"/>
      <c r="U197" s="731"/>
      <c r="V197" s="731"/>
      <c r="W197" s="731"/>
      <c r="X197" s="731"/>
      <c r="Y197" s="731"/>
      <c r="Z197" s="731"/>
      <c r="AA197" s="731"/>
      <c r="AB197" s="731"/>
      <c r="AC197" s="731"/>
      <c r="AD197" s="731"/>
      <c r="AE197" s="731"/>
      <c r="AF197" s="731"/>
      <c r="AG197" s="731"/>
      <c r="AH197" s="731"/>
      <c r="AI197" s="731"/>
      <c r="AJ197" s="731"/>
      <c r="AK197" s="731"/>
      <c r="AL197" s="731"/>
      <c r="AM197" s="731"/>
      <c r="AN197" s="229"/>
      <c r="AO197" s="229"/>
      <c r="AP197" s="229"/>
      <c r="AQ197" s="229"/>
      <c r="AR197" s="229"/>
      <c r="AS197" s="229"/>
      <c r="AT197" s="229"/>
      <c r="AU197" s="229"/>
      <c r="AV197" s="229"/>
      <c r="AW197" s="229"/>
      <c r="AX197" s="229"/>
      <c r="AY197" s="229"/>
      <c r="AZ197" s="206"/>
      <c r="BA197" s="206"/>
      <c r="BB197" s="206"/>
    </row>
    <row r="198" spans="1:1024" s="228" customFormat="1" ht="13.5" x14ac:dyDescent="0.25">
      <c r="A198" s="220" t="s">
        <v>1449</v>
      </c>
      <c r="B198" s="220"/>
      <c r="C198" s="220"/>
      <c r="D198" s="220"/>
      <c r="E198" s="220"/>
      <c r="F198" s="220"/>
      <c r="G198" s="220"/>
      <c r="H198" s="220"/>
      <c r="I198" s="220"/>
      <c r="J198" s="220"/>
      <c r="K198" s="220"/>
      <c r="L198" s="220"/>
      <c r="M198" s="220"/>
      <c r="N198" s="220"/>
      <c r="O198" s="220"/>
      <c r="P198" s="220"/>
      <c r="Q198" s="220"/>
      <c r="R198" s="220"/>
      <c r="S198" s="220"/>
      <c r="T198" s="220"/>
      <c r="U198" s="220"/>
      <c r="V198" s="220"/>
      <c r="W198" s="220"/>
      <c r="X198" s="220"/>
      <c r="Y198" s="220"/>
      <c r="Z198" s="220"/>
      <c r="AA198" s="220"/>
      <c r="AB198" s="220"/>
      <c r="AC198" s="220"/>
      <c r="AD198" s="220"/>
      <c r="AE198" s="220"/>
      <c r="AF198" s="220"/>
      <c r="AG198" s="220"/>
      <c r="AH198" s="220"/>
      <c r="AI198" s="220"/>
      <c r="AJ198" s="220"/>
      <c r="AK198" s="220"/>
      <c r="AL198" s="220"/>
      <c r="AM198" s="220"/>
      <c r="AN198" s="220"/>
      <c r="AO198" s="220"/>
      <c r="AP198" s="220"/>
      <c r="AQ198" s="220"/>
      <c r="AR198" s="220"/>
      <c r="AS198" s="220"/>
      <c r="AT198" s="220"/>
      <c r="AU198" s="220"/>
      <c r="AV198" s="220"/>
      <c r="AW198" s="220"/>
      <c r="AX198" s="220"/>
      <c r="AY198" s="220"/>
      <c r="AZ198" s="220"/>
      <c r="BA198" s="220"/>
      <c r="BB198" s="220"/>
    </row>
    <row r="199" spans="1:1024" s="230" customFormat="1" ht="27" customHeight="1" x14ac:dyDescent="0.25">
      <c r="A199" s="732" t="s">
        <v>5360</v>
      </c>
      <c r="B199" s="732"/>
      <c r="C199" s="732"/>
      <c r="D199" s="732"/>
      <c r="E199" s="732"/>
      <c r="F199" s="732"/>
      <c r="G199" s="732"/>
      <c r="H199" s="732"/>
      <c r="I199" s="732"/>
      <c r="J199" s="732"/>
      <c r="K199" s="732"/>
      <c r="L199" s="732"/>
      <c r="M199" s="732"/>
      <c r="N199" s="732"/>
      <c r="O199" s="732"/>
      <c r="P199" s="732"/>
      <c r="Q199" s="732"/>
      <c r="R199" s="732"/>
      <c r="S199" s="732"/>
      <c r="T199" s="732"/>
      <c r="U199" s="732"/>
      <c r="V199" s="732"/>
      <c r="W199" s="732"/>
      <c r="X199" s="732"/>
      <c r="Y199" s="732"/>
      <c r="Z199" s="732"/>
      <c r="AA199" s="732"/>
      <c r="AB199" s="732"/>
      <c r="AC199" s="732"/>
      <c r="AD199" s="732"/>
      <c r="AE199" s="732"/>
      <c r="AF199" s="732"/>
      <c r="AG199" s="732"/>
      <c r="AH199" s="732"/>
      <c r="AI199" s="732"/>
      <c r="AJ199" s="732"/>
      <c r="AK199" s="732"/>
      <c r="AL199" s="732"/>
      <c r="AM199" s="732"/>
      <c r="AN199" s="732"/>
      <c r="AO199" s="732"/>
      <c r="AP199" s="732"/>
      <c r="AQ199" s="732"/>
      <c r="AR199" s="732"/>
      <c r="AS199" s="732"/>
      <c r="AT199" s="732"/>
      <c r="AU199" s="732"/>
      <c r="AV199" s="732"/>
      <c r="AW199" s="732"/>
      <c r="AX199" s="732"/>
      <c r="AY199" s="732"/>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T199" s="229"/>
      <c r="BU199" s="229"/>
      <c r="BV199" s="229"/>
      <c r="BW199" s="229"/>
      <c r="BX199" s="229"/>
      <c r="BY199" s="229"/>
      <c r="BZ199" s="229"/>
      <c r="CA199" s="229"/>
      <c r="CB199" s="229"/>
      <c r="CC199" s="229"/>
      <c r="CD199" s="229"/>
      <c r="CE199" s="229"/>
      <c r="CF199" s="229"/>
      <c r="CG199" s="229"/>
      <c r="CH199" s="229"/>
      <c r="CI199" s="229"/>
      <c r="CJ199" s="229"/>
      <c r="CK199" s="229"/>
      <c r="CL199" s="229"/>
      <c r="CM199" s="229"/>
      <c r="CN199" s="229"/>
      <c r="CO199" s="229"/>
      <c r="CP199" s="229"/>
      <c r="CQ199" s="229"/>
      <c r="CR199" s="229"/>
      <c r="CS199" s="229"/>
      <c r="CT199" s="229"/>
      <c r="CU199" s="229"/>
      <c r="CV199" s="229"/>
      <c r="CW199" s="229"/>
      <c r="CX199" s="229"/>
      <c r="CY199" s="732"/>
      <c r="CZ199" s="732"/>
      <c r="DA199" s="732"/>
      <c r="DB199" s="732"/>
      <c r="DC199" s="732"/>
      <c r="DD199" s="732"/>
      <c r="DE199" s="732"/>
      <c r="DF199" s="732"/>
      <c r="DG199" s="732"/>
      <c r="DH199" s="732"/>
      <c r="DI199" s="732"/>
      <c r="DJ199" s="732"/>
      <c r="DK199" s="732"/>
      <c r="DL199" s="732"/>
      <c r="DM199" s="732"/>
      <c r="DN199" s="732"/>
      <c r="DO199" s="732"/>
      <c r="DP199" s="732"/>
      <c r="DQ199" s="732"/>
      <c r="DR199" s="732"/>
      <c r="DS199" s="732"/>
      <c r="DT199" s="732"/>
      <c r="DU199" s="732"/>
      <c r="DV199" s="732"/>
      <c r="DW199" s="732"/>
      <c r="DX199" s="732"/>
      <c r="DY199" s="732"/>
      <c r="DZ199" s="732"/>
      <c r="EA199" s="732"/>
      <c r="EB199" s="732"/>
      <c r="EC199" s="732"/>
      <c r="ED199" s="732"/>
      <c r="EE199" s="732"/>
      <c r="EF199" s="732"/>
      <c r="EG199" s="732"/>
      <c r="EH199" s="732"/>
      <c r="EI199" s="732"/>
      <c r="EJ199" s="732"/>
      <c r="EK199" s="732"/>
      <c r="EL199" s="732"/>
      <c r="EM199" s="732"/>
      <c r="EN199" s="732"/>
      <c r="EO199" s="732"/>
      <c r="EP199" s="732"/>
      <c r="EQ199" s="732"/>
      <c r="ER199" s="732"/>
      <c r="ES199" s="732"/>
      <c r="ET199" s="732"/>
      <c r="EU199" s="732"/>
      <c r="EV199" s="732"/>
      <c r="EW199" s="732"/>
      <c r="EX199" s="732"/>
      <c r="EY199" s="732"/>
      <c r="EZ199" s="732"/>
      <c r="FA199" s="732"/>
      <c r="FB199" s="732"/>
      <c r="FC199" s="732"/>
      <c r="FD199" s="732"/>
      <c r="FE199" s="732"/>
      <c r="FF199" s="732"/>
      <c r="FG199" s="732"/>
      <c r="FH199" s="732"/>
      <c r="FI199" s="732"/>
      <c r="FJ199" s="732"/>
      <c r="FK199" s="732"/>
      <c r="FL199" s="732"/>
      <c r="FM199" s="732"/>
      <c r="FN199" s="732"/>
      <c r="FO199" s="732"/>
      <c r="FP199" s="732"/>
      <c r="FQ199" s="732"/>
      <c r="FR199" s="732"/>
      <c r="FS199" s="732"/>
      <c r="FT199" s="732"/>
      <c r="FU199" s="732"/>
      <c r="FV199" s="732"/>
      <c r="FW199" s="732"/>
      <c r="FX199" s="732"/>
      <c r="FY199" s="732"/>
      <c r="FZ199" s="732"/>
      <c r="GA199" s="732"/>
      <c r="GB199" s="732"/>
      <c r="GC199" s="732"/>
      <c r="GD199" s="732"/>
      <c r="GE199" s="732"/>
      <c r="GF199" s="732"/>
      <c r="GG199" s="732"/>
      <c r="GH199" s="732"/>
      <c r="GI199" s="732"/>
      <c r="GJ199" s="732"/>
      <c r="GK199" s="732"/>
      <c r="GL199" s="732"/>
      <c r="GM199" s="732"/>
      <c r="GN199" s="732"/>
      <c r="GO199" s="732"/>
      <c r="GP199" s="732"/>
      <c r="GQ199" s="732"/>
      <c r="GR199" s="732"/>
      <c r="GS199" s="732"/>
      <c r="GT199" s="732"/>
      <c r="GU199" s="732"/>
      <c r="GV199" s="732"/>
      <c r="GW199" s="732"/>
      <c r="GX199" s="732"/>
      <c r="GY199" s="732"/>
      <c r="GZ199" s="732"/>
      <c r="HA199" s="732"/>
      <c r="HB199" s="732"/>
      <c r="HC199" s="732"/>
      <c r="HD199" s="732"/>
      <c r="HE199" s="732"/>
      <c r="HF199" s="732"/>
      <c r="HG199" s="732"/>
      <c r="HH199" s="732"/>
      <c r="HI199" s="732"/>
      <c r="HJ199" s="732"/>
      <c r="HK199" s="732"/>
      <c r="HL199" s="732"/>
      <c r="HM199" s="732"/>
      <c r="HN199" s="732"/>
      <c r="HO199" s="732"/>
      <c r="HP199" s="732"/>
      <c r="HQ199" s="732"/>
      <c r="HR199" s="732"/>
      <c r="HS199" s="732"/>
      <c r="HT199" s="732"/>
      <c r="HU199" s="732"/>
      <c r="HV199" s="732"/>
      <c r="HW199" s="732"/>
      <c r="HX199" s="732"/>
      <c r="HY199" s="732"/>
      <c r="HZ199" s="732"/>
      <c r="IA199" s="732"/>
      <c r="IB199" s="732"/>
      <c r="IC199" s="732"/>
      <c r="ID199" s="732"/>
      <c r="IE199" s="732"/>
      <c r="IF199" s="732"/>
      <c r="IG199" s="732"/>
      <c r="IH199" s="732"/>
      <c r="II199" s="732"/>
      <c r="IJ199" s="732"/>
      <c r="IK199" s="732"/>
      <c r="IL199" s="732"/>
      <c r="IM199" s="732"/>
      <c r="IN199" s="732"/>
      <c r="IO199" s="732"/>
      <c r="IP199" s="732"/>
      <c r="IQ199" s="732"/>
      <c r="IR199" s="732"/>
      <c r="IS199" s="732"/>
      <c r="IT199" s="732"/>
      <c r="IU199" s="732"/>
      <c r="IV199" s="732"/>
      <c r="IW199" s="732"/>
      <c r="IX199" s="732"/>
      <c r="IY199" s="732"/>
      <c r="IZ199" s="732"/>
      <c r="JA199" s="732"/>
      <c r="JB199" s="732"/>
      <c r="JC199" s="732"/>
      <c r="JD199" s="732"/>
      <c r="JE199" s="732"/>
      <c r="JF199" s="732"/>
      <c r="JG199" s="732"/>
      <c r="JH199" s="732"/>
      <c r="JI199" s="732"/>
      <c r="JJ199" s="732"/>
      <c r="JK199" s="732"/>
      <c r="JL199" s="732"/>
      <c r="JM199" s="732"/>
      <c r="JN199" s="732"/>
      <c r="JO199" s="732"/>
      <c r="JP199" s="732"/>
      <c r="JQ199" s="732"/>
      <c r="JR199" s="732"/>
      <c r="JS199" s="732"/>
      <c r="JT199" s="732"/>
      <c r="JU199" s="732"/>
      <c r="JV199" s="732"/>
      <c r="JW199" s="732"/>
      <c r="JX199" s="732"/>
      <c r="JY199" s="732"/>
      <c r="JZ199" s="732"/>
      <c r="KA199" s="732"/>
      <c r="KB199" s="732"/>
      <c r="KC199" s="732"/>
      <c r="KD199" s="732"/>
      <c r="KE199" s="732"/>
      <c r="KF199" s="732"/>
      <c r="KG199" s="732"/>
      <c r="KH199" s="732"/>
      <c r="KI199" s="732"/>
      <c r="KJ199" s="732"/>
      <c r="KK199" s="732"/>
      <c r="KL199" s="732"/>
      <c r="KM199" s="732"/>
      <c r="KN199" s="732"/>
      <c r="KO199" s="732"/>
      <c r="KP199" s="732"/>
      <c r="KQ199" s="732"/>
      <c r="KR199" s="732"/>
      <c r="KS199" s="732"/>
      <c r="KT199" s="732"/>
      <c r="KU199" s="732"/>
      <c r="KV199" s="732"/>
      <c r="KW199" s="732"/>
      <c r="KX199" s="732"/>
      <c r="KY199" s="732"/>
      <c r="KZ199" s="732"/>
      <c r="LA199" s="732"/>
      <c r="LB199" s="732"/>
      <c r="LC199" s="732"/>
      <c r="LD199" s="732"/>
      <c r="LE199" s="732"/>
      <c r="LF199" s="732"/>
      <c r="LG199" s="732"/>
      <c r="LH199" s="732"/>
      <c r="LI199" s="732"/>
      <c r="LJ199" s="732"/>
      <c r="LK199" s="732"/>
      <c r="LL199" s="732"/>
      <c r="LM199" s="732"/>
      <c r="LN199" s="732"/>
      <c r="LO199" s="732"/>
      <c r="LP199" s="732"/>
      <c r="LQ199" s="732"/>
      <c r="LR199" s="732"/>
      <c r="LS199" s="732"/>
      <c r="LT199" s="732"/>
      <c r="LU199" s="732"/>
      <c r="LV199" s="732"/>
      <c r="LW199" s="732"/>
      <c r="LX199" s="732"/>
      <c r="LY199" s="732"/>
      <c r="LZ199" s="732"/>
      <c r="MA199" s="732"/>
      <c r="MB199" s="732"/>
      <c r="MC199" s="732"/>
      <c r="MD199" s="732"/>
      <c r="ME199" s="732"/>
      <c r="MF199" s="732"/>
      <c r="MG199" s="732"/>
      <c r="MH199" s="732"/>
      <c r="MI199" s="732"/>
      <c r="MJ199" s="732"/>
      <c r="MK199" s="732"/>
      <c r="ML199" s="732"/>
      <c r="MM199" s="732"/>
      <c r="MN199" s="732"/>
      <c r="MO199" s="732"/>
      <c r="MP199" s="732"/>
      <c r="MQ199" s="732"/>
      <c r="MR199" s="732"/>
      <c r="MS199" s="732"/>
      <c r="MT199" s="732"/>
      <c r="MU199" s="732"/>
      <c r="MV199" s="732"/>
      <c r="MW199" s="732"/>
      <c r="MX199" s="732"/>
      <c r="MY199" s="732"/>
      <c r="MZ199" s="732"/>
      <c r="NA199" s="732"/>
      <c r="NB199" s="732"/>
      <c r="NC199" s="732"/>
      <c r="ND199" s="732"/>
      <c r="NE199" s="732"/>
      <c r="NF199" s="732"/>
      <c r="NG199" s="732"/>
      <c r="NH199" s="732"/>
      <c r="NI199" s="732"/>
      <c r="NJ199" s="732"/>
      <c r="NK199" s="732"/>
      <c r="NL199" s="732"/>
      <c r="NM199" s="732"/>
      <c r="NN199" s="732"/>
      <c r="NO199" s="732"/>
      <c r="NP199" s="732"/>
      <c r="NQ199" s="732"/>
      <c r="NR199" s="732"/>
      <c r="NS199" s="732"/>
      <c r="NT199" s="732"/>
      <c r="NU199" s="732"/>
      <c r="NV199" s="732"/>
      <c r="NW199" s="732"/>
      <c r="NX199" s="732"/>
      <c r="NY199" s="732"/>
      <c r="NZ199" s="732"/>
      <c r="OA199" s="732"/>
      <c r="OB199" s="732"/>
      <c r="OC199" s="732"/>
      <c r="OD199" s="732"/>
      <c r="OE199" s="732"/>
      <c r="OF199" s="732"/>
      <c r="OG199" s="732"/>
      <c r="OH199" s="732"/>
      <c r="OI199" s="732"/>
      <c r="OJ199" s="732"/>
      <c r="OK199" s="732"/>
      <c r="OL199" s="732"/>
      <c r="OM199" s="732"/>
      <c r="ON199" s="732"/>
      <c r="OO199" s="732"/>
      <c r="OP199" s="732"/>
      <c r="OQ199" s="732"/>
      <c r="OR199" s="732"/>
      <c r="OS199" s="732"/>
      <c r="OT199" s="732"/>
      <c r="OU199" s="732"/>
      <c r="OV199" s="732"/>
      <c r="OW199" s="732"/>
      <c r="OX199" s="732"/>
      <c r="OY199" s="732"/>
      <c r="OZ199" s="732"/>
      <c r="PA199" s="732"/>
      <c r="PB199" s="732"/>
      <c r="PC199" s="732"/>
      <c r="PD199" s="732"/>
      <c r="PE199" s="732"/>
      <c r="PF199" s="732"/>
      <c r="PG199" s="732"/>
      <c r="PH199" s="732"/>
      <c r="PI199" s="732"/>
      <c r="PJ199" s="732"/>
      <c r="PK199" s="732"/>
      <c r="PL199" s="732"/>
      <c r="PM199" s="732"/>
      <c r="PN199" s="732"/>
      <c r="PO199" s="732"/>
      <c r="PP199" s="732"/>
      <c r="PQ199" s="732"/>
      <c r="PR199" s="732"/>
      <c r="PS199" s="732"/>
      <c r="PT199" s="732"/>
      <c r="PU199" s="732"/>
      <c r="PV199" s="732"/>
      <c r="PW199" s="732"/>
      <c r="PX199" s="732"/>
      <c r="PY199" s="732"/>
      <c r="PZ199" s="732"/>
      <c r="QA199" s="732"/>
      <c r="QB199" s="732"/>
      <c r="QC199" s="732"/>
      <c r="QD199" s="732"/>
      <c r="QE199" s="732"/>
      <c r="QF199" s="732"/>
      <c r="QG199" s="732"/>
      <c r="QH199" s="732"/>
      <c r="QI199" s="732"/>
      <c r="QJ199" s="732"/>
      <c r="QK199" s="732"/>
      <c r="QL199" s="732"/>
      <c r="QM199" s="732"/>
      <c r="QN199" s="732"/>
      <c r="QO199" s="732"/>
      <c r="QP199" s="732"/>
      <c r="QQ199" s="732"/>
      <c r="QR199" s="732"/>
      <c r="QS199" s="732"/>
      <c r="QT199" s="732"/>
      <c r="QU199" s="732"/>
      <c r="QV199" s="732"/>
      <c r="QW199" s="732"/>
      <c r="QX199" s="732"/>
      <c r="QY199" s="732"/>
      <c r="QZ199" s="732"/>
      <c r="RA199" s="732"/>
      <c r="RB199" s="732"/>
      <c r="RC199" s="732"/>
      <c r="RD199" s="732"/>
      <c r="RE199" s="732"/>
      <c r="RF199" s="732"/>
      <c r="RG199" s="732"/>
      <c r="RH199" s="732"/>
      <c r="RI199" s="732"/>
      <c r="RJ199" s="732"/>
      <c r="RK199" s="732"/>
      <c r="RL199" s="732"/>
      <c r="RM199" s="732"/>
      <c r="RN199" s="732"/>
      <c r="RO199" s="732"/>
      <c r="RP199" s="732"/>
      <c r="RQ199" s="732"/>
      <c r="RR199" s="732"/>
      <c r="RS199" s="732"/>
      <c r="RT199" s="732"/>
      <c r="RU199" s="732"/>
      <c r="RV199" s="732"/>
      <c r="RW199" s="732"/>
      <c r="RX199" s="732"/>
      <c r="RY199" s="732"/>
      <c r="RZ199" s="732"/>
      <c r="SA199" s="732"/>
      <c r="SB199" s="732"/>
      <c r="SC199" s="732"/>
      <c r="SD199" s="732"/>
      <c r="SE199" s="732"/>
      <c r="SF199" s="732"/>
      <c r="SG199" s="732"/>
      <c r="SH199" s="732"/>
      <c r="SI199" s="732"/>
      <c r="SJ199" s="732"/>
      <c r="SK199" s="732"/>
      <c r="SL199" s="732"/>
      <c r="SM199" s="732"/>
      <c r="SN199" s="732"/>
      <c r="SO199" s="732"/>
      <c r="SP199" s="732"/>
      <c r="SQ199" s="732"/>
      <c r="SR199" s="732"/>
      <c r="SS199" s="732"/>
      <c r="ST199" s="732"/>
      <c r="SU199" s="732"/>
      <c r="SV199" s="732"/>
      <c r="SW199" s="732"/>
      <c r="SX199" s="732"/>
      <c r="SY199" s="732"/>
      <c r="SZ199" s="732"/>
      <c r="TA199" s="732"/>
      <c r="TB199" s="732"/>
      <c r="TC199" s="732"/>
      <c r="TD199" s="732"/>
      <c r="TE199" s="732"/>
      <c r="TF199" s="732"/>
      <c r="TG199" s="732"/>
      <c r="TH199" s="732"/>
      <c r="TI199" s="732"/>
      <c r="TJ199" s="732"/>
      <c r="TK199" s="732"/>
      <c r="TL199" s="732"/>
      <c r="TM199" s="732"/>
      <c r="TN199" s="732"/>
      <c r="TO199" s="732"/>
      <c r="TP199" s="732"/>
      <c r="TQ199" s="732"/>
      <c r="TR199" s="732"/>
      <c r="TS199" s="732"/>
      <c r="TT199" s="732"/>
      <c r="TU199" s="732"/>
      <c r="TV199" s="732"/>
      <c r="TW199" s="732"/>
      <c r="TX199" s="732"/>
      <c r="TY199" s="732"/>
      <c r="TZ199" s="732"/>
      <c r="UA199" s="732"/>
      <c r="UB199" s="732"/>
      <c r="UC199" s="732"/>
      <c r="UD199" s="732"/>
      <c r="UE199" s="732"/>
      <c r="UF199" s="732"/>
      <c r="UG199" s="732"/>
      <c r="UH199" s="732"/>
      <c r="UI199" s="732"/>
      <c r="UJ199" s="732"/>
      <c r="UK199" s="732"/>
      <c r="UL199" s="732"/>
      <c r="UM199" s="732"/>
      <c r="UN199" s="732"/>
      <c r="UO199" s="732"/>
      <c r="UP199" s="732"/>
      <c r="UQ199" s="732"/>
      <c r="UR199" s="732"/>
      <c r="US199" s="732"/>
      <c r="UT199" s="732"/>
      <c r="UU199" s="732"/>
      <c r="UV199" s="732"/>
      <c r="UW199" s="732"/>
      <c r="UX199" s="732"/>
      <c r="UY199" s="732"/>
      <c r="UZ199" s="732"/>
      <c r="VA199" s="732"/>
      <c r="VB199" s="732"/>
      <c r="VC199" s="732"/>
      <c r="VD199" s="732"/>
      <c r="VE199" s="732"/>
      <c r="VF199" s="732"/>
      <c r="VG199" s="732"/>
      <c r="VH199" s="732"/>
      <c r="VI199" s="732"/>
      <c r="VJ199" s="732"/>
      <c r="VK199" s="732"/>
      <c r="VL199" s="732"/>
      <c r="VM199" s="732"/>
      <c r="VN199" s="732"/>
      <c r="VO199" s="732"/>
      <c r="VP199" s="732"/>
      <c r="VQ199" s="732"/>
      <c r="VR199" s="732"/>
      <c r="VS199" s="732"/>
      <c r="VT199" s="732"/>
      <c r="VU199" s="732"/>
      <c r="VV199" s="732"/>
      <c r="VW199" s="732"/>
      <c r="VX199" s="732"/>
      <c r="VY199" s="732"/>
      <c r="VZ199" s="732"/>
      <c r="WA199" s="732"/>
      <c r="WB199" s="732"/>
      <c r="WC199" s="732"/>
      <c r="WD199" s="732"/>
      <c r="WE199" s="732"/>
      <c r="WF199" s="732"/>
      <c r="WG199" s="732"/>
      <c r="WH199" s="732"/>
      <c r="WI199" s="732"/>
      <c r="WJ199" s="732"/>
      <c r="WK199" s="732"/>
      <c r="WL199" s="732"/>
      <c r="WM199" s="732"/>
      <c r="WN199" s="732"/>
      <c r="WO199" s="732"/>
      <c r="WP199" s="732"/>
      <c r="WQ199" s="732"/>
      <c r="WR199" s="732"/>
      <c r="WS199" s="732"/>
      <c r="WT199" s="732"/>
      <c r="WU199" s="732"/>
      <c r="WV199" s="732"/>
      <c r="WW199" s="732"/>
      <c r="WX199" s="732"/>
      <c r="WY199" s="732"/>
      <c r="WZ199" s="732"/>
      <c r="XA199" s="732"/>
      <c r="XB199" s="732"/>
      <c r="XC199" s="732"/>
      <c r="XD199" s="732"/>
      <c r="XE199" s="732"/>
      <c r="XF199" s="732"/>
      <c r="XG199" s="732"/>
      <c r="XH199" s="732"/>
      <c r="XI199" s="732"/>
      <c r="XJ199" s="732"/>
      <c r="XK199" s="732"/>
      <c r="XL199" s="732"/>
      <c r="XM199" s="732"/>
      <c r="XN199" s="732"/>
      <c r="XO199" s="732"/>
      <c r="XP199" s="732"/>
      <c r="XQ199" s="732"/>
      <c r="XR199" s="732"/>
      <c r="XS199" s="732"/>
      <c r="XT199" s="732"/>
      <c r="XU199" s="732"/>
      <c r="XV199" s="732"/>
      <c r="XW199" s="732"/>
      <c r="XX199" s="732"/>
      <c r="XY199" s="732"/>
      <c r="XZ199" s="732"/>
      <c r="YA199" s="732"/>
      <c r="YB199" s="732"/>
      <c r="YC199" s="732"/>
      <c r="YD199" s="732"/>
      <c r="YE199" s="732"/>
      <c r="YF199" s="732"/>
      <c r="YG199" s="732"/>
      <c r="YH199" s="732"/>
      <c r="YI199" s="732"/>
      <c r="YJ199" s="732"/>
      <c r="YK199" s="732"/>
      <c r="YL199" s="732"/>
      <c r="YM199" s="732"/>
      <c r="YN199" s="732"/>
      <c r="YO199" s="732"/>
      <c r="YP199" s="732"/>
      <c r="YQ199" s="732"/>
      <c r="YR199" s="732"/>
      <c r="YS199" s="732"/>
      <c r="YT199" s="732"/>
      <c r="YU199" s="732"/>
      <c r="YV199" s="732"/>
      <c r="YW199" s="732"/>
      <c r="YX199" s="732"/>
      <c r="YY199" s="732"/>
      <c r="YZ199" s="732"/>
      <c r="ZA199" s="732"/>
      <c r="ZB199" s="732"/>
      <c r="ZC199" s="732"/>
      <c r="ZD199" s="732"/>
      <c r="ZE199" s="732"/>
      <c r="ZF199" s="732"/>
      <c r="ZG199" s="732"/>
      <c r="ZH199" s="732"/>
      <c r="ZI199" s="732"/>
      <c r="ZJ199" s="732"/>
      <c r="ZK199" s="732"/>
      <c r="ZL199" s="732"/>
      <c r="ZM199" s="732"/>
      <c r="ZN199" s="732"/>
      <c r="ZO199" s="732"/>
      <c r="ZP199" s="732"/>
      <c r="ZQ199" s="732"/>
      <c r="ZR199" s="732"/>
      <c r="ZS199" s="732"/>
      <c r="ZT199" s="732"/>
      <c r="ZU199" s="732"/>
      <c r="ZV199" s="732"/>
      <c r="ZW199" s="732"/>
      <c r="ZX199" s="732"/>
      <c r="ZY199" s="732"/>
      <c r="ZZ199" s="732"/>
      <c r="AAA199" s="732"/>
      <c r="AAB199" s="732"/>
      <c r="AAC199" s="732"/>
      <c r="AAD199" s="732"/>
      <c r="AAE199" s="732"/>
      <c r="AAF199" s="732"/>
      <c r="AAG199" s="732"/>
      <c r="AAH199" s="732"/>
      <c r="AAI199" s="732"/>
      <c r="AAJ199" s="732"/>
      <c r="AAK199" s="732"/>
      <c r="AAL199" s="732"/>
      <c r="AAM199" s="732"/>
      <c r="AAN199" s="732"/>
      <c r="AAO199" s="732"/>
      <c r="AAP199" s="732"/>
      <c r="AAQ199" s="732"/>
      <c r="AAR199" s="732"/>
      <c r="AAS199" s="732"/>
      <c r="AAT199" s="732"/>
      <c r="AAU199" s="732"/>
      <c r="AAV199" s="732"/>
      <c r="AAW199" s="732"/>
      <c r="AAX199" s="732"/>
      <c r="AAY199" s="732"/>
      <c r="AAZ199" s="732"/>
      <c r="ABA199" s="732"/>
      <c r="ABB199" s="732"/>
      <c r="ABC199" s="732"/>
      <c r="ABD199" s="732"/>
      <c r="ABE199" s="732"/>
      <c r="ABF199" s="732"/>
      <c r="ABG199" s="732"/>
      <c r="ABH199" s="732"/>
      <c r="ABI199" s="732"/>
      <c r="ABJ199" s="732"/>
      <c r="ABK199" s="732"/>
      <c r="ABL199" s="732"/>
      <c r="ABM199" s="732"/>
      <c r="ABN199" s="732"/>
      <c r="ABO199" s="732"/>
      <c r="ABP199" s="732"/>
      <c r="ABQ199" s="732"/>
      <c r="ABR199" s="732"/>
      <c r="ABS199" s="732"/>
      <c r="ABT199" s="732"/>
      <c r="ABU199" s="732"/>
      <c r="ABV199" s="732"/>
      <c r="ABW199" s="732"/>
      <c r="ABX199" s="732"/>
      <c r="ABY199" s="732"/>
      <c r="ABZ199" s="732"/>
      <c r="ACA199" s="732"/>
      <c r="ACB199" s="732"/>
      <c r="ACC199" s="732"/>
      <c r="ACD199" s="732"/>
      <c r="ACE199" s="732"/>
      <c r="ACF199" s="732"/>
      <c r="ACG199" s="732"/>
      <c r="ACH199" s="732"/>
      <c r="ACI199" s="732"/>
      <c r="ACJ199" s="732"/>
      <c r="ACK199" s="732"/>
      <c r="ACL199" s="732"/>
      <c r="ACM199" s="732"/>
      <c r="ACN199" s="732"/>
      <c r="ACO199" s="732"/>
      <c r="ACP199" s="732"/>
      <c r="ACQ199" s="732"/>
      <c r="ACR199" s="732"/>
      <c r="ACS199" s="732"/>
      <c r="ACT199" s="732"/>
      <c r="ACU199" s="732"/>
      <c r="ACV199" s="732"/>
      <c r="ACW199" s="732"/>
      <c r="ACX199" s="732"/>
      <c r="ACY199" s="732"/>
      <c r="ACZ199" s="732"/>
      <c r="ADA199" s="732"/>
      <c r="ADB199" s="732"/>
      <c r="ADC199" s="732"/>
      <c r="ADD199" s="732"/>
      <c r="ADE199" s="732"/>
      <c r="ADF199" s="732"/>
      <c r="ADG199" s="732"/>
      <c r="ADH199" s="732"/>
      <c r="ADI199" s="732"/>
      <c r="ADJ199" s="732"/>
      <c r="ADK199" s="732"/>
      <c r="ADL199" s="732"/>
      <c r="ADM199" s="732"/>
      <c r="ADN199" s="732"/>
      <c r="ADO199" s="732"/>
      <c r="ADP199" s="732"/>
      <c r="ADQ199" s="732"/>
      <c r="ADR199" s="732"/>
      <c r="ADS199" s="732"/>
      <c r="ADT199" s="732"/>
      <c r="ADU199" s="732"/>
      <c r="ADV199" s="732"/>
      <c r="ADW199" s="732"/>
      <c r="ADX199" s="732"/>
      <c r="ADY199" s="732"/>
      <c r="ADZ199" s="732"/>
      <c r="AEA199" s="732"/>
      <c r="AEB199" s="732"/>
      <c r="AEC199" s="732"/>
      <c r="AED199" s="732"/>
      <c r="AEE199" s="732"/>
      <c r="AEF199" s="732"/>
      <c r="AEG199" s="732"/>
      <c r="AEH199" s="732"/>
      <c r="AEI199" s="732"/>
      <c r="AEJ199" s="732"/>
      <c r="AEK199" s="732"/>
      <c r="AEL199" s="732"/>
      <c r="AEM199" s="732"/>
      <c r="AEN199" s="732"/>
      <c r="AEO199" s="732"/>
      <c r="AEP199" s="732"/>
      <c r="AEQ199" s="732"/>
      <c r="AER199" s="732"/>
      <c r="AES199" s="732"/>
      <c r="AET199" s="732"/>
      <c r="AEU199" s="732"/>
      <c r="AEV199" s="732"/>
      <c r="AEW199" s="732"/>
      <c r="AEX199" s="732"/>
      <c r="AEY199" s="732"/>
      <c r="AEZ199" s="732"/>
      <c r="AFA199" s="732"/>
      <c r="AFB199" s="732"/>
      <c r="AFC199" s="732"/>
      <c r="AFD199" s="732"/>
      <c r="AFE199" s="732"/>
      <c r="AFF199" s="732"/>
      <c r="AFG199" s="732"/>
      <c r="AFH199" s="732"/>
      <c r="AFI199" s="732"/>
      <c r="AFJ199" s="732"/>
      <c r="AFK199" s="732"/>
      <c r="AFL199" s="732"/>
      <c r="AFM199" s="732"/>
      <c r="AFN199" s="732"/>
      <c r="AFO199" s="732"/>
      <c r="AFP199" s="732"/>
      <c r="AFQ199" s="732"/>
      <c r="AFR199" s="732"/>
      <c r="AFS199" s="732"/>
      <c r="AFT199" s="732"/>
      <c r="AFU199" s="732"/>
      <c r="AFV199" s="732"/>
      <c r="AFW199" s="732"/>
      <c r="AFX199" s="732"/>
      <c r="AFY199" s="732"/>
      <c r="AFZ199" s="732"/>
      <c r="AGA199" s="732"/>
      <c r="AGB199" s="732"/>
      <c r="AGC199" s="732"/>
      <c r="AGD199" s="732"/>
      <c r="AGE199" s="732"/>
      <c r="AGF199" s="732"/>
      <c r="AGG199" s="732"/>
      <c r="AGH199" s="732"/>
      <c r="AGI199" s="732"/>
      <c r="AGJ199" s="732"/>
      <c r="AGK199" s="732"/>
      <c r="AGL199" s="732"/>
      <c r="AGM199" s="732"/>
      <c r="AGN199" s="732"/>
      <c r="AGO199" s="732"/>
      <c r="AGP199" s="732"/>
      <c r="AGQ199" s="732"/>
      <c r="AGR199" s="732"/>
      <c r="AGS199" s="732"/>
      <c r="AGT199" s="732"/>
      <c r="AGU199" s="732"/>
      <c r="AGV199" s="732"/>
      <c r="AGW199" s="732"/>
      <c r="AGX199" s="732"/>
      <c r="AGY199" s="732"/>
      <c r="AGZ199" s="732"/>
      <c r="AHA199" s="732"/>
      <c r="AHB199" s="732"/>
      <c r="AHC199" s="732"/>
      <c r="AHD199" s="732"/>
      <c r="AHE199" s="732"/>
      <c r="AHF199" s="732"/>
      <c r="AHG199" s="732"/>
      <c r="AHH199" s="732"/>
      <c r="AHI199" s="732"/>
      <c r="AHJ199" s="732"/>
      <c r="AHK199" s="732"/>
      <c r="AHL199" s="732"/>
      <c r="AHM199" s="732"/>
      <c r="AHN199" s="732"/>
      <c r="AHO199" s="732"/>
      <c r="AHP199" s="732"/>
      <c r="AHQ199" s="732"/>
      <c r="AHR199" s="732"/>
      <c r="AHS199" s="732"/>
      <c r="AHT199" s="732"/>
      <c r="AHU199" s="732"/>
      <c r="AHV199" s="732"/>
      <c r="AHW199" s="732"/>
      <c r="AHX199" s="732"/>
      <c r="AHY199" s="732"/>
      <c r="AHZ199" s="732"/>
      <c r="AIA199" s="732"/>
      <c r="AIB199" s="732"/>
      <c r="AIC199" s="732"/>
      <c r="AID199" s="732"/>
      <c r="AIE199" s="732"/>
      <c r="AIF199" s="732"/>
      <c r="AIG199" s="732"/>
      <c r="AIH199" s="732"/>
      <c r="AII199" s="732"/>
      <c r="AIJ199" s="732"/>
      <c r="AIK199" s="732"/>
      <c r="AIL199" s="732"/>
      <c r="AIM199" s="732"/>
      <c r="AIN199" s="732"/>
      <c r="AIO199" s="732"/>
      <c r="AIP199" s="732"/>
      <c r="AIQ199" s="732"/>
      <c r="AIR199" s="732"/>
      <c r="AIS199" s="732"/>
      <c r="AIT199" s="732"/>
      <c r="AIU199" s="732"/>
      <c r="AIV199" s="732"/>
      <c r="AIW199" s="732"/>
      <c r="AIX199" s="732"/>
      <c r="AIY199" s="732"/>
      <c r="AIZ199" s="732"/>
      <c r="AJA199" s="732"/>
      <c r="AJB199" s="732"/>
      <c r="AJC199" s="732"/>
      <c r="AJD199" s="732"/>
      <c r="AJE199" s="732"/>
      <c r="AJF199" s="732"/>
      <c r="AJG199" s="732"/>
      <c r="AJH199" s="732"/>
      <c r="AJI199" s="732"/>
      <c r="AJJ199" s="732"/>
      <c r="AJK199" s="732"/>
      <c r="AJL199" s="732"/>
      <c r="AJM199" s="732"/>
      <c r="AJN199" s="732"/>
      <c r="AJO199" s="732"/>
      <c r="AJP199" s="732"/>
      <c r="AJQ199" s="732"/>
      <c r="AJR199" s="732"/>
      <c r="AJS199" s="732"/>
      <c r="AJT199" s="732"/>
      <c r="AJU199" s="732"/>
      <c r="AJV199" s="732"/>
      <c r="AJW199" s="732"/>
      <c r="AJX199" s="732"/>
      <c r="AJY199" s="732"/>
      <c r="AJZ199" s="732"/>
      <c r="AKA199" s="732"/>
      <c r="AKB199" s="732"/>
      <c r="AKC199" s="732"/>
      <c r="AKD199" s="732"/>
      <c r="AKE199" s="732"/>
      <c r="AKF199" s="732"/>
      <c r="AKG199" s="732"/>
      <c r="AKH199" s="732"/>
      <c r="AKI199" s="732"/>
      <c r="AKJ199" s="732"/>
      <c r="AKK199" s="732"/>
      <c r="AKL199" s="732"/>
      <c r="AKM199" s="732"/>
      <c r="AKN199" s="732"/>
      <c r="AKO199" s="732"/>
      <c r="AKP199" s="732"/>
      <c r="AKQ199" s="732"/>
      <c r="AKR199" s="732"/>
      <c r="AKS199" s="732"/>
      <c r="AKT199" s="732"/>
      <c r="AKU199" s="732"/>
      <c r="AKV199" s="732"/>
      <c r="AKW199" s="732"/>
      <c r="AKX199" s="732"/>
      <c r="AKY199" s="732"/>
      <c r="AKZ199" s="732"/>
      <c r="ALA199" s="732"/>
      <c r="ALB199" s="732"/>
      <c r="ALC199" s="732"/>
      <c r="ALD199" s="732"/>
      <c r="ALE199" s="732"/>
      <c r="ALF199" s="732"/>
      <c r="ALG199" s="732"/>
      <c r="ALH199" s="732"/>
      <c r="ALI199" s="732"/>
      <c r="ALJ199" s="732"/>
      <c r="ALK199" s="732"/>
      <c r="ALL199" s="732"/>
      <c r="ALM199" s="732"/>
      <c r="ALN199" s="732"/>
      <c r="ALO199" s="732"/>
      <c r="ALP199" s="732"/>
      <c r="ALQ199" s="732"/>
      <c r="ALR199" s="732"/>
      <c r="ALS199" s="732"/>
      <c r="ALT199" s="732"/>
      <c r="ALU199" s="732"/>
      <c r="ALV199" s="732"/>
      <c r="ALW199" s="732"/>
      <c r="ALX199" s="732"/>
      <c r="ALY199" s="732"/>
      <c r="ALZ199" s="732"/>
      <c r="AMA199" s="732"/>
      <c r="AMB199" s="732"/>
      <c r="AMC199" s="732"/>
      <c r="AMD199" s="732"/>
      <c r="AME199" s="732"/>
      <c r="AMF199" s="732"/>
      <c r="AMG199" s="732"/>
      <c r="AMH199" s="732"/>
      <c r="AMI199" s="732"/>
      <c r="AMJ199" s="732"/>
    </row>
    <row r="200" spans="1:1024" ht="4.5" customHeight="1" x14ac:dyDescent="0.25">
      <c r="A200" s="240"/>
      <c r="B200" s="240"/>
      <c r="C200" s="240"/>
      <c r="D200" s="240"/>
      <c r="E200" s="240"/>
      <c r="F200" s="240"/>
      <c r="G200" s="240"/>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40"/>
      <c r="AZ200" s="240"/>
      <c r="BA200" s="240"/>
      <c r="BB200" s="240"/>
    </row>
    <row r="201" spans="1:1024" ht="4.5" customHeight="1" x14ac:dyDescent="0.25">
      <c r="A201" s="240"/>
      <c r="B201" s="240"/>
      <c r="C201" s="240"/>
      <c r="D201" s="240"/>
      <c r="E201" s="240"/>
      <c r="F201" s="240"/>
      <c r="G201" s="240"/>
      <c r="H201" s="240"/>
      <c r="I201" s="240"/>
      <c r="J201" s="240"/>
      <c r="K201" s="240"/>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40"/>
      <c r="AZ201" s="240"/>
      <c r="BA201" s="240"/>
      <c r="BB201" s="240"/>
    </row>
    <row r="202" spans="1:1024" ht="4.5" customHeight="1" x14ac:dyDescent="0.25">
      <c r="A202" s="240"/>
      <c r="B202" s="240"/>
      <c r="C202" s="240"/>
      <c r="D202" s="240"/>
      <c r="E202" s="240"/>
      <c r="F202" s="240"/>
      <c r="G202" s="240"/>
      <c r="H202" s="240"/>
      <c r="I202" s="240"/>
      <c r="J202" s="240"/>
      <c r="K202" s="240"/>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40"/>
      <c r="AZ202" s="240"/>
      <c r="BA202" s="240"/>
      <c r="BB202" s="240"/>
    </row>
    <row r="203" spans="1:1024" ht="4.5" customHeight="1" x14ac:dyDescent="0.25">
      <c r="A203" s="240"/>
      <c r="B203" s="240"/>
      <c r="C203" s="240"/>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c r="BB203" s="240"/>
    </row>
    <row r="204" spans="1:1024" ht="4.5" customHeight="1" x14ac:dyDescent="0.25">
      <c r="A204" s="240"/>
      <c r="B204" s="240"/>
      <c r="C204" s="240"/>
      <c r="D204" s="240"/>
      <c r="E204" s="240"/>
      <c r="F204" s="240"/>
      <c r="G204" s="240"/>
      <c r="H204" s="240"/>
      <c r="I204" s="240"/>
      <c r="J204" s="240"/>
      <c r="K204" s="240"/>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40"/>
      <c r="AZ204" s="240"/>
      <c r="BA204" s="240"/>
      <c r="BB204" s="240"/>
    </row>
    <row r="205" spans="1:1024" ht="4.5" customHeight="1" x14ac:dyDescent="0.25">
      <c r="A205" s="240"/>
      <c r="B205" s="240"/>
      <c r="C205" s="240"/>
      <c r="D205" s="240"/>
      <c r="E205" s="240"/>
      <c r="F205" s="240"/>
      <c r="G205" s="240"/>
      <c r="H205" s="240"/>
      <c r="I205" s="240"/>
      <c r="J205" s="240"/>
      <c r="K205" s="240"/>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40"/>
      <c r="AZ205" s="240"/>
      <c r="BA205" s="240"/>
      <c r="BB205" s="240"/>
    </row>
    <row r="206" spans="1:1024" ht="4.5" customHeight="1" x14ac:dyDescent="0.25">
      <c r="A206" s="240"/>
      <c r="B206" s="240"/>
      <c r="C206" s="240"/>
      <c r="D206" s="240"/>
      <c r="E206" s="240"/>
      <c r="F206" s="240"/>
      <c r="G206" s="240"/>
      <c r="H206" s="240"/>
      <c r="I206" s="240"/>
      <c r="J206" s="240"/>
      <c r="K206" s="240"/>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40"/>
      <c r="AZ206" s="240"/>
      <c r="BA206" s="240"/>
      <c r="BB206" s="240"/>
    </row>
    <row r="207" spans="1:1024" ht="4.5" customHeight="1" x14ac:dyDescent="0.25">
      <c r="A207" s="240"/>
      <c r="B207" s="240"/>
      <c r="C207" s="240"/>
      <c r="D207" s="240"/>
      <c r="E207" s="240"/>
      <c r="F207" s="240"/>
      <c r="G207" s="240"/>
      <c r="H207" s="240"/>
      <c r="I207" s="240"/>
      <c r="J207" s="240"/>
      <c r="K207" s="240"/>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40"/>
      <c r="AZ207" s="240"/>
      <c r="BA207" s="240"/>
      <c r="BB207" s="240"/>
    </row>
    <row r="208" spans="1:1024" ht="4.5" customHeight="1" x14ac:dyDescent="0.25">
      <c r="A208" s="240"/>
      <c r="B208" s="240"/>
      <c r="C208" s="240"/>
      <c r="D208" s="240"/>
      <c r="E208" s="240"/>
      <c r="F208" s="240"/>
      <c r="G208" s="240"/>
      <c r="H208" s="240"/>
      <c r="I208" s="240"/>
      <c r="J208" s="240"/>
      <c r="K208" s="240"/>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40"/>
      <c r="AZ208" s="240"/>
      <c r="BA208" s="240"/>
      <c r="BB208" s="240"/>
    </row>
    <row r="209" spans="1:54" ht="4.5" customHeight="1" x14ac:dyDescent="0.25">
      <c r="A209" s="240"/>
      <c r="B209" s="240"/>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40"/>
      <c r="AZ209" s="240"/>
      <c r="BA209" s="240"/>
      <c r="BB209" s="240"/>
    </row>
    <row r="210" spans="1:54" ht="4.5" customHeight="1" x14ac:dyDescent="0.25">
      <c r="A210" s="240"/>
      <c r="B210" s="240"/>
      <c r="C210" s="240"/>
      <c r="D210" s="240"/>
      <c r="E210" s="240"/>
      <c r="F210" s="240"/>
      <c r="G210" s="240"/>
      <c r="H210" s="240"/>
      <c r="I210" s="240"/>
      <c r="J210" s="240"/>
      <c r="K210" s="240"/>
      <c r="L210" s="240"/>
      <c r="M210" s="240"/>
      <c r="N210" s="240"/>
      <c r="O210" s="240"/>
      <c r="P210" s="240"/>
      <c r="Q210" s="240"/>
      <c r="R210" s="240"/>
      <c r="S210" s="240"/>
      <c r="T210" s="240"/>
      <c r="U210" s="240"/>
      <c r="V210" s="240"/>
      <c r="W210" s="240"/>
      <c r="X210" s="240"/>
      <c r="Y210" s="240"/>
      <c r="Z210" s="240"/>
      <c r="AA210" s="240"/>
      <c r="AB210" s="240"/>
      <c r="AC210" s="240"/>
      <c r="AD210" s="240"/>
      <c r="AE210" s="240"/>
      <c r="AF210" s="240"/>
      <c r="AG210" s="240"/>
      <c r="AH210" s="240"/>
      <c r="AI210" s="240"/>
      <c r="AJ210" s="240"/>
      <c r="AK210" s="240"/>
      <c r="AL210" s="240"/>
      <c r="AM210" s="240"/>
      <c r="AN210" s="240"/>
      <c r="AO210" s="240"/>
      <c r="AP210" s="240"/>
      <c r="AQ210" s="240"/>
      <c r="AR210" s="240"/>
      <c r="AS210" s="240"/>
      <c r="AT210" s="240"/>
      <c r="AU210" s="240"/>
      <c r="AV210" s="240"/>
      <c r="AW210" s="240"/>
      <c r="AX210" s="240"/>
      <c r="AY210" s="240"/>
      <c r="AZ210" s="240"/>
      <c r="BA210" s="240"/>
      <c r="BB210" s="240"/>
    </row>
    <row r="211" spans="1:54" ht="4.5" customHeight="1" x14ac:dyDescent="0.25">
      <c r="A211" s="240"/>
      <c r="B211" s="240"/>
      <c r="C211" s="240"/>
      <c r="D211" s="240"/>
      <c r="E211" s="240"/>
      <c r="F211" s="240"/>
      <c r="G211" s="240"/>
      <c r="H211" s="240"/>
      <c r="I211" s="240"/>
      <c r="J211" s="240"/>
      <c r="K211" s="240"/>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40"/>
      <c r="AZ211" s="240"/>
      <c r="BA211" s="240"/>
      <c r="BB211" s="240"/>
    </row>
    <row r="212" spans="1:54" ht="4.5" customHeight="1" x14ac:dyDescent="0.25">
      <c r="A212" s="240"/>
      <c r="B212" s="240"/>
      <c r="C212" s="240"/>
      <c r="D212" s="240"/>
      <c r="E212" s="240"/>
      <c r="F212" s="240"/>
      <c r="G212" s="240"/>
      <c r="H212" s="240"/>
      <c r="I212" s="240"/>
      <c r="J212" s="240"/>
      <c r="K212" s="240"/>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40"/>
      <c r="AZ212" s="240"/>
      <c r="BA212" s="240"/>
      <c r="BB212" s="240"/>
    </row>
    <row r="213" spans="1:54" ht="4.5" customHeight="1" x14ac:dyDescent="0.25">
      <c r="A213" s="240"/>
      <c r="B213" s="240"/>
      <c r="C213" s="240"/>
      <c r="D213" s="240"/>
      <c r="E213" s="240"/>
      <c r="F213" s="240"/>
      <c r="G213" s="240"/>
      <c r="H213" s="240"/>
      <c r="I213" s="240"/>
      <c r="J213" s="240"/>
      <c r="K213" s="240"/>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40"/>
      <c r="AZ213" s="240"/>
      <c r="BA213" s="240"/>
      <c r="BB213" s="240"/>
    </row>
    <row r="214" spans="1:54" ht="4.5" customHeight="1" x14ac:dyDescent="0.25">
      <c r="A214" s="240"/>
      <c r="B214" s="240"/>
      <c r="C214" s="240"/>
      <c r="D214" s="240"/>
      <c r="E214" s="240"/>
      <c r="F214" s="240"/>
      <c r="G214" s="240"/>
      <c r="H214" s="240"/>
      <c r="I214" s="240"/>
      <c r="J214" s="240"/>
      <c r="K214" s="240"/>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40"/>
      <c r="AZ214" s="240"/>
      <c r="BA214" s="240"/>
      <c r="BB214" s="240"/>
    </row>
    <row r="215" spans="1:54" ht="4.5" customHeight="1" x14ac:dyDescent="0.25">
      <c r="A215" s="240"/>
      <c r="B215" s="240"/>
      <c r="C215" s="240"/>
      <c r="D215" s="240"/>
      <c r="E215" s="240"/>
      <c r="F215" s="240"/>
      <c r="G215" s="240"/>
      <c r="H215" s="240"/>
      <c r="I215" s="240"/>
      <c r="J215" s="240"/>
      <c r="K215" s="240"/>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40"/>
      <c r="AZ215" s="240"/>
      <c r="BA215" s="240"/>
      <c r="BB215" s="240"/>
    </row>
    <row r="216" spans="1:54" ht="4.5" customHeight="1" x14ac:dyDescent="0.25">
      <c r="A216" s="240"/>
      <c r="B216" s="240"/>
      <c r="C216" s="240"/>
      <c r="D216" s="240"/>
      <c r="E216" s="240"/>
      <c r="F216" s="240"/>
      <c r="G216" s="240"/>
      <c r="H216" s="240"/>
      <c r="I216" s="240"/>
      <c r="J216" s="240"/>
      <c r="K216" s="240"/>
      <c r="L216" s="240"/>
      <c r="M216" s="240"/>
      <c r="N216" s="240"/>
      <c r="O216" s="240"/>
      <c r="P216" s="240"/>
      <c r="Q216" s="240"/>
      <c r="R216" s="240"/>
      <c r="S216" s="240"/>
      <c r="T216" s="240"/>
      <c r="U216" s="240"/>
      <c r="V216" s="240"/>
      <c r="W216" s="240"/>
      <c r="X216" s="240"/>
      <c r="Y216" s="240"/>
      <c r="Z216" s="240"/>
      <c r="AA216" s="240"/>
      <c r="AB216" s="240"/>
      <c r="AC216" s="240"/>
      <c r="AD216" s="240"/>
      <c r="AE216" s="240"/>
      <c r="AF216" s="240"/>
      <c r="AG216" s="240"/>
      <c r="AH216" s="240"/>
      <c r="AI216" s="240"/>
      <c r="AJ216" s="240"/>
      <c r="AK216" s="240"/>
      <c r="AL216" s="240"/>
      <c r="AM216" s="240"/>
      <c r="AN216" s="240"/>
      <c r="AO216" s="240"/>
      <c r="AP216" s="240"/>
      <c r="AQ216" s="240"/>
      <c r="AR216" s="240"/>
      <c r="AS216" s="240"/>
      <c r="AT216" s="240"/>
      <c r="AU216" s="240"/>
      <c r="AV216" s="240"/>
      <c r="AW216" s="240"/>
      <c r="AX216" s="240"/>
      <c r="AY216" s="240"/>
      <c r="AZ216" s="240"/>
      <c r="BA216" s="240"/>
      <c r="BB216" s="240"/>
    </row>
    <row r="217" spans="1:54" ht="4.5" customHeight="1" x14ac:dyDescent="0.25">
      <c r="A217" s="240"/>
      <c r="B217" s="240"/>
      <c r="C217" s="240"/>
      <c r="D217" s="240"/>
      <c r="E217" s="240"/>
      <c r="F217" s="240"/>
      <c r="G217" s="240"/>
      <c r="H217" s="240"/>
      <c r="I217" s="240"/>
      <c r="J217" s="240"/>
      <c r="K217" s="240"/>
      <c r="L217" s="240"/>
      <c r="M217" s="240"/>
      <c r="N217" s="240"/>
      <c r="O217" s="240"/>
      <c r="P217" s="240"/>
      <c r="Q217" s="240"/>
      <c r="R217" s="240"/>
      <c r="S217" s="240"/>
      <c r="T217" s="240"/>
      <c r="U217" s="240"/>
      <c r="V217" s="240"/>
      <c r="W217" s="240"/>
      <c r="X217" s="240"/>
      <c r="Y217" s="240"/>
      <c r="Z217" s="240"/>
      <c r="AA217" s="240"/>
      <c r="AB217" s="240"/>
      <c r="AC217" s="240"/>
      <c r="AD217" s="240"/>
      <c r="AE217" s="240"/>
      <c r="AF217" s="240"/>
      <c r="AG217" s="240"/>
      <c r="AH217" s="240"/>
      <c r="AI217" s="240"/>
      <c r="AJ217" s="240"/>
      <c r="AK217" s="240"/>
      <c r="AL217" s="240"/>
      <c r="AM217" s="240"/>
      <c r="AN217" s="240"/>
      <c r="AO217" s="240"/>
      <c r="AP217" s="240"/>
      <c r="AQ217" s="240"/>
      <c r="AR217" s="240"/>
      <c r="AS217" s="240"/>
      <c r="AT217" s="240"/>
      <c r="AU217" s="240"/>
      <c r="AV217" s="240"/>
      <c r="AW217" s="240"/>
      <c r="AX217" s="240"/>
      <c r="AY217" s="240"/>
      <c r="AZ217" s="240"/>
      <c r="BA217" s="240"/>
      <c r="BB217" s="240"/>
    </row>
    <row r="218" spans="1:54" ht="4.5" customHeight="1" x14ac:dyDescent="0.25">
      <c r="A218" s="240"/>
      <c r="B218" s="240"/>
      <c r="C218" s="240"/>
      <c r="D218" s="240"/>
      <c r="E218" s="240"/>
      <c r="F218" s="240"/>
      <c r="G218" s="240"/>
      <c r="H218" s="240"/>
      <c r="I218" s="240"/>
      <c r="J218" s="240"/>
      <c r="K218" s="240"/>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40"/>
      <c r="AZ218" s="240"/>
      <c r="BA218" s="240"/>
      <c r="BB218" s="240"/>
    </row>
    <row r="219" spans="1:54" ht="4.5" customHeight="1" x14ac:dyDescent="0.25">
      <c r="A219" s="240"/>
      <c r="B219" s="240"/>
      <c r="C219" s="240"/>
      <c r="D219" s="240"/>
      <c r="E219" s="240"/>
      <c r="F219" s="240"/>
      <c r="G219" s="240"/>
      <c r="H219" s="240"/>
      <c r="I219" s="240"/>
      <c r="J219" s="240"/>
      <c r="K219" s="240"/>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40"/>
      <c r="AZ219" s="240"/>
      <c r="BA219" s="240"/>
      <c r="BB219" s="240"/>
    </row>
    <row r="220" spans="1:54" ht="4.5" customHeight="1" x14ac:dyDescent="0.25">
      <c r="A220" s="240"/>
      <c r="B220" s="240"/>
      <c r="C220" s="240"/>
      <c r="D220" s="240"/>
      <c r="E220" s="240"/>
      <c r="F220" s="240"/>
      <c r="G220" s="240"/>
      <c r="H220" s="240"/>
      <c r="I220" s="240"/>
      <c r="J220" s="240"/>
      <c r="K220" s="240"/>
      <c r="L220" s="240"/>
      <c r="M220" s="240"/>
      <c r="N220" s="240"/>
      <c r="O220" s="240"/>
      <c r="P220" s="240"/>
      <c r="Q220" s="240"/>
      <c r="R220" s="240"/>
      <c r="S220" s="240"/>
      <c r="T220" s="240"/>
      <c r="U220" s="240"/>
      <c r="V220" s="240"/>
      <c r="W220" s="240"/>
      <c r="X220" s="240"/>
      <c r="Y220" s="240"/>
      <c r="Z220" s="240"/>
      <c r="AA220" s="240"/>
      <c r="AB220" s="240"/>
      <c r="AC220" s="240"/>
      <c r="AD220" s="240"/>
      <c r="AE220" s="240"/>
      <c r="AF220" s="240"/>
      <c r="AG220" s="240"/>
      <c r="AH220" s="240"/>
      <c r="AI220" s="240"/>
      <c r="AJ220" s="240"/>
      <c r="AK220" s="240"/>
      <c r="AL220" s="240"/>
      <c r="AM220" s="240"/>
      <c r="AN220" s="240"/>
      <c r="AO220" s="240"/>
      <c r="AP220" s="240"/>
      <c r="AQ220" s="240"/>
      <c r="AR220" s="240"/>
      <c r="AS220" s="240"/>
      <c r="AT220" s="240"/>
      <c r="AU220" s="240"/>
      <c r="AV220" s="240"/>
      <c r="AW220" s="240"/>
      <c r="AX220" s="240"/>
      <c r="AY220" s="240"/>
      <c r="AZ220" s="240"/>
      <c r="BA220" s="240"/>
      <c r="BB220" s="240"/>
    </row>
    <row r="221" spans="1:54" ht="4.5" customHeight="1" x14ac:dyDescent="0.25">
      <c r="A221" s="240"/>
      <c r="B221" s="240"/>
      <c r="C221" s="240"/>
      <c r="D221" s="240"/>
      <c r="E221" s="240"/>
      <c r="F221" s="240"/>
      <c r="G221" s="240"/>
      <c r="H221" s="240"/>
      <c r="I221" s="240"/>
      <c r="J221" s="240"/>
      <c r="K221" s="240"/>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40"/>
      <c r="AZ221" s="240"/>
      <c r="BA221" s="240"/>
      <c r="BB221" s="240"/>
    </row>
    <row r="222" spans="1:54" ht="4.5" customHeight="1" x14ac:dyDescent="0.25">
      <c r="A222" s="240"/>
      <c r="B222" s="240"/>
      <c r="C222" s="240"/>
      <c r="D222" s="240"/>
      <c r="E222" s="240"/>
      <c r="F222" s="240"/>
      <c r="G222" s="240"/>
      <c r="H222" s="240"/>
      <c r="I222" s="240"/>
      <c r="J222" s="240"/>
      <c r="K222" s="240"/>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40"/>
      <c r="AZ222" s="240"/>
      <c r="BA222" s="240"/>
      <c r="BB222" s="240"/>
    </row>
    <row r="223" spans="1:54" ht="4.5" customHeight="1" x14ac:dyDescent="0.25">
      <c r="A223" s="240"/>
      <c r="B223" s="240"/>
      <c r="C223" s="240"/>
      <c r="D223" s="240"/>
      <c r="E223" s="240"/>
      <c r="F223" s="240"/>
      <c r="G223" s="240"/>
      <c r="H223" s="240"/>
      <c r="I223" s="240"/>
      <c r="J223" s="240"/>
      <c r="K223" s="240"/>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40"/>
      <c r="AZ223" s="240"/>
      <c r="BA223" s="240"/>
      <c r="BB223" s="240"/>
    </row>
    <row r="224" spans="1:54" ht="4.5" customHeight="1" x14ac:dyDescent="0.25">
      <c r="A224" s="240"/>
      <c r="B224" s="240"/>
      <c r="C224" s="240"/>
      <c r="D224" s="240"/>
      <c r="E224" s="240"/>
      <c r="F224" s="240"/>
      <c r="G224" s="240"/>
      <c r="H224" s="240"/>
      <c r="I224" s="240"/>
      <c r="J224" s="240"/>
      <c r="K224" s="240"/>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40"/>
      <c r="AZ224" s="240"/>
      <c r="BA224" s="240"/>
      <c r="BB224" s="240"/>
    </row>
    <row r="225" spans="1:54" ht="4.5" customHeight="1" x14ac:dyDescent="0.25">
      <c r="A225" s="240"/>
      <c r="B225" s="240"/>
      <c r="C225" s="240"/>
      <c r="D225" s="240"/>
      <c r="E225" s="240"/>
      <c r="F225" s="240"/>
      <c r="G225" s="240"/>
      <c r="H225" s="240"/>
      <c r="I225" s="240"/>
      <c r="J225" s="240"/>
      <c r="K225" s="240"/>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40"/>
      <c r="AZ225" s="240"/>
      <c r="BA225" s="240"/>
      <c r="BB225" s="240"/>
    </row>
    <row r="226" spans="1:54" ht="4.5" customHeight="1" x14ac:dyDescent="0.25">
      <c r="A226" s="240"/>
      <c r="B226" s="240"/>
      <c r="C226" s="240"/>
      <c r="D226" s="240"/>
      <c r="E226" s="240"/>
      <c r="F226" s="240"/>
      <c r="G226" s="240"/>
      <c r="H226" s="240"/>
      <c r="I226" s="240"/>
      <c r="J226" s="240"/>
      <c r="K226" s="240"/>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40"/>
      <c r="AZ226" s="240"/>
      <c r="BA226" s="240"/>
      <c r="BB226" s="240"/>
    </row>
    <row r="227" spans="1:54" ht="4.5" customHeight="1" x14ac:dyDescent="0.25">
      <c r="A227" s="240"/>
      <c r="B227" s="240"/>
      <c r="C227" s="240"/>
      <c r="D227" s="240"/>
      <c r="E227" s="240"/>
      <c r="F227" s="240"/>
      <c r="G227" s="240"/>
      <c r="H227" s="240"/>
      <c r="I227" s="240"/>
      <c r="J227" s="240"/>
      <c r="K227" s="240"/>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40"/>
      <c r="AZ227" s="240"/>
      <c r="BA227" s="240"/>
      <c r="BB227" s="240"/>
    </row>
    <row r="228" spans="1:54" ht="4.5" customHeight="1" x14ac:dyDescent="0.25">
      <c r="A228" s="240"/>
      <c r="B228" s="240"/>
      <c r="C228" s="240"/>
      <c r="D228" s="240"/>
      <c r="E228" s="240"/>
      <c r="F228" s="240"/>
      <c r="G228" s="240"/>
      <c r="H228" s="240"/>
      <c r="I228" s="240"/>
      <c r="J228" s="240"/>
      <c r="K228" s="240"/>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40"/>
      <c r="AZ228" s="240"/>
      <c r="BA228" s="240"/>
      <c r="BB228" s="240"/>
    </row>
    <row r="229" spans="1:54" ht="4.5" customHeight="1" x14ac:dyDescent="0.25">
      <c r="A229" s="240"/>
      <c r="B229" s="240"/>
      <c r="C229" s="240"/>
      <c r="D229" s="240"/>
      <c r="E229" s="240"/>
      <c r="F229" s="240"/>
      <c r="G229" s="240"/>
      <c r="H229" s="240"/>
      <c r="I229" s="240"/>
      <c r="J229" s="240"/>
      <c r="K229" s="240"/>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40"/>
      <c r="AZ229" s="240"/>
      <c r="BA229" s="240"/>
      <c r="BB229" s="240"/>
    </row>
    <row r="230" spans="1:54" ht="4.5" customHeight="1" x14ac:dyDescent="0.25">
      <c r="A230" s="240"/>
      <c r="B230" s="240"/>
      <c r="C230" s="240"/>
      <c r="D230" s="240"/>
      <c r="E230" s="240"/>
      <c r="F230" s="240"/>
      <c r="G230" s="240"/>
      <c r="H230" s="240"/>
      <c r="I230" s="240"/>
      <c r="J230" s="240"/>
      <c r="K230" s="240"/>
      <c r="L230" s="240"/>
      <c r="M230" s="240"/>
      <c r="N230" s="240"/>
      <c r="O230" s="240"/>
      <c r="P230" s="240"/>
      <c r="Q230" s="240"/>
      <c r="R230" s="240"/>
      <c r="S230" s="240"/>
      <c r="T230" s="240"/>
      <c r="U230" s="240"/>
      <c r="V230" s="240"/>
      <c r="W230" s="240"/>
      <c r="X230" s="240"/>
      <c r="Y230" s="240"/>
      <c r="Z230" s="240"/>
      <c r="AA230" s="240"/>
      <c r="AB230" s="240"/>
      <c r="AC230" s="240"/>
      <c r="AD230" s="240"/>
      <c r="AE230" s="240"/>
      <c r="AF230" s="240"/>
      <c r="AG230" s="240"/>
      <c r="AH230" s="240"/>
      <c r="AI230" s="240"/>
      <c r="AJ230" s="240"/>
      <c r="AK230" s="240"/>
      <c r="AL230" s="240"/>
      <c r="AM230" s="240"/>
      <c r="AN230" s="240"/>
      <c r="AO230" s="240"/>
      <c r="AP230" s="240"/>
      <c r="AQ230" s="240"/>
      <c r="AR230" s="240"/>
      <c r="AS230" s="240"/>
      <c r="AT230" s="240"/>
      <c r="AU230" s="240"/>
      <c r="AV230" s="240"/>
      <c r="AW230" s="240"/>
      <c r="AX230" s="240"/>
      <c r="AY230" s="240"/>
      <c r="AZ230" s="240"/>
      <c r="BA230" s="240"/>
      <c r="BB230" s="240"/>
    </row>
    <row r="231" spans="1:54" ht="4.5" customHeight="1" x14ac:dyDescent="0.25">
      <c r="A231" s="240"/>
      <c r="B231" s="240"/>
      <c r="C231" s="240"/>
      <c r="D231" s="240"/>
      <c r="E231" s="240"/>
      <c r="F231" s="240"/>
      <c r="G231" s="240"/>
      <c r="H231" s="240"/>
      <c r="I231" s="240"/>
      <c r="J231" s="240"/>
      <c r="K231" s="240"/>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40"/>
      <c r="AZ231" s="240"/>
      <c r="BA231" s="240"/>
      <c r="BB231" s="240"/>
    </row>
    <row r="232" spans="1:54" ht="4.5" customHeight="1" x14ac:dyDescent="0.25">
      <c r="A232" s="240"/>
      <c r="B232" s="240"/>
      <c r="C232" s="240"/>
      <c r="D232" s="240"/>
      <c r="E232" s="240"/>
      <c r="F232" s="240"/>
      <c r="G232" s="240"/>
      <c r="H232" s="240"/>
      <c r="I232" s="240"/>
      <c r="J232" s="240"/>
      <c r="K232" s="240"/>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40"/>
      <c r="AZ232" s="240"/>
      <c r="BA232" s="240"/>
      <c r="BB232" s="240"/>
    </row>
    <row r="233" spans="1:54" ht="4.5" customHeight="1" x14ac:dyDescent="0.25">
      <c r="A233" s="240"/>
      <c r="B233" s="240"/>
      <c r="C233" s="240"/>
      <c r="D233" s="240"/>
      <c r="E233" s="240"/>
      <c r="F233" s="240"/>
      <c r="G233" s="240"/>
      <c r="H233" s="240"/>
      <c r="I233" s="240"/>
      <c r="J233" s="240"/>
      <c r="K233" s="240"/>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40"/>
      <c r="AZ233" s="240"/>
      <c r="BA233" s="240"/>
      <c r="BB233" s="240"/>
    </row>
    <row r="234" spans="1:54" ht="4.5" customHeight="1" x14ac:dyDescent="0.25">
      <c r="A234" s="240"/>
      <c r="B234" s="240"/>
      <c r="C234" s="240"/>
      <c r="D234" s="240"/>
      <c r="E234" s="240"/>
      <c r="F234" s="240"/>
      <c r="G234" s="240"/>
      <c r="H234" s="240"/>
      <c r="I234" s="240"/>
      <c r="J234" s="240"/>
      <c r="K234" s="240"/>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40"/>
      <c r="AZ234" s="240"/>
      <c r="BA234" s="240"/>
      <c r="BB234" s="240"/>
    </row>
    <row r="235" spans="1:54" ht="4.5" customHeight="1" x14ac:dyDescent="0.25">
      <c r="A235" s="240"/>
      <c r="B235" s="240"/>
      <c r="C235" s="240"/>
      <c r="D235" s="240"/>
      <c r="E235" s="240"/>
      <c r="F235" s="240"/>
      <c r="G235" s="240"/>
      <c r="H235" s="240"/>
      <c r="I235" s="240"/>
      <c r="J235" s="240"/>
      <c r="K235" s="240"/>
      <c r="L235" s="240"/>
      <c r="M235" s="240"/>
      <c r="N235" s="240"/>
      <c r="O235" s="240"/>
      <c r="P235" s="240"/>
      <c r="Q235" s="240"/>
      <c r="R235" s="240"/>
      <c r="S235" s="240"/>
      <c r="T235" s="240"/>
      <c r="U235" s="240"/>
      <c r="V235" s="240"/>
      <c r="W235" s="240"/>
      <c r="X235" s="240"/>
      <c r="Y235" s="240"/>
      <c r="Z235" s="240"/>
      <c r="AA235" s="240"/>
      <c r="AB235" s="240"/>
      <c r="AC235" s="240"/>
      <c r="AD235" s="240"/>
      <c r="AE235" s="240"/>
      <c r="AF235" s="240"/>
      <c r="AG235" s="240"/>
      <c r="AH235" s="240"/>
      <c r="AI235" s="240"/>
      <c r="AJ235" s="240"/>
      <c r="AK235" s="240"/>
      <c r="AL235" s="240"/>
      <c r="AM235" s="240"/>
      <c r="AN235" s="240"/>
      <c r="AO235" s="240"/>
      <c r="AP235" s="240"/>
      <c r="AQ235" s="240"/>
      <c r="AR235" s="240"/>
      <c r="AS235" s="240"/>
      <c r="AT235" s="240"/>
      <c r="AU235" s="240"/>
      <c r="AV235" s="240"/>
      <c r="AW235" s="240"/>
      <c r="AX235" s="240"/>
      <c r="AY235" s="240"/>
      <c r="AZ235" s="240"/>
      <c r="BA235" s="240"/>
      <c r="BB235" s="240"/>
    </row>
    <row r="236" spans="1:54" ht="4.5" customHeight="1" x14ac:dyDescent="0.25">
      <c r="A236" s="240"/>
      <c r="B236" s="240"/>
      <c r="C236" s="240"/>
      <c r="D236" s="240"/>
      <c r="E236" s="240"/>
      <c r="F236" s="240"/>
      <c r="G236" s="240"/>
      <c r="H236" s="240"/>
      <c r="I236" s="240"/>
      <c r="J236" s="240"/>
      <c r="K236" s="240"/>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40"/>
      <c r="AZ236" s="240"/>
      <c r="BA236" s="240"/>
      <c r="BB236" s="240"/>
    </row>
    <row r="237" spans="1:54" ht="4.5" customHeight="1" x14ac:dyDescent="0.25">
      <c r="A237" s="240"/>
      <c r="B237" s="240"/>
      <c r="C237" s="240"/>
      <c r="D237" s="240"/>
      <c r="E237" s="240"/>
      <c r="F237" s="240"/>
      <c r="G237" s="240"/>
      <c r="H237" s="240"/>
      <c r="I237" s="240"/>
      <c r="J237" s="240"/>
      <c r="K237" s="240"/>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40"/>
      <c r="AZ237" s="240"/>
      <c r="BA237" s="240"/>
      <c r="BB237" s="240"/>
    </row>
    <row r="238" spans="1:54" ht="4.5" customHeight="1" x14ac:dyDescent="0.25">
      <c r="A238" s="240"/>
      <c r="B238" s="240"/>
      <c r="C238" s="240"/>
      <c r="D238" s="240"/>
      <c r="E238" s="240"/>
      <c r="F238" s="240"/>
      <c r="G238" s="240"/>
      <c r="H238" s="240"/>
      <c r="I238" s="240"/>
      <c r="J238" s="240"/>
      <c r="K238" s="240"/>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40"/>
      <c r="AZ238" s="240"/>
      <c r="BA238" s="240"/>
      <c r="BB238" s="240"/>
    </row>
    <row r="239" spans="1:54" ht="4.5" customHeight="1" x14ac:dyDescent="0.25">
      <c r="A239" s="240"/>
      <c r="B239" s="240"/>
      <c r="C239" s="240"/>
      <c r="D239" s="240"/>
      <c r="E239" s="240"/>
      <c r="F239" s="240"/>
      <c r="G239" s="240"/>
      <c r="H239" s="240"/>
      <c r="I239" s="240"/>
      <c r="J239" s="240"/>
      <c r="K239" s="240"/>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40"/>
      <c r="AZ239" s="240"/>
      <c r="BA239" s="240"/>
      <c r="BB239" s="240"/>
    </row>
    <row r="240" spans="1:54" ht="4.5" customHeight="1" x14ac:dyDescent="0.25">
      <c r="A240" s="240"/>
      <c r="B240" s="240"/>
      <c r="C240" s="240"/>
      <c r="D240" s="240"/>
      <c r="E240" s="240"/>
      <c r="F240" s="240"/>
      <c r="G240" s="240"/>
      <c r="H240" s="240"/>
      <c r="I240" s="240"/>
      <c r="J240" s="240"/>
      <c r="K240" s="240"/>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40"/>
      <c r="AZ240" s="240"/>
      <c r="BA240" s="240"/>
      <c r="BB240" s="240"/>
    </row>
    <row r="241" spans="1:54" ht="4.5" customHeight="1" x14ac:dyDescent="0.25">
      <c r="A241" s="240"/>
      <c r="B241" s="240"/>
      <c r="C241" s="240"/>
      <c r="D241" s="240"/>
      <c r="E241" s="240"/>
      <c r="F241" s="240"/>
      <c r="G241" s="240"/>
      <c r="H241" s="240"/>
      <c r="I241" s="240"/>
      <c r="J241" s="240"/>
      <c r="K241" s="240"/>
      <c r="L241" s="240"/>
      <c r="M241" s="240"/>
      <c r="N241" s="240"/>
      <c r="O241" s="240"/>
      <c r="P241" s="240"/>
      <c r="Q241" s="240"/>
      <c r="R241" s="240"/>
      <c r="S241" s="240"/>
      <c r="T241" s="240"/>
      <c r="U241" s="240"/>
      <c r="V241" s="240"/>
      <c r="W241" s="240"/>
      <c r="X241" s="240"/>
      <c r="Y241" s="240"/>
      <c r="Z241" s="240"/>
      <c r="AA241" s="240"/>
      <c r="AB241" s="240"/>
      <c r="AC241" s="240"/>
      <c r="AD241" s="240"/>
      <c r="AE241" s="240"/>
      <c r="AF241" s="240"/>
      <c r="AG241" s="240"/>
      <c r="AH241" s="240"/>
      <c r="AI241" s="240"/>
      <c r="AJ241" s="240"/>
      <c r="AK241" s="240"/>
      <c r="AL241" s="240"/>
      <c r="AM241" s="240"/>
      <c r="AN241" s="240"/>
      <c r="AO241" s="240"/>
      <c r="AP241" s="240"/>
      <c r="AQ241" s="240"/>
      <c r="AR241" s="240"/>
      <c r="AS241" s="240"/>
      <c r="AT241" s="240"/>
      <c r="AU241" s="240"/>
      <c r="AV241" s="240"/>
      <c r="AW241" s="240"/>
      <c r="AX241" s="240"/>
      <c r="AY241" s="240"/>
      <c r="AZ241" s="240"/>
      <c r="BA241" s="240"/>
      <c r="BB241" s="240"/>
    </row>
    <row r="242" spans="1:54" ht="4.5" customHeight="1" x14ac:dyDescent="0.25">
      <c r="A242" s="240"/>
      <c r="B242" s="240"/>
      <c r="C242" s="240"/>
      <c r="D242" s="240"/>
      <c r="E242" s="240"/>
      <c r="F242" s="240"/>
      <c r="G242" s="240"/>
      <c r="H242" s="240"/>
      <c r="I242" s="240"/>
      <c r="J242" s="240"/>
      <c r="K242" s="240"/>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40"/>
      <c r="AZ242" s="240"/>
      <c r="BA242" s="240"/>
      <c r="BB242" s="240"/>
    </row>
    <row r="243" spans="1:54" ht="4.5" customHeight="1" x14ac:dyDescent="0.25">
      <c r="A243" s="240"/>
      <c r="B243" s="240"/>
      <c r="C243" s="240"/>
      <c r="D243" s="240"/>
      <c r="E243" s="240"/>
      <c r="F243" s="240"/>
      <c r="G243" s="240"/>
      <c r="H243" s="240"/>
      <c r="I243" s="240"/>
      <c r="J243" s="240"/>
      <c r="K243" s="240"/>
      <c r="L243" s="240"/>
      <c r="M243" s="240"/>
      <c r="N243" s="240"/>
      <c r="O243" s="240"/>
      <c r="P243" s="240"/>
      <c r="Q243" s="240"/>
      <c r="R243" s="240"/>
      <c r="S243" s="240"/>
      <c r="T243" s="240"/>
      <c r="U243" s="240"/>
      <c r="V243" s="240"/>
      <c r="W243" s="240"/>
      <c r="X243" s="240"/>
      <c r="Y243" s="240"/>
      <c r="Z243" s="240"/>
      <c r="AA243" s="240"/>
      <c r="AB243" s="240"/>
      <c r="AC243" s="240"/>
      <c r="AD243" s="240"/>
      <c r="AE243" s="240"/>
      <c r="AF243" s="240"/>
      <c r="AG243" s="240"/>
      <c r="AH243" s="240"/>
      <c r="AI243" s="240"/>
      <c r="AJ243" s="240"/>
      <c r="AK243" s="240"/>
      <c r="AL243" s="240"/>
      <c r="AM243" s="240"/>
      <c r="AN243" s="240"/>
      <c r="AO243" s="240"/>
      <c r="AP243" s="240"/>
      <c r="AQ243" s="240"/>
      <c r="AR243" s="240"/>
      <c r="AS243" s="240"/>
      <c r="AT243" s="240"/>
      <c r="AU243" s="240"/>
      <c r="AV243" s="240"/>
      <c r="AW243" s="240"/>
      <c r="AX243" s="240"/>
      <c r="AY243" s="240"/>
      <c r="AZ243" s="240"/>
      <c r="BA243" s="240"/>
      <c r="BB243" s="240"/>
    </row>
    <row r="244" spans="1:54" ht="4.5" customHeight="1" x14ac:dyDescent="0.25">
      <c r="A244" s="240"/>
      <c r="B244" s="240"/>
      <c r="C244" s="240"/>
      <c r="D244" s="240"/>
      <c r="E244" s="240"/>
      <c r="F244" s="240"/>
      <c r="G244" s="240"/>
      <c r="H244" s="240"/>
      <c r="I244" s="240"/>
      <c r="J244" s="240"/>
      <c r="K244" s="240"/>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c r="BB244" s="240"/>
    </row>
    <row r="245" spans="1:54" ht="4.5" customHeight="1" x14ac:dyDescent="0.25">
      <c r="A245" s="240"/>
      <c r="B245" s="240"/>
      <c r="C245" s="240"/>
      <c r="D245" s="240"/>
      <c r="E245" s="240"/>
      <c r="F245" s="240"/>
      <c r="G245" s="240"/>
      <c r="H245" s="240"/>
      <c r="I245" s="240"/>
      <c r="J245" s="240"/>
      <c r="K245" s="240"/>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40"/>
      <c r="AZ245" s="240"/>
      <c r="BA245" s="240"/>
      <c r="BB245" s="240"/>
    </row>
    <row r="246" spans="1:54" ht="4.5" customHeight="1" x14ac:dyDescent="0.25">
      <c r="A246" s="240"/>
      <c r="B246" s="240"/>
      <c r="C246" s="240"/>
      <c r="D246" s="240"/>
      <c r="E246" s="240"/>
      <c r="F246" s="240"/>
      <c r="G246" s="240"/>
      <c r="H246" s="240"/>
      <c r="I246" s="240"/>
      <c r="J246" s="240"/>
      <c r="K246" s="240"/>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40"/>
      <c r="AZ246" s="240"/>
      <c r="BA246" s="240"/>
      <c r="BB246" s="240"/>
    </row>
    <row r="247" spans="1:54" ht="4.5" customHeight="1" x14ac:dyDescent="0.25">
      <c r="A247" s="240"/>
      <c r="B247" s="240"/>
      <c r="C247" s="240"/>
      <c r="D247" s="240"/>
      <c r="E247" s="240"/>
      <c r="F247" s="240"/>
      <c r="G247" s="240"/>
      <c r="H247" s="240"/>
      <c r="I247" s="240"/>
      <c r="J247" s="240"/>
      <c r="K247" s="240"/>
      <c r="L247" s="240"/>
      <c r="M247" s="240"/>
      <c r="N247" s="240"/>
      <c r="O247" s="240"/>
      <c r="P247" s="240"/>
      <c r="Q247" s="240"/>
      <c r="R247" s="240"/>
      <c r="S247" s="240"/>
      <c r="T247" s="240"/>
      <c r="U247" s="240"/>
      <c r="V247" s="240"/>
      <c r="W247" s="240"/>
      <c r="X247" s="240"/>
      <c r="Y247" s="240"/>
      <c r="Z247" s="240"/>
      <c r="AA247" s="240"/>
      <c r="AB247" s="240"/>
      <c r="AC247" s="240"/>
      <c r="AD247" s="240"/>
      <c r="AE247" s="240"/>
      <c r="AF247" s="240"/>
      <c r="AG247" s="240"/>
      <c r="AH247" s="240"/>
      <c r="AI247" s="240"/>
      <c r="AJ247" s="240"/>
      <c r="AK247" s="240"/>
      <c r="AL247" s="240"/>
      <c r="AM247" s="240"/>
      <c r="AN247" s="240"/>
      <c r="AO247" s="240"/>
      <c r="AP247" s="240"/>
      <c r="AQ247" s="240"/>
      <c r="AR247" s="240"/>
      <c r="AS247" s="240"/>
      <c r="AT247" s="240"/>
      <c r="AU247" s="240"/>
      <c r="AV247" s="240"/>
      <c r="AW247" s="240"/>
      <c r="AX247" s="240"/>
      <c r="AY247" s="240"/>
      <c r="AZ247" s="240"/>
      <c r="BA247" s="240"/>
      <c r="BB247" s="240"/>
    </row>
    <row r="248" spans="1:54" ht="4.5" customHeight="1" x14ac:dyDescent="0.25">
      <c r="A248" s="240"/>
      <c r="B248" s="240"/>
      <c r="C248" s="240"/>
      <c r="D248" s="240"/>
      <c r="E248" s="240"/>
      <c r="F248" s="240"/>
      <c r="G248" s="240"/>
      <c r="H248" s="240"/>
      <c r="I248" s="240"/>
      <c r="J248" s="240"/>
      <c r="K248" s="240"/>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40"/>
      <c r="AZ248" s="240"/>
      <c r="BA248" s="240"/>
      <c r="BB248" s="240"/>
    </row>
    <row r="249" spans="1:54" ht="4.5" customHeight="1" x14ac:dyDescent="0.25">
      <c r="A249" s="240"/>
      <c r="B249" s="240"/>
      <c r="C249" s="240"/>
      <c r="D249" s="240"/>
      <c r="E249" s="240"/>
      <c r="F249" s="240"/>
      <c r="G249" s="240"/>
      <c r="H249" s="240"/>
      <c r="I249" s="240"/>
      <c r="J249" s="240"/>
      <c r="K249" s="240"/>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40"/>
      <c r="AZ249" s="240"/>
      <c r="BA249" s="240"/>
      <c r="BB249" s="240"/>
    </row>
    <row r="250" spans="1:54" ht="4.5" customHeight="1" x14ac:dyDescent="0.25">
      <c r="A250" s="240"/>
      <c r="B250" s="240"/>
      <c r="C250" s="240"/>
      <c r="D250" s="240"/>
      <c r="E250" s="240"/>
      <c r="F250" s="240"/>
      <c r="G250" s="240"/>
      <c r="H250" s="240"/>
      <c r="I250" s="240"/>
      <c r="J250" s="240"/>
      <c r="K250" s="240"/>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40"/>
      <c r="AZ250" s="240"/>
      <c r="BA250" s="240"/>
      <c r="BB250" s="240"/>
    </row>
    <row r="251" spans="1:54" ht="4.5" customHeight="1" x14ac:dyDescent="0.25">
      <c r="A251" s="240"/>
      <c r="B251" s="240"/>
      <c r="C251" s="240"/>
      <c r="D251" s="240"/>
      <c r="E251" s="240"/>
      <c r="F251" s="240"/>
      <c r="G251" s="240"/>
      <c r="H251" s="240"/>
      <c r="I251" s="240"/>
      <c r="J251" s="240"/>
      <c r="K251" s="240"/>
      <c r="L251" s="240"/>
      <c r="M251" s="240"/>
      <c r="N251" s="240"/>
      <c r="O251" s="240"/>
      <c r="P251" s="240"/>
      <c r="Q251" s="240"/>
      <c r="R251" s="240"/>
      <c r="S251" s="240"/>
      <c r="T251" s="240"/>
      <c r="U251" s="240"/>
      <c r="V251" s="240"/>
      <c r="W251" s="240"/>
      <c r="X251" s="240"/>
      <c r="Y251" s="240"/>
      <c r="Z251" s="240"/>
      <c r="AA251" s="240"/>
      <c r="AB251" s="240"/>
      <c r="AC251" s="240"/>
      <c r="AD251" s="240"/>
      <c r="AE251" s="240"/>
      <c r="AF251" s="240"/>
      <c r="AG251" s="240"/>
      <c r="AH251" s="240"/>
      <c r="AI251" s="240"/>
      <c r="AJ251" s="240"/>
      <c r="AK251" s="240"/>
      <c r="AL251" s="240"/>
      <c r="AM251" s="240"/>
      <c r="AN251" s="240"/>
      <c r="AO251" s="240"/>
      <c r="AP251" s="240"/>
      <c r="AQ251" s="240"/>
      <c r="AR251" s="240"/>
      <c r="AS251" s="240"/>
      <c r="AT251" s="240"/>
      <c r="AU251" s="240"/>
      <c r="AV251" s="240"/>
      <c r="AW251" s="240"/>
      <c r="AX251" s="240"/>
      <c r="AY251" s="240"/>
      <c r="AZ251" s="240"/>
      <c r="BA251" s="240"/>
      <c r="BB251" s="240"/>
    </row>
    <row r="252" spans="1:54" ht="4.5" customHeight="1" x14ac:dyDescent="0.25">
      <c r="A252" s="240"/>
      <c r="B252" s="240"/>
      <c r="C252" s="240"/>
      <c r="D252" s="240"/>
      <c r="E252" s="240"/>
      <c r="F252" s="240"/>
      <c r="G252" s="240"/>
      <c r="H252" s="240"/>
      <c r="I252" s="240"/>
      <c r="J252" s="240"/>
      <c r="K252" s="240"/>
      <c r="L252" s="240"/>
      <c r="M252" s="240"/>
      <c r="N252" s="240"/>
      <c r="O252" s="240"/>
      <c r="P252" s="240"/>
      <c r="Q252" s="240"/>
      <c r="R252" s="240"/>
      <c r="S252" s="240"/>
      <c r="T252" s="240"/>
      <c r="U252" s="240"/>
      <c r="V252" s="240"/>
      <c r="W252" s="240"/>
      <c r="X252" s="240"/>
      <c r="Y252" s="240"/>
      <c r="Z252" s="240"/>
      <c r="AA252" s="240"/>
      <c r="AB252" s="240"/>
      <c r="AC252" s="240"/>
      <c r="AD252" s="240"/>
      <c r="AE252" s="240"/>
      <c r="AF252" s="240"/>
      <c r="AG252" s="240"/>
      <c r="AH252" s="240"/>
      <c r="AI252" s="240"/>
      <c r="AJ252" s="240"/>
      <c r="AK252" s="240"/>
      <c r="AL252" s="240"/>
      <c r="AM252" s="240"/>
      <c r="AN252" s="240"/>
      <c r="AO252" s="240"/>
      <c r="AP252" s="240"/>
      <c r="AQ252" s="240"/>
      <c r="AR252" s="240"/>
      <c r="AS252" s="240"/>
      <c r="AT252" s="240"/>
      <c r="AU252" s="240"/>
      <c r="AV252" s="240"/>
      <c r="AW252" s="240"/>
      <c r="AX252" s="240"/>
      <c r="AY252" s="240"/>
      <c r="AZ252" s="240"/>
      <c r="BA252" s="240"/>
      <c r="BB252" s="240"/>
    </row>
    <row r="253" spans="1:54" ht="4.5" customHeight="1" x14ac:dyDescent="0.25">
      <c r="A253" s="240"/>
      <c r="B253" s="240"/>
      <c r="C253" s="240"/>
      <c r="D253" s="240"/>
      <c r="E253" s="240"/>
      <c r="F253" s="240"/>
      <c r="G253" s="240"/>
      <c r="H253" s="240"/>
      <c r="I253" s="240"/>
      <c r="J253" s="240"/>
      <c r="K253" s="240"/>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40"/>
      <c r="AZ253" s="240"/>
      <c r="BA253" s="240"/>
      <c r="BB253" s="240"/>
    </row>
    <row r="254" spans="1:54" ht="4.5" customHeight="1" x14ac:dyDescent="0.25">
      <c r="A254" s="240"/>
      <c r="B254" s="240"/>
      <c r="C254" s="240"/>
      <c r="D254" s="240"/>
      <c r="E254" s="240"/>
      <c r="F254" s="240"/>
      <c r="G254" s="240"/>
      <c r="H254" s="240"/>
      <c r="I254" s="240"/>
      <c r="J254" s="240"/>
      <c r="K254" s="240"/>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40"/>
      <c r="AZ254" s="240"/>
      <c r="BA254" s="240"/>
      <c r="BB254" s="240"/>
    </row>
    <row r="255" spans="1:54" ht="4.5" customHeight="1" x14ac:dyDescent="0.25">
      <c r="A255" s="240"/>
      <c r="B255" s="240"/>
      <c r="C255" s="240"/>
      <c r="D255" s="240"/>
      <c r="E255" s="240"/>
      <c r="F255" s="240"/>
      <c r="G255" s="240"/>
      <c r="H255" s="240"/>
      <c r="I255" s="240"/>
      <c r="J255" s="240"/>
      <c r="K255" s="240"/>
      <c r="L255" s="240"/>
      <c r="M255" s="240"/>
      <c r="N255" s="240"/>
      <c r="O255" s="240"/>
      <c r="P255" s="240"/>
      <c r="Q255" s="240"/>
      <c r="R255" s="240"/>
      <c r="S255" s="240"/>
      <c r="T255" s="240"/>
      <c r="U255" s="240"/>
      <c r="V255" s="240"/>
      <c r="W255" s="240"/>
      <c r="X255" s="240"/>
      <c r="Y255" s="240"/>
      <c r="Z255" s="240"/>
      <c r="AA255" s="240"/>
      <c r="AB255" s="240"/>
      <c r="AC255" s="240"/>
      <c r="AD255" s="240"/>
      <c r="AE255" s="240"/>
      <c r="AF255" s="240"/>
      <c r="AG255" s="240"/>
      <c r="AH255" s="240"/>
      <c r="AI255" s="240"/>
      <c r="AJ255" s="240"/>
      <c r="AK255" s="240"/>
      <c r="AL255" s="240"/>
      <c r="AM255" s="240"/>
      <c r="AN255" s="240"/>
      <c r="AO255" s="240"/>
      <c r="AP255" s="240"/>
      <c r="AQ255" s="240"/>
      <c r="AR255" s="240"/>
      <c r="AS255" s="240"/>
      <c r="AT255" s="240"/>
      <c r="AU255" s="240"/>
      <c r="AV255" s="240"/>
      <c r="AW255" s="240"/>
      <c r="AX255" s="240"/>
      <c r="AY255" s="240"/>
      <c r="AZ255" s="240"/>
      <c r="BA255" s="240"/>
      <c r="BB255" s="240"/>
    </row>
    <row r="256" spans="1:54" ht="4.5" customHeight="1" x14ac:dyDescent="0.25">
      <c r="A256" s="240"/>
      <c r="B256" s="240"/>
      <c r="C256" s="240"/>
      <c r="D256" s="240"/>
      <c r="E256" s="240"/>
      <c r="F256" s="240"/>
      <c r="G256" s="240"/>
      <c r="H256" s="240"/>
      <c r="I256" s="240"/>
      <c r="J256" s="240"/>
      <c r="K256" s="240"/>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40"/>
      <c r="AZ256" s="240"/>
      <c r="BA256" s="240"/>
      <c r="BB256" s="240"/>
    </row>
    <row r="257" spans="1:55" ht="12.6" customHeight="1" x14ac:dyDescent="0.25"/>
    <row r="258" spans="1:55" ht="12.6" customHeight="1" x14ac:dyDescent="0.25">
      <c r="A258" s="227" t="s">
        <v>1450</v>
      </c>
    </row>
    <row r="259" spans="1:55" ht="12.6" customHeight="1" x14ac:dyDescent="0.25">
      <c r="A259" s="29" t="s">
        <v>1316</v>
      </c>
    </row>
    <row r="260" spans="1:55" ht="12.6" customHeight="1" x14ac:dyDescent="0.25">
      <c r="A260" s="241"/>
      <c r="B260" s="242"/>
      <c r="C260" s="242"/>
      <c r="D260" s="242"/>
      <c r="E260" s="242"/>
      <c r="F260" s="242"/>
      <c r="G260" s="242"/>
      <c r="H260" s="242"/>
      <c r="I260" s="242"/>
      <c r="J260" s="242"/>
      <c r="K260" s="242"/>
      <c r="L260" s="707" t="s">
        <v>1288</v>
      </c>
      <c r="M260" s="707"/>
      <c r="N260" s="707"/>
      <c r="O260" s="707"/>
      <c r="P260" s="707"/>
      <c r="Q260" s="707"/>
      <c r="R260" s="707"/>
      <c r="S260" s="707"/>
      <c r="T260" s="707"/>
      <c r="U260" s="707"/>
      <c r="V260" s="707"/>
      <c r="W260" s="707"/>
      <c r="X260" s="707"/>
      <c r="Y260" s="707"/>
      <c r="Z260" s="707"/>
      <c r="AA260" s="707"/>
      <c r="AB260" s="707"/>
      <c r="AC260" s="707"/>
      <c r="AD260" s="707"/>
      <c r="AE260" s="707"/>
      <c r="AF260" s="707"/>
      <c r="AG260" s="707"/>
      <c r="AH260" s="707"/>
      <c r="AI260" s="707"/>
      <c r="AJ260" s="707"/>
      <c r="AK260" s="707"/>
      <c r="AL260" s="707"/>
      <c r="AM260" s="707"/>
      <c r="AN260" s="707"/>
      <c r="AO260" s="707"/>
      <c r="AP260" s="707"/>
      <c r="AQ260" s="707"/>
      <c r="AR260" s="707"/>
      <c r="AS260" s="707"/>
      <c r="AT260" s="707"/>
      <c r="AU260" s="707"/>
      <c r="AV260" s="707"/>
      <c r="AW260" s="707"/>
      <c r="AX260" s="707"/>
      <c r="AY260" s="211"/>
      <c r="AZ260" s="211"/>
      <c r="BA260" s="211"/>
      <c r="BB260" s="211"/>
      <c r="BC260" s="208"/>
    </row>
    <row r="261" spans="1:55" ht="12.6" customHeight="1" x14ac:dyDescent="0.25">
      <c r="A261" s="243"/>
      <c r="B261" s="244"/>
      <c r="C261" s="244"/>
      <c r="D261" s="244"/>
      <c r="E261" s="244"/>
      <c r="F261" s="244"/>
      <c r="G261" s="244"/>
      <c r="H261" s="244"/>
      <c r="I261" s="244"/>
      <c r="J261" s="244"/>
      <c r="K261" s="244"/>
      <c r="L261" s="745" t="s">
        <v>1451</v>
      </c>
      <c r="M261" s="745"/>
      <c r="N261" s="745"/>
      <c r="O261" s="745"/>
      <c r="P261" s="746" t="s">
        <v>1378</v>
      </c>
      <c r="Q261" s="746"/>
      <c r="R261" s="746"/>
      <c r="S261" s="746"/>
      <c r="T261" s="745" t="s">
        <v>1452</v>
      </c>
      <c r="U261" s="745"/>
      <c r="V261" s="745"/>
      <c r="W261" s="745"/>
      <c r="X261" s="746" t="s">
        <v>173</v>
      </c>
      <c r="Y261" s="746"/>
      <c r="Z261" s="746"/>
      <c r="AA261" s="746"/>
      <c r="AB261" s="746"/>
      <c r="AC261" s="745" t="s">
        <v>1453</v>
      </c>
      <c r="AD261" s="745"/>
      <c r="AE261" s="745"/>
      <c r="AF261" s="745"/>
      <c r="AG261" s="745"/>
      <c r="AH261" s="747" t="s">
        <v>1454</v>
      </c>
      <c r="AI261" s="747"/>
      <c r="AJ261" s="747"/>
      <c r="AK261" s="747"/>
      <c r="AL261" s="747"/>
      <c r="AM261" s="745" t="s">
        <v>1455</v>
      </c>
      <c r="AN261" s="745"/>
      <c r="AO261" s="745"/>
      <c r="AP261" s="745"/>
      <c r="AQ261" s="745"/>
      <c r="AR261" s="745"/>
      <c r="AS261" s="745"/>
      <c r="AT261" s="748" t="s">
        <v>1328</v>
      </c>
      <c r="AU261" s="748"/>
      <c r="AV261" s="748"/>
      <c r="AW261" s="748"/>
      <c r="AX261" s="245"/>
    </row>
    <row r="262" spans="1:55" ht="12.6" customHeight="1" x14ac:dyDescent="0.25">
      <c r="A262" s="747" t="s">
        <v>1456</v>
      </c>
      <c r="B262" s="747"/>
      <c r="C262" s="747"/>
      <c r="D262" s="747"/>
      <c r="E262" s="747"/>
      <c r="F262" s="747"/>
      <c r="G262" s="747"/>
      <c r="H262" s="747"/>
      <c r="I262" s="747"/>
      <c r="J262" s="747"/>
      <c r="K262" s="747"/>
      <c r="L262" s="745" t="s">
        <v>1457</v>
      </c>
      <c r="M262" s="745"/>
      <c r="N262" s="745"/>
      <c r="O262" s="745"/>
      <c r="P262" s="746"/>
      <c r="Q262" s="746"/>
      <c r="R262" s="746"/>
      <c r="S262" s="746"/>
      <c r="T262" s="745" t="s">
        <v>1458</v>
      </c>
      <c r="U262" s="745"/>
      <c r="V262" s="745"/>
      <c r="W262" s="745"/>
      <c r="X262" s="746"/>
      <c r="Y262" s="746"/>
      <c r="Z262" s="746"/>
      <c r="AA262" s="746"/>
      <c r="AB262" s="746"/>
      <c r="AC262" s="745" t="s">
        <v>1459</v>
      </c>
      <c r="AD262" s="745"/>
      <c r="AE262" s="745"/>
      <c r="AF262" s="745"/>
      <c r="AG262" s="745"/>
      <c r="AH262" s="747" t="s">
        <v>1460</v>
      </c>
      <c r="AI262" s="747"/>
      <c r="AJ262" s="747"/>
      <c r="AK262" s="747"/>
      <c r="AL262" s="747"/>
      <c r="AM262" s="745" t="s">
        <v>1461</v>
      </c>
      <c r="AN262" s="745"/>
      <c r="AO262" s="745"/>
      <c r="AP262" s="745"/>
      <c r="AQ262" s="745"/>
      <c r="AR262" s="745"/>
      <c r="AS262" s="745"/>
      <c r="AT262" s="748"/>
      <c r="AU262" s="748"/>
      <c r="AV262" s="748"/>
      <c r="AW262" s="748"/>
      <c r="AX262" s="245"/>
    </row>
    <row r="263" spans="1:55" ht="12.6" customHeight="1" x14ac:dyDescent="0.25">
      <c r="A263" s="747" t="s">
        <v>1462</v>
      </c>
      <c r="B263" s="747"/>
      <c r="C263" s="747"/>
      <c r="D263" s="747"/>
      <c r="E263" s="747"/>
      <c r="F263" s="747"/>
      <c r="G263" s="747"/>
      <c r="H263" s="747"/>
      <c r="I263" s="747"/>
      <c r="J263" s="747"/>
      <c r="K263" s="747"/>
      <c r="L263" s="745" t="s">
        <v>1463</v>
      </c>
      <c r="M263" s="745"/>
      <c r="N263" s="745"/>
      <c r="O263" s="745"/>
      <c r="P263" s="746"/>
      <c r="Q263" s="746"/>
      <c r="R263" s="746"/>
      <c r="S263" s="746"/>
      <c r="T263" s="745" t="s">
        <v>1464</v>
      </c>
      <c r="U263" s="745"/>
      <c r="V263" s="745"/>
      <c r="W263" s="745"/>
      <c r="X263" s="746"/>
      <c r="Y263" s="746"/>
      <c r="Z263" s="746"/>
      <c r="AA263" s="746"/>
      <c r="AB263" s="746"/>
      <c r="AC263" s="745" t="s">
        <v>1465</v>
      </c>
      <c r="AD263" s="745"/>
      <c r="AE263" s="745"/>
      <c r="AF263" s="745"/>
      <c r="AG263" s="745"/>
      <c r="AH263" s="747" t="s">
        <v>1465</v>
      </c>
      <c r="AI263" s="747"/>
      <c r="AJ263" s="747"/>
      <c r="AK263" s="747"/>
      <c r="AL263" s="747"/>
      <c r="AM263" s="745" t="s">
        <v>1466</v>
      </c>
      <c r="AN263" s="745"/>
      <c r="AO263" s="745"/>
      <c r="AP263" s="745"/>
      <c r="AQ263" s="745"/>
      <c r="AR263" s="745"/>
      <c r="AS263" s="745"/>
      <c r="AT263" s="748"/>
      <c r="AU263" s="748"/>
      <c r="AV263" s="748"/>
      <c r="AW263" s="748"/>
      <c r="AX263" s="245"/>
    </row>
    <row r="264" spans="1:55" ht="12.6" customHeight="1" x14ac:dyDescent="0.25">
      <c r="A264" s="243"/>
      <c r="B264" s="244"/>
      <c r="C264" s="244"/>
      <c r="D264" s="244"/>
      <c r="E264" s="244"/>
      <c r="F264" s="244"/>
      <c r="G264" s="244"/>
      <c r="H264" s="244"/>
      <c r="I264" s="244"/>
      <c r="J264" s="244"/>
      <c r="K264" s="244"/>
      <c r="L264" s="745" t="s">
        <v>1467</v>
      </c>
      <c r="M264" s="745"/>
      <c r="N264" s="745"/>
      <c r="O264" s="745"/>
      <c r="P264" s="746"/>
      <c r="Q264" s="746"/>
      <c r="R264" s="746"/>
      <c r="S264" s="746"/>
      <c r="T264" s="745"/>
      <c r="U264" s="745"/>
      <c r="V264" s="745"/>
      <c r="W264" s="745"/>
      <c r="X264" s="746"/>
      <c r="Y264" s="746"/>
      <c r="Z264" s="746"/>
      <c r="AA264" s="746"/>
      <c r="AB264" s="746"/>
      <c r="AC264" s="745"/>
      <c r="AD264" s="745"/>
      <c r="AE264" s="745"/>
      <c r="AF264" s="745"/>
      <c r="AG264" s="745"/>
      <c r="AH264" s="747"/>
      <c r="AI264" s="747"/>
      <c r="AJ264" s="747"/>
      <c r="AK264" s="747"/>
      <c r="AL264" s="747"/>
      <c r="AM264" s="210"/>
      <c r="AN264" s="211"/>
      <c r="AO264" s="211"/>
      <c r="AP264" s="211"/>
      <c r="AQ264" s="211"/>
      <c r="AR264" s="211"/>
      <c r="AS264" s="211"/>
      <c r="AT264" s="748"/>
      <c r="AU264" s="748"/>
      <c r="AV264" s="748"/>
      <c r="AW264" s="748"/>
      <c r="AX264" s="245"/>
    </row>
    <row r="265" spans="1:55" ht="12.6" customHeight="1" x14ac:dyDescent="0.25">
      <c r="A265" s="749" t="s">
        <v>1323</v>
      </c>
      <c r="B265" s="749"/>
      <c r="C265" s="749"/>
      <c r="D265" s="749"/>
      <c r="E265" s="749"/>
      <c r="F265" s="749"/>
      <c r="G265" s="749"/>
      <c r="H265" s="749"/>
      <c r="I265" s="749"/>
      <c r="J265" s="749"/>
      <c r="K265" s="749"/>
      <c r="L265" s="750" t="s">
        <v>1324</v>
      </c>
      <c r="M265" s="750"/>
      <c r="N265" s="750"/>
      <c r="O265" s="750"/>
      <c r="P265" s="750" t="s">
        <v>1325</v>
      </c>
      <c r="Q265" s="750"/>
      <c r="R265" s="750"/>
      <c r="S265" s="750"/>
      <c r="T265" s="750" t="s">
        <v>1326</v>
      </c>
      <c r="U265" s="750"/>
      <c r="V265" s="750"/>
      <c r="W265" s="750"/>
      <c r="X265" s="750" t="s">
        <v>1327</v>
      </c>
      <c r="Y265" s="750"/>
      <c r="Z265" s="750"/>
      <c r="AA265" s="750"/>
      <c r="AB265" s="750"/>
      <c r="AC265" s="750" t="s">
        <v>1333</v>
      </c>
      <c r="AD265" s="750"/>
      <c r="AE265" s="750"/>
      <c r="AF265" s="750"/>
      <c r="AG265" s="750"/>
      <c r="AH265" s="749" t="s">
        <v>1468</v>
      </c>
      <c r="AI265" s="749"/>
      <c r="AJ265" s="749"/>
      <c r="AK265" s="749"/>
      <c r="AL265" s="749"/>
      <c r="AM265" s="750" t="s">
        <v>1469</v>
      </c>
      <c r="AN265" s="750"/>
      <c r="AO265" s="750"/>
      <c r="AP265" s="750"/>
      <c r="AQ265" s="750"/>
      <c r="AR265" s="750"/>
      <c r="AS265" s="750"/>
      <c r="AT265" s="749" t="s">
        <v>1470</v>
      </c>
      <c r="AU265" s="749"/>
      <c r="AV265" s="749"/>
      <c r="AW265" s="749"/>
      <c r="AX265" s="245"/>
    </row>
    <row r="266" spans="1:55" ht="12.6" customHeight="1" x14ac:dyDescent="0.25">
      <c r="A266" s="246" t="s">
        <v>1471</v>
      </c>
      <c r="B266" s="246"/>
      <c r="C266" s="246"/>
      <c r="D266" s="246"/>
      <c r="E266" s="246"/>
      <c r="F266" s="246"/>
      <c r="G266" s="246"/>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246"/>
      <c r="AE266" s="246"/>
      <c r="AF266" s="246"/>
      <c r="AG266" s="246"/>
      <c r="AH266" s="246"/>
      <c r="AI266" s="246"/>
      <c r="AJ266" s="246"/>
      <c r="AK266" s="246"/>
      <c r="AL266" s="246"/>
      <c r="AM266" s="247"/>
      <c r="AN266" s="247"/>
      <c r="AO266" s="247"/>
      <c r="AP266" s="247"/>
      <c r="AQ266" s="247"/>
      <c r="AR266" s="247"/>
      <c r="AS266" s="247"/>
      <c r="AT266" s="246"/>
      <c r="AU266" s="246"/>
      <c r="AV266" s="246"/>
      <c r="AW266" s="246"/>
      <c r="AX266" s="248"/>
    </row>
    <row r="267" spans="1:55" ht="12.6" customHeight="1" x14ac:dyDescent="0.25">
      <c r="A267" s="241" t="s">
        <v>1472</v>
      </c>
      <c r="B267" s="249"/>
      <c r="C267" s="249"/>
      <c r="D267" s="249"/>
      <c r="E267" s="249"/>
      <c r="F267" s="249"/>
      <c r="G267" s="249"/>
      <c r="H267" s="249"/>
      <c r="I267" s="249"/>
      <c r="J267" s="249"/>
      <c r="K267" s="250"/>
      <c r="L267" s="751">
        <f>SUM('HL KNIHA VYPOC'!$D$8)</f>
        <v>0</v>
      </c>
      <c r="M267" s="751"/>
      <c r="N267" s="751"/>
      <c r="O267" s="751"/>
      <c r="P267" s="752">
        <f>SUM('HL KNIHA VYPOC'!$D$9)</f>
        <v>99.58</v>
      </c>
      <c r="Q267" s="752"/>
      <c r="R267" s="752"/>
      <c r="S267" s="752"/>
      <c r="T267" s="752">
        <f>SUM('HL KNIHA VYPOC'!$D$10)</f>
        <v>0</v>
      </c>
      <c r="U267" s="752"/>
      <c r="V267" s="752"/>
      <c r="W267" s="752"/>
      <c r="X267" s="751">
        <f>SUM('HL KNIHA VYPOC'!$D$11)</f>
        <v>0</v>
      </c>
      <c r="Y267" s="751"/>
      <c r="Z267" s="751"/>
      <c r="AA267" s="751"/>
      <c r="AB267" s="751"/>
      <c r="AC267" s="751">
        <f>SUM('HL KNIHA VYPOC'!$D$13)</f>
        <v>3525.13</v>
      </c>
      <c r="AD267" s="751"/>
      <c r="AE267" s="751"/>
      <c r="AF267" s="751"/>
      <c r="AG267" s="751"/>
      <c r="AH267" s="751">
        <f>SUM('HL KNIHA VYPOC'!$D$31)</f>
        <v>0</v>
      </c>
      <c r="AI267" s="751"/>
      <c r="AJ267" s="751"/>
      <c r="AK267" s="751"/>
      <c r="AL267" s="751"/>
      <c r="AM267" s="753">
        <f>SUM('HL KNIHA VYPOC'!$D$37)</f>
        <v>0</v>
      </c>
      <c r="AN267" s="753"/>
      <c r="AO267" s="753"/>
      <c r="AP267" s="753"/>
      <c r="AQ267" s="753"/>
      <c r="AR267" s="753"/>
      <c r="AS267" s="753"/>
      <c r="AT267" s="754">
        <f>SUM(L267:AS268)</f>
        <v>3624.71</v>
      </c>
      <c r="AU267" s="754"/>
      <c r="AV267" s="754"/>
      <c r="AW267" s="754"/>
      <c r="AX267" s="754"/>
    </row>
    <row r="268" spans="1:55" ht="12.6" customHeight="1" x14ac:dyDescent="0.25">
      <c r="A268" s="251" t="s">
        <v>1473</v>
      </c>
      <c r="B268" s="247"/>
      <c r="C268" s="247"/>
      <c r="D268" s="247"/>
      <c r="E268" s="247"/>
      <c r="F268" s="247"/>
      <c r="G268" s="247"/>
      <c r="H268" s="247"/>
      <c r="I268" s="247"/>
      <c r="J268" s="247"/>
      <c r="K268" s="252"/>
      <c r="L268" s="751"/>
      <c r="M268" s="751"/>
      <c r="N268" s="751"/>
      <c r="O268" s="751"/>
      <c r="P268" s="752"/>
      <c r="Q268" s="752"/>
      <c r="R268" s="752"/>
      <c r="S268" s="752"/>
      <c r="T268" s="752"/>
      <c r="U268" s="752"/>
      <c r="V268" s="752"/>
      <c r="W268" s="752"/>
      <c r="X268" s="751"/>
      <c r="Y268" s="751"/>
      <c r="Z268" s="751"/>
      <c r="AA268" s="751"/>
      <c r="AB268" s="751"/>
      <c r="AC268" s="751"/>
      <c r="AD268" s="751"/>
      <c r="AE268" s="751"/>
      <c r="AF268" s="751"/>
      <c r="AG268" s="751"/>
      <c r="AH268" s="751"/>
      <c r="AI268" s="751"/>
      <c r="AJ268" s="751"/>
      <c r="AK268" s="751"/>
      <c r="AL268" s="751"/>
      <c r="AM268" s="753"/>
      <c r="AN268" s="753"/>
      <c r="AO268" s="753"/>
      <c r="AP268" s="753"/>
      <c r="AQ268" s="753"/>
      <c r="AR268" s="753"/>
      <c r="AS268" s="753"/>
      <c r="AT268" s="754"/>
      <c r="AU268" s="754"/>
      <c r="AV268" s="754"/>
      <c r="AW268" s="754"/>
      <c r="AX268" s="754"/>
    </row>
    <row r="269" spans="1:55" ht="12.6" customHeight="1" x14ac:dyDescent="0.25">
      <c r="A269" s="253" t="s">
        <v>1474</v>
      </c>
      <c r="B269" s="246"/>
      <c r="C269" s="246"/>
      <c r="D269" s="246"/>
      <c r="E269" s="246"/>
      <c r="F269" s="246"/>
      <c r="G269" s="246"/>
      <c r="H269" s="246"/>
      <c r="I269" s="246"/>
      <c r="J269" s="246"/>
      <c r="K269" s="248"/>
      <c r="L269" s="755">
        <f>SUM('HL KNIHA VYPOC'!$E$8)</f>
        <v>0</v>
      </c>
      <c r="M269" s="755"/>
      <c r="N269" s="755"/>
      <c r="O269" s="755"/>
      <c r="P269" s="755">
        <f>SUM('HL KNIHA VYPOC'!$E$9)</f>
        <v>0</v>
      </c>
      <c r="Q269" s="755"/>
      <c r="R269" s="755"/>
      <c r="S269" s="755"/>
      <c r="T269" s="756">
        <f>SUM('HL KNIHA VYPOC'!$E$10)</f>
        <v>0</v>
      </c>
      <c r="U269" s="756"/>
      <c r="V269" s="756"/>
      <c r="W269" s="756"/>
      <c r="X269" s="751">
        <f>SUM('HL KNIHA VYPOC'!$E$11)</f>
        <v>0</v>
      </c>
      <c r="Y269" s="751"/>
      <c r="Z269" s="751"/>
      <c r="AA269" s="751"/>
      <c r="AB269" s="751"/>
      <c r="AC269" s="751">
        <f>SUM('HL KNIHA VYPOC'!$E$13)</f>
        <v>0</v>
      </c>
      <c r="AD269" s="751"/>
      <c r="AE269" s="751"/>
      <c r="AF269" s="751"/>
      <c r="AG269" s="751"/>
      <c r="AH269" s="751">
        <f>SUM('HL KNIHA VYPOC'!$E$31)</f>
        <v>0</v>
      </c>
      <c r="AI269" s="751"/>
      <c r="AJ269" s="751"/>
      <c r="AK269" s="751"/>
      <c r="AL269" s="751"/>
      <c r="AM269" s="753">
        <f>SUM('HL KNIHA VYPOC'!$E$37)</f>
        <v>0</v>
      </c>
      <c r="AN269" s="753"/>
      <c r="AO269" s="753"/>
      <c r="AP269" s="753"/>
      <c r="AQ269" s="753"/>
      <c r="AR269" s="753"/>
      <c r="AS269" s="753"/>
      <c r="AT269" s="754">
        <f>SUM(L269:AS269)</f>
        <v>0</v>
      </c>
      <c r="AU269" s="754"/>
      <c r="AV269" s="754"/>
      <c r="AW269" s="754"/>
      <c r="AX269" s="754"/>
    </row>
    <row r="270" spans="1:55" ht="12.6" customHeight="1" x14ac:dyDescent="0.25">
      <c r="A270" s="253" t="s">
        <v>1475</v>
      </c>
      <c r="B270" s="246"/>
      <c r="C270" s="246"/>
      <c r="D270" s="246"/>
      <c r="E270" s="246"/>
      <c r="F270" s="246"/>
      <c r="G270" s="246"/>
      <c r="H270" s="246"/>
      <c r="I270" s="246"/>
      <c r="J270" s="246"/>
      <c r="K270" s="248"/>
      <c r="L270" s="751">
        <f>SUM('HL KNIHA VYPOC'!$F$8)</f>
        <v>0</v>
      </c>
      <c r="M270" s="751"/>
      <c r="N270" s="751"/>
      <c r="O270" s="751"/>
      <c r="P270" s="755">
        <f>SUM('HL KNIHA VYPOC'!$F$9)</f>
        <v>0</v>
      </c>
      <c r="Q270" s="755"/>
      <c r="R270" s="755"/>
      <c r="S270" s="755"/>
      <c r="T270" s="755">
        <f>SUM('HL KNIHA VYPOC'!$F$10)</f>
        <v>0</v>
      </c>
      <c r="U270" s="755"/>
      <c r="V270" s="755"/>
      <c r="W270" s="755"/>
      <c r="X270" s="751">
        <f>SUM('HL KNIHA VYPOC'!$F$11)</f>
        <v>0</v>
      </c>
      <c r="Y270" s="751"/>
      <c r="Z270" s="751"/>
      <c r="AA270" s="751"/>
      <c r="AB270" s="751"/>
      <c r="AC270" s="751">
        <f>SUM('HL KNIHA VYPOC'!$F$13)</f>
        <v>0</v>
      </c>
      <c r="AD270" s="751"/>
      <c r="AE270" s="751"/>
      <c r="AF270" s="751"/>
      <c r="AG270" s="751"/>
      <c r="AH270" s="751">
        <f>SUM('HL KNIHA VYPOC'!$F$31)</f>
        <v>0</v>
      </c>
      <c r="AI270" s="751"/>
      <c r="AJ270" s="751"/>
      <c r="AK270" s="751"/>
      <c r="AL270" s="751"/>
      <c r="AM270" s="753">
        <f>SUM('HL KNIHA VYPOC'!$F$37)</f>
        <v>0</v>
      </c>
      <c r="AN270" s="753"/>
      <c r="AO270" s="753"/>
      <c r="AP270" s="753"/>
      <c r="AQ270" s="753"/>
      <c r="AR270" s="753"/>
      <c r="AS270" s="753"/>
      <c r="AT270" s="754">
        <f>SUM(L270:AS270)</f>
        <v>0</v>
      </c>
      <c r="AU270" s="754"/>
      <c r="AV270" s="754"/>
      <c r="AW270" s="754"/>
      <c r="AX270" s="754"/>
    </row>
    <row r="271" spans="1:55" ht="12.6" customHeight="1" x14ac:dyDescent="0.25">
      <c r="A271" s="253" t="s">
        <v>1476</v>
      </c>
      <c r="B271" s="246"/>
      <c r="C271" s="246"/>
      <c r="D271" s="246"/>
      <c r="E271" s="246"/>
      <c r="F271" s="246"/>
      <c r="G271" s="246"/>
      <c r="H271" s="246"/>
      <c r="I271" s="246"/>
      <c r="J271" s="246"/>
      <c r="K271" s="248"/>
      <c r="L271" s="757"/>
      <c r="M271" s="757"/>
      <c r="N271" s="757"/>
      <c r="O271" s="757"/>
      <c r="P271" s="758"/>
      <c r="Q271" s="758"/>
      <c r="R271" s="758"/>
      <c r="S271" s="758"/>
      <c r="T271" s="758"/>
      <c r="U271" s="758"/>
      <c r="V271" s="758"/>
      <c r="W271" s="758"/>
      <c r="X271" s="757"/>
      <c r="Y271" s="757"/>
      <c r="Z271" s="757"/>
      <c r="AA271" s="757"/>
      <c r="AB271" s="757"/>
      <c r="AC271" s="757"/>
      <c r="AD271" s="757"/>
      <c r="AE271" s="757"/>
      <c r="AF271" s="757"/>
      <c r="AG271" s="757"/>
      <c r="AH271" s="757"/>
      <c r="AI271" s="757"/>
      <c r="AJ271" s="757"/>
      <c r="AK271" s="757"/>
      <c r="AL271" s="757"/>
      <c r="AM271" s="759"/>
      <c r="AN271" s="759"/>
      <c r="AO271" s="759"/>
      <c r="AP271" s="759"/>
      <c r="AQ271" s="759"/>
      <c r="AR271" s="759"/>
      <c r="AS271" s="759"/>
      <c r="AT271" s="754">
        <f>SUM(L271:AS271)</f>
        <v>0</v>
      </c>
      <c r="AU271" s="754"/>
      <c r="AV271" s="754"/>
      <c r="AW271" s="754"/>
      <c r="AX271" s="754"/>
    </row>
    <row r="272" spans="1:55" ht="12.6" customHeight="1" x14ac:dyDescent="0.25">
      <c r="A272" s="243" t="s">
        <v>1477</v>
      </c>
      <c r="B272" s="208"/>
      <c r="C272" s="208"/>
      <c r="D272" s="208"/>
      <c r="E272" s="208"/>
      <c r="F272" s="208"/>
      <c r="G272" s="208"/>
      <c r="H272" s="208"/>
      <c r="I272" s="208"/>
      <c r="J272" s="208"/>
      <c r="K272" s="245"/>
      <c r="L272" s="760">
        <f>SUM(L267+L269-L270+L271)</f>
        <v>0</v>
      </c>
      <c r="M272" s="760"/>
      <c r="N272" s="760"/>
      <c r="O272" s="760"/>
      <c r="P272" s="761">
        <f>SUM(P267+P269-P270+P271)</f>
        <v>99.58</v>
      </c>
      <c r="Q272" s="761"/>
      <c r="R272" s="761"/>
      <c r="S272" s="761"/>
      <c r="T272" s="761">
        <f>SUM(T267+T269-T270+T271)</f>
        <v>0</v>
      </c>
      <c r="U272" s="761"/>
      <c r="V272" s="761"/>
      <c r="W272" s="761"/>
      <c r="X272" s="760">
        <f>SUM(X267+X269-X270+X271)</f>
        <v>0</v>
      </c>
      <c r="Y272" s="760"/>
      <c r="Z272" s="760"/>
      <c r="AA272" s="760"/>
      <c r="AB272" s="760"/>
      <c r="AC272" s="760">
        <f>SUM(AC267+AC269-AC270+AC271)</f>
        <v>3525.13</v>
      </c>
      <c r="AD272" s="760"/>
      <c r="AE272" s="760"/>
      <c r="AF272" s="760"/>
      <c r="AG272" s="760"/>
      <c r="AH272" s="760">
        <f>SUM(AH267+AH269-AH270+AH271)</f>
        <v>0</v>
      </c>
      <c r="AI272" s="760"/>
      <c r="AJ272" s="760"/>
      <c r="AK272" s="760"/>
      <c r="AL272" s="760"/>
      <c r="AM272" s="753">
        <f>SUM(AM267+AM269-AM270+AM271)</f>
        <v>0</v>
      </c>
      <c r="AN272" s="753"/>
      <c r="AO272" s="753"/>
      <c r="AP272" s="753"/>
      <c r="AQ272" s="753"/>
      <c r="AR272" s="753"/>
      <c r="AS272" s="753"/>
      <c r="AT272" s="754">
        <f>SUM(L272:AS273)</f>
        <v>3624.71</v>
      </c>
      <c r="AU272" s="754"/>
      <c r="AV272" s="754"/>
      <c r="AW272" s="754"/>
      <c r="AX272" s="754"/>
    </row>
    <row r="273" spans="1:50" ht="12.6" customHeight="1" x14ac:dyDescent="0.25">
      <c r="A273" s="251" t="s">
        <v>1473</v>
      </c>
      <c r="B273" s="247"/>
      <c r="C273" s="247"/>
      <c r="D273" s="247"/>
      <c r="E273" s="247"/>
      <c r="F273" s="247"/>
      <c r="G273" s="247"/>
      <c r="H273" s="247"/>
      <c r="I273" s="247"/>
      <c r="J273" s="247"/>
      <c r="K273" s="252"/>
      <c r="L273" s="760"/>
      <c r="M273" s="760"/>
      <c r="N273" s="760"/>
      <c r="O273" s="760"/>
      <c r="P273" s="761"/>
      <c r="Q273" s="761"/>
      <c r="R273" s="761"/>
      <c r="S273" s="761"/>
      <c r="T273" s="761"/>
      <c r="U273" s="761"/>
      <c r="V273" s="761"/>
      <c r="W273" s="761"/>
      <c r="X273" s="760"/>
      <c r="Y273" s="760"/>
      <c r="Z273" s="760"/>
      <c r="AA273" s="760"/>
      <c r="AB273" s="760"/>
      <c r="AC273" s="760"/>
      <c r="AD273" s="760"/>
      <c r="AE273" s="760"/>
      <c r="AF273" s="760"/>
      <c r="AG273" s="760"/>
      <c r="AH273" s="760"/>
      <c r="AI273" s="760"/>
      <c r="AJ273" s="760"/>
      <c r="AK273" s="760"/>
      <c r="AL273" s="760"/>
      <c r="AM273" s="753"/>
      <c r="AN273" s="753"/>
      <c r="AO273" s="753"/>
      <c r="AP273" s="753"/>
      <c r="AQ273" s="753"/>
      <c r="AR273" s="753"/>
      <c r="AS273" s="753"/>
      <c r="AT273" s="754"/>
      <c r="AU273" s="754"/>
      <c r="AV273" s="754"/>
      <c r="AW273" s="754"/>
      <c r="AX273" s="754"/>
    </row>
    <row r="274" spans="1:50" ht="12.6" customHeight="1" x14ac:dyDescent="0.25">
      <c r="A274" s="246" t="s">
        <v>1478</v>
      </c>
      <c r="B274" s="246"/>
      <c r="C274" s="246"/>
      <c r="D274" s="246"/>
      <c r="E274" s="246"/>
      <c r="F274" s="246"/>
      <c r="G274" s="246"/>
      <c r="H274" s="246"/>
      <c r="I274" s="246"/>
      <c r="J274" s="246"/>
      <c r="K274" s="246"/>
      <c r="L274" s="254"/>
      <c r="M274" s="254"/>
      <c r="N274" s="254"/>
      <c r="O274" s="254"/>
      <c r="P274" s="254"/>
      <c r="Q274" s="254"/>
      <c r="R274" s="254"/>
      <c r="S274" s="254"/>
      <c r="T274" s="254"/>
      <c r="U274" s="254"/>
      <c r="V274" s="254"/>
      <c r="W274" s="254"/>
      <c r="X274" s="254"/>
      <c r="Y274" s="254"/>
      <c r="Z274" s="254"/>
      <c r="AA274" s="254"/>
      <c r="AB274" s="254"/>
      <c r="AC274" s="254"/>
      <c r="AD274" s="254"/>
      <c r="AE274" s="254"/>
      <c r="AF274" s="254"/>
      <c r="AG274" s="254"/>
      <c r="AH274" s="254"/>
      <c r="AI274" s="254"/>
      <c r="AJ274" s="254"/>
      <c r="AK274" s="254"/>
      <c r="AL274" s="254"/>
      <c r="AM274" s="254"/>
      <c r="AN274" s="254"/>
      <c r="AO274" s="254"/>
      <c r="AP274" s="254"/>
      <c r="AQ274" s="254"/>
      <c r="AR274" s="254"/>
      <c r="AS274" s="254"/>
      <c r="AT274" s="255"/>
      <c r="AU274" s="255"/>
      <c r="AV274" s="255"/>
      <c r="AW274" s="255"/>
      <c r="AX274" s="256"/>
    </row>
    <row r="275" spans="1:50" ht="12.6" customHeight="1" x14ac:dyDescent="0.25">
      <c r="A275" s="241" t="s">
        <v>1472</v>
      </c>
      <c r="B275" s="257"/>
      <c r="C275" s="249"/>
      <c r="D275" s="249"/>
      <c r="E275" s="249"/>
      <c r="F275" s="249"/>
      <c r="G275" s="249"/>
      <c r="H275" s="249"/>
      <c r="I275" s="249"/>
      <c r="J275" s="249"/>
      <c r="K275" s="250"/>
      <c r="L275" s="752">
        <f>SUM('HL KNIHA VYPOC'!$D$53)*-1</f>
        <v>0</v>
      </c>
      <c r="M275" s="752"/>
      <c r="N275" s="752"/>
      <c r="O275" s="752"/>
      <c r="P275" s="752">
        <f>SUM('HL KNIHA VYPOC'!$D$54)*-1</f>
        <v>99.58</v>
      </c>
      <c r="Q275" s="752"/>
      <c r="R275" s="752"/>
      <c r="S275" s="752"/>
      <c r="T275" s="752">
        <f>SUM('HL KNIHA VYPOC'!$D$55)*-1</f>
        <v>0</v>
      </c>
      <c r="U275" s="752"/>
      <c r="V275" s="752"/>
      <c r="W275" s="752"/>
      <c r="X275" s="751">
        <f>SUM('HL KNIHA VYPOC'!$D$56)*-1</f>
        <v>0</v>
      </c>
      <c r="Y275" s="751"/>
      <c r="Z275" s="751"/>
      <c r="AA275" s="751"/>
      <c r="AB275" s="751"/>
      <c r="AC275" s="751">
        <f>SUM('HL KNIHA VYPOC'!$D$58)*-1</f>
        <v>3525.13</v>
      </c>
      <c r="AD275" s="751"/>
      <c r="AE275" s="751"/>
      <c r="AF275" s="751"/>
      <c r="AG275" s="751"/>
      <c r="AH275" s="751"/>
      <c r="AI275" s="751"/>
      <c r="AJ275" s="751"/>
      <c r="AK275" s="751"/>
      <c r="AL275" s="751"/>
      <c r="AM275" s="753"/>
      <c r="AN275" s="753"/>
      <c r="AO275" s="753"/>
      <c r="AP275" s="753"/>
      <c r="AQ275" s="753"/>
      <c r="AR275" s="753"/>
      <c r="AS275" s="753"/>
      <c r="AT275" s="754">
        <f>SUM(L275:AS276)</f>
        <v>3624.71</v>
      </c>
      <c r="AU275" s="754"/>
      <c r="AV275" s="754"/>
      <c r="AW275" s="754"/>
      <c r="AX275" s="754"/>
    </row>
    <row r="276" spans="1:50" ht="12.6" customHeight="1" x14ac:dyDescent="0.25">
      <c r="A276" s="251" t="s">
        <v>1473</v>
      </c>
      <c r="B276" s="258"/>
      <c r="C276" s="247"/>
      <c r="D276" s="247"/>
      <c r="E276" s="247"/>
      <c r="F276" s="247"/>
      <c r="G276" s="247"/>
      <c r="H276" s="247"/>
      <c r="I276" s="247"/>
      <c r="J276" s="247"/>
      <c r="K276" s="252"/>
      <c r="L276" s="752"/>
      <c r="M276" s="752"/>
      <c r="N276" s="752"/>
      <c r="O276" s="752"/>
      <c r="P276" s="752"/>
      <c r="Q276" s="752"/>
      <c r="R276" s="752"/>
      <c r="S276" s="752"/>
      <c r="T276" s="752"/>
      <c r="U276" s="752"/>
      <c r="V276" s="752"/>
      <c r="W276" s="752"/>
      <c r="X276" s="751"/>
      <c r="Y276" s="751"/>
      <c r="Z276" s="751"/>
      <c r="AA276" s="751"/>
      <c r="AB276" s="751"/>
      <c r="AC276" s="751"/>
      <c r="AD276" s="751"/>
      <c r="AE276" s="751"/>
      <c r="AF276" s="751"/>
      <c r="AG276" s="751"/>
      <c r="AH276" s="751"/>
      <c r="AI276" s="751"/>
      <c r="AJ276" s="751"/>
      <c r="AK276" s="751"/>
      <c r="AL276" s="751"/>
      <c r="AM276" s="753"/>
      <c r="AN276" s="753"/>
      <c r="AO276" s="753"/>
      <c r="AP276" s="753"/>
      <c r="AQ276" s="753"/>
      <c r="AR276" s="753"/>
      <c r="AS276" s="753"/>
      <c r="AT276" s="754"/>
      <c r="AU276" s="754"/>
      <c r="AV276" s="754"/>
      <c r="AW276" s="754"/>
      <c r="AX276" s="754"/>
    </row>
    <row r="277" spans="1:50" ht="12.6" customHeight="1" x14ac:dyDescent="0.25">
      <c r="A277" s="253" t="s">
        <v>1474</v>
      </c>
      <c r="B277" s="253"/>
      <c r="C277" s="246"/>
      <c r="D277" s="246"/>
      <c r="E277" s="246"/>
      <c r="F277" s="246"/>
      <c r="G277" s="246"/>
      <c r="H277" s="246"/>
      <c r="I277" s="246"/>
      <c r="J277" s="246"/>
      <c r="K277" s="248"/>
      <c r="L277" s="756">
        <f>SUM('HL KNIHA VYPOC'!$F$53)</f>
        <v>0</v>
      </c>
      <c r="M277" s="756"/>
      <c r="N277" s="756"/>
      <c r="O277" s="756"/>
      <c r="P277" s="755">
        <f>SUM('HL KNIHA VYPOC'!$F$54)</f>
        <v>0</v>
      </c>
      <c r="Q277" s="755"/>
      <c r="R277" s="755"/>
      <c r="S277" s="755"/>
      <c r="T277" s="756">
        <f>SUM('HL KNIHA VYPOC'!$F$55)</f>
        <v>0</v>
      </c>
      <c r="U277" s="756"/>
      <c r="V277" s="756"/>
      <c r="W277" s="756"/>
      <c r="X277" s="751">
        <f>SUM('HL KNIHA VYPOC'!$F$56)</f>
        <v>0</v>
      </c>
      <c r="Y277" s="751"/>
      <c r="Z277" s="751"/>
      <c r="AA277" s="751"/>
      <c r="AB277" s="751"/>
      <c r="AC277" s="751">
        <f>SUM('HL KNIHA VYPOC'!$F$58)</f>
        <v>0</v>
      </c>
      <c r="AD277" s="751"/>
      <c r="AE277" s="751"/>
      <c r="AF277" s="751"/>
      <c r="AG277" s="751"/>
      <c r="AH277" s="751"/>
      <c r="AI277" s="751"/>
      <c r="AJ277" s="751"/>
      <c r="AK277" s="751"/>
      <c r="AL277" s="751"/>
      <c r="AM277" s="753"/>
      <c r="AN277" s="753"/>
      <c r="AO277" s="753"/>
      <c r="AP277" s="753"/>
      <c r="AQ277" s="753"/>
      <c r="AR277" s="753"/>
      <c r="AS277" s="753"/>
      <c r="AT277" s="754">
        <f>SUM(L277:AS277)</f>
        <v>0</v>
      </c>
      <c r="AU277" s="754"/>
      <c r="AV277" s="754"/>
      <c r="AW277" s="754"/>
      <c r="AX277" s="754"/>
    </row>
    <row r="278" spans="1:50" ht="12.6" customHeight="1" x14ac:dyDescent="0.25">
      <c r="A278" s="253" t="s">
        <v>1475</v>
      </c>
      <c r="B278" s="259"/>
      <c r="C278" s="246"/>
      <c r="D278" s="246"/>
      <c r="E278" s="246"/>
      <c r="F278" s="246"/>
      <c r="G278" s="246"/>
      <c r="H278" s="246"/>
      <c r="I278" s="246"/>
      <c r="J278" s="246"/>
      <c r="K278" s="246"/>
      <c r="L278" s="751">
        <f>SUM('HL KNIHA VYPOC'!$E$53)</f>
        <v>0</v>
      </c>
      <c r="M278" s="751"/>
      <c r="N278" s="751"/>
      <c r="O278" s="751"/>
      <c r="P278" s="755">
        <f>SUM('HL KNIHA VYPOC'!$E$54)</f>
        <v>0</v>
      </c>
      <c r="Q278" s="755"/>
      <c r="R278" s="755"/>
      <c r="S278" s="755"/>
      <c r="T278" s="756">
        <f>SUM('HL KNIHA VYPOC'!$E$55)</f>
        <v>0</v>
      </c>
      <c r="U278" s="756"/>
      <c r="V278" s="756"/>
      <c r="W278" s="756"/>
      <c r="X278" s="751">
        <f>SUM('HL KNIHA VYPOC'!$E$56)</f>
        <v>0</v>
      </c>
      <c r="Y278" s="751"/>
      <c r="Z278" s="751"/>
      <c r="AA278" s="751"/>
      <c r="AB278" s="751"/>
      <c r="AC278" s="751">
        <f>SUM('HL KNIHA VYPOC'!$E$58)</f>
        <v>0</v>
      </c>
      <c r="AD278" s="751"/>
      <c r="AE278" s="751"/>
      <c r="AF278" s="751"/>
      <c r="AG278" s="751"/>
      <c r="AH278" s="751"/>
      <c r="AI278" s="751"/>
      <c r="AJ278" s="751"/>
      <c r="AK278" s="751"/>
      <c r="AL278" s="751"/>
      <c r="AM278" s="753"/>
      <c r="AN278" s="753"/>
      <c r="AO278" s="753"/>
      <c r="AP278" s="753"/>
      <c r="AQ278" s="753"/>
      <c r="AR278" s="753"/>
      <c r="AS278" s="753"/>
      <c r="AT278" s="754">
        <f>SUM(L278:AS278)</f>
        <v>0</v>
      </c>
      <c r="AU278" s="754"/>
      <c r="AV278" s="754"/>
      <c r="AW278" s="754"/>
      <c r="AX278" s="754"/>
    </row>
    <row r="279" spans="1:50" ht="12.6" customHeight="1" x14ac:dyDescent="0.25">
      <c r="A279" s="253" t="s">
        <v>1476</v>
      </c>
      <c r="B279" s="259"/>
      <c r="C279" s="246"/>
      <c r="D279" s="246"/>
      <c r="E279" s="246"/>
      <c r="F279" s="246"/>
      <c r="G279" s="246"/>
      <c r="H279" s="246"/>
      <c r="I279" s="246"/>
      <c r="J279" s="246"/>
      <c r="K279" s="246"/>
      <c r="L279" s="757"/>
      <c r="M279" s="757"/>
      <c r="N279" s="757"/>
      <c r="O279" s="757"/>
      <c r="P279" s="758"/>
      <c r="Q279" s="758"/>
      <c r="R279" s="758"/>
      <c r="S279" s="758"/>
      <c r="T279" s="762"/>
      <c r="U279" s="762"/>
      <c r="V279" s="762"/>
      <c r="W279" s="762"/>
      <c r="X279" s="757"/>
      <c r="Y279" s="757"/>
      <c r="Z279" s="757"/>
      <c r="AA279" s="757"/>
      <c r="AB279" s="757"/>
      <c r="AC279" s="757"/>
      <c r="AD279" s="757"/>
      <c r="AE279" s="757"/>
      <c r="AF279" s="757"/>
      <c r="AG279" s="757"/>
      <c r="AH279" s="757"/>
      <c r="AI279" s="757"/>
      <c r="AJ279" s="757"/>
      <c r="AK279" s="757"/>
      <c r="AL279" s="757"/>
      <c r="AM279" s="759"/>
      <c r="AN279" s="759"/>
      <c r="AO279" s="759"/>
      <c r="AP279" s="759"/>
      <c r="AQ279" s="759"/>
      <c r="AR279" s="759"/>
      <c r="AS279" s="759"/>
      <c r="AT279" s="754">
        <f>SUM(L279:AS279)</f>
        <v>0</v>
      </c>
      <c r="AU279" s="754"/>
      <c r="AV279" s="754"/>
      <c r="AW279" s="754"/>
      <c r="AX279" s="754"/>
    </row>
    <row r="280" spans="1:50" ht="12.6" customHeight="1" x14ac:dyDescent="0.25">
      <c r="A280" s="243" t="s">
        <v>1477</v>
      </c>
      <c r="B280" s="260"/>
      <c r="C280" s="208"/>
      <c r="D280" s="208"/>
      <c r="E280" s="208"/>
      <c r="F280" s="208"/>
      <c r="G280" s="208"/>
      <c r="H280" s="208"/>
      <c r="I280" s="208"/>
      <c r="J280" s="208"/>
      <c r="K280" s="208"/>
      <c r="L280" s="760">
        <f>SUM(L275+L277-L278+L279)</f>
        <v>0</v>
      </c>
      <c r="M280" s="760"/>
      <c r="N280" s="760"/>
      <c r="O280" s="760"/>
      <c r="P280" s="761">
        <f>SUM(P275+P277-P278)</f>
        <v>99.58</v>
      </c>
      <c r="Q280" s="761"/>
      <c r="R280" s="761"/>
      <c r="S280" s="761"/>
      <c r="T280" s="761">
        <f>SUM(T275+T277-T278)</f>
        <v>0</v>
      </c>
      <c r="U280" s="761"/>
      <c r="V280" s="761"/>
      <c r="W280" s="761"/>
      <c r="X280" s="760">
        <f>SUM(X275+X277-X278)</f>
        <v>0</v>
      </c>
      <c r="Y280" s="760"/>
      <c r="Z280" s="760"/>
      <c r="AA280" s="760"/>
      <c r="AB280" s="760"/>
      <c r="AC280" s="760">
        <f>SUM(AC275+AC277-AC278)</f>
        <v>3525.13</v>
      </c>
      <c r="AD280" s="760"/>
      <c r="AE280" s="760"/>
      <c r="AF280" s="760"/>
      <c r="AG280" s="760"/>
      <c r="AH280" s="760"/>
      <c r="AI280" s="760"/>
      <c r="AJ280" s="760"/>
      <c r="AK280" s="760"/>
      <c r="AL280" s="760"/>
      <c r="AM280" s="753"/>
      <c r="AN280" s="753"/>
      <c r="AO280" s="753"/>
      <c r="AP280" s="753"/>
      <c r="AQ280" s="753"/>
      <c r="AR280" s="753"/>
      <c r="AS280" s="753"/>
      <c r="AT280" s="754">
        <f>SUM(L280:AS281)</f>
        <v>3624.71</v>
      </c>
      <c r="AU280" s="754"/>
      <c r="AV280" s="754"/>
      <c r="AW280" s="754"/>
      <c r="AX280" s="754"/>
    </row>
    <row r="281" spans="1:50" ht="12.6" customHeight="1" x14ac:dyDescent="0.25">
      <c r="A281" s="251" t="s">
        <v>1473</v>
      </c>
      <c r="B281" s="261"/>
      <c r="C281" s="247"/>
      <c r="D281" s="247"/>
      <c r="E281" s="247"/>
      <c r="F281" s="247"/>
      <c r="G281" s="247"/>
      <c r="H281" s="247"/>
      <c r="I281" s="247"/>
      <c r="J281" s="247"/>
      <c r="K281" s="247"/>
      <c r="L281" s="760"/>
      <c r="M281" s="760"/>
      <c r="N281" s="760"/>
      <c r="O281" s="760"/>
      <c r="P281" s="761"/>
      <c r="Q281" s="761"/>
      <c r="R281" s="761"/>
      <c r="S281" s="761"/>
      <c r="T281" s="761"/>
      <c r="U281" s="761"/>
      <c r="V281" s="761"/>
      <c r="W281" s="761"/>
      <c r="X281" s="760"/>
      <c r="Y281" s="760"/>
      <c r="Z281" s="760"/>
      <c r="AA281" s="760"/>
      <c r="AB281" s="760"/>
      <c r="AC281" s="760"/>
      <c r="AD281" s="760"/>
      <c r="AE281" s="760"/>
      <c r="AF281" s="760"/>
      <c r="AG281" s="760"/>
      <c r="AH281" s="760"/>
      <c r="AI281" s="760"/>
      <c r="AJ281" s="760"/>
      <c r="AK281" s="760"/>
      <c r="AL281" s="760"/>
      <c r="AM281" s="753"/>
      <c r="AN281" s="753"/>
      <c r="AO281" s="753"/>
      <c r="AP281" s="753"/>
      <c r="AQ281" s="753"/>
      <c r="AR281" s="753"/>
      <c r="AS281" s="753"/>
      <c r="AT281" s="754"/>
      <c r="AU281" s="754"/>
      <c r="AV281" s="754"/>
      <c r="AW281" s="754"/>
      <c r="AX281" s="754"/>
    </row>
    <row r="282" spans="1:50" ht="12.6" customHeight="1" x14ac:dyDescent="0.25">
      <c r="A282" s="208" t="s">
        <v>1479</v>
      </c>
      <c r="B282" s="208"/>
      <c r="C282" s="208"/>
      <c r="D282" s="208"/>
      <c r="E282" s="208"/>
      <c r="F282" s="208"/>
      <c r="G282" s="208"/>
      <c r="H282" s="208"/>
      <c r="I282" s="208"/>
      <c r="J282" s="208"/>
      <c r="K282" s="208"/>
      <c r="L282" s="262"/>
      <c r="M282" s="262"/>
      <c r="N282" s="262"/>
      <c r="O282" s="262"/>
      <c r="P282" s="262"/>
      <c r="Q282" s="262"/>
      <c r="R282" s="262"/>
      <c r="S282" s="262"/>
      <c r="T282" s="262"/>
      <c r="U282" s="262"/>
      <c r="V282" s="262"/>
      <c r="W282" s="262"/>
      <c r="X282" s="262"/>
      <c r="Y282" s="262"/>
      <c r="Z282" s="262"/>
      <c r="AA282" s="262"/>
      <c r="AB282" s="262"/>
      <c r="AC282" s="262"/>
      <c r="AD282" s="262"/>
      <c r="AE282" s="262"/>
      <c r="AF282" s="262"/>
      <c r="AG282" s="262"/>
      <c r="AH282" s="262"/>
      <c r="AI282" s="262"/>
      <c r="AJ282" s="262"/>
      <c r="AK282" s="262"/>
      <c r="AL282" s="262"/>
      <c r="AM282" s="262"/>
      <c r="AN282" s="262"/>
      <c r="AO282" s="262"/>
      <c r="AP282" s="262"/>
      <c r="AQ282" s="262"/>
      <c r="AR282" s="262"/>
      <c r="AS282" s="262"/>
      <c r="AT282" s="263"/>
      <c r="AU282" s="263"/>
      <c r="AV282" s="263"/>
      <c r="AW282" s="263"/>
      <c r="AX282" s="256"/>
    </row>
    <row r="283" spans="1:50" ht="12.6" customHeight="1" x14ac:dyDescent="0.25">
      <c r="A283" s="241" t="s">
        <v>1472</v>
      </c>
      <c r="B283" s="249"/>
      <c r="C283" s="249"/>
      <c r="D283" s="249"/>
      <c r="E283" s="249"/>
      <c r="F283" s="249"/>
      <c r="G283" s="249"/>
      <c r="H283" s="249"/>
      <c r="I283" s="249"/>
      <c r="J283" s="249"/>
      <c r="K283" s="249"/>
      <c r="L283" s="751">
        <f>SUM(L288-L287+L286-L285)</f>
        <v>0</v>
      </c>
      <c r="M283" s="751"/>
      <c r="N283" s="751"/>
      <c r="O283" s="751"/>
      <c r="P283" s="752">
        <f>SUM(P288-P287+P286-P285)</f>
        <v>0</v>
      </c>
      <c r="Q283" s="752"/>
      <c r="R283" s="752"/>
      <c r="S283" s="752"/>
      <c r="T283" s="752">
        <f>SUM(T288-T287+T286-T285)</f>
        <v>0</v>
      </c>
      <c r="U283" s="752"/>
      <c r="V283" s="752"/>
      <c r="W283" s="752"/>
      <c r="X283" s="751">
        <f>SUM(X288-X287+X286-X285)</f>
        <v>0</v>
      </c>
      <c r="Y283" s="751"/>
      <c r="Z283" s="751"/>
      <c r="AA283" s="751"/>
      <c r="AB283" s="751"/>
      <c r="AC283" s="751">
        <f>SUM(AC288-AC287+AC286-AC285)</f>
        <v>0</v>
      </c>
      <c r="AD283" s="751"/>
      <c r="AE283" s="751"/>
      <c r="AF283" s="751"/>
      <c r="AG283" s="751"/>
      <c r="AH283" s="751">
        <f>SUM(AH288-AH287+AH286-AH285)</f>
        <v>0</v>
      </c>
      <c r="AI283" s="751"/>
      <c r="AJ283" s="751"/>
      <c r="AK283" s="751"/>
      <c r="AL283" s="751"/>
      <c r="AM283" s="753">
        <f>SUM(AM288-AM287+AM286-AM285)</f>
        <v>0</v>
      </c>
      <c r="AN283" s="753"/>
      <c r="AO283" s="753"/>
      <c r="AP283" s="753"/>
      <c r="AQ283" s="753"/>
      <c r="AR283" s="753"/>
      <c r="AS283" s="753"/>
      <c r="AT283" s="754">
        <f>SUM(L283:AS284)</f>
        <v>0</v>
      </c>
      <c r="AU283" s="754"/>
      <c r="AV283" s="754"/>
      <c r="AW283" s="754"/>
      <c r="AX283" s="754"/>
    </row>
    <row r="284" spans="1:50" ht="12.6" customHeight="1" x14ac:dyDescent="0.25">
      <c r="A284" s="251" t="s">
        <v>1473</v>
      </c>
      <c r="B284" s="247"/>
      <c r="C284" s="247"/>
      <c r="D284" s="247"/>
      <c r="E284" s="247"/>
      <c r="F284" s="247"/>
      <c r="G284" s="247"/>
      <c r="H284" s="247"/>
      <c r="I284" s="247"/>
      <c r="J284" s="247"/>
      <c r="K284" s="247"/>
      <c r="L284" s="751"/>
      <c r="M284" s="751"/>
      <c r="N284" s="751"/>
      <c r="O284" s="751"/>
      <c r="P284" s="752"/>
      <c r="Q284" s="752"/>
      <c r="R284" s="752"/>
      <c r="S284" s="752"/>
      <c r="T284" s="752"/>
      <c r="U284" s="752"/>
      <c r="V284" s="752"/>
      <c r="W284" s="752"/>
      <c r="X284" s="751"/>
      <c r="Y284" s="751"/>
      <c r="Z284" s="751"/>
      <c r="AA284" s="751"/>
      <c r="AB284" s="751"/>
      <c r="AC284" s="751"/>
      <c r="AD284" s="751"/>
      <c r="AE284" s="751"/>
      <c r="AF284" s="751"/>
      <c r="AG284" s="751"/>
      <c r="AH284" s="751"/>
      <c r="AI284" s="751"/>
      <c r="AJ284" s="751"/>
      <c r="AK284" s="751"/>
      <c r="AL284" s="751"/>
      <c r="AM284" s="753"/>
      <c r="AN284" s="753"/>
      <c r="AO284" s="753"/>
      <c r="AP284" s="753"/>
      <c r="AQ284" s="753"/>
      <c r="AR284" s="753"/>
      <c r="AS284" s="753"/>
      <c r="AT284" s="754"/>
      <c r="AU284" s="754"/>
      <c r="AV284" s="754"/>
      <c r="AW284" s="754"/>
      <c r="AX284" s="754"/>
    </row>
    <row r="285" spans="1:50" ht="12.6" customHeight="1" x14ac:dyDescent="0.25">
      <c r="A285" s="253" t="s">
        <v>1474</v>
      </c>
      <c r="B285" s="246"/>
      <c r="C285" s="246"/>
      <c r="D285" s="246"/>
      <c r="E285" s="246"/>
      <c r="F285" s="246"/>
      <c r="G285" s="246"/>
      <c r="H285" s="246"/>
      <c r="I285" s="246"/>
      <c r="J285" s="246"/>
      <c r="K285" s="246"/>
      <c r="L285" s="758"/>
      <c r="M285" s="758"/>
      <c r="N285" s="758"/>
      <c r="O285" s="758"/>
      <c r="P285" s="758"/>
      <c r="Q285" s="758"/>
      <c r="R285" s="758"/>
      <c r="S285" s="758"/>
      <c r="T285" s="762"/>
      <c r="U285" s="762"/>
      <c r="V285" s="762"/>
      <c r="W285" s="762"/>
      <c r="X285" s="757"/>
      <c r="Y285" s="757"/>
      <c r="Z285" s="757"/>
      <c r="AA285" s="757"/>
      <c r="AB285" s="757"/>
      <c r="AC285" s="757"/>
      <c r="AD285" s="757"/>
      <c r="AE285" s="757"/>
      <c r="AF285" s="757"/>
      <c r="AG285" s="757"/>
      <c r="AH285" s="757"/>
      <c r="AI285" s="757"/>
      <c r="AJ285" s="757"/>
      <c r="AK285" s="757"/>
      <c r="AL285" s="757"/>
      <c r="AM285" s="759"/>
      <c r="AN285" s="759"/>
      <c r="AO285" s="759"/>
      <c r="AP285" s="759"/>
      <c r="AQ285" s="759"/>
      <c r="AR285" s="759"/>
      <c r="AS285" s="759"/>
      <c r="AT285" s="754">
        <f>SUM(L285:AS285)</f>
        <v>0</v>
      </c>
      <c r="AU285" s="754"/>
      <c r="AV285" s="754"/>
      <c r="AW285" s="754"/>
      <c r="AX285" s="754"/>
    </row>
    <row r="286" spans="1:50" ht="12.6" customHeight="1" x14ac:dyDescent="0.25">
      <c r="A286" s="253" t="s">
        <v>1475</v>
      </c>
      <c r="B286" s="246"/>
      <c r="C286" s="246"/>
      <c r="D286" s="246"/>
      <c r="E286" s="246"/>
      <c r="F286" s="246"/>
      <c r="G286" s="246"/>
      <c r="H286" s="246"/>
      <c r="I286" s="246"/>
      <c r="J286" s="246"/>
      <c r="K286" s="246"/>
      <c r="L286" s="757"/>
      <c r="M286" s="757"/>
      <c r="N286" s="757"/>
      <c r="O286" s="757"/>
      <c r="P286" s="758"/>
      <c r="Q286" s="758"/>
      <c r="R286" s="758"/>
      <c r="S286" s="758"/>
      <c r="T286" s="762"/>
      <c r="U286" s="762"/>
      <c r="V286" s="762"/>
      <c r="W286" s="762"/>
      <c r="X286" s="757"/>
      <c r="Y286" s="757"/>
      <c r="Z286" s="757"/>
      <c r="AA286" s="757"/>
      <c r="AB286" s="757"/>
      <c r="AC286" s="757"/>
      <c r="AD286" s="757"/>
      <c r="AE286" s="757"/>
      <c r="AF286" s="757"/>
      <c r="AG286" s="757"/>
      <c r="AH286" s="757"/>
      <c r="AI286" s="757"/>
      <c r="AJ286" s="757"/>
      <c r="AK286" s="757"/>
      <c r="AL286" s="757"/>
      <c r="AM286" s="759"/>
      <c r="AN286" s="759"/>
      <c r="AO286" s="759"/>
      <c r="AP286" s="759"/>
      <c r="AQ286" s="759"/>
      <c r="AR286" s="759"/>
      <c r="AS286" s="759"/>
      <c r="AT286" s="754">
        <f>SUM(L286:AS286)</f>
        <v>0</v>
      </c>
      <c r="AU286" s="754"/>
      <c r="AV286" s="754"/>
      <c r="AW286" s="754"/>
      <c r="AX286" s="754"/>
    </row>
    <row r="287" spans="1:50" ht="12.6" customHeight="1" x14ac:dyDescent="0.25">
      <c r="A287" s="253" t="s">
        <v>1476</v>
      </c>
      <c r="B287" s="246"/>
      <c r="C287" s="246"/>
      <c r="D287" s="246"/>
      <c r="E287" s="246"/>
      <c r="F287" s="246"/>
      <c r="G287" s="246"/>
      <c r="H287" s="246"/>
      <c r="I287" s="246"/>
      <c r="J287" s="246"/>
      <c r="K287" s="246"/>
      <c r="L287" s="757"/>
      <c r="M287" s="757"/>
      <c r="N287" s="757"/>
      <c r="O287" s="757"/>
      <c r="P287" s="758"/>
      <c r="Q287" s="758"/>
      <c r="R287" s="758"/>
      <c r="S287" s="758"/>
      <c r="T287" s="762"/>
      <c r="U287" s="762"/>
      <c r="V287" s="762"/>
      <c r="W287" s="762"/>
      <c r="X287" s="757"/>
      <c r="Y287" s="757"/>
      <c r="Z287" s="757"/>
      <c r="AA287" s="757"/>
      <c r="AB287" s="757"/>
      <c r="AC287" s="757"/>
      <c r="AD287" s="757"/>
      <c r="AE287" s="757"/>
      <c r="AF287" s="757"/>
      <c r="AG287" s="757"/>
      <c r="AH287" s="757"/>
      <c r="AI287" s="757"/>
      <c r="AJ287" s="757"/>
      <c r="AK287" s="757"/>
      <c r="AL287" s="757"/>
      <c r="AM287" s="759"/>
      <c r="AN287" s="759"/>
      <c r="AO287" s="759"/>
      <c r="AP287" s="759"/>
      <c r="AQ287" s="759"/>
      <c r="AR287" s="759"/>
      <c r="AS287" s="759"/>
      <c r="AT287" s="754">
        <f>SUM(L287:AS287)</f>
        <v>0</v>
      </c>
      <c r="AU287" s="754"/>
      <c r="AV287" s="754"/>
      <c r="AW287" s="754"/>
      <c r="AX287" s="754"/>
    </row>
    <row r="288" spans="1:50" ht="12.6" customHeight="1" x14ac:dyDescent="0.25">
      <c r="A288" s="243" t="s">
        <v>1477</v>
      </c>
      <c r="B288" s="208"/>
      <c r="C288" s="208"/>
      <c r="D288" s="208"/>
      <c r="E288" s="208"/>
      <c r="F288" s="208"/>
      <c r="G288" s="208"/>
      <c r="H288" s="208"/>
      <c r="I288" s="208"/>
      <c r="J288" s="208"/>
      <c r="K288" s="208"/>
      <c r="L288" s="760">
        <f>SUM(ANALYTIKAVUJ!$C$26)*-1</f>
        <v>0</v>
      </c>
      <c r="M288" s="760"/>
      <c r="N288" s="760"/>
      <c r="O288" s="760"/>
      <c r="P288" s="761">
        <f>SUM(ANALYTIKAVUJ!$C$27)*-1</f>
        <v>0</v>
      </c>
      <c r="Q288" s="761"/>
      <c r="R288" s="761"/>
      <c r="S288" s="761"/>
      <c r="T288" s="761">
        <f>SUM(ANALYTIKAVUJ!$C$28)*-1</f>
        <v>0</v>
      </c>
      <c r="U288" s="761"/>
      <c r="V288" s="761"/>
      <c r="W288" s="761"/>
      <c r="X288" s="760">
        <f>SUM(ANALYTIKAVUJ!$C$29)*-1</f>
        <v>0</v>
      </c>
      <c r="Y288" s="760"/>
      <c r="Z288" s="760"/>
      <c r="AA288" s="760"/>
      <c r="AB288" s="760"/>
      <c r="AC288" s="760">
        <f>SUM(ANALYTIKAVUJ!$C$30)*-1</f>
        <v>0</v>
      </c>
      <c r="AD288" s="760"/>
      <c r="AE288" s="760"/>
      <c r="AF288" s="760"/>
      <c r="AG288" s="760"/>
      <c r="AH288" s="760">
        <f>SUM('HL KNIHA VYPOC'!$G$73)*-1</f>
        <v>0</v>
      </c>
      <c r="AI288" s="760"/>
      <c r="AJ288" s="760"/>
      <c r="AK288" s="760"/>
      <c r="AL288" s="760"/>
      <c r="AM288" s="753">
        <f>SUM(ANALYTIKAVUJ!$C$41)*-1</f>
        <v>0</v>
      </c>
      <c r="AN288" s="753"/>
      <c r="AO288" s="753"/>
      <c r="AP288" s="753"/>
      <c r="AQ288" s="753"/>
      <c r="AR288" s="753"/>
      <c r="AS288" s="753"/>
      <c r="AT288" s="754">
        <f>SUM(L288:AS289)</f>
        <v>0</v>
      </c>
      <c r="AU288" s="754"/>
      <c r="AV288" s="754"/>
      <c r="AW288" s="754"/>
      <c r="AX288" s="754"/>
    </row>
    <row r="289" spans="1:55" ht="12.6" customHeight="1" x14ac:dyDescent="0.25">
      <c r="A289" s="251" t="s">
        <v>1473</v>
      </c>
      <c r="B289" s="247"/>
      <c r="C289" s="247"/>
      <c r="D289" s="247"/>
      <c r="E289" s="247"/>
      <c r="F289" s="247"/>
      <c r="G289" s="247"/>
      <c r="H289" s="247"/>
      <c r="I289" s="247"/>
      <c r="J289" s="247"/>
      <c r="K289" s="247"/>
      <c r="L289" s="760"/>
      <c r="M289" s="760"/>
      <c r="N289" s="760"/>
      <c r="O289" s="760"/>
      <c r="P289" s="761"/>
      <c r="Q289" s="761"/>
      <c r="R289" s="761"/>
      <c r="S289" s="761"/>
      <c r="T289" s="761"/>
      <c r="U289" s="761"/>
      <c r="V289" s="761"/>
      <c r="W289" s="761"/>
      <c r="X289" s="760"/>
      <c r="Y289" s="760"/>
      <c r="Z289" s="760"/>
      <c r="AA289" s="760"/>
      <c r="AB289" s="760"/>
      <c r="AC289" s="760"/>
      <c r="AD289" s="760"/>
      <c r="AE289" s="760"/>
      <c r="AF289" s="760"/>
      <c r="AG289" s="760"/>
      <c r="AH289" s="760"/>
      <c r="AI289" s="760"/>
      <c r="AJ289" s="760"/>
      <c r="AK289" s="760"/>
      <c r="AL289" s="760"/>
      <c r="AM289" s="753"/>
      <c r="AN289" s="753"/>
      <c r="AO289" s="753"/>
      <c r="AP289" s="753"/>
      <c r="AQ289" s="753"/>
      <c r="AR289" s="753"/>
      <c r="AS289" s="753"/>
      <c r="AT289" s="754"/>
      <c r="AU289" s="754"/>
      <c r="AV289" s="754"/>
      <c r="AW289" s="754"/>
      <c r="AX289" s="754"/>
    </row>
    <row r="290" spans="1:55" ht="12.6" customHeight="1" x14ac:dyDescent="0.25">
      <c r="A290" s="208" t="s">
        <v>1480</v>
      </c>
      <c r="B290" s="208"/>
      <c r="C290" s="208"/>
      <c r="D290" s="208"/>
      <c r="E290" s="208"/>
      <c r="F290" s="208"/>
      <c r="G290" s="208"/>
      <c r="H290" s="208"/>
      <c r="I290" s="208"/>
      <c r="J290" s="208"/>
      <c r="K290" s="208"/>
      <c r="L290" s="262"/>
      <c r="M290" s="262"/>
      <c r="N290" s="262"/>
      <c r="O290" s="262"/>
      <c r="P290" s="262"/>
      <c r="Q290" s="262"/>
      <c r="R290" s="262"/>
      <c r="S290" s="262"/>
      <c r="T290" s="262"/>
      <c r="U290" s="262"/>
      <c r="V290" s="262"/>
      <c r="W290" s="262"/>
      <c r="X290" s="262"/>
      <c r="Y290" s="262"/>
      <c r="Z290" s="262"/>
      <c r="AA290" s="262"/>
      <c r="AB290" s="262"/>
      <c r="AC290" s="262"/>
      <c r="AD290" s="262"/>
      <c r="AE290" s="262"/>
      <c r="AF290" s="262"/>
      <c r="AG290" s="262"/>
      <c r="AH290" s="262"/>
      <c r="AI290" s="262"/>
      <c r="AJ290" s="262"/>
      <c r="AK290" s="262"/>
      <c r="AL290" s="262"/>
      <c r="AM290" s="262"/>
      <c r="AN290" s="262"/>
      <c r="AO290" s="262"/>
      <c r="AP290" s="262"/>
      <c r="AQ290" s="262"/>
      <c r="AR290" s="262"/>
      <c r="AS290" s="262"/>
      <c r="AT290" s="263"/>
      <c r="AU290" s="263"/>
      <c r="AV290" s="263"/>
      <c r="AW290" s="263"/>
      <c r="AX290" s="256"/>
    </row>
    <row r="291" spans="1:55" ht="12.6" customHeight="1" x14ac:dyDescent="0.25">
      <c r="A291" s="241" t="s">
        <v>1472</v>
      </c>
      <c r="B291" s="249"/>
      <c r="C291" s="249"/>
      <c r="D291" s="249"/>
      <c r="E291" s="249"/>
      <c r="F291" s="249"/>
      <c r="G291" s="249"/>
      <c r="H291" s="249"/>
      <c r="I291" s="249"/>
      <c r="J291" s="249"/>
      <c r="K291" s="250"/>
      <c r="L291" s="751">
        <f>SUM(L267-L275-L283)</f>
        <v>0</v>
      </c>
      <c r="M291" s="751"/>
      <c r="N291" s="751"/>
      <c r="O291" s="751"/>
      <c r="P291" s="752">
        <f>SUM(P267-P275-P283)</f>
        <v>0</v>
      </c>
      <c r="Q291" s="752"/>
      <c r="R291" s="752"/>
      <c r="S291" s="752"/>
      <c r="T291" s="752">
        <f>SUM(T267-T275-T283)</f>
        <v>0</v>
      </c>
      <c r="U291" s="752"/>
      <c r="V291" s="752"/>
      <c r="W291" s="752"/>
      <c r="X291" s="751">
        <f>SUM(X267-X275-X283)</f>
        <v>0</v>
      </c>
      <c r="Y291" s="751"/>
      <c r="Z291" s="751"/>
      <c r="AA291" s="751"/>
      <c r="AB291" s="751"/>
      <c r="AC291" s="751">
        <f>SUM(AC267-AC275-AC283)</f>
        <v>0</v>
      </c>
      <c r="AD291" s="751"/>
      <c r="AE291" s="751"/>
      <c r="AF291" s="751"/>
      <c r="AG291" s="751"/>
      <c r="AH291" s="751">
        <f>SUM(AH267-AH275-AH283)</f>
        <v>0</v>
      </c>
      <c r="AI291" s="751"/>
      <c r="AJ291" s="751"/>
      <c r="AK291" s="751"/>
      <c r="AL291" s="751"/>
      <c r="AM291" s="753">
        <f>SUM(AM267-AM275-AM283)</f>
        <v>0</v>
      </c>
      <c r="AN291" s="753"/>
      <c r="AO291" s="753"/>
      <c r="AP291" s="753"/>
      <c r="AQ291" s="753"/>
      <c r="AR291" s="753"/>
      <c r="AS291" s="753"/>
      <c r="AT291" s="754">
        <f>SUM(L291:AS292)</f>
        <v>0</v>
      </c>
      <c r="AU291" s="754"/>
      <c r="AV291" s="754"/>
      <c r="AW291" s="754"/>
      <c r="AX291" s="754"/>
    </row>
    <row r="292" spans="1:55" ht="12.6" customHeight="1" x14ac:dyDescent="0.25">
      <c r="A292" s="251" t="s">
        <v>1473</v>
      </c>
      <c r="B292" s="247"/>
      <c r="C292" s="247"/>
      <c r="D292" s="247"/>
      <c r="E292" s="247"/>
      <c r="F292" s="247"/>
      <c r="G292" s="247"/>
      <c r="H292" s="247"/>
      <c r="I292" s="247"/>
      <c r="J292" s="247"/>
      <c r="K292" s="252"/>
      <c r="L292" s="751"/>
      <c r="M292" s="751"/>
      <c r="N292" s="751"/>
      <c r="O292" s="751"/>
      <c r="P292" s="752"/>
      <c r="Q292" s="752"/>
      <c r="R292" s="752"/>
      <c r="S292" s="752"/>
      <c r="T292" s="752"/>
      <c r="U292" s="752"/>
      <c r="V292" s="752"/>
      <c r="W292" s="752"/>
      <c r="X292" s="751"/>
      <c r="Y292" s="751"/>
      <c r="Z292" s="751"/>
      <c r="AA292" s="751"/>
      <c r="AB292" s="751"/>
      <c r="AC292" s="751"/>
      <c r="AD292" s="751"/>
      <c r="AE292" s="751"/>
      <c r="AF292" s="751"/>
      <c r="AG292" s="751"/>
      <c r="AH292" s="751"/>
      <c r="AI292" s="751"/>
      <c r="AJ292" s="751"/>
      <c r="AK292" s="751"/>
      <c r="AL292" s="751"/>
      <c r="AM292" s="753"/>
      <c r="AN292" s="753"/>
      <c r="AO292" s="753"/>
      <c r="AP292" s="753"/>
      <c r="AQ292" s="753"/>
      <c r="AR292" s="753"/>
      <c r="AS292" s="753"/>
      <c r="AT292" s="754"/>
      <c r="AU292" s="754"/>
      <c r="AV292" s="754"/>
      <c r="AW292" s="754"/>
      <c r="AX292" s="754"/>
    </row>
    <row r="293" spans="1:55" ht="12.6" customHeight="1" x14ac:dyDescent="0.25">
      <c r="A293" s="243" t="s">
        <v>1477</v>
      </c>
      <c r="B293" s="208"/>
      <c r="C293" s="208"/>
      <c r="D293" s="208"/>
      <c r="E293" s="208"/>
      <c r="F293" s="208"/>
      <c r="G293" s="208"/>
      <c r="H293" s="208"/>
      <c r="I293" s="208"/>
      <c r="J293" s="208"/>
      <c r="K293" s="245"/>
      <c r="L293" s="760">
        <f>SUM(L272-L280-L288)</f>
        <v>0</v>
      </c>
      <c r="M293" s="760"/>
      <c r="N293" s="760"/>
      <c r="O293" s="760"/>
      <c r="P293" s="761">
        <f>SUM(P272-P280-P288)</f>
        <v>0</v>
      </c>
      <c r="Q293" s="761"/>
      <c r="R293" s="761"/>
      <c r="S293" s="761"/>
      <c r="T293" s="761">
        <f>SUM(T272-T280-T288)</f>
        <v>0</v>
      </c>
      <c r="U293" s="761"/>
      <c r="V293" s="761"/>
      <c r="W293" s="761"/>
      <c r="X293" s="760">
        <f>SUM(X272-X280-X288)</f>
        <v>0</v>
      </c>
      <c r="Y293" s="760"/>
      <c r="Z293" s="760"/>
      <c r="AA293" s="760"/>
      <c r="AB293" s="760"/>
      <c r="AC293" s="760">
        <f>SUM(AC272-AC280-AC288)</f>
        <v>0</v>
      </c>
      <c r="AD293" s="760"/>
      <c r="AE293" s="760"/>
      <c r="AF293" s="760"/>
      <c r="AG293" s="760"/>
      <c r="AH293" s="760">
        <f>SUM(AH272-AH280-AH288)</f>
        <v>0</v>
      </c>
      <c r="AI293" s="760"/>
      <c r="AJ293" s="760"/>
      <c r="AK293" s="760"/>
      <c r="AL293" s="760"/>
      <c r="AM293" s="753">
        <f>SUM(AM272-AM280-AM288)</f>
        <v>0</v>
      </c>
      <c r="AN293" s="753"/>
      <c r="AO293" s="753"/>
      <c r="AP293" s="753"/>
      <c r="AQ293" s="753"/>
      <c r="AR293" s="753"/>
      <c r="AS293" s="753"/>
      <c r="AT293" s="754">
        <f>SUM(L293:AS294)</f>
        <v>0</v>
      </c>
      <c r="AU293" s="754"/>
      <c r="AV293" s="754"/>
      <c r="AW293" s="754"/>
      <c r="AX293" s="754"/>
    </row>
    <row r="294" spans="1:55" ht="12.6" customHeight="1" x14ac:dyDescent="0.25">
      <c r="A294" s="251" t="s">
        <v>1473</v>
      </c>
      <c r="B294" s="247"/>
      <c r="C294" s="247"/>
      <c r="D294" s="247"/>
      <c r="E294" s="247"/>
      <c r="F294" s="247"/>
      <c r="G294" s="247"/>
      <c r="H294" s="247"/>
      <c r="I294" s="247"/>
      <c r="J294" s="247"/>
      <c r="K294" s="252"/>
      <c r="L294" s="760"/>
      <c r="M294" s="760"/>
      <c r="N294" s="760"/>
      <c r="O294" s="760"/>
      <c r="P294" s="761"/>
      <c r="Q294" s="761"/>
      <c r="R294" s="761"/>
      <c r="S294" s="761"/>
      <c r="T294" s="761"/>
      <c r="U294" s="761"/>
      <c r="V294" s="761"/>
      <c r="W294" s="761"/>
      <c r="X294" s="760"/>
      <c r="Y294" s="760"/>
      <c r="Z294" s="760"/>
      <c r="AA294" s="760"/>
      <c r="AB294" s="760"/>
      <c r="AC294" s="760"/>
      <c r="AD294" s="760"/>
      <c r="AE294" s="760"/>
      <c r="AF294" s="760"/>
      <c r="AG294" s="760"/>
      <c r="AH294" s="760"/>
      <c r="AI294" s="760"/>
      <c r="AJ294" s="760"/>
      <c r="AK294" s="760"/>
      <c r="AL294" s="760"/>
      <c r="AM294" s="753"/>
      <c r="AN294" s="753"/>
      <c r="AO294" s="753"/>
      <c r="AP294" s="753"/>
      <c r="AQ294" s="753"/>
      <c r="AR294" s="753"/>
      <c r="AS294" s="753"/>
      <c r="AT294" s="754"/>
      <c r="AU294" s="754"/>
      <c r="AV294" s="754"/>
      <c r="AW294" s="754"/>
      <c r="AX294" s="754"/>
    </row>
    <row r="295" spans="1:55" ht="12.6" customHeight="1" x14ac:dyDescent="0.25">
      <c r="A295" s="244"/>
      <c r="B295" s="208"/>
      <c r="C295" s="208"/>
      <c r="D295" s="208"/>
      <c r="E295" s="208"/>
      <c r="F295" s="208"/>
      <c r="G295" s="208"/>
      <c r="H295" s="208"/>
      <c r="I295" s="208"/>
      <c r="J295" s="208"/>
      <c r="K295" s="208"/>
      <c r="L295" s="264"/>
      <c r="M295" s="264"/>
      <c r="N295" s="264"/>
      <c r="O295" s="264"/>
      <c r="P295" s="264"/>
      <c r="Q295" s="264"/>
      <c r="R295" s="264"/>
      <c r="S295" s="264"/>
      <c r="T295" s="264"/>
      <c r="U295" s="264"/>
      <c r="V295" s="264"/>
      <c r="W295" s="264"/>
      <c r="X295" s="264"/>
      <c r="Y295" s="264"/>
      <c r="Z295" s="264"/>
      <c r="AA295" s="264"/>
      <c r="AB295" s="264"/>
      <c r="AC295" s="264"/>
      <c r="AD295" s="264"/>
      <c r="AE295" s="264"/>
      <c r="AF295" s="264"/>
      <c r="AG295" s="264"/>
      <c r="AH295" s="264"/>
      <c r="AI295" s="264"/>
      <c r="AJ295" s="264"/>
      <c r="AK295" s="264"/>
      <c r="AL295" s="264"/>
      <c r="AM295" s="264"/>
      <c r="AN295" s="264"/>
      <c r="AO295" s="264"/>
      <c r="AP295" s="264"/>
      <c r="AQ295" s="264"/>
      <c r="AR295" s="264"/>
      <c r="AS295" s="264"/>
      <c r="AT295" s="264"/>
      <c r="AU295" s="264"/>
      <c r="AV295" s="264"/>
      <c r="AW295" s="264"/>
      <c r="AX295" s="264"/>
      <c r="AY295" s="264"/>
      <c r="AZ295" s="264"/>
      <c r="BA295" s="264"/>
      <c r="BB295" s="264"/>
    </row>
    <row r="296" spans="1:55" ht="12.6" customHeight="1" x14ac:dyDescent="0.25">
      <c r="A296" s="29" t="s">
        <v>1329</v>
      </c>
    </row>
    <row r="297" spans="1:55" ht="12.6" customHeight="1" x14ac:dyDescent="0.25">
      <c r="A297" s="241"/>
      <c r="B297" s="242"/>
      <c r="C297" s="242"/>
      <c r="D297" s="242"/>
      <c r="E297" s="242"/>
      <c r="F297" s="242"/>
      <c r="G297" s="242"/>
      <c r="H297" s="242"/>
      <c r="I297" s="242"/>
      <c r="J297" s="242"/>
      <c r="K297" s="242"/>
      <c r="L297" s="707" t="s">
        <v>1306</v>
      </c>
      <c r="M297" s="707"/>
      <c r="N297" s="707"/>
      <c r="O297" s="707"/>
      <c r="P297" s="707"/>
      <c r="Q297" s="707"/>
      <c r="R297" s="707"/>
      <c r="S297" s="707"/>
      <c r="T297" s="707"/>
      <c r="U297" s="707"/>
      <c r="V297" s="707"/>
      <c r="W297" s="707"/>
      <c r="X297" s="707"/>
      <c r="Y297" s="707"/>
      <c r="Z297" s="707"/>
      <c r="AA297" s="707"/>
      <c r="AB297" s="707"/>
      <c r="AC297" s="707"/>
      <c r="AD297" s="707"/>
      <c r="AE297" s="707"/>
      <c r="AF297" s="707"/>
      <c r="AG297" s="707"/>
      <c r="AH297" s="707"/>
      <c r="AI297" s="707"/>
      <c r="AJ297" s="707"/>
      <c r="AK297" s="707"/>
      <c r="AL297" s="707"/>
      <c r="AM297" s="707"/>
      <c r="AN297" s="707"/>
      <c r="AO297" s="707"/>
      <c r="AP297" s="707"/>
      <c r="AQ297" s="707"/>
      <c r="AR297" s="707"/>
      <c r="AS297" s="707"/>
      <c r="AT297" s="707"/>
      <c r="AU297" s="707"/>
      <c r="AV297" s="707"/>
      <c r="AW297" s="707"/>
      <c r="AX297" s="707"/>
      <c r="AY297" s="211"/>
      <c r="AZ297" s="211"/>
      <c r="BA297" s="211"/>
      <c r="BB297" s="211"/>
      <c r="BC297" s="208"/>
    </row>
    <row r="298" spans="1:55" ht="12.6" customHeight="1" x14ac:dyDescent="0.25">
      <c r="A298" s="243"/>
      <c r="B298" s="244"/>
      <c r="C298" s="244"/>
      <c r="D298" s="244"/>
      <c r="E298" s="244"/>
      <c r="F298" s="244"/>
      <c r="G298" s="244"/>
      <c r="H298" s="244"/>
      <c r="I298" s="244"/>
      <c r="J298" s="244"/>
      <c r="K298" s="244"/>
      <c r="L298" s="745" t="s">
        <v>1481</v>
      </c>
      <c r="M298" s="745"/>
      <c r="N298" s="745"/>
      <c r="O298" s="745"/>
      <c r="P298" s="746" t="s">
        <v>1378</v>
      </c>
      <c r="Q298" s="746"/>
      <c r="R298" s="746"/>
      <c r="S298" s="746"/>
      <c r="T298" s="745" t="s">
        <v>1452</v>
      </c>
      <c r="U298" s="745"/>
      <c r="V298" s="745"/>
      <c r="W298" s="745"/>
      <c r="X298" s="746" t="s">
        <v>173</v>
      </c>
      <c r="Y298" s="746"/>
      <c r="Z298" s="746"/>
      <c r="AA298" s="746"/>
      <c r="AB298" s="746"/>
      <c r="AC298" s="745" t="s">
        <v>1453</v>
      </c>
      <c r="AD298" s="745"/>
      <c r="AE298" s="745"/>
      <c r="AF298" s="745"/>
      <c r="AG298" s="745"/>
      <c r="AH298" s="745" t="s">
        <v>1454</v>
      </c>
      <c r="AI298" s="745"/>
      <c r="AJ298" s="745"/>
      <c r="AK298" s="745"/>
      <c r="AL298" s="745"/>
      <c r="AM298" s="745" t="s">
        <v>1455</v>
      </c>
      <c r="AN298" s="745"/>
      <c r="AO298" s="745"/>
      <c r="AP298" s="745"/>
      <c r="AQ298" s="745"/>
      <c r="AR298" s="745"/>
      <c r="AS298" s="745"/>
      <c r="AT298" s="748" t="s">
        <v>1328</v>
      </c>
      <c r="AU298" s="748"/>
      <c r="AV298" s="748"/>
      <c r="AW298" s="748"/>
      <c r="AX298" s="245"/>
    </row>
    <row r="299" spans="1:55" ht="12.6" customHeight="1" x14ac:dyDescent="0.25">
      <c r="A299" s="747" t="s">
        <v>1456</v>
      </c>
      <c r="B299" s="747"/>
      <c r="C299" s="747"/>
      <c r="D299" s="747"/>
      <c r="E299" s="747"/>
      <c r="F299" s="747"/>
      <c r="G299" s="747"/>
      <c r="H299" s="747"/>
      <c r="I299" s="747"/>
      <c r="J299" s="747"/>
      <c r="K299" s="747"/>
      <c r="L299" s="745" t="s">
        <v>1457</v>
      </c>
      <c r="M299" s="745"/>
      <c r="N299" s="745"/>
      <c r="O299" s="745"/>
      <c r="P299" s="746"/>
      <c r="Q299" s="746"/>
      <c r="R299" s="746"/>
      <c r="S299" s="746"/>
      <c r="T299" s="745" t="s">
        <v>1458</v>
      </c>
      <c r="U299" s="745"/>
      <c r="V299" s="745"/>
      <c r="W299" s="745"/>
      <c r="X299" s="746"/>
      <c r="Y299" s="746"/>
      <c r="Z299" s="746"/>
      <c r="AA299" s="746"/>
      <c r="AB299" s="746"/>
      <c r="AC299" s="745" t="s">
        <v>1459</v>
      </c>
      <c r="AD299" s="745"/>
      <c r="AE299" s="745"/>
      <c r="AF299" s="745"/>
      <c r="AG299" s="745"/>
      <c r="AH299" s="745" t="s">
        <v>1460</v>
      </c>
      <c r="AI299" s="745"/>
      <c r="AJ299" s="745"/>
      <c r="AK299" s="745"/>
      <c r="AL299" s="745"/>
      <c r="AM299" s="745" t="s">
        <v>1461</v>
      </c>
      <c r="AN299" s="745"/>
      <c r="AO299" s="745"/>
      <c r="AP299" s="745"/>
      <c r="AQ299" s="745"/>
      <c r="AR299" s="745"/>
      <c r="AS299" s="745"/>
      <c r="AT299" s="748"/>
      <c r="AU299" s="748"/>
      <c r="AV299" s="748"/>
      <c r="AW299" s="748"/>
      <c r="AX299" s="245"/>
    </row>
    <row r="300" spans="1:55" ht="12.6" customHeight="1" x14ac:dyDescent="0.25">
      <c r="A300" s="747" t="s">
        <v>1462</v>
      </c>
      <c r="B300" s="747"/>
      <c r="C300" s="747"/>
      <c r="D300" s="747"/>
      <c r="E300" s="747"/>
      <c r="F300" s="747"/>
      <c r="G300" s="747"/>
      <c r="H300" s="747"/>
      <c r="I300" s="747"/>
      <c r="J300" s="747"/>
      <c r="K300" s="747"/>
      <c r="L300" s="745" t="s">
        <v>1463</v>
      </c>
      <c r="M300" s="745"/>
      <c r="N300" s="745"/>
      <c r="O300" s="745"/>
      <c r="P300" s="746"/>
      <c r="Q300" s="746"/>
      <c r="R300" s="746"/>
      <c r="S300" s="746"/>
      <c r="T300" s="745" t="s">
        <v>1464</v>
      </c>
      <c r="U300" s="745"/>
      <c r="V300" s="745"/>
      <c r="W300" s="745"/>
      <c r="X300" s="746"/>
      <c r="Y300" s="746"/>
      <c r="Z300" s="746"/>
      <c r="AA300" s="746"/>
      <c r="AB300" s="746"/>
      <c r="AC300" s="745" t="s">
        <v>1465</v>
      </c>
      <c r="AD300" s="745"/>
      <c r="AE300" s="745"/>
      <c r="AF300" s="745"/>
      <c r="AG300" s="745"/>
      <c r="AH300" s="745" t="s">
        <v>1465</v>
      </c>
      <c r="AI300" s="745"/>
      <c r="AJ300" s="745"/>
      <c r="AK300" s="745"/>
      <c r="AL300" s="745"/>
      <c r="AM300" s="745" t="s">
        <v>1466</v>
      </c>
      <c r="AN300" s="745"/>
      <c r="AO300" s="745"/>
      <c r="AP300" s="745"/>
      <c r="AQ300" s="745"/>
      <c r="AR300" s="745"/>
      <c r="AS300" s="745"/>
      <c r="AT300" s="748"/>
      <c r="AU300" s="748"/>
      <c r="AV300" s="748"/>
      <c r="AW300" s="748"/>
      <c r="AX300" s="245"/>
    </row>
    <row r="301" spans="1:55" ht="12.6" customHeight="1" x14ac:dyDescent="0.25">
      <c r="A301" s="243"/>
      <c r="B301" s="244"/>
      <c r="C301" s="244"/>
      <c r="D301" s="244"/>
      <c r="E301" s="244"/>
      <c r="F301" s="244"/>
      <c r="G301" s="244"/>
      <c r="H301" s="244"/>
      <c r="I301" s="244"/>
      <c r="J301" s="244"/>
      <c r="K301" s="244"/>
      <c r="L301" s="745" t="s">
        <v>1467</v>
      </c>
      <c r="M301" s="745"/>
      <c r="N301" s="745"/>
      <c r="O301" s="745"/>
      <c r="P301" s="746"/>
      <c r="Q301" s="746"/>
      <c r="R301" s="746"/>
      <c r="S301" s="746"/>
      <c r="T301" s="745"/>
      <c r="U301" s="745"/>
      <c r="V301" s="745"/>
      <c r="W301" s="745"/>
      <c r="X301" s="746"/>
      <c r="Y301" s="746"/>
      <c r="Z301" s="746"/>
      <c r="AA301" s="746"/>
      <c r="AB301" s="746"/>
      <c r="AC301" s="745"/>
      <c r="AD301" s="745"/>
      <c r="AE301" s="745"/>
      <c r="AF301" s="745"/>
      <c r="AG301" s="745"/>
      <c r="AH301" s="745"/>
      <c r="AI301" s="745"/>
      <c r="AJ301" s="745"/>
      <c r="AK301" s="745"/>
      <c r="AL301" s="745"/>
      <c r="AM301" s="745"/>
      <c r="AN301" s="745"/>
      <c r="AO301" s="745"/>
      <c r="AP301" s="745"/>
      <c r="AQ301" s="745"/>
      <c r="AR301" s="745"/>
      <c r="AS301" s="745"/>
      <c r="AT301" s="748"/>
      <c r="AU301" s="748"/>
      <c r="AV301" s="748"/>
      <c r="AW301" s="748"/>
      <c r="AX301" s="245"/>
    </row>
    <row r="302" spans="1:55" ht="12.6" customHeight="1" x14ac:dyDescent="0.25">
      <c r="A302" s="749" t="s">
        <v>1323</v>
      </c>
      <c r="B302" s="749"/>
      <c r="C302" s="749"/>
      <c r="D302" s="749"/>
      <c r="E302" s="749"/>
      <c r="F302" s="749"/>
      <c r="G302" s="749"/>
      <c r="H302" s="749"/>
      <c r="I302" s="749"/>
      <c r="J302" s="749"/>
      <c r="K302" s="749"/>
      <c r="L302" s="750" t="s">
        <v>1324</v>
      </c>
      <c r="M302" s="750"/>
      <c r="N302" s="750"/>
      <c r="O302" s="750"/>
      <c r="P302" s="750" t="s">
        <v>1325</v>
      </c>
      <c r="Q302" s="750"/>
      <c r="R302" s="750"/>
      <c r="S302" s="750"/>
      <c r="T302" s="750" t="s">
        <v>1326</v>
      </c>
      <c r="U302" s="750"/>
      <c r="V302" s="750"/>
      <c r="W302" s="750"/>
      <c r="X302" s="750" t="s">
        <v>1327</v>
      </c>
      <c r="Y302" s="750"/>
      <c r="Z302" s="750"/>
      <c r="AA302" s="750"/>
      <c r="AB302" s="750"/>
      <c r="AC302" s="750" t="s">
        <v>1333</v>
      </c>
      <c r="AD302" s="750"/>
      <c r="AE302" s="750"/>
      <c r="AF302" s="750"/>
      <c r="AG302" s="750"/>
      <c r="AH302" s="750" t="s">
        <v>1468</v>
      </c>
      <c r="AI302" s="750"/>
      <c r="AJ302" s="750"/>
      <c r="AK302" s="750"/>
      <c r="AL302" s="750"/>
      <c r="AM302" s="750" t="s">
        <v>1469</v>
      </c>
      <c r="AN302" s="750"/>
      <c r="AO302" s="750"/>
      <c r="AP302" s="750"/>
      <c r="AQ302" s="750"/>
      <c r="AR302" s="750"/>
      <c r="AS302" s="750"/>
      <c r="AT302" s="749" t="s">
        <v>1470</v>
      </c>
      <c r="AU302" s="749"/>
      <c r="AV302" s="749"/>
      <c r="AW302" s="749"/>
      <c r="AX302" s="245"/>
    </row>
    <row r="303" spans="1:55" ht="12.6" customHeight="1" x14ac:dyDescent="0.25">
      <c r="A303" s="246" t="s">
        <v>1471</v>
      </c>
      <c r="B303" s="246"/>
      <c r="C303" s="246"/>
      <c r="D303" s="246"/>
      <c r="E303" s="246"/>
      <c r="F303" s="246"/>
      <c r="G303" s="246"/>
      <c r="H303" s="246"/>
      <c r="I303" s="246"/>
      <c r="J303" s="246"/>
      <c r="K303" s="246"/>
      <c r="L303" s="246"/>
      <c r="M303" s="246"/>
      <c r="N303" s="246"/>
      <c r="O303" s="246"/>
      <c r="P303" s="246"/>
      <c r="Q303" s="246"/>
      <c r="R303" s="246"/>
      <c r="S303" s="246"/>
      <c r="T303" s="246"/>
      <c r="U303" s="246"/>
      <c r="V303" s="246"/>
      <c r="W303" s="246"/>
      <c r="X303" s="246"/>
      <c r="Y303" s="246"/>
      <c r="Z303" s="246"/>
      <c r="AA303" s="246"/>
      <c r="AB303" s="246"/>
      <c r="AC303" s="246"/>
      <c r="AD303" s="246"/>
      <c r="AE303" s="246"/>
      <c r="AF303" s="246"/>
      <c r="AG303" s="246"/>
      <c r="AH303" s="246"/>
      <c r="AI303" s="246"/>
      <c r="AJ303" s="246"/>
      <c r="AK303" s="246"/>
      <c r="AL303" s="246"/>
      <c r="AM303" s="246"/>
      <c r="AN303" s="246"/>
      <c r="AO303" s="246"/>
      <c r="AP303" s="246"/>
      <c r="AQ303" s="246"/>
      <c r="AR303" s="246"/>
      <c r="AS303" s="246"/>
      <c r="AT303" s="246"/>
      <c r="AU303" s="246"/>
      <c r="AV303" s="246"/>
      <c r="AW303" s="246"/>
      <c r="AX303" s="248"/>
    </row>
    <row r="304" spans="1:55" ht="12.6" customHeight="1" x14ac:dyDescent="0.25">
      <c r="A304" s="241" t="s">
        <v>1472</v>
      </c>
      <c r="B304" s="249"/>
      <c r="C304" s="249"/>
      <c r="D304" s="249"/>
      <c r="E304" s="249"/>
      <c r="F304" s="249"/>
      <c r="G304" s="249"/>
      <c r="H304" s="249"/>
      <c r="I304" s="249"/>
      <c r="J304" s="249"/>
      <c r="K304" s="250"/>
      <c r="L304" s="751">
        <f>SUM('HL KNIHA VYPOC'!$H$8)</f>
        <v>0</v>
      </c>
      <c r="M304" s="751"/>
      <c r="N304" s="751"/>
      <c r="O304" s="751"/>
      <c r="P304" s="752">
        <f>SUM('HL KNIHA VYPOC'!$H$9)</f>
        <v>99.58</v>
      </c>
      <c r="Q304" s="752"/>
      <c r="R304" s="752"/>
      <c r="S304" s="752"/>
      <c r="T304" s="752">
        <f>SUM('HL KNIHA VYPOC'!$H$10)</f>
        <v>0</v>
      </c>
      <c r="U304" s="752"/>
      <c r="V304" s="752"/>
      <c r="W304" s="752"/>
      <c r="X304" s="751">
        <f>SUM('HL KNIHA VYPOC'!$H$11)</f>
        <v>0</v>
      </c>
      <c r="Y304" s="751"/>
      <c r="Z304" s="751"/>
      <c r="AA304" s="751"/>
      <c r="AB304" s="751"/>
      <c r="AC304" s="751">
        <f>SUM('HL KNIHA VYPOC'!$H$13)</f>
        <v>3525.13</v>
      </c>
      <c r="AD304" s="751"/>
      <c r="AE304" s="751"/>
      <c r="AF304" s="751"/>
      <c r="AG304" s="751"/>
      <c r="AH304" s="751">
        <f>SUM('HL KNIHA VYPOC'!$H$31)</f>
        <v>0</v>
      </c>
      <c r="AI304" s="751"/>
      <c r="AJ304" s="751"/>
      <c r="AK304" s="751"/>
      <c r="AL304" s="751"/>
      <c r="AM304" s="751">
        <f>SUM('HL KNIHA VYPOC'!$H$38)</f>
        <v>0</v>
      </c>
      <c r="AN304" s="751"/>
      <c r="AO304" s="751"/>
      <c r="AP304" s="751"/>
      <c r="AQ304" s="751"/>
      <c r="AR304" s="751"/>
      <c r="AS304" s="751"/>
      <c r="AT304" s="754">
        <f>SUM(L304:AS305)</f>
        <v>3624.71</v>
      </c>
      <c r="AU304" s="754"/>
      <c r="AV304" s="754"/>
      <c r="AW304" s="754"/>
      <c r="AX304" s="754"/>
    </row>
    <row r="305" spans="1:50" ht="12.6" customHeight="1" x14ac:dyDescent="0.25">
      <c r="A305" s="251" t="s">
        <v>1473</v>
      </c>
      <c r="B305" s="247"/>
      <c r="C305" s="247"/>
      <c r="D305" s="247"/>
      <c r="E305" s="247"/>
      <c r="F305" s="247"/>
      <c r="G305" s="247"/>
      <c r="H305" s="247"/>
      <c r="I305" s="247"/>
      <c r="J305" s="247"/>
      <c r="K305" s="252"/>
      <c r="L305" s="751"/>
      <c r="M305" s="751"/>
      <c r="N305" s="751"/>
      <c r="O305" s="751"/>
      <c r="P305" s="752"/>
      <c r="Q305" s="752"/>
      <c r="R305" s="752"/>
      <c r="S305" s="752"/>
      <c r="T305" s="752"/>
      <c r="U305" s="752"/>
      <c r="V305" s="752"/>
      <c r="W305" s="752"/>
      <c r="X305" s="751"/>
      <c r="Y305" s="751"/>
      <c r="Z305" s="751"/>
      <c r="AA305" s="751"/>
      <c r="AB305" s="751"/>
      <c r="AC305" s="751"/>
      <c r="AD305" s="751"/>
      <c r="AE305" s="751"/>
      <c r="AF305" s="751"/>
      <c r="AG305" s="751"/>
      <c r="AH305" s="751"/>
      <c r="AI305" s="751"/>
      <c r="AJ305" s="751"/>
      <c r="AK305" s="751"/>
      <c r="AL305" s="751"/>
      <c r="AM305" s="751"/>
      <c r="AN305" s="751"/>
      <c r="AO305" s="751"/>
      <c r="AP305" s="751"/>
      <c r="AQ305" s="751"/>
      <c r="AR305" s="751"/>
      <c r="AS305" s="751"/>
      <c r="AT305" s="754"/>
      <c r="AU305" s="754"/>
      <c r="AV305" s="754"/>
      <c r="AW305" s="754"/>
      <c r="AX305" s="754"/>
    </row>
    <row r="306" spans="1:50" ht="12.6" customHeight="1" x14ac:dyDescent="0.25">
      <c r="A306" s="253" t="s">
        <v>1474</v>
      </c>
      <c r="B306" s="246"/>
      <c r="C306" s="246"/>
      <c r="D306" s="246"/>
      <c r="E306" s="246"/>
      <c r="F306" s="246"/>
      <c r="G306" s="246"/>
      <c r="H306" s="246"/>
      <c r="I306" s="246"/>
      <c r="J306" s="246"/>
      <c r="K306" s="248"/>
      <c r="L306" s="755">
        <f>SUM('HL KNIHA VYPOC'!$I$8)</f>
        <v>0</v>
      </c>
      <c r="M306" s="755"/>
      <c r="N306" s="755"/>
      <c r="O306" s="755"/>
      <c r="P306" s="755">
        <f>SUM('HL KNIHA VYPOC'!$I$9)</f>
        <v>0</v>
      </c>
      <c r="Q306" s="755"/>
      <c r="R306" s="755"/>
      <c r="S306" s="755"/>
      <c r="T306" s="756">
        <f>SUM('HL KNIHA VYPOC'!$I$10)</f>
        <v>0</v>
      </c>
      <c r="U306" s="756"/>
      <c r="V306" s="756"/>
      <c r="W306" s="756"/>
      <c r="X306" s="751">
        <f>SUM('HL KNIHA VYPOC'!$I$11)</f>
        <v>0</v>
      </c>
      <c r="Y306" s="751"/>
      <c r="Z306" s="751"/>
      <c r="AA306" s="751"/>
      <c r="AB306" s="751"/>
      <c r="AC306" s="751">
        <f>SUM('HL KNIHA VYPOC'!$I$13)</f>
        <v>0</v>
      </c>
      <c r="AD306" s="751"/>
      <c r="AE306" s="751"/>
      <c r="AF306" s="751"/>
      <c r="AG306" s="751"/>
      <c r="AH306" s="751">
        <f>SUM('HL KNIHA VYPOC'!$I$31)</f>
        <v>0</v>
      </c>
      <c r="AI306" s="751"/>
      <c r="AJ306" s="751"/>
      <c r="AK306" s="751"/>
      <c r="AL306" s="751"/>
      <c r="AM306" s="751">
        <f>SUM('HL KNIHA VYPOC'!$I$38)</f>
        <v>0</v>
      </c>
      <c r="AN306" s="751"/>
      <c r="AO306" s="751"/>
      <c r="AP306" s="751"/>
      <c r="AQ306" s="751"/>
      <c r="AR306" s="751"/>
      <c r="AS306" s="751"/>
      <c r="AT306" s="754">
        <f>SUM(L306:AS306)</f>
        <v>0</v>
      </c>
      <c r="AU306" s="754"/>
      <c r="AV306" s="754"/>
      <c r="AW306" s="754"/>
      <c r="AX306" s="754"/>
    </row>
    <row r="307" spans="1:50" ht="12.6" customHeight="1" x14ac:dyDescent="0.25">
      <c r="A307" s="253" t="s">
        <v>1475</v>
      </c>
      <c r="B307" s="246"/>
      <c r="C307" s="246"/>
      <c r="D307" s="246"/>
      <c r="E307" s="246"/>
      <c r="F307" s="246"/>
      <c r="G307" s="246"/>
      <c r="H307" s="246"/>
      <c r="I307" s="246"/>
      <c r="J307" s="246"/>
      <c r="K307" s="248"/>
      <c r="L307" s="751">
        <f>SUM('HL KNIHA VYPOC'!$J$8)</f>
        <v>0</v>
      </c>
      <c r="M307" s="751"/>
      <c r="N307" s="751"/>
      <c r="O307" s="751"/>
      <c r="P307" s="755">
        <f>SUM('HL KNIHA VYPOC'!$J$9)</f>
        <v>0</v>
      </c>
      <c r="Q307" s="755"/>
      <c r="R307" s="755"/>
      <c r="S307" s="755"/>
      <c r="T307" s="755">
        <f>SUM('HL KNIHA VYPOC'!$J$10)</f>
        <v>0</v>
      </c>
      <c r="U307" s="755"/>
      <c r="V307" s="755"/>
      <c r="W307" s="755"/>
      <c r="X307" s="751">
        <f>SUM('HL KNIHA VYPOC'!$J$11)</f>
        <v>0</v>
      </c>
      <c r="Y307" s="751"/>
      <c r="Z307" s="751"/>
      <c r="AA307" s="751"/>
      <c r="AB307" s="751"/>
      <c r="AC307" s="751">
        <f>SUM('HL KNIHA VYPOC'!$J$13)</f>
        <v>0</v>
      </c>
      <c r="AD307" s="751"/>
      <c r="AE307" s="751"/>
      <c r="AF307" s="751"/>
      <c r="AG307" s="751"/>
      <c r="AH307" s="751">
        <f>SUM('HL KNIHA VYPOC'!$J$31)</f>
        <v>0</v>
      </c>
      <c r="AI307" s="751"/>
      <c r="AJ307" s="751"/>
      <c r="AK307" s="751"/>
      <c r="AL307" s="751"/>
      <c r="AM307" s="751">
        <f>SUM('HL KNIHA VYPOC'!$J$38)</f>
        <v>0</v>
      </c>
      <c r="AN307" s="751"/>
      <c r="AO307" s="751"/>
      <c r="AP307" s="751"/>
      <c r="AQ307" s="751"/>
      <c r="AR307" s="751"/>
      <c r="AS307" s="751"/>
      <c r="AT307" s="754">
        <f>SUM(L307:AS307)</f>
        <v>0</v>
      </c>
      <c r="AU307" s="754"/>
      <c r="AV307" s="754"/>
      <c r="AW307" s="754"/>
      <c r="AX307" s="754"/>
    </row>
    <row r="308" spans="1:50" ht="12.6" customHeight="1" x14ac:dyDescent="0.25">
      <c r="A308" s="253" t="s">
        <v>1476</v>
      </c>
      <c r="B308" s="246"/>
      <c r="C308" s="246"/>
      <c r="D308" s="246"/>
      <c r="E308" s="246"/>
      <c r="F308" s="246"/>
      <c r="G308" s="246"/>
      <c r="H308" s="246"/>
      <c r="I308" s="246"/>
      <c r="J308" s="246"/>
      <c r="K308" s="248"/>
      <c r="L308" s="757"/>
      <c r="M308" s="757"/>
      <c r="N308" s="757"/>
      <c r="O308" s="757"/>
      <c r="P308" s="758"/>
      <c r="Q308" s="758"/>
      <c r="R308" s="758"/>
      <c r="S308" s="758"/>
      <c r="T308" s="758"/>
      <c r="U308" s="758"/>
      <c r="V308" s="758"/>
      <c r="W308" s="758"/>
      <c r="X308" s="757"/>
      <c r="Y308" s="757"/>
      <c r="Z308" s="757"/>
      <c r="AA308" s="757"/>
      <c r="AB308" s="757"/>
      <c r="AC308" s="757"/>
      <c r="AD308" s="757"/>
      <c r="AE308" s="757"/>
      <c r="AF308" s="757"/>
      <c r="AG308" s="757"/>
      <c r="AH308" s="757"/>
      <c r="AI308" s="757"/>
      <c r="AJ308" s="757"/>
      <c r="AK308" s="757"/>
      <c r="AL308" s="757"/>
      <c r="AM308" s="757"/>
      <c r="AN308" s="757"/>
      <c r="AO308" s="757"/>
      <c r="AP308" s="757"/>
      <c r="AQ308" s="757"/>
      <c r="AR308" s="757"/>
      <c r="AS308" s="757"/>
      <c r="AT308" s="754">
        <f>SUM(L308:AS308)</f>
        <v>0</v>
      </c>
      <c r="AU308" s="754"/>
      <c r="AV308" s="754"/>
      <c r="AW308" s="754"/>
      <c r="AX308" s="754"/>
    </row>
    <row r="309" spans="1:50" ht="12.6" customHeight="1" x14ac:dyDescent="0.25">
      <c r="A309" s="243" t="s">
        <v>1477</v>
      </c>
      <c r="B309" s="208"/>
      <c r="C309" s="208"/>
      <c r="D309" s="208"/>
      <c r="E309" s="208"/>
      <c r="F309" s="208"/>
      <c r="G309" s="208"/>
      <c r="H309" s="208"/>
      <c r="I309" s="208"/>
      <c r="J309" s="208"/>
      <c r="K309" s="245"/>
      <c r="L309" s="760">
        <f>SUM(L304+L306-L307+L308)</f>
        <v>0</v>
      </c>
      <c r="M309" s="760"/>
      <c r="N309" s="760"/>
      <c r="O309" s="760"/>
      <c r="P309" s="761">
        <f>SUM(P304+P306-P307+P308)</f>
        <v>99.58</v>
      </c>
      <c r="Q309" s="761"/>
      <c r="R309" s="761"/>
      <c r="S309" s="761"/>
      <c r="T309" s="761">
        <f>SUM(T304+T306-T307+T308)</f>
        <v>0</v>
      </c>
      <c r="U309" s="761"/>
      <c r="V309" s="761"/>
      <c r="W309" s="761"/>
      <c r="X309" s="760">
        <f>SUM(X304+X306-X307+X308)</f>
        <v>0</v>
      </c>
      <c r="Y309" s="760"/>
      <c r="Z309" s="760"/>
      <c r="AA309" s="760"/>
      <c r="AB309" s="760"/>
      <c r="AC309" s="760">
        <f>SUM(AC304+AC306-AC307+AC308)</f>
        <v>3525.13</v>
      </c>
      <c r="AD309" s="760"/>
      <c r="AE309" s="760"/>
      <c r="AF309" s="760"/>
      <c r="AG309" s="760"/>
      <c r="AH309" s="760">
        <f>SUM(AH304+AH306-AH307+AH308)</f>
        <v>0</v>
      </c>
      <c r="AI309" s="760"/>
      <c r="AJ309" s="760"/>
      <c r="AK309" s="760"/>
      <c r="AL309" s="760"/>
      <c r="AM309" s="760">
        <f>SUM(AM304+AM306-AM307+AM308)</f>
        <v>0</v>
      </c>
      <c r="AN309" s="760"/>
      <c r="AO309" s="760"/>
      <c r="AP309" s="760"/>
      <c r="AQ309" s="760"/>
      <c r="AR309" s="760"/>
      <c r="AS309" s="760"/>
      <c r="AT309" s="754">
        <f>SUM(L309:AS310)</f>
        <v>3624.71</v>
      </c>
      <c r="AU309" s="754"/>
      <c r="AV309" s="754"/>
      <c r="AW309" s="754"/>
      <c r="AX309" s="754"/>
    </row>
    <row r="310" spans="1:50" ht="12.6" customHeight="1" x14ac:dyDescent="0.25">
      <c r="A310" s="251" t="s">
        <v>1473</v>
      </c>
      <c r="B310" s="247"/>
      <c r="C310" s="247"/>
      <c r="D310" s="247"/>
      <c r="E310" s="247"/>
      <c r="F310" s="247"/>
      <c r="G310" s="247"/>
      <c r="H310" s="247"/>
      <c r="I310" s="247"/>
      <c r="J310" s="247"/>
      <c r="K310" s="252"/>
      <c r="L310" s="760"/>
      <c r="M310" s="760"/>
      <c r="N310" s="760"/>
      <c r="O310" s="760"/>
      <c r="P310" s="761"/>
      <c r="Q310" s="761"/>
      <c r="R310" s="761"/>
      <c r="S310" s="761"/>
      <c r="T310" s="761"/>
      <c r="U310" s="761"/>
      <c r="V310" s="761"/>
      <c r="W310" s="761"/>
      <c r="X310" s="760"/>
      <c r="Y310" s="760"/>
      <c r="Z310" s="760"/>
      <c r="AA310" s="760"/>
      <c r="AB310" s="760"/>
      <c r="AC310" s="760"/>
      <c r="AD310" s="760"/>
      <c r="AE310" s="760"/>
      <c r="AF310" s="760"/>
      <c r="AG310" s="760"/>
      <c r="AH310" s="760"/>
      <c r="AI310" s="760"/>
      <c r="AJ310" s="760"/>
      <c r="AK310" s="760"/>
      <c r="AL310" s="760"/>
      <c r="AM310" s="760"/>
      <c r="AN310" s="760"/>
      <c r="AO310" s="760"/>
      <c r="AP310" s="760"/>
      <c r="AQ310" s="760"/>
      <c r="AR310" s="760"/>
      <c r="AS310" s="760"/>
      <c r="AT310" s="754"/>
      <c r="AU310" s="754"/>
      <c r="AV310" s="754"/>
      <c r="AW310" s="754"/>
      <c r="AX310" s="754"/>
    </row>
    <row r="311" spans="1:50" ht="12.6" customHeight="1" x14ac:dyDescent="0.25">
      <c r="A311" s="246" t="s">
        <v>1478</v>
      </c>
      <c r="B311" s="246"/>
      <c r="C311" s="246"/>
      <c r="D311" s="246"/>
      <c r="E311" s="246"/>
      <c r="F311" s="246"/>
      <c r="G311" s="246"/>
      <c r="H311" s="246"/>
      <c r="I311" s="246"/>
      <c r="J311" s="246"/>
      <c r="K311" s="246"/>
      <c r="L311" s="254"/>
      <c r="M311" s="254"/>
      <c r="N311" s="254"/>
      <c r="O311" s="254"/>
      <c r="P311" s="254"/>
      <c r="Q311" s="254"/>
      <c r="R311" s="254"/>
      <c r="S311" s="254"/>
      <c r="T311" s="254"/>
      <c r="U311" s="254"/>
      <c r="V311" s="254"/>
      <c r="W311" s="254"/>
      <c r="X311" s="254"/>
      <c r="Y311" s="254"/>
      <c r="Z311" s="254"/>
      <c r="AA311" s="254"/>
      <c r="AB311" s="254"/>
      <c r="AC311" s="254"/>
      <c r="AD311" s="254"/>
      <c r="AE311" s="254"/>
      <c r="AF311" s="254"/>
      <c r="AG311" s="254"/>
      <c r="AH311" s="254"/>
      <c r="AI311" s="254"/>
      <c r="AJ311" s="254"/>
      <c r="AK311" s="254"/>
      <c r="AL311" s="254"/>
      <c r="AM311" s="254"/>
      <c r="AN311" s="254"/>
      <c r="AO311" s="254"/>
      <c r="AP311" s="254"/>
      <c r="AQ311" s="254"/>
      <c r="AR311" s="254"/>
      <c r="AS311" s="254"/>
      <c r="AT311" s="255"/>
      <c r="AU311" s="255"/>
      <c r="AV311" s="255"/>
      <c r="AW311" s="255"/>
      <c r="AX311" s="256"/>
    </row>
    <row r="312" spans="1:50" ht="12.6" customHeight="1" x14ac:dyDescent="0.25">
      <c r="A312" s="241" t="s">
        <v>1472</v>
      </c>
      <c r="B312" s="257"/>
      <c r="C312" s="249"/>
      <c r="D312" s="249"/>
      <c r="E312" s="249"/>
      <c r="F312" s="249"/>
      <c r="G312" s="249"/>
      <c r="H312" s="249"/>
      <c r="I312" s="249"/>
      <c r="J312" s="249"/>
      <c r="K312" s="250"/>
      <c r="L312" s="752">
        <f>SUM('HL KNIHA VYPOC'!$H$53)*-1</f>
        <v>0</v>
      </c>
      <c r="M312" s="752"/>
      <c r="N312" s="752"/>
      <c r="O312" s="752"/>
      <c r="P312" s="752">
        <f>SUM('HL KNIHA VYPOC'!$H$54)*-1</f>
        <v>99.58</v>
      </c>
      <c r="Q312" s="752"/>
      <c r="R312" s="752"/>
      <c r="S312" s="752"/>
      <c r="T312" s="752">
        <f>SUM('HL KNIHA VYPOC'!$H$55)*-1</f>
        <v>0</v>
      </c>
      <c r="U312" s="752"/>
      <c r="V312" s="752"/>
      <c r="W312" s="752"/>
      <c r="X312" s="751">
        <f>SUM('HL KNIHA VYPOC'!$H$56)*-1</f>
        <v>0</v>
      </c>
      <c r="Y312" s="751"/>
      <c r="Z312" s="751"/>
      <c r="AA312" s="751"/>
      <c r="AB312" s="751"/>
      <c r="AC312" s="751">
        <f>SUM('HL KNIHA VYPOC'!$H$58)*-1</f>
        <v>3525.13</v>
      </c>
      <c r="AD312" s="751"/>
      <c r="AE312" s="751"/>
      <c r="AF312" s="751"/>
      <c r="AG312" s="751"/>
      <c r="AH312" s="751"/>
      <c r="AI312" s="751"/>
      <c r="AJ312" s="751"/>
      <c r="AK312" s="751"/>
      <c r="AL312" s="751"/>
      <c r="AM312" s="751"/>
      <c r="AN312" s="751"/>
      <c r="AO312" s="751"/>
      <c r="AP312" s="751"/>
      <c r="AQ312" s="751"/>
      <c r="AR312" s="751"/>
      <c r="AS312" s="751"/>
      <c r="AT312" s="754">
        <f>SUM(L312:AS313)</f>
        <v>3624.71</v>
      </c>
      <c r="AU312" s="754"/>
      <c r="AV312" s="754"/>
      <c r="AW312" s="754"/>
      <c r="AX312" s="754"/>
    </row>
    <row r="313" spans="1:50" ht="12.6" customHeight="1" x14ac:dyDescent="0.25">
      <c r="A313" s="251" t="s">
        <v>1473</v>
      </c>
      <c r="B313" s="258"/>
      <c r="C313" s="247"/>
      <c r="D313" s="247"/>
      <c r="E313" s="247"/>
      <c r="F313" s="247"/>
      <c r="G313" s="247"/>
      <c r="H313" s="247"/>
      <c r="I313" s="247"/>
      <c r="J313" s="247"/>
      <c r="K313" s="252"/>
      <c r="L313" s="752"/>
      <c r="M313" s="752"/>
      <c r="N313" s="752"/>
      <c r="O313" s="752"/>
      <c r="P313" s="752"/>
      <c r="Q313" s="752"/>
      <c r="R313" s="752"/>
      <c r="S313" s="752"/>
      <c r="T313" s="752"/>
      <c r="U313" s="752"/>
      <c r="V313" s="752"/>
      <c r="W313" s="752"/>
      <c r="X313" s="751"/>
      <c r="Y313" s="751"/>
      <c r="Z313" s="751"/>
      <c r="AA313" s="751"/>
      <c r="AB313" s="751"/>
      <c r="AC313" s="751"/>
      <c r="AD313" s="751"/>
      <c r="AE313" s="751"/>
      <c r="AF313" s="751"/>
      <c r="AG313" s="751"/>
      <c r="AH313" s="751"/>
      <c r="AI313" s="751"/>
      <c r="AJ313" s="751"/>
      <c r="AK313" s="751"/>
      <c r="AL313" s="751"/>
      <c r="AM313" s="751"/>
      <c r="AN313" s="751"/>
      <c r="AO313" s="751"/>
      <c r="AP313" s="751"/>
      <c r="AQ313" s="751"/>
      <c r="AR313" s="751"/>
      <c r="AS313" s="751"/>
      <c r="AT313" s="754"/>
      <c r="AU313" s="754"/>
      <c r="AV313" s="754"/>
      <c r="AW313" s="754"/>
      <c r="AX313" s="754"/>
    </row>
    <row r="314" spans="1:50" ht="12.6" customHeight="1" x14ac:dyDescent="0.25">
      <c r="A314" s="253" t="s">
        <v>1474</v>
      </c>
      <c r="B314" s="253"/>
      <c r="C314" s="246"/>
      <c r="D314" s="246"/>
      <c r="E314" s="246"/>
      <c r="F314" s="246"/>
      <c r="G314" s="246"/>
      <c r="H314" s="246"/>
      <c r="I314" s="246"/>
      <c r="J314" s="246"/>
      <c r="K314" s="248"/>
      <c r="L314" s="756">
        <f>SUM('HL KNIHA VYPOC'!$J$53)</f>
        <v>0</v>
      </c>
      <c r="M314" s="756"/>
      <c r="N314" s="756"/>
      <c r="O314" s="756"/>
      <c r="P314" s="755">
        <f>SUM('HL KNIHA VYPOC'!$J$54)</f>
        <v>0</v>
      </c>
      <c r="Q314" s="755"/>
      <c r="R314" s="755"/>
      <c r="S314" s="755"/>
      <c r="T314" s="756">
        <f>SUM('HL KNIHA VYPOC'!$J$55)</f>
        <v>0</v>
      </c>
      <c r="U314" s="756"/>
      <c r="V314" s="756"/>
      <c r="W314" s="756"/>
      <c r="X314" s="751">
        <f>SUM('HL KNIHA VYPOC'!$J$56)</f>
        <v>0</v>
      </c>
      <c r="Y314" s="751"/>
      <c r="Z314" s="751"/>
      <c r="AA314" s="751"/>
      <c r="AB314" s="751"/>
      <c r="AC314" s="751">
        <f>SUM('HL KNIHA VYPOC'!$J$58)</f>
        <v>0</v>
      </c>
      <c r="AD314" s="751"/>
      <c r="AE314" s="751"/>
      <c r="AF314" s="751"/>
      <c r="AG314" s="751"/>
      <c r="AH314" s="751"/>
      <c r="AI314" s="751"/>
      <c r="AJ314" s="751"/>
      <c r="AK314" s="751"/>
      <c r="AL314" s="751"/>
      <c r="AM314" s="751"/>
      <c r="AN314" s="751"/>
      <c r="AO314" s="751"/>
      <c r="AP314" s="751"/>
      <c r="AQ314" s="751"/>
      <c r="AR314" s="751"/>
      <c r="AS314" s="751"/>
      <c r="AT314" s="754">
        <f>SUM(L314:AS314)</f>
        <v>0</v>
      </c>
      <c r="AU314" s="754"/>
      <c r="AV314" s="754"/>
      <c r="AW314" s="754"/>
      <c r="AX314" s="754"/>
    </row>
    <row r="315" spans="1:50" ht="12.6" customHeight="1" x14ac:dyDescent="0.25">
      <c r="A315" s="253" t="s">
        <v>1475</v>
      </c>
      <c r="B315" s="259"/>
      <c r="C315" s="246"/>
      <c r="D315" s="246"/>
      <c r="E315" s="246"/>
      <c r="F315" s="246"/>
      <c r="G315" s="246"/>
      <c r="H315" s="246"/>
      <c r="I315" s="246"/>
      <c r="J315" s="246"/>
      <c r="K315" s="246"/>
      <c r="L315" s="751">
        <f>SUM('HL KNIHA VYPOC'!$I$53)</f>
        <v>0</v>
      </c>
      <c r="M315" s="751"/>
      <c r="N315" s="751"/>
      <c r="O315" s="751"/>
      <c r="P315" s="755">
        <f>SUM('HL KNIHA VYPOC'!$I$54)</f>
        <v>0</v>
      </c>
      <c r="Q315" s="755"/>
      <c r="R315" s="755"/>
      <c r="S315" s="755"/>
      <c r="T315" s="756">
        <f>SUM('HL KNIHA VYPOC'!$I$55)</f>
        <v>0</v>
      </c>
      <c r="U315" s="756"/>
      <c r="V315" s="756"/>
      <c r="W315" s="756"/>
      <c r="X315" s="751">
        <f>SUM('HL KNIHA VYPOC'!$I$56)</f>
        <v>0</v>
      </c>
      <c r="Y315" s="751"/>
      <c r="Z315" s="751"/>
      <c r="AA315" s="751"/>
      <c r="AB315" s="751"/>
      <c r="AC315" s="751">
        <f>SUM('HL KNIHA VYPOC'!$I$58)</f>
        <v>0</v>
      </c>
      <c r="AD315" s="751"/>
      <c r="AE315" s="751"/>
      <c r="AF315" s="751"/>
      <c r="AG315" s="751"/>
      <c r="AH315" s="751"/>
      <c r="AI315" s="751"/>
      <c r="AJ315" s="751"/>
      <c r="AK315" s="751"/>
      <c r="AL315" s="751"/>
      <c r="AM315" s="751"/>
      <c r="AN315" s="751"/>
      <c r="AO315" s="751"/>
      <c r="AP315" s="751"/>
      <c r="AQ315" s="751"/>
      <c r="AR315" s="751"/>
      <c r="AS315" s="751"/>
      <c r="AT315" s="754">
        <f>SUM(L315:AS315)</f>
        <v>0</v>
      </c>
      <c r="AU315" s="754"/>
      <c r="AV315" s="754"/>
      <c r="AW315" s="754"/>
      <c r="AX315" s="754"/>
    </row>
    <row r="316" spans="1:50" ht="12.6" customHeight="1" x14ac:dyDescent="0.25">
      <c r="A316" s="253" t="s">
        <v>1476</v>
      </c>
      <c r="B316" s="259"/>
      <c r="C316" s="246"/>
      <c r="D316" s="246"/>
      <c r="E316" s="246"/>
      <c r="F316" s="246"/>
      <c r="G316" s="246"/>
      <c r="H316" s="246"/>
      <c r="I316" s="246"/>
      <c r="J316" s="246"/>
      <c r="K316" s="246"/>
      <c r="L316" s="757"/>
      <c r="M316" s="757"/>
      <c r="N316" s="757"/>
      <c r="O316" s="757"/>
      <c r="P316" s="758"/>
      <c r="Q316" s="758"/>
      <c r="R316" s="758"/>
      <c r="S316" s="758"/>
      <c r="T316" s="762"/>
      <c r="U316" s="762"/>
      <c r="V316" s="762"/>
      <c r="W316" s="762"/>
      <c r="X316" s="757"/>
      <c r="Y316" s="757"/>
      <c r="Z316" s="757"/>
      <c r="AA316" s="757"/>
      <c r="AB316" s="757"/>
      <c r="AC316" s="757"/>
      <c r="AD316" s="757"/>
      <c r="AE316" s="757"/>
      <c r="AF316" s="757"/>
      <c r="AG316" s="757"/>
      <c r="AH316" s="757"/>
      <c r="AI316" s="757"/>
      <c r="AJ316" s="757"/>
      <c r="AK316" s="757"/>
      <c r="AL316" s="757"/>
      <c r="AM316" s="757"/>
      <c r="AN316" s="757"/>
      <c r="AO316" s="757"/>
      <c r="AP316" s="757"/>
      <c r="AQ316" s="757"/>
      <c r="AR316" s="757"/>
      <c r="AS316" s="757"/>
      <c r="AT316" s="754">
        <f>SUM(L316:AS316)</f>
        <v>0</v>
      </c>
      <c r="AU316" s="754"/>
      <c r="AV316" s="754"/>
      <c r="AW316" s="754"/>
      <c r="AX316" s="754"/>
    </row>
    <row r="317" spans="1:50" ht="12.6" customHeight="1" x14ac:dyDescent="0.25">
      <c r="A317" s="243" t="s">
        <v>1477</v>
      </c>
      <c r="B317" s="260"/>
      <c r="C317" s="208"/>
      <c r="D317" s="208"/>
      <c r="E317" s="208"/>
      <c r="F317" s="208"/>
      <c r="G317" s="208"/>
      <c r="H317" s="208"/>
      <c r="I317" s="208"/>
      <c r="J317" s="208"/>
      <c r="K317" s="208"/>
      <c r="L317" s="760">
        <f>SUM(L312+L314-L315+L316)</f>
        <v>0</v>
      </c>
      <c r="M317" s="760"/>
      <c r="N317" s="760"/>
      <c r="O317" s="760"/>
      <c r="P317" s="761">
        <f>SUM(P312+P314-P315)</f>
        <v>99.58</v>
      </c>
      <c r="Q317" s="761"/>
      <c r="R317" s="761"/>
      <c r="S317" s="761"/>
      <c r="T317" s="761">
        <f>SUM(T312+T314-T315)</f>
        <v>0</v>
      </c>
      <c r="U317" s="761"/>
      <c r="V317" s="761"/>
      <c r="W317" s="761"/>
      <c r="X317" s="760">
        <f>SUM(X312+X314-X315)</f>
        <v>0</v>
      </c>
      <c r="Y317" s="760"/>
      <c r="Z317" s="760"/>
      <c r="AA317" s="760"/>
      <c r="AB317" s="760"/>
      <c r="AC317" s="760">
        <f>SUM(AC312+AC314-AC315)</f>
        <v>3525.13</v>
      </c>
      <c r="AD317" s="760"/>
      <c r="AE317" s="760"/>
      <c r="AF317" s="760"/>
      <c r="AG317" s="760"/>
      <c r="AH317" s="760"/>
      <c r="AI317" s="760"/>
      <c r="AJ317" s="760"/>
      <c r="AK317" s="760"/>
      <c r="AL317" s="760"/>
      <c r="AM317" s="760"/>
      <c r="AN317" s="760"/>
      <c r="AO317" s="760"/>
      <c r="AP317" s="760"/>
      <c r="AQ317" s="760"/>
      <c r="AR317" s="760"/>
      <c r="AS317" s="760"/>
      <c r="AT317" s="754">
        <f>SUM(L317:AS318)</f>
        <v>3624.71</v>
      </c>
      <c r="AU317" s="754"/>
      <c r="AV317" s="754"/>
      <c r="AW317" s="754"/>
      <c r="AX317" s="754"/>
    </row>
    <row r="318" spans="1:50" ht="12.6" customHeight="1" x14ac:dyDescent="0.25">
      <c r="A318" s="251" t="s">
        <v>1473</v>
      </c>
      <c r="B318" s="261"/>
      <c r="C318" s="247"/>
      <c r="D318" s="247"/>
      <c r="E318" s="247"/>
      <c r="F318" s="247"/>
      <c r="G318" s="247"/>
      <c r="H318" s="247"/>
      <c r="I318" s="247"/>
      <c r="J318" s="247"/>
      <c r="K318" s="247"/>
      <c r="L318" s="760"/>
      <c r="M318" s="760"/>
      <c r="N318" s="760"/>
      <c r="O318" s="760"/>
      <c r="P318" s="761"/>
      <c r="Q318" s="761"/>
      <c r="R318" s="761"/>
      <c r="S318" s="761"/>
      <c r="T318" s="761"/>
      <c r="U318" s="761"/>
      <c r="V318" s="761"/>
      <c r="W318" s="761"/>
      <c r="X318" s="760"/>
      <c r="Y318" s="760"/>
      <c r="Z318" s="760"/>
      <c r="AA318" s="760"/>
      <c r="AB318" s="760"/>
      <c r="AC318" s="760"/>
      <c r="AD318" s="760"/>
      <c r="AE318" s="760"/>
      <c r="AF318" s="760"/>
      <c r="AG318" s="760"/>
      <c r="AH318" s="760"/>
      <c r="AI318" s="760"/>
      <c r="AJ318" s="760"/>
      <c r="AK318" s="760"/>
      <c r="AL318" s="760"/>
      <c r="AM318" s="760"/>
      <c r="AN318" s="760"/>
      <c r="AO318" s="760"/>
      <c r="AP318" s="760"/>
      <c r="AQ318" s="760"/>
      <c r="AR318" s="760"/>
      <c r="AS318" s="760"/>
      <c r="AT318" s="754"/>
      <c r="AU318" s="754"/>
      <c r="AV318" s="754"/>
      <c r="AW318" s="754"/>
      <c r="AX318" s="754"/>
    </row>
    <row r="319" spans="1:50" ht="12.6" customHeight="1" x14ac:dyDescent="0.25">
      <c r="A319" s="208" t="s">
        <v>1479</v>
      </c>
      <c r="B319" s="208"/>
      <c r="C319" s="208"/>
      <c r="D319" s="208"/>
      <c r="E319" s="208"/>
      <c r="F319" s="208"/>
      <c r="G319" s="208"/>
      <c r="H319" s="208"/>
      <c r="I319" s="208"/>
      <c r="J319" s="208"/>
      <c r="K319" s="208"/>
      <c r="L319" s="262"/>
      <c r="M319" s="262"/>
      <c r="N319" s="262"/>
      <c r="O319" s="262"/>
      <c r="P319" s="262"/>
      <c r="Q319" s="262"/>
      <c r="R319" s="262"/>
      <c r="S319" s="262"/>
      <c r="T319" s="262"/>
      <c r="U319" s="262"/>
      <c r="V319" s="262"/>
      <c r="W319" s="262"/>
      <c r="X319" s="262"/>
      <c r="Y319" s="262"/>
      <c r="Z319" s="262"/>
      <c r="AA319" s="262"/>
      <c r="AB319" s="262"/>
      <c r="AC319" s="262"/>
      <c r="AD319" s="262"/>
      <c r="AE319" s="262"/>
      <c r="AF319" s="262"/>
      <c r="AG319" s="262"/>
      <c r="AH319" s="262"/>
      <c r="AI319" s="262"/>
      <c r="AJ319" s="262"/>
      <c r="AK319" s="262"/>
      <c r="AL319" s="262"/>
      <c r="AM319" s="262"/>
      <c r="AN319" s="262"/>
      <c r="AO319" s="262"/>
      <c r="AP319" s="262"/>
      <c r="AQ319" s="262"/>
      <c r="AR319" s="262"/>
      <c r="AS319" s="262"/>
      <c r="AT319" s="263"/>
      <c r="AU319" s="263"/>
      <c r="AV319" s="263"/>
      <c r="AW319" s="263"/>
      <c r="AX319" s="256"/>
    </row>
    <row r="320" spans="1:50" ht="12.6" customHeight="1" x14ac:dyDescent="0.25">
      <c r="A320" s="241" t="s">
        <v>1472</v>
      </c>
      <c r="B320" s="249"/>
      <c r="C320" s="249"/>
      <c r="D320" s="249"/>
      <c r="E320" s="249"/>
      <c r="F320" s="249"/>
      <c r="G320" s="249"/>
      <c r="H320" s="249"/>
      <c r="I320" s="249"/>
      <c r="J320" s="249"/>
      <c r="K320" s="249"/>
      <c r="L320" s="751">
        <f>SUM(L325-L324+L323-L322)</f>
        <v>0</v>
      </c>
      <c r="M320" s="751"/>
      <c r="N320" s="751"/>
      <c r="O320" s="751"/>
      <c r="P320" s="752">
        <f>SUM(P325-P324+P323-P322)</f>
        <v>0</v>
      </c>
      <c r="Q320" s="752"/>
      <c r="R320" s="752"/>
      <c r="S320" s="752"/>
      <c r="T320" s="752">
        <f>SUM(T325-T324+T323-T322)</f>
        <v>0</v>
      </c>
      <c r="U320" s="752"/>
      <c r="V320" s="752"/>
      <c r="W320" s="752"/>
      <c r="X320" s="751">
        <f>SUM(X325-X324+X323-X322)</f>
        <v>0</v>
      </c>
      <c r="Y320" s="751"/>
      <c r="Z320" s="751"/>
      <c r="AA320" s="751"/>
      <c r="AB320" s="751"/>
      <c r="AC320" s="751">
        <f>SUM(AC325-AC324+AC323-AC322)</f>
        <v>0</v>
      </c>
      <c r="AD320" s="751"/>
      <c r="AE320" s="751"/>
      <c r="AF320" s="751"/>
      <c r="AG320" s="751"/>
      <c r="AH320" s="751">
        <f>SUM(AH325-AH324+AH323-AH322)</f>
        <v>0</v>
      </c>
      <c r="AI320" s="751"/>
      <c r="AJ320" s="751"/>
      <c r="AK320" s="751"/>
      <c r="AL320" s="751"/>
      <c r="AM320" s="751">
        <f>SUM(AM325-AM324+AM323-AM322)</f>
        <v>0</v>
      </c>
      <c r="AN320" s="751"/>
      <c r="AO320" s="751"/>
      <c r="AP320" s="751"/>
      <c r="AQ320" s="751"/>
      <c r="AR320" s="751"/>
      <c r="AS320" s="751"/>
      <c r="AT320" s="754">
        <f>SUM(L320:AS321)</f>
        <v>0</v>
      </c>
      <c r="AU320" s="754"/>
      <c r="AV320" s="754"/>
      <c r="AW320" s="754"/>
      <c r="AX320" s="754"/>
    </row>
    <row r="321" spans="1:54" ht="12.6" customHeight="1" x14ac:dyDescent="0.25">
      <c r="A321" s="251" t="s">
        <v>1473</v>
      </c>
      <c r="B321" s="247"/>
      <c r="C321" s="247"/>
      <c r="D321" s="247"/>
      <c r="E321" s="247"/>
      <c r="F321" s="247"/>
      <c r="G321" s="247"/>
      <c r="H321" s="247"/>
      <c r="I321" s="247"/>
      <c r="J321" s="247"/>
      <c r="K321" s="247"/>
      <c r="L321" s="751"/>
      <c r="M321" s="751"/>
      <c r="N321" s="751"/>
      <c r="O321" s="751"/>
      <c r="P321" s="752"/>
      <c r="Q321" s="752"/>
      <c r="R321" s="752"/>
      <c r="S321" s="752"/>
      <c r="T321" s="752"/>
      <c r="U321" s="752"/>
      <c r="V321" s="752"/>
      <c r="W321" s="752"/>
      <c r="X321" s="751"/>
      <c r="Y321" s="751"/>
      <c r="Z321" s="751"/>
      <c r="AA321" s="751"/>
      <c r="AB321" s="751"/>
      <c r="AC321" s="751"/>
      <c r="AD321" s="751"/>
      <c r="AE321" s="751"/>
      <c r="AF321" s="751"/>
      <c r="AG321" s="751"/>
      <c r="AH321" s="751"/>
      <c r="AI321" s="751"/>
      <c r="AJ321" s="751"/>
      <c r="AK321" s="751"/>
      <c r="AL321" s="751"/>
      <c r="AM321" s="751"/>
      <c r="AN321" s="751"/>
      <c r="AO321" s="751"/>
      <c r="AP321" s="751"/>
      <c r="AQ321" s="751"/>
      <c r="AR321" s="751"/>
      <c r="AS321" s="751"/>
      <c r="AT321" s="754"/>
      <c r="AU321" s="754"/>
      <c r="AV321" s="754"/>
      <c r="AW321" s="754"/>
      <c r="AX321" s="754"/>
    </row>
    <row r="322" spans="1:54" ht="12.6" customHeight="1" x14ac:dyDescent="0.25">
      <c r="A322" s="253" t="s">
        <v>1474</v>
      </c>
      <c r="B322" s="246"/>
      <c r="C322" s="246"/>
      <c r="D322" s="246"/>
      <c r="E322" s="246"/>
      <c r="F322" s="246"/>
      <c r="G322" s="246"/>
      <c r="H322" s="246"/>
      <c r="I322" s="246"/>
      <c r="J322" s="246"/>
      <c r="K322" s="246"/>
      <c r="L322" s="758"/>
      <c r="M322" s="758"/>
      <c r="N322" s="758"/>
      <c r="O322" s="758"/>
      <c r="P322" s="758"/>
      <c r="Q322" s="758"/>
      <c r="R322" s="758"/>
      <c r="S322" s="758"/>
      <c r="T322" s="762"/>
      <c r="U322" s="762"/>
      <c r="V322" s="762"/>
      <c r="W322" s="762"/>
      <c r="X322" s="757"/>
      <c r="Y322" s="757"/>
      <c r="Z322" s="757"/>
      <c r="AA322" s="757"/>
      <c r="AB322" s="757"/>
      <c r="AC322" s="757"/>
      <c r="AD322" s="757"/>
      <c r="AE322" s="757"/>
      <c r="AF322" s="757"/>
      <c r="AG322" s="757"/>
      <c r="AH322" s="757"/>
      <c r="AI322" s="757"/>
      <c r="AJ322" s="757"/>
      <c r="AK322" s="757"/>
      <c r="AL322" s="757"/>
      <c r="AM322" s="757"/>
      <c r="AN322" s="757"/>
      <c r="AO322" s="757"/>
      <c r="AP322" s="757"/>
      <c r="AQ322" s="757"/>
      <c r="AR322" s="757"/>
      <c r="AS322" s="757"/>
      <c r="AT322" s="754">
        <f>SUM(L322:AS322)</f>
        <v>0</v>
      </c>
      <c r="AU322" s="754"/>
      <c r="AV322" s="754"/>
      <c r="AW322" s="754"/>
      <c r="AX322" s="754"/>
    </row>
    <row r="323" spans="1:54" ht="12.6" customHeight="1" x14ac:dyDescent="0.25">
      <c r="A323" s="253" t="s">
        <v>1475</v>
      </c>
      <c r="B323" s="246"/>
      <c r="C323" s="246"/>
      <c r="D323" s="246"/>
      <c r="E323" s="246"/>
      <c r="F323" s="246"/>
      <c r="G323" s="246"/>
      <c r="H323" s="246"/>
      <c r="I323" s="246"/>
      <c r="J323" s="246"/>
      <c r="K323" s="246"/>
      <c r="L323" s="757"/>
      <c r="M323" s="757"/>
      <c r="N323" s="757"/>
      <c r="O323" s="757"/>
      <c r="P323" s="758"/>
      <c r="Q323" s="758"/>
      <c r="R323" s="758"/>
      <c r="S323" s="758"/>
      <c r="T323" s="762"/>
      <c r="U323" s="762"/>
      <c r="V323" s="762"/>
      <c r="W323" s="762"/>
      <c r="X323" s="757"/>
      <c r="Y323" s="757"/>
      <c r="Z323" s="757"/>
      <c r="AA323" s="757"/>
      <c r="AB323" s="757"/>
      <c r="AC323" s="757"/>
      <c r="AD323" s="757"/>
      <c r="AE323" s="757"/>
      <c r="AF323" s="757"/>
      <c r="AG323" s="757"/>
      <c r="AH323" s="757"/>
      <c r="AI323" s="757"/>
      <c r="AJ323" s="757"/>
      <c r="AK323" s="757"/>
      <c r="AL323" s="757"/>
      <c r="AM323" s="757"/>
      <c r="AN323" s="757"/>
      <c r="AO323" s="757"/>
      <c r="AP323" s="757"/>
      <c r="AQ323" s="757"/>
      <c r="AR323" s="757"/>
      <c r="AS323" s="757"/>
      <c r="AT323" s="754">
        <f>SUM(L323:AS323)</f>
        <v>0</v>
      </c>
      <c r="AU323" s="754"/>
      <c r="AV323" s="754"/>
      <c r="AW323" s="754"/>
      <c r="AX323" s="754"/>
    </row>
    <row r="324" spans="1:54" ht="12.6" customHeight="1" x14ac:dyDescent="0.25">
      <c r="A324" s="253" t="s">
        <v>1476</v>
      </c>
      <c r="B324" s="246"/>
      <c r="C324" s="246"/>
      <c r="D324" s="246"/>
      <c r="E324" s="246"/>
      <c r="F324" s="246"/>
      <c r="G324" s="246"/>
      <c r="H324" s="246"/>
      <c r="I324" s="246"/>
      <c r="J324" s="246"/>
      <c r="K324" s="246"/>
      <c r="L324" s="757"/>
      <c r="M324" s="757"/>
      <c r="N324" s="757"/>
      <c r="O324" s="757"/>
      <c r="P324" s="758"/>
      <c r="Q324" s="758"/>
      <c r="R324" s="758"/>
      <c r="S324" s="758"/>
      <c r="T324" s="762"/>
      <c r="U324" s="762"/>
      <c r="V324" s="762"/>
      <c r="W324" s="762"/>
      <c r="X324" s="757"/>
      <c r="Y324" s="757"/>
      <c r="Z324" s="757"/>
      <c r="AA324" s="757"/>
      <c r="AB324" s="757"/>
      <c r="AC324" s="757"/>
      <c r="AD324" s="757"/>
      <c r="AE324" s="757"/>
      <c r="AF324" s="757"/>
      <c r="AG324" s="757"/>
      <c r="AH324" s="757"/>
      <c r="AI324" s="757"/>
      <c r="AJ324" s="757"/>
      <c r="AK324" s="757"/>
      <c r="AL324" s="757"/>
      <c r="AM324" s="757"/>
      <c r="AN324" s="757"/>
      <c r="AO324" s="757"/>
      <c r="AP324" s="757"/>
      <c r="AQ324" s="757"/>
      <c r="AR324" s="757"/>
      <c r="AS324" s="757"/>
      <c r="AT324" s="754">
        <f>SUM(L324:AS324)</f>
        <v>0</v>
      </c>
      <c r="AU324" s="754"/>
      <c r="AV324" s="754"/>
      <c r="AW324" s="754"/>
      <c r="AX324" s="754"/>
    </row>
    <row r="325" spans="1:54" ht="12.6" customHeight="1" x14ac:dyDescent="0.25">
      <c r="A325" s="243" t="s">
        <v>1477</v>
      </c>
      <c r="B325" s="208"/>
      <c r="C325" s="208"/>
      <c r="D325" s="208"/>
      <c r="E325" s="208"/>
      <c r="F325" s="208"/>
      <c r="G325" s="208"/>
      <c r="H325" s="208"/>
      <c r="I325" s="208"/>
      <c r="J325" s="208"/>
      <c r="K325" s="208"/>
      <c r="L325" s="760">
        <f>SUM(ANALYTIKAVUJ!$D$26)*-1</f>
        <v>0</v>
      </c>
      <c r="M325" s="760"/>
      <c r="N325" s="760"/>
      <c r="O325" s="760"/>
      <c r="P325" s="761">
        <f>SUM(ANALYTIKAVUJ!$D$27)*-1</f>
        <v>0</v>
      </c>
      <c r="Q325" s="761"/>
      <c r="R325" s="761"/>
      <c r="S325" s="761"/>
      <c r="T325" s="761">
        <f>SUM(ANALYTIKAVUJ!$D$28)*-1</f>
        <v>0</v>
      </c>
      <c r="U325" s="761"/>
      <c r="V325" s="761"/>
      <c r="W325" s="761"/>
      <c r="X325" s="760">
        <f>SUM(ANALYTIKAVUJ!$D$29)*-1</f>
        <v>0</v>
      </c>
      <c r="Y325" s="760"/>
      <c r="Z325" s="760"/>
      <c r="AA325" s="760"/>
      <c r="AB325" s="760"/>
      <c r="AC325" s="760">
        <f>SUM(ANALYTIKAVUJ!$D$30)*-1</f>
        <v>0</v>
      </c>
      <c r="AD325" s="760"/>
      <c r="AE325" s="760"/>
      <c r="AF325" s="760"/>
      <c r="AG325" s="760"/>
      <c r="AH325" s="760">
        <f>SUM('HL KNIHA VYPOC'!$K$73)*-1</f>
        <v>0</v>
      </c>
      <c r="AI325" s="760"/>
      <c r="AJ325" s="760"/>
      <c r="AK325" s="760"/>
      <c r="AL325" s="760"/>
      <c r="AM325" s="760">
        <f>SUM(ANALYTIKAVUJ!$D$41)*-1</f>
        <v>0</v>
      </c>
      <c r="AN325" s="760"/>
      <c r="AO325" s="760"/>
      <c r="AP325" s="760"/>
      <c r="AQ325" s="760"/>
      <c r="AR325" s="760"/>
      <c r="AS325" s="760"/>
      <c r="AT325" s="754">
        <f>SUM(L325:AS326)</f>
        <v>0</v>
      </c>
      <c r="AU325" s="754"/>
      <c r="AV325" s="754"/>
      <c r="AW325" s="754"/>
      <c r="AX325" s="754"/>
    </row>
    <row r="326" spans="1:54" ht="12.6" customHeight="1" x14ac:dyDescent="0.25">
      <c r="A326" s="251" t="s">
        <v>1473</v>
      </c>
      <c r="B326" s="247"/>
      <c r="C326" s="247"/>
      <c r="D326" s="247"/>
      <c r="E326" s="247"/>
      <c r="F326" s="247"/>
      <c r="G326" s="247"/>
      <c r="H326" s="247"/>
      <c r="I326" s="247"/>
      <c r="J326" s="247"/>
      <c r="K326" s="247"/>
      <c r="L326" s="760"/>
      <c r="M326" s="760"/>
      <c r="N326" s="760"/>
      <c r="O326" s="760"/>
      <c r="P326" s="761"/>
      <c r="Q326" s="761"/>
      <c r="R326" s="761"/>
      <c r="S326" s="761"/>
      <c r="T326" s="761"/>
      <c r="U326" s="761"/>
      <c r="V326" s="761"/>
      <c r="W326" s="761"/>
      <c r="X326" s="760"/>
      <c r="Y326" s="760"/>
      <c r="Z326" s="760"/>
      <c r="AA326" s="760"/>
      <c r="AB326" s="760"/>
      <c r="AC326" s="760"/>
      <c r="AD326" s="760"/>
      <c r="AE326" s="760"/>
      <c r="AF326" s="760"/>
      <c r="AG326" s="760"/>
      <c r="AH326" s="760"/>
      <c r="AI326" s="760"/>
      <c r="AJ326" s="760"/>
      <c r="AK326" s="760"/>
      <c r="AL326" s="760"/>
      <c r="AM326" s="760"/>
      <c r="AN326" s="760"/>
      <c r="AO326" s="760"/>
      <c r="AP326" s="760"/>
      <c r="AQ326" s="760"/>
      <c r="AR326" s="760"/>
      <c r="AS326" s="760"/>
      <c r="AT326" s="754"/>
      <c r="AU326" s="754"/>
      <c r="AV326" s="754"/>
      <c r="AW326" s="754"/>
      <c r="AX326" s="754"/>
    </row>
    <row r="327" spans="1:54" ht="12.6" customHeight="1" x14ac:dyDescent="0.25">
      <c r="A327" s="208" t="s">
        <v>1480</v>
      </c>
      <c r="B327" s="208"/>
      <c r="C327" s="208"/>
      <c r="D327" s="208"/>
      <c r="E327" s="208"/>
      <c r="F327" s="208"/>
      <c r="G327" s="208"/>
      <c r="H327" s="208"/>
      <c r="I327" s="208"/>
      <c r="J327" s="208"/>
      <c r="K327" s="208"/>
      <c r="L327" s="262"/>
      <c r="M327" s="262"/>
      <c r="N327" s="262"/>
      <c r="O327" s="262"/>
      <c r="P327" s="262"/>
      <c r="Q327" s="262"/>
      <c r="R327" s="262"/>
      <c r="S327" s="262"/>
      <c r="T327" s="262"/>
      <c r="U327" s="262"/>
      <c r="V327" s="262"/>
      <c r="W327" s="262"/>
      <c r="X327" s="262"/>
      <c r="Y327" s="262"/>
      <c r="Z327" s="262"/>
      <c r="AA327" s="262"/>
      <c r="AB327" s="262"/>
      <c r="AC327" s="262"/>
      <c r="AD327" s="262"/>
      <c r="AE327" s="262"/>
      <c r="AF327" s="262"/>
      <c r="AG327" s="262"/>
      <c r="AH327" s="262"/>
      <c r="AI327" s="262"/>
      <c r="AJ327" s="262"/>
      <c r="AK327" s="262"/>
      <c r="AL327" s="262"/>
      <c r="AM327" s="262"/>
      <c r="AN327" s="262"/>
      <c r="AO327" s="262"/>
      <c r="AP327" s="262"/>
      <c r="AQ327" s="262"/>
      <c r="AR327" s="262"/>
      <c r="AS327" s="262"/>
      <c r="AT327" s="263"/>
      <c r="AU327" s="263"/>
      <c r="AV327" s="263"/>
      <c r="AW327" s="263"/>
      <c r="AX327" s="256"/>
    </row>
    <row r="328" spans="1:54" ht="12.6" customHeight="1" x14ac:dyDescent="0.25">
      <c r="A328" s="241" t="s">
        <v>1472</v>
      </c>
      <c r="B328" s="249"/>
      <c r="C328" s="249"/>
      <c r="D328" s="249"/>
      <c r="E328" s="249"/>
      <c r="F328" s="249"/>
      <c r="G328" s="249"/>
      <c r="H328" s="249"/>
      <c r="I328" s="249"/>
      <c r="J328" s="249"/>
      <c r="K328" s="250"/>
      <c r="L328" s="751">
        <f>SUM(L304-L312-L320)</f>
        <v>0</v>
      </c>
      <c r="M328" s="751"/>
      <c r="N328" s="751"/>
      <c r="O328" s="751"/>
      <c r="P328" s="752">
        <f>SUM(P304-P312-P320)</f>
        <v>0</v>
      </c>
      <c r="Q328" s="752"/>
      <c r="R328" s="752"/>
      <c r="S328" s="752"/>
      <c r="T328" s="752">
        <f>SUM(T304-T312-T320)</f>
        <v>0</v>
      </c>
      <c r="U328" s="752"/>
      <c r="V328" s="752"/>
      <c r="W328" s="752"/>
      <c r="X328" s="751">
        <f>SUM(X304-X312-X320)</f>
        <v>0</v>
      </c>
      <c r="Y328" s="751"/>
      <c r="Z328" s="751"/>
      <c r="AA328" s="751"/>
      <c r="AB328" s="751"/>
      <c r="AC328" s="751">
        <f>SUM(AC304-AC312-AC320)</f>
        <v>0</v>
      </c>
      <c r="AD328" s="751"/>
      <c r="AE328" s="751"/>
      <c r="AF328" s="751"/>
      <c r="AG328" s="751"/>
      <c r="AH328" s="751">
        <f>SUM(AH304-AH312-AH320)</f>
        <v>0</v>
      </c>
      <c r="AI328" s="751"/>
      <c r="AJ328" s="751"/>
      <c r="AK328" s="751"/>
      <c r="AL328" s="751"/>
      <c r="AM328" s="751">
        <f>SUM(AM304-AM312-AM320)</f>
        <v>0</v>
      </c>
      <c r="AN328" s="751"/>
      <c r="AO328" s="751"/>
      <c r="AP328" s="751"/>
      <c r="AQ328" s="751"/>
      <c r="AR328" s="751"/>
      <c r="AS328" s="751"/>
      <c r="AT328" s="754">
        <f>SUM(L328:AS329)</f>
        <v>0</v>
      </c>
      <c r="AU328" s="754"/>
      <c r="AV328" s="754"/>
      <c r="AW328" s="754"/>
      <c r="AX328" s="754"/>
    </row>
    <row r="329" spans="1:54" ht="12.6" customHeight="1" x14ac:dyDescent="0.25">
      <c r="A329" s="251" t="s">
        <v>1473</v>
      </c>
      <c r="B329" s="247"/>
      <c r="C329" s="247"/>
      <c r="D329" s="247"/>
      <c r="E329" s="247"/>
      <c r="F329" s="247"/>
      <c r="G329" s="247"/>
      <c r="H329" s="247"/>
      <c r="I329" s="247"/>
      <c r="J329" s="247"/>
      <c r="K329" s="252"/>
      <c r="L329" s="751"/>
      <c r="M329" s="751"/>
      <c r="N329" s="751"/>
      <c r="O329" s="751"/>
      <c r="P329" s="752"/>
      <c r="Q329" s="752"/>
      <c r="R329" s="752"/>
      <c r="S329" s="752"/>
      <c r="T329" s="752"/>
      <c r="U329" s="752"/>
      <c r="V329" s="752"/>
      <c r="W329" s="752"/>
      <c r="X329" s="751"/>
      <c r="Y329" s="751"/>
      <c r="Z329" s="751"/>
      <c r="AA329" s="751"/>
      <c r="AB329" s="751"/>
      <c r="AC329" s="751"/>
      <c r="AD329" s="751"/>
      <c r="AE329" s="751"/>
      <c r="AF329" s="751"/>
      <c r="AG329" s="751"/>
      <c r="AH329" s="751"/>
      <c r="AI329" s="751"/>
      <c r="AJ329" s="751"/>
      <c r="AK329" s="751"/>
      <c r="AL329" s="751"/>
      <c r="AM329" s="751"/>
      <c r="AN329" s="751"/>
      <c r="AO329" s="751"/>
      <c r="AP329" s="751"/>
      <c r="AQ329" s="751"/>
      <c r="AR329" s="751"/>
      <c r="AS329" s="751"/>
      <c r="AT329" s="754"/>
      <c r="AU329" s="754"/>
      <c r="AV329" s="754"/>
      <c r="AW329" s="754"/>
      <c r="AX329" s="754"/>
    </row>
    <row r="330" spans="1:54" ht="12.6" customHeight="1" x14ac:dyDescent="0.25">
      <c r="A330" s="243" t="s">
        <v>1477</v>
      </c>
      <c r="B330" s="208"/>
      <c r="C330" s="208"/>
      <c r="D330" s="208"/>
      <c r="E330" s="208"/>
      <c r="F330" s="208"/>
      <c r="G330" s="208"/>
      <c r="H330" s="208"/>
      <c r="I330" s="208"/>
      <c r="J330" s="208"/>
      <c r="K330" s="245"/>
      <c r="L330" s="760">
        <f>SUM(L309-L317-L325)</f>
        <v>0</v>
      </c>
      <c r="M330" s="760"/>
      <c r="N330" s="760"/>
      <c r="O330" s="760"/>
      <c r="P330" s="761">
        <f>SUM(P309-P317-P325)</f>
        <v>0</v>
      </c>
      <c r="Q330" s="761"/>
      <c r="R330" s="761"/>
      <c r="S330" s="761"/>
      <c r="T330" s="761">
        <f>SUM(T309-T317-T325)</f>
        <v>0</v>
      </c>
      <c r="U330" s="761"/>
      <c r="V330" s="761"/>
      <c r="W330" s="761"/>
      <c r="X330" s="760">
        <f>SUM(X309-X317-X325)</f>
        <v>0</v>
      </c>
      <c r="Y330" s="760"/>
      <c r="Z330" s="760"/>
      <c r="AA330" s="760"/>
      <c r="AB330" s="760"/>
      <c r="AC330" s="760">
        <f>SUM(AC309-AC317-AC325)</f>
        <v>0</v>
      </c>
      <c r="AD330" s="760"/>
      <c r="AE330" s="760"/>
      <c r="AF330" s="760"/>
      <c r="AG330" s="760"/>
      <c r="AH330" s="760">
        <f>SUM(AH309-AH317-AH325)</f>
        <v>0</v>
      </c>
      <c r="AI330" s="760"/>
      <c r="AJ330" s="760"/>
      <c r="AK330" s="760"/>
      <c r="AL330" s="760"/>
      <c r="AM330" s="760">
        <f>SUM(AM309-AM317-AM325)</f>
        <v>0</v>
      </c>
      <c r="AN330" s="760"/>
      <c r="AO330" s="760"/>
      <c r="AP330" s="760"/>
      <c r="AQ330" s="760"/>
      <c r="AR330" s="760"/>
      <c r="AS330" s="760"/>
      <c r="AT330" s="754">
        <f>SUM(L330:AS331)</f>
        <v>0</v>
      </c>
      <c r="AU330" s="754"/>
      <c r="AV330" s="754"/>
      <c r="AW330" s="754"/>
      <c r="AX330" s="754"/>
    </row>
    <row r="331" spans="1:54" ht="12.6" customHeight="1" x14ac:dyDescent="0.25">
      <c r="A331" s="251" t="s">
        <v>1473</v>
      </c>
      <c r="B331" s="247"/>
      <c r="C331" s="247"/>
      <c r="D331" s="247"/>
      <c r="E331" s="247"/>
      <c r="F331" s="247"/>
      <c r="G331" s="247"/>
      <c r="H331" s="247"/>
      <c r="I331" s="247"/>
      <c r="J331" s="247"/>
      <c r="K331" s="252"/>
      <c r="L331" s="760"/>
      <c r="M331" s="760"/>
      <c r="N331" s="760"/>
      <c r="O331" s="760"/>
      <c r="P331" s="761"/>
      <c r="Q331" s="761"/>
      <c r="R331" s="761"/>
      <c r="S331" s="761"/>
      <c r="T331" s="761"/>
      <c r="U331" s="761"/>
      <c r="V331" s="761"/>
      <c r="W331" s="761"/>
      <c r="X331" s="760"/>
      <c r="Y331" s="760"/>
      <c r="Z331" s="760"/>
      <c r="AA331" s="760"/>
      <c r="AB331" s="760"/>
      <c r="AC331" s="760"/>
      <c r="AD331" s="760"/>
      <c r="AE331" s="760"/>
      <c r="AF331" s="760"/>
      <c r="AG331" s="760"/>
      <c r="AH331" s="760"/>
      <c r="AI331" s="760"/>
      <c r="AJ331" s="760"/>
      <c r="AK331" s="760"/>
      <c r="AL331" s="760"/>
      <c r="AM331" s="760"/>
      <c r="AN331" s="760"/>
      <c r="AO331" s="760"/>
      <c r="AP331" s="760"/>
      <c r="AQ331" s="760"/>
      <c r="AR331" s="760"/>
      <c r="AS331" s="760"/>
      <c r="AT331" s="754"/>
      <c r="AU331" s="754"/>
      <c r="AV331" s="754"/>
      <c r="AW331" s="754"/>
      <c r="AX331" s="754"/>
    </row>
    <row r="332" spans="1:54" ht="12.6" customHeight="1" x14ac:dyDescent="0.25">
      <c r="A332" s="227" t="s">
        <v>1482</v>
      </c>
    </row>
    <row r="333" spans="1:54" ht="15" customHeight="1" x14ac:dyDescent="0.25">
      <c r="A333" s="763"/>
      <c r="B333" s="763"/>
      <c r="C333" s="763"/>
      <c r="D333" s="763"/>
      <c r="E333" s="763"/>
      <c r="F333" s="763"/>
      <c r="G333" s="763"/>
      <c r="H333" s="763"/>
      <c r="I333" s="763"/>
      <c r="J333" s="763"/>
      <c r="K333" s="763"/>
      <c r="L333" s="763"/>
      <c r="M333" s="763"/>
      <c r="N333" s="763"/>
      <c r="O333" s="763"/>
      <c r="P333" s="763"/>
      <c r="Q333" s="763"/>
      <c r="R333" s="763"/>
      <c r="S333" s="763"/>
      <c r="T333" s="763"/>
      <c r="U333" s="763"/>
      <c r="V333" s="763"/>
      <c r="W333" s="763"/>
      <c r="X333" s="763"/>
      <c r="Y333" s="763"/>
      <c r="Z333" s="763"/>
      <c r="AA333" s="763"/>
      <c r="AB333" s="763"/>
      <c r="AC333" s="763"/>
      <c r="AD333" s="763"/>
      <c r="AE333" s="763"/>
      <c r="AF333" s="763"/>
      <c r="AG333" s="763"/>
      <c r="AH333" s="763"/>
      <c r="AI333" s="763"/>
      <c r="AJ333" s="763"/>
      <c r="AK333" s="763"/>
      <c r="AL333" s="763"/>
      <c r="AM333" s="763"/>
      <c r="AN333" s="763"/>
      <c r="AO333" s="763"/>
      <c r="AP333" s="763"/>
      <c r="AQ333" s="763"/>
      <c r="AR333" s="763"/>
      <c r="AS333" s="763"/>
      <c r="AT333" s="763"/>
      <c r="AU333" s="763"/>
      <c r="AV333" s="763"/>
      <c r="AW333" s="763"/>
      <c r="AX333" s="763"/>
      <c r="AY333" s="265"/>
      <c r="AZ333" s="265"/>
      <c r="BA333" s="265"/>
      <c r="BB333" s="265"/>
    </row>
    <row r="334" spans="1:54" ht="15" customHeight="1" x14ac:dyDescent="0.25">
      <c r="A334" s="763"/>
      <c r="B334" s="763"/>
      <c r="C334" s="763"/>
      <c r="D334" s="763"/>
      <c r="E334" s="763"/>
      <c r="F334" s="763"/>
      <c r="G334" s="763"/>
      <c r="H334" s="763"/>
      <c r="I334" s="763"/>
      <c r="J334" s="763"/>
      <c r="K334" s="763"/>
      <c r="L334" s="763"/>
      <c r="M334" s="763"/>
      <c r="N334" s="763"/>
      <c r="O334" s="763"/>
      <c r="P334" s="763"/>
      <c r="Q334" s="763"/>
      <c r="R334" s="763"/>
      <c r="S334" s="763"/>
      <c r="T334" s="763"/>
      <c r="U334" s="763"/>
      <c r="V334" s="763"/>
      <c r="W334" s="763"/>
      <c r="X334" s="763"/>
      <c r="Y334" s="763"/>
      <c r="Z334" s="763"/>
      <c r="AA334" s="763"/>
      <c r="AB334" s="763"/>
      <c r="AC334" s="763"/>
      <c r="AD334" s="763"/>
      <c r="AE334" s="763"/>
      <c r="AF334" s="763"/>
      <c r="AG334" s="763"/>
      <c r="AH334" s="763"/>
      <c r="AI334" s="763"/>
      <c r="AJ334" s="763"/>
      <c r="AK334" s="763"/>
      <c r="AL334" s="763"/>
      <c r="AM334" s="763"/>
      <c r="AN334" s="763"/>
      <c r="AO334" s="763"/>
      <c r="AP334" s="763"/>
      <c r="AQ334" s="763"/>
      <c r="AR334" s="763"/>
      <c r="AS334" s="763"/>
      <c r="AT334" s="763"/>
      <c r="AU334" s="763"/>
      <c r="AV334" s="763"/>
      <c r="AW334" s="763"/>
      <c r="AX334" s="763"/>
      <c r="AY334" s="265"/>
      <c r="AZ334" s="265"/>
      <c r="BA334" s="265"/>
      <c r="BB334" s="265"/>
    </row>
    <row r="335" spans="1:54" ht="12.6" customHeight="1" x14ac:dyDescent="0.25"/>
    <row r="336" spans="1:54" ht="12.6" customHeight="1" x14ac:dyDescent="0.25">
      <c r="A336" s="227" t="s">
        <v>1483</v>
      </c>
    </row>
    <row r="337" spans="1:57" ht="12.6" customHeight="1" x14ac:dyDescent="0.25">
      <c r="A337" s="706" t="s">
        <v>1484</v>
      </c>
      <c r="B337" s="706"/>
      <c r="C337" s="706"/>
      <c r="D337" s="706"/>
      <c r="E337" s="706"/>
      <c r="F337" s="706"/>
      <c r="G337" s="706"/>
      <c r="H337" s="706"/>
      <c r="I337" s="706"/>
      <c r="J337" s="706"/>
      <c r="K337" s="706"/>
      <c r="L337" s="706"/>
      <c r="M337" s="706"/>
      <c r="N337" s="706"/>
      <c r="O337" s="706"/>
      <c r="P337" s="706"/>
      <c r="Q337" s="706"/>
      <c r="R337" s="706"/>
      <c r="S337" s="706"/>
      <c r="T337" s="706"/>
      <c r="U337" s="706"/>
      <c r="V337" s="706"/>
      <c r="W337" s="706"/>
      <c r="X337" s="706"/>
      <c r="Y337" s="706"/>
      <c r="Z337" s="706"/>
      <c r="AA337" s="706"/>
      <c r="AB337" s="706"/>
      <c r="AC337" s="706"/>
      <c r="AD337" s="706"/>
      <c r="AE337" s="706"/>
      <c r="AF337" s="706"/>
      <c r="AG337" s="706"/>
      <c r="AH337" s="764" t="s">
        <v>1485</v>
      </c>
      <c r="AI337" s="764"/>
      <c r="AJ337" s="764"/>
      <c r="AK337" s="764"/>
      <c r="AL337" s="764"/>
      <c r="AM337" s="764"/>
      <c r="AN337" s="764"/>
      <c r="AO337" s="764"/>
      <c r="AP337" s="764"/>
      <c r="AQ337" s="764"/>
      <c r="AR337" s="764"/>
      <c r="AS337" s="764"/>
      <c r="AT337" s="764"/>
      <c r="AU337" s="764"/>
      <c r="AV337" s="764"/>
      <c r="AW337" s="764"/>
      <c r="AX337" s="764"/>
      <c r="AY337" s="210"/>
      <c r="AZ337" s="211"/>
      <c r="BA337" s="211"/>
      <c r="BB337" s="211"/>
    </row>
    <row r="338" spans="1:57" ht="12.6" customHeight="1" x14ac:dyDescent="0.25">
      <c r="A338" s="706"/>
      <c r="B338" s="706"/>
      <c r="C338" s="706"/>
      <c r="D338" s="706"/>
      <c r="E338" s="706"/>
      <c r="F338" s="706"/>
      <c r="G338" s="706"/>
      <c r="H338" s="706"/>
      <c r="I338" s="706"/>
      <c r="J338" s="706"/>
      <c r="K338" s="706"/>
      <c r="L338" s="706"/>
      <c r="M338" s="706"/>
      <c r="N338" s="706"/>
      <c r="O338" s="706"/>
      <c r="P338" s="706"/>
      <c r="Q338" s="706"/>
      <c r="R338" s="706"/>
      <c r="S338" s="706"/>
      <c r="T338" s="706"/>
      <c r="U338" s="706"/>
      <c r="V338" s="706"/>
      <c r="W338" s="706"/>
      <c r="X338" s="706"/>
      <c r="Y338" s="706"/>
      <c r="Z338" s="706"/>
      <c r="AA338" s="706"/>
      <c r="AB338" s="706"/>
      <c r="AC338" s="706"/>
      <c r="AD338" s="706"/>
      <c r="AE338" s="706"/>
      <c r="AF338" s="706"/>
      <c r="AG338" s="706"/>
      <c r="AH338" s="765" t="s">
        <v>1486</v>
      </c>
      <c r="AI338" s="765"/>
      <c r="AJ338" s="765"/>
      <c r="AK338" s="765"/>
      <c r="AL338" s="765"/>
      <c r="AM338" s="765"/>
      <c r="AN338" s="765"/>
      <c r="AO338" s="765"/>
      <c r="AP338" s="765"/>
      <c r="AQ338" s="765"/>
      <c r="AR338" s="765"/>
      <c r="AS338" s="765"/>
      <c r="AT338" s="765"/>
      <c r="AU338" s="765"/>
      <c r="AV338" s="765"/>
      <c r="AW338" s="765"/>
      <c r="AX338" s="765"/>
      <c r="AY338" s="266"/>
      <c r="AZ338" s="267"/>
      <c r="BA338" s="267"/>
      <c r="BB338" s="267"/>
    </row>
    <row r="339" spans="1:57" ht="12.6" customHeight="1" x14ac:dyDescent="0.25">
      <c r="A339" s="253" t="s">
        <v>1487</v>
      </c>
      <c r="B339" s="246"/>
      <c r="C339" s="246"/>
      <c r="D339" s="246"/>
      <c r="E339" s="246"/>
      <c r="F339" s="246"/>
      <c r="G339" s="246"/>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246"/>
      <c r="AE339" s="246"/>
      <c r="AF339" s="246"/>
      <c r="AG339" s="246"/>
      <c r="AH339" s="766"/>
      <c r="AI339" s="766"/>
      <c r="AJ339" s="766"/>
      <c r="AK339" s="766"/>
      <c r="AL339" s="766"/>
      <c r="AM339" s="766"/>
      <c r="AN339" s="766"/>
      <c r="AO339" s="766"/>
      <c r="AP339" s="766"/>
      <c r="AQ339" s="766"/>
      <c r="AR339" s="766"/>
      <c r="AS339" s="766"/>
      <c r="AT339" s="766"/>
      <c r="AU339" s="766"/>
      <c r="AV339" s="766"/>
      <c r="AW339" s="766"/>
      <c r="AX339" s="766"/>
      <c r="AY339" s="212"/>
      <c r="AZ339" s="213"/>
      <c r="BA339" s="213"/>
      <c r="BB339" s="213"/>
    </row>
    <row r="340" spans="1:57" ht="30.75" customHeight="1" x14ac:dyDescent="0.25">
      <c r="A340" s="767" t="s">
        <v>1488</v>
      </c>
      <c r="B340" s="767"/>
      <c r="C340" s="767"/>
      <c r="D340" s="767"/>
      <c r="E340" s="767"/>
      <c r="F340" s="767"/>
      <c r="G340" s="767"/>
      <c r="H340" s="767"/>
      <c r="I340" s="767"/>
      <c r="J340" s="767"/>
      <c r="K340" s="767"/>
      <c r="L340" s="767"/>
      <c r="M340" s="767"/>
      <c r="N340" s="767"/>
      <c r="O340" s="767"/>
      <c r="P340" s="767"/>
      <c r="Q340" s="767"/>
      <c r="R340" s="767"/>
      <c r="S340" s="767"/>
      <c r="T340" s="767"/>
      <c r="U340" s="767"/>
      <c r="V340" s="767"/>
      <c r="W340" s="767"/>
      <c r="X340" s="767"/>
      <c r="Y340" s="767"/>
      <c r="Z340" s="767"/>
      <c r="AA340" s="767"/>
      <c r="AB340" s="767"/>
      <c r="AC340" s="767"/>
      <c r="AD340" s="767"/>
      <c r="AE340" s="767"/>
      <c r="AF340" s="767"/>
      <c r="AG340" s="767"/>
      <c r="AH340" s="766"/>
      <c r="AI340" s="766"/>
      <c r="AJ340" s="766"/>
      <c r="AK340" s="766"/>
      <c r="AL340" s="766"/>
      <c r="AM340" s="766"/>
      <c r="AN340" s="766"/>
      <c r="AO340" s="766"/>
      <c r="AP340" s="766"/>
      <c r="AQ340" s="766"/>
      <c r="AR340" s="766"/>
      <c r="AS340" s="766"/>
      <c r="AT340" s="766"/>
      <c r="AU340" s="766"/>
      <c r="AV340" s="766"/>
      <c r="AW340" s="766"/>
      <c r="AX340" s="766"/>
      <c r="AY340" s="212"/>
      <c r="AZ340" s="213"/>
      <c r="BA340" s="213"/>
      <c r="BB340" s="213"/>
    </row>
    <row r="341" spans="1:57" ht="12.6" customHeight="1" x14ac:dyDescent="0.25">
      <c r="A341" s="227" t="s">
        <v>1344</v>
      </c>
    </row>
    <row r="342" spans="1:57" ht="15" customHeight="1" x14ac:dyDescent="0.25">
      <c r="A342" s="763"/>
      <c r="B342" s="763"/>
      <c r="C342" s="763"/>
      <c r="D342" s="763"/>
      <c r="E342" s="763"/>
      <c r="F342" s="763"/>
      <c r="G342" s="763"/>
      <c r="H342" s="763"/>
      <c r="I342" s="763"/>
      <c r="J342" s="763"/>
      <c r="K342" s="763"/>
      <c r="L342" s="763"/>
      <c r="M342" s="763"/>
      <c r="N342" s="763"/>
      <c r="O342" s="763"/>
      <c r="P342" s="763"/>
      <c r="Q342" s="763"/>
      <c r="R342" s="763"/>
      <c r="S342" s="763"/>
      <c r="T342" s="763"/>
      <c r="U342" s="763"/>
      <c r="V342" s="763"/>
      <c r="W342" s="763"/>
      <c r="X342" s="763"/>
      <c r="Y342" s="763"/>
      <c r="Z342" s="763"/>
      <c r="AA342" s="763"/>
      <c r="AB342" s="763"/>
      <c r="AC342" s="763"/>
      <c r="AD342" s="763"/>
      <c r="AE342" s="763"/>
      <c r="AF342" s="763"/>
      <c r="AG342" s="763"/>
      <c r="AH342" s="763"/>
      <c r="AI342" s="763"/>
      <c r="AJ342" s="763"/>
      <c r="AK342" s="763"/>
      <c r="AL342" s="763"/>
      <c r="AM342" s="763"/>
      <c r="AN342" s="763"/>
      <c r="AO342" s="763"/>
      <c r="AP342" s="763"/>
      <c r="AQ342" s="763"/>
      <c r="AR342" s="763"/>
      <c r="AS342" s="763"/>
      <c r="AT342" s="763"/>
      <c r="AU342" s="763"/>
      <c r="AV342" s="763"/>
      <c r="AW342" s="763"/>
      <c r="AX342" s="763"/>
      <c r="AY342" s="265"/>
      <c r="AZ342" s="265"/>
      <c r="BA342" s="265"/>
      <c r="BB342" s="265"/>
    </row>
    <row r="343" spans="1:57" ht="15" customHeight="1" x14ac:dyDescent="0.25">
      <c r="A343" s="763"/>
      <c r="B343" s="763"/>
      <c r="C343" s="763"/>
      <c r="D343" s="763"/>
      <c r="E343" s="763"/>
      <c r="F343" s="763"/>
      <c r="G343" s="763"/>
      <c r="H343" s="763"/>
      <c r="I343" s="763"/>
      <c r="J343" s="763"/>
      <c r="K343" s="763"/>
      <c r="L343" s="763"/>
      <c r="M343" s="763"/>
      <c r="N343" s="763"/>
      <c r="O343" s="763"/>
      <c r="P343" s="763"/>
      <c r="Q343" s="763"/>
      <c r="R343" s="763"/>
      <c r="S343" s="763"/>
      <c r="T343" s="763"/>
      <c r="U343" s="763"/>
      <c r="V343" s="763"/>
      <c r="W343" s="763"/>
      <c r="X343" s="763"/>
      <c r="Y343" s="763"/>
      <c r="Z343" s="763"/>
      <c r="AA343" s="763"/>
      <c r="AB343" s="763"/>
      <c r="AC343" s="763"/>
      <c r="AD343" s="763"/>
      <c r="AE343" s="763"/>
      <c r="AF343" s="763"/>
      <c r="AG343" s="763"/>
      <c r="AH343" s="763"/>
      <c r="AI343" s="763"/>
      <c r="AJ343" s="763"/>
      <c r="AK343" s="763"/>
      <c r="AL343" s="763"/>
      <c r="AM343" s="763"/>
      <c r="AN343" s="763"/>
      <c r="AO343" s="763"/>
      <c r="AP343" s="763"/>
      <c r="AQ343" s="763"/>
      <c r="AR343" s="763"/>
      <c r="AS343" s="763"/>
      <c r="AT343" s="763"/>
      <c r="AU343" s="763"/>
      <c r="AV343" s="763"/>
      <c r="AW343" s="763"/>
      <c r="AX343" s="763"/>
      <c r="AY343" s="265"/>
      <c r="AZ343" s="265"/>
      <c r="BA343" s="265"/>
      <c r="BB343" s="265"/>
    </row>
    <row r="344" spans="1:57" ht="0.75" customHeight="1" x14ac:dyDescent="0.25">
      <c r="A344" s="198"/>
      <c r="B344" s="198"/>
      <c r="C344" s="198"/>
      <c r="D344" s="198"/>
      <c r="E344" s="198"/>
      <c r="F344" s="198"/>
      <c r="G344" s="198"/>
      <c r="H344" s="198"/>
      <c r="I344" s="198"/>
      <c r="J344" s="198"/>
      <c r="K344" s="198"/>
      <c r="L344" s="198"/>
      <c r="M344" s="198"/>
      <c r="N344" s="198"/>
      <c r="O344" s="198"/>
      <c r="P344" s="198"/>
      <c r="Q344" s="198"/>
      <c r="R344" s="198"/>
      <c r="S344" s="198"/>
      <c r="T344" s="198"/>
      <c r="U344" s="198"/>
      <c r="V344" s="198"/>
      <c r="W344" s="198"/>
      <c r="X344" s="198"/>
      <c r="Y344" s="198"/>
      <c r="Z344" s="198"/>
      <c r="AA344" s="198"/>
      <c r="AB344" s="198"/>
      <c r="AC344" s="198"/>
      <c r="AD344" s="198"/>
      <c r="AE344" s="198"/>
      <c r="AF344" s="198"/>
      <c r="AG344" s="198"/>
      <c r="AH344" s="198"/>
      <c r="AI344" s="198"/>
      <c r="AJ344" s="198"/>
      <c r="AK344" s="198"/>
      <c r="AL344" s="198"/>
      <c r="AM344" s="198"/>
      <c r="AN344" s="198"/>
      <c r="AO344" s="198"/>
      <c r="AP344" s="198"/>
      <c r="AQ344" s="198"/>
      <c r="AR344" s="198"/>
      <c r="AS344" s="198"/>
      <c r="AT344" s="198"/>
      <c r="AU344" s="198"/>
      <c r="AV344" s="198"/>
      <c r="AW344" s="198"/>
      <c r="AX344" s="198"/>
      <c r="AY344" s="198"/>
      <c r="AZ344" s="198"/>
      <c r="BA344" s="198"/>
      <c r="BB344" s="198"/>
    </row>
    <row r="345" spans="1:57" s="208" customFormat="1" ht="4.5" customHeight="1" x14ac:dyDescent="0.25"/>
    <row r="346" spans="1:57" ht="12.6" customHeight="1" x14ac:dyDescent="0.25">
      <c r="A346" s="227" t="s">
        <v>1489</v>
      </c>
    </row>
    <row r="347" spans="1:57" ht="12.6" customHeight="1" x14ac:dyDescent="0.25">
      <c r="A347" s="29" t="s">
        <v>1316</v>
      </c>
    </row>
    <row r="348" spans="1:57" ht="12.6" customHeight="1" x14ac:dyDescent="0.25">
      <c r="A348" s="241"/>
      <c r="B348" s="242"/>
      <c r="C348" s="242"/>
      <c r="D348" s="242"/>
      <c r="E348" s="242"/>
      <c r="F348" s="242"/>
      <c r="G348" s="242"/>
      <c r="H348" s="707" t="s">
        <v>1288</v>
      </c>
      <c r="I348" s="707"/>
      <c r="J348" s="707"/>
      <c r="K348" s="707"/>
      <c r="L348" s="707"/>
      <c r="M348" s="707"/>
      <c r="N348" s="707"/>
      <c r="O348" s="707"/>
      <c r="P348" s="707"/>
      <c r="Q348" s="707"/>
      <c r="R348" s="707"/>
      <c r="S348" s="707"/>
      <c r="T348" s="707"/>
      <c r="U348" s="707"/>
      <c r="V348" s="707"/>
      <c r="W348" s="707"/>
      <c r="X348" s="707"/>
      <c r="Y348" s="707"/>
      <c r="Z348" s="707"/>
      <c r="AA348" s="707"/>
      <c r="AB348" s="707"/>
      <c r="AC348" s="707"/>
      <c r="AD348" s="707"/>
      <c r="AE348" s="707"/>
      <c r="AF348" s="707"/>
      <c r="AG348" s="707"/>
      <c r="AH348" s="707"/>
      <c r="AI348" s="707"/>
      <c r="AJ348" s="707"/>
      <c r="AK348" s="707"/>
      <c r="AL348" s="707"/>
      <c r="AM348" s="707"/>
      <c r="AN348" s="707"/>
      <c r="AO348" s="707"/>
      <c r="AP348" s="707"/>
      <c r="AQ348" s="707"/>
      <c r="AR348" s="707"/>
      <c r="AS348" s="707"/>
      <c r="AT348" s="707"/>
      <c r="AU348" s="707"/>
      <c r="AV348" s="707"/>
      <c r="AW348" s="707"/>
      <c r="AX348" s="707"/>
      <c r="AY348" s="211"/>
      <c r="AZ348" s="211"/>
      <c r="BA348" s="211"/>
      <c r="BB348" s="211"/>
      <c r="BC348" s="211"/>
    </row>
    <row r="349" spans="1:57" ht="12.6" customHeight="1" x14ac:dyDescent="0.25">
      <c r="A349" s="243"/>
      <c r="B349" s="244"/>
      <c r="C349" s="244"/>
      <c r="D349" s="244"/>
      <c r="E349" s="244"/>
      <c r="F349" s="244"/>
      <c r="G349" s="244"/>
      <c r="H349" s="768"/>
      <c r="I349" s="768"/>
      <c r="J349" s="768"/>
      <c r="K349" s="768"/>
      <c r="L349" s="768"/>
      <c r="M349" s="768"/>
      <c r="N349" s="768"/>
      <c r="O349" s="768"/>
      <c r="P349" s="768"/>
      <c r="Q349" s="768"/>
      <c r="R349" s="768" t="s">
        <v>1490</v>
      </c>
      <c r="S349" s="768"/>
      <c r="T349" s="768"/>
      <c r="U349" s="768"/>
      <c r="V349" s="768"/>
      <c r="W349" s="768"/>
      <c r="X349" s="768"/>
      <c r="Y349" s="768"/>
      <c r="Z349" s="768"/>
      <c r="AA349" s="768"/>
      <c r="AB349" s="768"/>
      <c r="AC349" s="768"/>
      <c r="AD349" s="768"/>
      <c r="AE349" s="768"/>
      <c r="AF349" s="768"/>
      <c r="AG349" s="241"/>
      <c r="AH349" s="242"/>
      <c r="AI349" s="242"/>
      <c r="AJ349" s="268"/>
      <c r="AK349" s="241"/>
      <c r="AL349" s="242"/>
      <c r="AM349" s="242"/>
      <c r="AN349" s="268"/>
      <c r="AO349" s="241"/>
      <c r="AP349" s="242"/>
      <c r="AQ349" s="242"/>
      <c r="AR349" s="242"/>
      <c r="AS349" s="268"/>
      <c r="AT349" s="241"/>
      <c r="AU349" s="242"/>
      <c r="AV349" s="242"/>
      <c r="AW349" s="242"/>
      <c r="AX349" s="245"/>
    </row>
    <row r="350" spans="1:57" ht="12.6" customHeight="1" x14ac:dyDescent="0.25">
      <c r="A350" s="243"/>
      <c r="B350" s="244"/>
      <c r="C350" s="244"/>
      <c r="D350" s="244"/>
      <c r="E350" s="244"/>
      <c r="F350" s="244"/>
      <c r="G350" s="244"/>
      <c r="H350" s="745"/>
      <c r="I350" s="745"/>
      <c r="J350" s="745"/>
      <c r="K350" s="745"/>
      <c r="L350" s="745"/>
      <c r="M350" s="745"/>
      <c r="N350" s="745"/>
      <c r="O350" s="745"/>
      <c r="P350" s="745"/>
      <c r="Q350" s="745"/>
      <c r="R350" s="745" t="s">
        <v>1491</v>
      </c>
      <c r="S350" s="745"/>
      <c r="T350" s="745"/>
      <c r="U350" s="745"/>
      <c r="V350" s="745"/>
      <c r="W350" s="745"/>
      <c r="X350" s="745"/>
      <c r="Y350" s="745"/>
      <c r="Z350" s="745"/>
      <c r="AA350" s="745"/>
      <c r="AB350" s="745"/>
      <c r="AC350" s="745"/>
      <c r="AD350" s="745"/>
      <c r="AE350" s="745"/>
      <c r="AF350" s="745"/>
      <c r="AG350" s="243"/>
      <c r="AH350" s="244"/>
      <c r="AI350" s="244"/>
      <c r="AJ350" s="269"/>
      <c r="AK350" s="243"/>
      <c r="AL350" s="244"/>
      <c r="AM350" s="244"/>
      <c r="AN350" s="269"/>
      <c r="AO350" s="745" t="s">
        <v>1492</v>
      </c>
      <c r="AP350" s="745"/>
      <c r="AQ350" s="745"/>
      <c r="AR350" s="745"/>
      <c r="AS350" s="745"/>
      <c r="AT350" s="243"/>
      <c r="AU350" s="244"/>
      <c r="AV350" s="244"/>
      <c r="AW350" s="244"/>
      <c r="AX350" s="245"/>
    </row>
    <row r="351" spans="1:57" ht="12.6" customHeight="1" x14ac:dyDescent="0.25">
      <c r="A351" s="747" t="s">
        <v>1493</v>
      </c>
      <c r="B351" s="747"/>
      <c r="C351" s="747"/>
      <c r="D351" s="747"/>
      <c r="E351" s="747"/>
      <c r="F351" s="747"/>
      <c r="G351" s="747"/>
      <c r="H351" s="745"/>
      <c r="I351" s="745"/>
      <c r="J351" s="745"/>
      <c r="K351" s="745"/>
      <c r="L351" s="745"/>
      <c r="M351" s="745"/>
      <c r="N351" s="745"/>
      <c r="O351" s="745"/>
      <c r="P351" s="745"/>
      <c r="Q351" s="745"/>
      <c r="R351" s="745" t="s">
        <v>1494</v>
      </c>
      <c r="S351" s="745"/>
      <c r="T351" s="745"/>
      <c r="U351" s="745"/>
      <c r="V351" s="745"/>
      <c r="W351" s="745" t="s">
        <v>1495</v>
      </c>
      <c r="X351" s="745"/>
      <c r="Y351" s="745"/>
      <c r="Z351" s="745"/>
      <c r="AA351" s="745"/>
      <c r="AB351" s="745"/>
      <c r="AC351" s="745"/>
      <c r="AD351" s="745"/>
      <c r="AE351" s="745"/>
      <c r="AF351" s="745"/>
      <c r="AG351" s="243"/>
      <c r="AH351" s="244"/>
      <c r="AI351" s="244"/>
      <c r="AJ351" s="269"/>
      <c r="AK351" s="243"/>
      <c r="AL351" s="244"/>
      <c r="AM351" s="244"/>
      <c r="AN351" s="269"/>
      <c r="AO351" s="745" t="s">
        <v>1496</v>
      </c>
      <c r="AP351" s="745"/>
      <c r="AQ351" s="745"/>
      <c r="AR351" s="745"/>
      <c r="AS351" s="745"/>
      <c r="AT351" s="243"/>
      <c r="AU351" s="244"/>
      <c r="AV351" s="244"/>
      <c r="AW351" s="244"/>
      <c r="AX351" s="245"/>
    </row>
    <row r="352" spans="1:57" ht="12.6" customHeight="1" x14ac:dyDescent="0.25">
      <c r="A352" s="747" t="s">
        <v>1497</v>
      </c>
      <c r="B352" s="747"/>
      <c r="C352" s="747"/>
      <c r="D352" s="747"/>
      <c r="E352" s="747"/>
      <c r="F352" s="747"/>
      <c r="G352" s="747"/>
      <c r="H352" s="745" t="s">
        <v>1498</v>
      </c>
      <c r="I352" s="745"/>
      <c r="J352" s="745"/>
      <c r="K352" s="745"/>
      <c r="L352" s="745"/>
      <c r="M352" s="745" t="s">
        <v>1499</v>
      </c>
      <c r="N352" s="745"/>
      <c r="O352" s="745"/>
      <c r="P352" s="745"/>
      <c r="Q352" s="745"/>
      <c r="R352" s="745" t="s">
        <v>1500</v>
      </c>
      <c r="S352" s="745"/>
      <c r="T352" s="745"/>
      <c r="U352" s="745"/>
      <c r="V352" s="745"/>
      <c r="W352" s="745" t="s">
        <v>1501</v>
      </c>
      <c r="X352" s="745"/>
      <c r="Y352" s="745"/>
      <c r="Z352" s="745"/>
      <c r="AA352" s="745"/>
      <c r="AB352" s="745" t="s">
        <v>1502</v>
      </c>
      <c r="AC352" s="745"/>
      <c r="AD352" s="745"/>
      <c r="AE352" s="745"/>
      <c r="AF352" s="745"/>
      <c r="AG352" s="745"/>
      <c r="AH352" s="745"/>
      <c r="AI352" s="745"/>
      <c r="AJ352" s="745"/>
      <c r="AK352" s="745" t="s">
        <v>1503</v>
      </c>
      <c r="AL352" s="745"/>
      <c r="AM352" s="745"/>
      <c r="AN352" s="745"/>
      <c r="AO352" s="745" t="s">
        <v>1504</v>
      </c>
      <c r="AP352" s="745"/>
      <c r="AQ352" s="745"/>
      <c r="AR352" s="745"/>
      <c r="AS352" s="745"/>
      <c r="AT352" s="747" t="s">
        <v>1328</v>
      </c>
      <c r="AU352" s="747"/>
      <c r="AV352" s="747"/>
      <c r="AW352" s="747"/>
      <c r="AX352" s="245"/>
      <c r="BD352" s="208"/>
      <c r="BE352" s="208"/>
    </row>
    <row r="353" spans="1:50" ht="12.6" customHeight="1" x14ac:dyDescent="0.25">
      <c r="A353" s="243"/>
      <c r="B353" s="244"/>
      <c r="C353" s="244"/>
      <c r="D353" s="244"/>
      <c r="E353" s="244"/>
      <c r="F353" s="244"/>
      <c r="G353" s="244"/>
      <c r="H353" s="745"/>
      <c r="I353" s="745"/>
      <c r="J353" s="745"/>
      <c r="K353" s="745"/>
      <c r="L353" s="745"/>
      <c r="M353" s="745"/>
      <c r="N353" s="745"/>
      <c r="O353" s="745"/>
      <c r="P353" s="745"/>
      <c r="Q353" s="745"/>
      <c r="R353" s="745" t="s">
        <v>1323</v>
      </c>
      <c r="S353" s="745"/>
      <c r="T353" s="745"/>
      <c r="U353" s="745"/>
      <c r="V353" s="745"/>
      <c r="W353" s="745" t="s">
        <v>1505</v>
      </c>
      <c r="X353" s="745"/>
      <c r="Y353" s="745"/>
      <c r="Z353" s="745"/>
      <c r="AA353" s="745"/>
      <c r="AB353" s="745" t="s">
        <v>1506</v>
      </c>
      <c r="AC353" s="745"/>
      <c r="AD353" s="745"/>
      <c r="AE353" s="745"/>
      <c r="AF353" s="745"/>
      <c r="AG353" s="745" t="s">
        <v>1507</v>
      </c>
      <c r="AH353" s="745"/>
      <c r="AI353" s="745"/>
      <c r="AJ353" s="745"/>
      <c r="AK353" s="745" t="s">
        <v>1508</v>
      </c>
      <c r="AL353" s="745"/>
      <c r="AM353" s="745"/>
      <c r="AN353" s="745"/>
      <c r="AO353" s="745" t="s">
        <v>1509</v>
      </c>
      <c r="AP353" s="745"/>
      <c r="AQ353" s="745"/>
      <c r="AR353" s="745"/>
      <c r="AS353" s="745"/>
      <c r="AT353" s="243"/>
      <c r="AU353" s="244"/>
      <c r="AV353" s="244"/>
      <c r="AW353" s="244"/>
      <c r="AX353" s="245"/>
    </row>
    <row r="354" spans="1:50" ht="12.6" customHeight="1" x14ac:dyDescent="0.25">
      <c r="A354" s="243"/>
      <c r="B354" s="244"/>
      <c r="C354" s="244"/>
      <c r="D354" s="244"/>
      <c r="E354" s="244"/>
      <c r="F354" s="244"/>
      <c r="G354" s="244"/>
      <c r="H354" s="745"/>
      <c r="I354" s="745"/>
      <c r="J354" s="745"/>
      <c r="K354" s="745"/>
      <c r="L354" s="745"/>
      <c r="M354" s="745"/>
      <c r="N354" s="745"/>
      <c r="O354" s="745"/>
      <c r="P354" s="745"/>
      <c r="Q354" s="745"/>
      <c r="R354" s="745" t="s">
        <v>1510</v>
      </c>
      <c r="S354" s="745"/>
      <c r="T354" s="745"/>
      <c r="U354" s="745"/>
      <c r="V354" s="745"/>
      <c r="W354" s="745" t="s">
        <v>1511</v>
      </c>
      <c r="X354" s="745"/>
      <c r="Y354" s="745"/>
      <c r="Z354" s="745"/>
      <c r="AA354" s="745"/>
      <c r="AB354" s="745" t="s">
        <v>1512</v>
      </c>
      <c r="AC354" s="745"/>
      <c r="AD354" s="745"/>
      <c r="AE354" s="745"/>
      <c r="AF354" s="745"/>
      <c r="AG354" s="745" t="s">
        <v>1513</v>
      </c>
      <c r="AH354" s="745"/>
      <c r="AI354" s="745"/>
      <c r="AJ354" s="745"/>
      <c r="AK354" s="745" t="s">
        <v>1514</v>
      </c>
      <c r="AL354" s="745"/>
      <c r="AM354" s="745"/>
      <c r="AN354" s="745"/>
      <c r="AO354" s="745" t="s">
        <v>1515</v>
      </c>
      <c r="AP354" s="745"/>
      <c r="AQ354" s="745"/>
      <c r="AR354" s="745"/>
      <c r="AS354" s="745"/>
      <c r="AT354" s="243"/>
      <c r="AU354" s="244"/>
      <c r="AV354" s="244"/>
      <c r="AW354" s="244"/>
      <c r="AX354" s="245"/>
    </row>
    <row r="355" spans="1:50" ht="12.6" customHeight="1" x14ac:dyDescent="0.25">
      <c r="A355" s="243"/>
      <c r="B355" s="244"/>
      <c r="C355" s="244"/>
      <c r="D355" s="244"/>
      <c r="E355" s="244"/>
      <c r="F355" s="244"/>
      <c r="G355" s="244"/>
      <c r="H355" s="745"/>
      <c r="I355" s="745"/>
      <c r="J355" s="745"/>
      <c r="K355" s="745"/>
      <c r="L355" s="745"/>
      <c r="M355" s="745"/>
      <c r="N355" s="745"/>
      <c r="O355" s="745"/>
      <c r="P355" s="745"/>
      <c r="Q355" s="745"/>
      <c r="R355" s="745" t="s">
        <v>1494</v>
      </c>
      <c r="S355" s="745"/>
      <c r="T355" s="745"/>
      <c r="U355" s="745"/>
      <c r="V355" s="745"/>
      <c r="W355" s="745" t="s">
        <v>1516</v>
      </c>
      <c r="X355" s="745"/>
      <c r="Y355" s="745"/>
      <c r="Z355" s="745"/>
      <c r="AA355" s="745"/>
      <c r="AB355" s="745" t="s">
        <v>1517</v>
      </c>
      <c r="AC355" s="745"/>
      <c r="AD355" s="745"/>
      <c r="AE355" s="745"/>
      <c r="AF355" s="745"/>
      <c r="AG355" s="745" t="s">
        <v>1518</v>
      </c>
      <c r="AH355" s="745"/>
      <c r="AI355" s="745"/>
      <c r="AJ355" s="745"/>
      <c r="AK355" s="745" t="s">
        <v>1518</v>
      </c>
      <c r="AL355" s="745"/>
      <c r="AM355" s="745"/>
      <c r="AN355" s="745"/>
      <c r="AO355" s="745" t="s">
        <v>1518</v>
      </c>
      <c r="AP355" s="745"/>
      <c r="AQ355" s="745"/>
      <c r="AR355" s="745"/>
      <c r="AS355" s="745"/>
      <c r="AT355" s="243"/>
      <c r="AU355" s="244"/>
      <c r="AV355" s="244"/>
      <c r="AW355" s="244"/>
      <c r="AX355" s="245"/>
    </row>
    <row r="356" spans="1:50" ht="12.6" customHeight="1" x14ac:dyDescent="0.25">
      <c r="A356" s="243"/>
      <c r="B356" s="244"/>
      <c r="C356" s="244"/>
      <c r="D356" s="244"/>
      <c r="E356" s="244"/>
      <c r="F356" s="244"/>
      <c r="G356" s="244"/>
      <c r="H356" s="745"/>
      <c r="I356" s="745"/>
      <c r="J356" s="745"/>
      <c r="K356" s="745"/>
      <c r="L356" s="745"/>
      <c r="M356" s="745"/>
      <c r="N356" s="745"/>
      <c r="O356" s="745"/>
      <c r="P356" s="745"/>
      <c r="Q356" s="745"/>
      <c r="R356" s="745" t="s">
        <v>1519</v>
      </c>
      <c r="S356" s="745"/>
      <c r="T356" s="745"/>
      <c r="U356" s="745"/>
      <c r="V356" s="745"/>
      <c r="W356" s="745"/>
      <c r="X356" s="745"/>
      <c r="Y356" s="745"/>
      <c r="Z356" s="745"/>
      <c r="AA356" s="745"/>
      <c r="AB356" s="745"/>
      <c r="AC356" s="745"/>
      <c r="AD356" s="745"/>
      <c r="AE356" s="745"/>
      <c r="AF356" s="745"/>
      <c r="AG356" s="243"/>
      <c r="AH356" s="244"/>
      <c r="AI356" s="244"/>
      <c r="AJ356" s="269"/>
      <c r="AK356" s="243"/>
      <c r="AL356" s="244"/>
      <c r="AM356" s="244"/>
      <c r="AN356" s="269"/>
      <c r="AO356" s="243"/>
      <c r="AP356" s="244"/>
      <c r="AQ356" s="244"/>
      <c r="AR356" s="244"/>
      <c r="AS356" s="269"/>
      <c r="AT356" s="243"/>
      <c r="AU356" s="244"/>
      <c r="AV356" s="244"/>
      <c r="AW356" s="244"/>
      <c r="AX356" s="245"/>
    </row>
    <row r="357" spans="1:50" ht="12.6" customHeight="1" x14ac:dyDescent="0.25">
      <c r="A357" s="243"/>
      <c r="B357" s="244"/>
      <c r="C357" s="244"/>
      <c r="D357" s="244"/>
      <c r="E357" s="244"/>
      <c r="F357" s="244"/>
      <c r="G357" s="244"/>
      <c r="H357" s="745"/>
      <c r="I357" s="745"/>
      <c r="J357" s="745"/>
      <c r="K357" s="745"/>
      <c r="L357" s="745"/>
      <c r="M357" s="745"/>
      <c r="N357" s="745"/>
      <c r="O357" s="745"/>
      <c r="P357" s="745"/>
      <c r="Q357" s="745"/>
      <c r="R357" s="745" t="s">
        <v>1520</v>
      </c>
      <c r="S357" s="745"/>
      <c r="T357" s="745"/>
      <c r="U357" s="745"/>
      <c r="V357" s="745"/>
      <c r="W357" s="745"/>
      <c r="X357" s="745"/>
      <c r="Y357" s="745"/>
      <c r="Z357" s="745"/>
      <c r="AA357" s="745"/>
      <c r="AB357" s="745"/>
      <c r="AC357" s="745"/>
      <c r="AD357" s="745"/>
      <c r="AE357" s="745"/>
      <c r="AF357" s="745"/>
      <c r="AG357" s="243"/>
      <c r="AH357" s="244"/>
      <c r="AI357" s="244"/>
      <c r="AJ357" s="269"/>
      <c r="AK357" s="243"/>
      <c r="AL357" s="244"/>
      <c r="AM357" s="244"/>
      <c r="AN357" s="269"/>
      <c r="AO357" s="243"/>
      <c r="AP357" s="244"/>
      <c r="AQ357" s="244"/>
      <c r="AR357" s="244"/>
      <c r="AS357" s="269"/>
      <c r="AT357" s="243"/>
      <c r="AU357" s="244"/>
      <c r="AV357" s="244"/>
      <c r="AW357" s="244"/>
      <c r="AX357" s="245"/>
    </row>
    <row r="358" spans="1:50" ht="12.6" customHeight="1" x14ac:dyDescent="0.25">
      <c r="A358" s="749" t="s">
        <v>1323</v>
      </c>
      <c r="B358" s="749"/>
      <c r="C358" s="749"/>
      <c r="D358" s="749"/>
      <c r="E358" s="749"/>
      <c r="F358" s="749"/>
      <c r="G358" s="749"/>
      <c r="H358" s="750" t="s">
        <v>1324</v>
      </c>
      <c r="I358" s="750"/>
      <c r="J358" s="750"/>
      <c r="K358" s="750"/>
      <c r="L358" s="750"/>
      <c r="M358" s="750" t="s">
        <v>1325</v>
      </c>
      <c r="N358" s="750"/>
      <c r="O358" s="750"/>
      <c r="P358" s="750"/>
      <c r="Q358" s="750"/>
      <c r="R358" s="750" t="s">
        <v>1326</v>
      </c>
      <c r="S358" s="750"/>
      <c r="T358" s="750"/>
      <c r="U358" s="750"/>
      <c r="V358" s="750"/>
      <c r="W358" s="750" t="s">
        <v>1327</v>
      </c>
      <c r="X358" s="750"/>
      <c r="Y358" s="750"/>
      <c r="Z358" s="750"/>
      <c r="AA358" s="750"/>
      <c r="AB358" s="750" t="s">
        <v>1333</v>
      </c>
      <c r="AC358" s="750"/>
      <c r="AD358" s="750"/>
      <c r="AE358" s="750"/>
      <c r="AF358" s="750"/>
      <c r="AG358" s="750" t="s">
        <v>1468</v>
      </c>
      <c r="AH358" s="750"/>
      <c r="AI358" s="750"/>
      <c r="AJ358" s="750"/>
      <c r="AK358" s="750" t="s">
        <v>1469</v>
      </c>
      <c r="AL358" s="750"/>
      <c r="AM358" s="750"/>
      <c r="AN358" s="750"/>
      <c r="AO358" s="750" t="s">
        <v>1470</v>
      </c>
      <c r="AP358" s="750"/>
      <c r="AQ358" s="750"/>
      <c r="AR358" s="750"/>
      <c r="AS358" s="750"/>
      <c r="AT358" s="749" t="s">
        <v>1521</v>
      </c>
      <c r="AU358" s="749"/>
      <c r="AV358" s="749"/>
      <c r="AW358" s="749"/>
      <c r="AX358" s="245"/>
    </row>
    <row r="359" spans="1:50" ht="12.6" customHeight="1" x14ac:dyDescent="0.25">
      <c r="A359" s="208" t="s">
        <v>1471</v>
      </c>
      <c r="B359" s="208"/>
      <c r="C359" s="208"/>
      <c r="D359" s="208"/>
      <c r="E359" s="208"/>
      <c r="F359" s="208"/>
      <c r="G359" s="208"/>
      <c r="H359" s="208"/>
      <c r="I359" s="208"/>
      <c r="J359" s="208"/>
      <c r="K359" s="208"/>
      <c r="L359" s="208"/>
      <c r="M359" s="208"/>
      <c r="N359" s="208"/>
      <c r="O359" s="208"/>
      <c r="P359" s="208"/>
      <c r="Q359" s="208"/>
      <c r="R359" s="208"/>
      <c r="S359" s="208"/>
      <c r="T359" s="208"/>
      <c r="U359" s="208"/>
      <c r="V359" s="208"/>
      <c r="W359" s="208"/>
      <c r="X359" s="208"/>
      <c r="Y359" s="208"/>
      <c r="Z359" s="208"/>
      <c r="AA359" s="208"/>
      <c r="AB359" s="208"/>
      <c r="AC359" s="208"/>
      <c r="AD359" s="208"/>
      <c r="AE359" s="208"/>
      <c r="AF359" s="208"/>
      <c r="AG359" s="208"/>
      <c r="AH359" s="208"/>
      <c r="AI359" s="208"/>
      <c r="AJ359" s="208"/>
      <c r="AK359" s="208"/>
      <c r="AL359" s="208"/>
      <c r="AM359" s="208"/>
      <c r="AN359" s="208"/>
      <c r="AO359" s="208"/>
      <c r="AP359" s="208"/>
      <c r="AQ359" s="208"/>
      <c r="AR359" s="208"/>
      <c r="AS359" s="208"/>
      <c r="AT359" s="208"/>
      <c r="AU359" s="208"/>
      <c r="AV359" s="208"/>
      <c r="AW359" s="208"/>
      <c r="AX359" s="248"/>
    </row>
    <row r="360" spans="1:50" ht="12.6" customHeight="1" x14ac:dyDescent="0.25">
      <c r="A360" s="241" t="s">
        <v>1522</v>
      </c>
      <c r="B360" s="270"/>
      <c r="C360" s="249"/>
      <c r="D360" s="249"/>
      <c r="E360" s="249"/>
      <c r="F360" s="249"/>
      <c r="G360" s="249"/>
      <c r="H360" s="751">
        <f>SUM('HL KNIHA VYPOC'!$D$26)</f>
        <v>0</v>
      </c>
      <c r="I360" s="751"/>
      <c r="J360" s="751"/>
      <c r="K360" s="751"/>
      <c r="L360" s="751"/>
      <c r="M360" s="751">
        <f>SUM('HL KNIHA VYPOC'!$D$16)</f>
        <v>726899.76</v>
      </c>
      <c r="N360" s="751"/>
      <c r="O360" s="751"/>
      <c r="P360" s="751"/>
      <c r="Q360" s="751"/>
      <c r="R360" s="751">
        <f>SUM('HL KNIHA VYPOC'!$D$17)</f>
        <v>538007.88</v>
      </c>
      <c r="S360" s="751"/>
      <c r="T360" s="751"/>
      <c r="U360" s="751"/>
      <c r="V360" s="751"/>
      <c r="W360" s="751">
        <f>SUM('HL KNIHA VYPOC'!$D$20)</f>
        <v>1000</v>
      </c>
      <c r="X360" s="751"/>
      <c r="Y360" s="751"/>
      <c r="Z360" s="751"/>
      <c r="AA360" s="751"/>
      <c r="AB360" s="751">
        <f>SUM('HL KNIHA VYPOC'!$D$21)</f>
        <v>115227.98</v>
      </c>
      <c r="AC360" s="751"/>
      <c r="AD360" s="751"/>
      <c r="AE360" s="751"/>
      <c r="AF360" s="751"/>
      <c r="AG360" s="751">
        <f>SUM('HL KNIHA VYPOC'!$D$22+'HL KNIHA VYPOC'!$D$23+'HL KNIHA VYPOC'!D27)</f>
        <v>0</v>
      </c>
      <c r="AH360" s="751"/>
      <c r="AI360" s="751"/>
      <c r="AJ360" s="751"/>
      <c r="AK360" s="751">
        <f>SUM('HL KNIHA VYPOC'!$D$32)</f>
        <v>0</v>
      </c>
      <c r="AL360" s="751"/>
      <c r="AM360" s="751"/>
      <c r="AN360" s="751"/>
      <c r="AO360" s="751">
        <f>SUM('HL KNIHA VYPOC'!$D$38)</f>
        <v>0</v>
      </c>
      <c r="AP360" s="751"/>
      <c r="AQ360" s="751"/>
      <c r="AR360" s="751"/>
      <c r="AS360" s="751"/>
      <c r="AT360" s="751">
        <f>SUM(H360:AS363)</f>
        <v>1381135.62</v>
      </c>
      <c r="AU360" s="751"/>
      <c r="AV360" s="751"/>
      <c r="AW360" s="751"/>
      <c r="AX360" s="751"/>
    </row>
    <row r="361" spans="1:50" ht="12.6" customHeight="1" x14ac:dyDescent="0.25">
      <c r="A361" s="243" t="s">
        <v>1523</v>
      </c>
      <c r="B361" s="260"/>
      <c r="C361" s="208"/>
      <c r="D361" s="208"/>
      <c r="E361" s="208"/>
      <c r="F361" s="208"/>
      <c r="G361" s="208"/>
      <c r="H361" s="751"/>
      <c r="I361" s="751"/>
      <c r="J361" s="751"/>
      <c r="K361" s="751"/>
      <c r="L361" s="751"/>
      <c r="M361" s="751"/>
      <c r="N361" s="751"/>
      <c r="O361" s="751"/>
      <c r="P361" s="751"/>
      <c r="Q361" s="751"/>
      <c r="R361" s="751"/>
      <c r="S361" s="751"/>
      <c r="T361" s="751"/>
      <c r="U361" s="751"/>
      <c r="V361" s="751"/>
      <c r="W361" s="751"/>
      <c r="X361" s="751"/>
      <c r="Y361" s="751"/>
      <c r="Z361" s="751"/>
      <c r="AA361" s="751"/>
      <c r="AB361" s="751"/>
      <c r="AC361" s="751"/>
      <c r="AD361" s="751"/>
      <c r="AE361" s="751"/>
      <c r="AF361" s="751"/>
      <c r="AG361" s="751"/>
      <c r="AH361" s="751"/>
      <c r="AI361" s="751"/>
      <c r="AJ361" s="751"/>
      <c r="AK361" s="751"/>
      <c r="AL361" s="751"/>
      <c r="AM361" s="751"/>
      <c r="AN361" s="751"/>
      <c r="AO361" s="751"/>
      <c r="AP361" s="751"/>
      <c r="AQ361" s="751"/>
      <c r="AR361" s="751"/>
      <c r="AS361" s="751"/>
      <c r="AT361" s="751"/>
      <c r="AU361" s="751"/>
      <c r="AV361" s="751"/>
      <c r="AW361" s="751"/>
      <c r="AX361" s="751"/>
    </row>
    <row r="362" spans="1:50" ht="12.6" customHeight="1" x14ac:dyDescent="0.25">
      <c r="A362" s="243" t="s">
        <v>1524</v>
      </c>
      <c r="B362" s="260"/>
      <c r="C362" s="208"/>
      <c r="D362" s="208"/>
      <c r="E362" s="208"/>
      <c r="F362" s="208"/>
      <c r="G362" s="208"/>
      <c r="H362" s="751"/>
      <c r="I362" s="751"/>
      <c r="J362" s="751"/>
      <c r="K362" s="751"/>
      <c r="L362" s="751"/>
      <c r="M362" s="751"/>
      <c r="N362" s="751"/>
      <c r="O362" s="751"/>
      <c r="P362" s="751"/>
      <c r="Q362" s="751"/>
      <c r="R362" s="751"/>
      <c r="S362" s="751"/>
      <c r="T362" s="751"/>
      <c r="U362" s="751"/>
      <c r="V362" s="751"/>
      <c r="W362" s="751"/>
      <c r="X362" s="751"/>
      <c r="Y362" s="751"/>
      <c r="Z362" s="751"/>
      <c r="AA362" s="751"/>
      <c r="AB362" s="751"/>
      <c r="AC362" s="751"/>
      <c r="AD362" s="751"/>
      <c r="AE362" s="751"/>
      <c r="AF362" s="751"/>
      <c r="AG362" s="751"/>
      <c r="AH362" s="751"/>
      <c r="AI362" s="751"/>
      <c r="AJ362" s="751"/>
      <c r="AK362" s="751"/>
      <c r="AL362" s="751"/>
      <c r="AM362" s="751"/>
      <c r="AN362" s="751"/>
      <c r="AO362" s="751"/>
      <c r="AP362" s="751"/>
      <c r="AQ362" s="751"/>
      <c r="AR362" s="751"/>
      <c r="AS362" s="751"/>
      <c r="AT362" s="751"/>
      <c r="AU362" s="751"/>
      <c r="AV362" s="751"/>
      <c r="AW362" s="751"/>
      <c r="AX362" s="751"/>
    </row>
    <row r="363" spans="1:50" ht="12.6" customHeight="1" x14ac:dyDescent="0.25">
      <c r="A363" s="243" t="s">
        <v>1525</v>
      </c>
      <c r="B363" s="260"/>
      <c r="C363" s="208"/>
      <c r="D363" s="208"/>
      <c r="E363" s="208"/>
      <c r="F363" s="208"/>
      <c r="G363" s="208"/>
      <c r="H363" s="751"/>
      <c r="I363" s="751"/>
      <c r="J363" s="751"/>
      <c r="K363" s="751"/>
      <c r="L363" s="751"/>
      <c r="M363" s="751"/>
      <c r="N363" s="751"/>
      <c r="O363" s="751"/>
      <c r="P363" s="751"/>
      <c r="Q363" s="751"/>
      <c r="R363" s="751"/>
      <c r="S363" s="751"/>
      <c r="T363" s="751"/>
      <c r="U363" s="751"/>
      <c r="V363" s="751"/>
      <c r="W363" s="751"/>
      <c r="X363" s="751"/>
      <c r="Y363" s="751"/>
      <c r="Z363" s="751"/>
      <c r="AA363" s="751"/>
      <c r="AB363" s="751"/>
      <c r="AC363" s="751"/>
      <c r="AD363" s="751"/>
      <c r="AE363" s="751"/>
      <c r="AF363" s="751"/>
      <c r="AG363" s="751"/>
      <c r="AH363" s="751"/>
      <c r="AI363" s="751"/>
      <c r="AJ363" s="751"/>
      <c r="AK363" s="751"/>
      <c r="AL363" s="751"/>
      <c r="AM363" s="751"/>
      <c r="AN363" s="751"/>
      <c r="AO363" s="751"/>
      <c r="AP363" s="751"/>
      <c r="AQ363" s="751"/>
      <c r="AR363" s="751"/>
      <c r="AS363" s="751"/>
      <c r="AT363" s="751"/>
      <c r="AU363" s="751"/>
      <c r="AV363" s="751"/>
      <c r="AW363" s="751"/>
      <c r="AX363" s="751"/>
    </row>
    <row r="364" spans="1:50" ht="12.6" customHeight="1" x14ac:dyDescent="0.25">
      <c r="A364" s="253" t="s">
        <v>1474</v>
      </c>
      <c r="B364" s="259"/>
      <c r="C364" s="246"/>
      <c r="D364" s="246"/>
      <c r="E364" s="246"/>
      <c r="F364" s="246"/>
      <c r="G364" s="246"/>
      <c r="H364" s="751">
        <f>SUM('HL KNIHA VYPOC'!$E$26)</f>
        <v>0</v>
      </c>
      <c r="I364" s="751"/>
      <c r="J364" s="751"/>
      <c r="K364" s="751"/>
      <c r="L364" s="751"/>
      <c r="M364" s="751">
        <f>SUM('HL KNIHA VYPOC'!$E$16)</f>
        <v>0</v>
      </c>
      <c r="N364" s="751"/>
      <c r="O364" s="751"/>
      <c r="P364" s="751"/>
      <c r="Q364" s="751"/>
      <c r="R364" s="751">
        <f>SUM('HL KNIHA VYPOC'!$E$17)</f>
        <v>0</v>
      </c>
      <c r="S364" s="751"/>
      <c r="T364" s="751"/>
      <c r="U364" s="751"/>
      <c r="V364" s="751"/>
      <c r="W364" s="751">
        <f>SUM('HL KNIHA VYPOC'!$E$20)</f>
        <v>0</v>
      </c>
      <c r="X364" s="751"/>
      <c r="Y364" s="751"/>
      <c r="Z364" s="751"/>
      <c r="AA364" s="751"/>
      <c r="AB364" s="751">
        <f>SUM('HL KNIHA VYPOC'!$E$21)</f>
        <v>6134.6</v>
      </c>
      <c r="AC364" s="751"/>
      <c r="AD364" s="751"/>
      <c r="AE364" s="751"/>
      <c r="AF364" s="751"/>
      <c r="AG364" s="751">
        <f>SUM('HL KNIHA VYPOC'!$E$22+'HL KNIHA VYPOC'!$E$23+'HL KNIHA VYPOC'!E27)</f>
        <v>0</v>
      </c>
      <c r="AH364" s="751"/>
      <c r="AI364" s="751"/>
      <c r="AJ364" s="751"/>
      <c r="AK364" s="751">
        <f>SUM('HL KNIHA VYPOC'!$E$32)</f>
        <v>6634.6</v>
      </c>
      <c r="AL364" s="751"/>
      <c r="AM364" s="751"/>
      <c r="AN364" s="751"/>
      <c r="AO364" s="751">
        <f>SUM('HL KNIHA VYPOC'!$E$38)</f>
        <v>0</v>
      </c>
      <c r="AP364" s="751"/>
      <c r="AQ364" s="751"/>
      <c r="AR364" s="751"/>
      <c r="AS364" s="751"/>
      <c r="AT364" s="751">
        <f>SUM(H364:AS364)</f>
        <v>12769.2</v>
      </c>
      <c r="AU364" s="751"/>
      <c r="AV364" s="751"/>
      <c r="AW364" s="751"/>
      <c r="AX364" s="751"/>
    </row>
    <row r="365" spans="1:50" ht="12.6" customHeight="1" x14ac:dyDescent="0.25">
      <c r="A365" s="253" t="s">
        <v>1475</v>
      </c>
      <c r="B365" s="259"/>
      <c r="C365" s="246"/>
      <c r="D365" s="246"/>
      <c r="E365" s="246"/>
      <c r="F365" s="246"/>
      <c r="G365" s="246"/>
      <c r="H365" s="751">
        <f>SUM('HL KNIHA VYPOC'!$F$26)</f>
        <v>0</v>
      </c>
      <c r="I365" s="751"/>
      <c r="J365" s="751"/>
      <c r="K365" s="751"/>
      <c r="L365" s="751"/>
      <c r="M365" s="751">
        <f>SUM('HL KNIHA VYPOC'!$F$16)</f>
        <v>0</v>
      </c>
      <c r="N365" s="751"/>
      <c r="O365" s="751"/>
      <c r="P365" s="751"/>
      <c r="Q365" s="751"/>
      <c r="R365" s="751">
        <f>SUM('HL KNIHA VYPOC'!$F$17)</f>
        <v>0</v>
      </c>
      <c r="S365" s="751"/>
      <c r="T365" s="751"/>
      <c r="U365" s="751"/>
      <c r="V365" s="751"/>
      <c r="W365" s="751">
        <f>SUM('HL KNIHA VYPOC'!$F$20)</f>
        <v>0</v>
      </c>
      <c r="X365" s="751"/>
      <c r="Y365" s="751"/>
      <c r="Z365" s="751"/>
      <c r="AA365" s="751"/>
      <c r="AB365" s="751">
        <f>SUM('HL KNIHA VYPOC'!$F$21)</f>
        <v>3634.33</v>
      </c>
      <c r="AC365" s="751"/>
      <c r="AD365" s="751"/>
      <c r="AE365" s="751"/>
      <c r="AF365" s="751"/>
      <c r="AG365" s="751">
        <f>SUM('HL KNIHA VYPOC'!$F$22+'HL KNIHA VYPOC'!$F$23+'HL KNIHA VYPOC'!F27)</f>
        <v>0</v>
      </c>
      <c r="AH365" s="751"/>
      <c r="AI365" s="751"/>
      <c r="AJ365" s="751"/>
      <c r="AK365" s="751">
        <f>SUM('HL KNIHA VYPOC'!$F$32)</f>
        <v>6134.6</v>
      </c>
      <c r="AL365" s="751"/>
      <c r="AM365" s="751"/>
      <c r="AN365" s="751"/>
      <c r="AO365" s="751">
        <f>SUM('HL KNIHA VYPOC'!$F$38)</f>
        <v>0</v>
      </c>
      <c r="AP365" s="751"/>
      <c r="AQ365" s="751"/>
      <c r="AR365" s="751"/>
      <c r="AS365" s="751"/>
      <c r="AT365" s="751">
        <f>SUM(H365:AS365)</f>
        <v>9768.93</v>
      </c>
      <c r="AU365" s="751"/>
      <c r="AV365" s="751"/>
      <c r="AW365" s="751"/>
      <c r="AX365" s="751"/>
    </row>
    <row r="366" spans="1:50" ht="12.6" customHeight="1" x14ac:dyDescent="0.25">
      <c r="A366" s="253" t="s">
        <v>1476</v>
      </c>
      <c r="B366" s="259"/>
      <c r="C366" s="246"/>
      <c r="D366" s="246"/>
      <c r="E366" s="246"/>
      <c r="F366" s="246"/>
      <c r="G366" s="246"/>
      <c r="H366" s="757"/>
      <c r="I366" s="757"/>
      <c r="J366" s="757"/>
      <c r="K366" s="757"/>
      <c r="L366" s="757"/>
      <c r="M366" s="757"/>
      <c r="N366" s="757"/>
      <c r="O366" s="757"/>
      <c r="P366" s="757"/>
      <c r="Q366" s="757"/>
      <c r="R366" s="757"/>
      <c r="S366" s="757"/>
      <c r="T366" s="757"/>
      <c r="U366" s="757"/>
      <c r="V366" s="757"/>
      <c r="W366" s="757"/>
      <c r="X366" s="757"/>
      <c r="Y366" s="757"/>
      <c r="Z366" s="757"/>
      <c r="AA366" s="757"/>
      <c r="AB366" s="757"/>
      <c r="AC366" s="757"/>
      <c r="AD366" s="757"/>
      <c r="AE366" s="757"/>
      <c r="AF366" s="757"/>
      <c r="AG366" s="757"/>
      <c r="AH366" s="757"/>
      <c r="AI366" s="757"/>
      <c r="AJ366" s="757"/>
      <c r="AK366" s="757"/>
      <c r="AL366" s="757"/>
      <c r="AM366" s="757"/>
      <c r="AN366" s="757"/>
      <c r="AO366" s="757"/>
      <c r="AP366" s="757"/>
      <c r="AQ366" s="757"/>
      <c r="AR366" s="757"/>
      <c r="AS366" s="757"/>
      <c r="AT366" s="751">
        <f>SUM(H366:AS366)</f>
        <v>0</v>
      </c>
      <c r="AU366" s="751"/>
      <c r="AV366" s="751"/>
      <c r="AW366" s="751"/>
      <c r="AX366" s="751"/>
    </row>
    <row r="367" spans="1:50" ht="12.6" customHeight="1" x14ac:dyDescent="0.25">
      <c r="A367" s="243" t="s">
        <v>1477</v>
      </c>
      <c r="B367" s="260"/>
      <c r="C367" s="208"/>
      <c r="D367" s="208"/>
      <c r="E367" s="208"/>
      <c r="F367" s="208"/>
      <c r="G367" s="208"/>
      <c r="H367" s="751">
        <f>SUM(H360+H364-H365+H366)</f>
        <v>0</v>
      </c>
      <c r="I367" s="751"/>
      <c r="J367" s="751"/>
      <c r="K367" s="751"/>
      <c r="L367" s="751"/>
      <c r="M367" s="751">
        <f>SUM(M360+M364-M365+M366)</f>
        <v>726899.76</v>
      </c>
      <c r="N367" s="751"/>
      <c r="O367" s="751"/>
      <c r="P367" s="751"/>
      <c r="Q367" s="751"/>
      <c r="R367" s="751">
        <f>SUM(R360+R364-R365+R366)</f>
        <v>538007.88</v>
      </c>
      <c r="S367" s="751"/>
      <c r="T367" s="751"/>
      <c r="U367" s="751"/>
      <c r="V367" s="751"/>
      <c r="W367" s="751">
        <f>SUM(W360+W364-W365+W366)</f>
        <v>1000</v>
      </c>
      <c r="X367" s="751"/>
      <c r="Y367" s="751"/>
      <c r="Z367" s="751"/>
      <c r="AA367" s="751"/>
      <c r="AB367" s="751">
        <f>SUM(AB360+AB364-AB365+AB366)</f>
        <v>117728.25</v>
      </c>
      <c r="AC367" s="751"/>
      <c r="AD367" s="751"/>
      <c r="AE367" s="751"/>
      <c r="AF367" s="751"/>
      <c r="AG367" s="751">
        <f>SUM(AG360+AG364-AG365+AG366)</f>
        <v>0</v>
      </c>
      <c r="AH367" s="751"/>
      <c r="AI367" s="751"/>
      <c r="AJ367" s="751"/>
      <c r="AK367" s="751">
        <f>SUM(AK360+AK364-AK365+AK366)</f>
        <v>500</v>
      </c>
      <c r="AL367" s="751"/>
      <c r="AM367" s="751"/>
      <c r="AN367" s="751"/>
      <c r="AO367" s="751">
        <f>SUM(AO360+AO364-AO365+AO366)</f>
        <v>0</v>
      </c>
      <c r="AP367" s="751"/>
      <c r="AQ367" s="751"/>
      <c r="AR367" s="751"/>
      <c r="AS367" s="751"/>
      <c r="AT367" s="769">
        <f>SUM(H367:AS369)</f>
        <v>1384135.8900000001</v>
      </c>
      <c r="AU367" s="769"/>
      <c r="AV367" s="769"/>
      <c r="AW367" s="769"/>
      <c r="AX367" s="769"/>
    </row>
    <row r="368" spans="1:50" ht="12.6" customHeight="1" x14ac:dyDescent="0.25">
      <c r="A368" s="243" t="s">
        <v>1524</v>
      </c>
      <c r="B368" s="260"/>
      <c r="C368" s="208"/>
      <c r="D368" s="208"/>
      <c r="E368" s="208"/>
      <c r="F368" s="208"/>
      <c r="G368" s="208"/>
      <c r="H368" s="751"/>
      <c r="I368" s="751"/>
      <c r="J368" s="751"/>
      <c r="K368" s="751"/>
      <c r="L368" s="751"/>
      <c r="M368" s="751"/>
      <c r="N368" s="751"/>
      <c r="O368" s="751"/>
      <c r="P368" s="751"/>
      <c r="Q368" s="751"/>
      <c r="R368" s="751"/>
      <c r="S368" s="751"/>
      <c r="T368" s="751"/>
      <c r="U368" s="751"/>
      <c r="V368" s="751"/>
      <c r="W368" s="751"/>
      <c r="X368" s="751"/>
      <c r="Y368" s="751"/>
      <c r="Z368" s="751"/>
      <c r="AA368" s="751"/>
      <c r="AB368" s="751"/>
      <c r="AC368" s="751"/>
      <c r="AD368" s="751"/>
      <c r="AE368" s="751"/>
      <c r="AF368" s="751"/>
      <c r="AG368" s="751"/>
      <c r="AH368" s="751"/>
      <c r="AI368" s="751"/>
      <c r="AJ368" s="751"/>
      <c r="AK368" s="751"/>
      <c r="AL368" s="751"/>
      <c r="AM368" s="751"/>
      <c r="AN368" s="751"/>
      <c r="AO368" s="751"/>
      <c r="AP368" s="751"/>
      <c r="AQ368" s="751"/>
      <c r="AR368" s="751"/>
      <c r="AS368" s="751"/>
      <c r="AT368" s="769"/>
      <c r="AU368" s="769"/>
      <c r="AV368" s="769"/>
      <c r="AW368" s="769"/>
      <c r="AX368" s="769"/>
    </row>
    <row r="369" spans="1:50" ht="12.6" customHeight="1" x14ac:dyDescent="0.25">
      <c r="A369" s="251" t="s">
        <v>1525</v>
      </c>
      <c r="B369" s="261"/>
      <c r="C369" s="247"/>
      <c r="D369" s="247"/>
      <c r="E369" s="247"/>
      <c r="F369" s="247"/>
      <c r="G369" s="247"/>
      <c r="H369" s="751"/>
      <c r="I369" s="751"/>
      <c r="J369" s="751"/>
      <c r="K369" s="751"/>
      <c r="L369" s="751"/>
      <c r="M369" s="751"/>
      <c r="N369" s="751"/>
      <c r="O369" s="751"/>
      <c r="P369" s="751"/>
      <c r="Q369" s="751"/>
      <c r="R369" s="751"/>
      <c r="S369" s="751"/>
      <c r="T369" s="751"/>
      <c r="U369" s="751"/>
      <c r="V369" s="751"/>
      <c r="W369" s="751"/>
      <c r="X369" s="751"/>
      <c r="Y369" s="751"/>
      <c r="Z369" s="751"/>
      <c r="AA369" s="751"/>
      <c r="AB369" s="751"/>
      <c r="AC369" s="751"/>
      <c r="AD369" s="751"/>
      <c r="AE369" s="751"/>
      <c r="AF369" s="751"/>
      <c r="AG369" s="751"/>
      <c r="AH369" s="751"/>
      <c r="AI369" s="751"/>
      <c r="AJ369" s="751"/>
      <c r="AK369" s="751"/>
      <c r="AL369" s="751"/>
      <c r="AM369" s="751"/>
      <c r="AN369" s="751"/>
      <c r="AO369" s="751"/>
      <c r="AP369" s="751"/>
      <c r="AQ369" s="751"/>
      <c r="AR369" s="751"/>
      <c r="AS369" s="751"/>
      <c r="AT369" s="769"/>
      <c r="AU369" s="769"/>
      <c r="AV369" s="769"/>
      <c r="AW369" s="769"/>
      <c r="AX369" s="769"/>
    </row>
    <row r="370" spans="1:50" ht="12.6" customHeight="1" x14ac:dyDescent="0.25">
      <c r="A370" s="249" t="s">
        <v>1478</v>
      </c>
      <c r="B370" s="249"/>
      <c r="C370" s="249"/>
      <c r="D370" s="249"/>
      <c r="E370" s="249"/>
      <c r="F370" s="249"/>
      <c r="G370" s="249"/>
      <c r="H370" s="271"/>
      <c r="I370" s="271"/>
      <c r="J370" s="271"/>
      <c r="K370" s="271"/>
      <c r="L370" s="271"/>
      <c r="M370" s="271"/>
      <c r="N370" s="271"/>
      <c r="O370" s="271"/>
      <c r="P370" s="271"/>
      <c r="Q370" s="271"/>
      <c r="R370" s="271"/>
      <c r="S370" s="271"/>
      <c r="T370" s="271"/>
      <c r="U370" s="271"/>
      <c r="V370" s="271"/>
      <c r="W370" s="271"/>
      <c r="X370" s="271"/>
      <c r="Y370" s="271"/>
      <c r="Z370" s="271"/>
      <c r="AA370" s="271"/>
      <c r="AB370" s="271"/>
      <c r="AC370" s="271"/>
      <c r="AD370" s="271"/>
      <c r="AE370" s="271"/>
      <c r="AF370" s="271"/>
      <c r="AG370" s="271"/>
      <c r="AH370" s="271"/>
      <c r="AI370" s="271"/>
      <c r="AJ370" s="271"/>
      <c r="AK370" s="271"/>
      <c r="AL370" s="271"/>
      <c r="AM370" s="271"/>
      <c r="AN370" s="271"/>
      <c r="AO370" s="271"/>
      <c r="AP370" s="271"/>
      <c r="AQ370" s="271"/>
      <c r="AR370" s="271"/>
      <c r="AS370" s="272"/>
      <c r="AT370" s="271"/>
      <c r="AU370" s="271"/>
      <c r="AV370" s="271"/>
      <c r="AW370" s="271"/>
      <c r="AX370" s="273"/>
    </row>
    <row r="371" spans="1:50" ht="12.6" customHeight="1" x14ac:dyDescent="0.25">
      <c r="A371" s="241" t="s">
        <v>1522</v>
      </c>
      <c r="B371" s="249"/>
      <c r="C371" s="249"/>
      <c r="D371" s="249"/>
      <c r="E371" s="249"/>
      <c r="F371" s="249"/>
      <c r="G371" s="249"/>
      <c r="H371" s="751"/>
      <c r="I371" s="751"/>
      <c r="J371" s="751"/>
      <c r="K371" s="751"/>
      <c r="L371" s="751"/>
      <c r="M371" s="751">
        <f>SUM('HL KNIHA VYPOC'!$D$61)*-1</f>
        <v>359088.08</v>
      </c>
      <c r="N371" s="751"/>
      <c r="O371" s="751"/>
      <c r="P371" s="751"/>
      <c r="Q371" s="751"/>
      <c r="R371" s="751">
        <f>SUM('HL KNIHA VYPOC'!$D$62)*-1</f>
        <v>534867.28</v>
      </c>
      <c r="S371" s="751"/>
      <c r="T371" s="751"/>
      <c r="U371" s="751"/>
      <c r="V371" s="751"/>
      <c r="W371" s="751">
        <f>SUM('HL KNIHA VYPOC'!$D$65)*-1</f>
        <v>0</v>
      </c>
      <c r="X371" s="751"/>
      <c r="Y371" s="751"/>
      <c r="Z371" s="751"/>
      <c r="AA371" s="751"/>
      <c r="AB371" s="751">
        <f>SUM('HL KNIHA VYPOC'!$D$66)*-1</f>
        <v>79673.17</v>
      </c>
      <c r="AC371" s="751"/>
      <c r="AD371" s="751"/>
      <c r="AE371" s="751"/>
      <c r="AF371" s="751"/>
      <c r="AG371" s="751">
        <f>SUM('HL KNIHA VYPOC'!$D$68)*-1+'HL KNIHA VYPOC'!$D$67</f>
        <v>0</v>
      </c>
      <c r="AH371" s="751"/>
      <c r="AI371" s="751"/>
      <c r="AJ371" s="751"/>
      <c r="AK371" s="751"/>
      <c r="AL371" s="751"/>
      <c r="AM371" s="751"/>
      <c r="AN371" s="751"/>
      <c r="AO371" s="751"/>
      <c r="AP371" s="751"/>
      <c r="AQ371" s="751"/>
      <c r="AR371" s="751"/>
      <c r="AS371" s="751"/>
      <c r="AT371" s="751">
        <f>SUM(H371:AS374)</f>
        <v>973628.53000000014</v>
      </c>
      <c r="AU371" s="751"/>
      <c r="AV371" s="751"/>
      <c r="AW371" s="751"/>
      <c r="AX371" s="751"/>
    </row>
    <row r="372" spans="1:50" ht="12.6" customHeight="1" x14ac:dyDescent="0.25">
      <c r="A372" s="243" t="s">
        <v>1523</v>
      </c>
      <c r="B372" s="208"/>
      <c r="C372" s="208"/>
      <c r="D372" s="208"/>
      <c r="E372" s="208"/>
      <c r="F372" s="208"/>
      <c r="G372" s="208"/>
      <c r="H372" s="751"/>
      <c r="I372" s="751"/>
      <c r="J372" s="751"/>
      <c r="K372" s="751"/>
      <c r="L372" s="751"/>
      <c r="M372" s="751"/>
      <c r="N372" s="751"/>
      <c r="O372" s="751"/>
      <c r="P372" s="751"/>
      <c r="Q372" s="751"/>
      <c r="R372" s="751"/>
      <c r="S372" s="751"/>
      <c r="T372" s="751"/>
      <c r="U372" s="751"/>
      <c r="V372" s="751"/>
      <c r="W372" s="751"/>
      <c r="X372" s="751"/>
      <c r="Y372" s="751"/>
      <c r="Z372" s="751"/>
      <c r="AA372" s="751"/>
      <c r="AB372" s="751"/>
      <c r="AC372" s="751"/>
      <c r="AD372" s="751"/>
      <c r="AE372" s="751"/>
      <c r="AF372" s="751"/>
      <c r="AG372" s="751"/>
      <c r="AH372" s="751"/>
      <c r="AI372" s="751"/>
      <c r="AJ372" s="751"/>
      <c r="AK372" s="751"/>
      <c r="AL372" s="751"/>
      <c r="AM372" s="751"/>
      <c r="AN372" s="751"/>
      <c r="AO372" s="751"/>
      <c r="AP372" s="751"/>
      <c r="AQ372" s="751"/>
      <c r="AR372" s="751"/>
      <c r="AS372" s="751"/>
      <c r="AT372" s="751"/>
      <c r="AU372" s="751"/>
      <c r="AV372" s="751"/>
      <c r="AW372" s="751"/>
      <c r="AX372" s="751"/>
    </row>
    <row r="373" spans="1:50" ht="12.6" customHeight="1" x14ac:dyDescent="0.25">
      <c r="A373" s="243" t="s">
        <v>1524</v>
      </c>
      <c r="B373" s="208"/>
      <c r="C373" s="208"/>
      <c r="D373" s="208"/>
      <c r="E373" s="208"/>
      <c r="F373" s="208"/>
      <c r="G373" s="208"/>
      <c r="H373" s="751"/>
      <c r="I373" s="751"/>
      <c r="J373" s="751"/>
      <c r="K373" s="751"/>
      <c r="L373" s="751"/>
      <c r="M373" s="751"/>
      <c r="N373" s="751"/>
      <c r="O373" s="751"/>
      <c r="P373" s="751"/>
      <c r="Q373" s="751"/>
      <c r="R373" s="751"/>
      <c r="S373" s="751"/>
      <c r="T373" s="751"/>
      <c r="U373" s="751"/>
      <c r="V373" s="751"/>
      <c r="W373" s="751"/>
      <c r="X373" s="751"/>
      <c r="Y373" s="751"/>
      <c r="Z373" s="751"/>
      <c r="AA373" s="751"/>
      <c r="AB373" s="751"/>
      <c r="AC373" s="751"/>
      <c r="AD373" s="751"/>
      <c r="AE373" s="751"/>
      <c r="AF373" s="751"/>
      <c r="AG373" s="751"/>
      <c r="AH373" s="751"/>
      <c r="AI373" s="751"/>
      <c r="AJ373" s="751"/>
      <c r="AK373" s="751"/>
      <c r="AL373" s="751"/>
      <c r="AM373" s="751"/>
      <c r="AN373" s="751"/>
      <c r="AO373" s="751"/>
      <c r="AP373" s="751"/>
      <c r="AQ373" s="751"/>
      <c r="AR373" s="751"/>
      <c r="AS373" s="751"/>
      <c r="AT373" s="751"/>
      <c r="AU373" s="751"/>
      <c r="AV373" s="751"/>
      <c r="AW373" s="751"/>
      <c r="AX373" s="751"/>
    </row>
    <row r="374" spans="1:50" ht="12.6" customHeight="1" x14ac:dyDescent="0.25">
      <c r="A374" s="251" t="s">
        <v>1525</v>
      </c>
      <c r="B374" s="247"/>
      <c r="C374" s="247"/>
      <c r="D374" s="247"/>
      <c r="E374" s="247"/>
      <c r="F374" s="247"/>
      <c r="G374" s="247"/>
      <c r="H374" s="751"/>
      <c r="I374" s="751"/>
      <c r="J374" s="751"/>
      <c r="K374" s="751"/>
      <c r="L374" s="751"/>
      <c r="M374" s="751"/>
      <c r="N374" s="751"/>
      <c r="O374" s="751"/>
      <c r="P374" s="751"/>
      <c r="Q374" s="751"/>
      <c r="R374" s="751"/>
      <c r="S374" s="751"/>
      <c r="T374" s="751"/>
      <c r="U374" s="751"/>
      <c r="V374" s="751"/>
      <c r="W374" s="751"/>
      <c r="X374" s="751"/>
      <c r="Y374" s="751"/>
      <c r="Z374" s="751"/>
      <c r="AA374" s="751"/>
      <c r="AB374" s="751"/>
      <c r="AC374" s="751"/>
      <c r="AD374" s="751"/>
      <c r="AE374" s="751"/>
      <c r="AF374" s="751"/>
      <c r="AG374" s="751"/>
      <c r="AH374" s="751"/>
      <c r="AI374" s="751"/>
      <c r="AJ374" s="751"/>
      <c r="AK374" s="751"/>
      <c r="AL374" s="751"/>
      <c r="AM374" s="751"/>
      <c r="AN374" s="751"/>
      <c r="AO374" s="751"/>
      <c r="AP374" s="751"/>
      <c r="AQ374" s="751"/>
      <c r="AR374" s="751"/>
      <c r="AS374" s="751"/>
      <c r="AT374" s="751"/>
      <c r="AU374" s="751"/>
      <c r="AV374" s="751"/>
      <c r="AW374" s="751"/>
      <c r="AX374" s="751"/>
    </row>
    <row r="375" spans="1:50" ht="12.6" customHeight="1" x14ac:dyDescent="0.25">
      <c r="A375" s="253" t="s">
        <v>1474</v>
      </c>
      <c r="B375" s="246"/>
      <c r="C375" s="246"/>
      <c r="D375" s="246"/>
      <c r="E375" s="246"/>
      <c r="F375" s="246"/>
      <c r="G375" s="246"/>
      <c r="H375" s="751"/>
      <c r="I375" s="751"/>
      <c r="J375" s="751"/>
      <c r="K375" s="751"/>
      <c r="L375" s="751"/>
      <c r="M375" s="751">
        <f>SUM('HL KNIHA VYPOC'!$F$61)</f>
        <v>32802</v>
      </c>
      <c r="N375" s="751"/>
      <c r="O375" s="751"/>
      <c r="P375" s="751"/>
      <c r="Q375" s="751"/>
      <c r="R375" s="751">
        <f>SUM('HL KNIHA VYPOC'!$F$62)</f>
        <v>3140.6</v>
      </c>
      <c r="S375" s="751"/>
      <c r="T375" s="751"/>
      <c r="U375" s="751"/>
      <c r="V375" s="751"/>
      <c r="W375" s="751">
        <f>SUM('HL KNIHA VYPOC'!$F$65)</f>
        <v>0</v>
      </c>
      <c r="X375" s="751"/>
      <c r="Y375" s="751"/>
      <c r="Z375" s="751"/>
      <c r="AA375" s="751"/>
      <c r="AB375" s="751">
        <f>SUM('HL KNIHA VYPOC'!$F$66)</f>
        <v>16128.96</v>
      </c>
      <c r="AC375" s="751"/>
      <c r="AD375" s="751"/>
      <c r="AE375" s="751"/>
      <c r="AF375" s="751"/>
      <c r="AG375" s="751">
        <f>SUM('HL KNIHA VYPOC'!$F$68+'HL KNIHA VYPOC'!$F$67)</f>
        <v>0</v>
      </c>
      <c r="AH375" s="751"/>
      <c r="AI375" s="751"/>
      <c r="AJ375" s="751"/>
      <c r="AK375" s="751"/>
      <c r="AL375" s="751"/>
      <c r="AM375" s="751"/>
      <c r="AN375" s="751"/>
      <c r="AO375" s="751"/>
      <c r="AP375" s="751"/>
      <c r="AQ375" s="751"/>
      <c r="AR375" s="751"/>
      <c r="AS375" s="751"/>
      <c r="AT375" s="751">
        <f>SUM(H375:AS375)</f>
        <v>52071.56</v>
      </c>
      <c r="AU375" s="751"/>
      <c r="AV375" s="751"/>
      <c r="AW375" s="751"/>
      <c r="AX375" s="751"/>
    </row>
    <row r="376" spans="1:50" ht="12.6" customHeight="1" x14ac:dyDescent="0.25">
      <c r="A376" s="253" t="s">
        <v>1475</v>
      </c>
      <c r="B376" s="259"/>
      <c r="C376" s="246"/>
      <c r="D376" s="246"/>
      <c r="E376" s="246"/>
      <c r="F376" s="246"/>
      <c r="G376" s="246"/>
      <c r="H376" s="751"/>
      <c r="I376" s="751"/>
      <c r="J376" s="751"/>
      <c r="K376" s="751"/>
      <c r="L376" s="751"/>
      <c r="M376" s="751">
        <f>SUM('HL KNIHA VYPOC'!$E$61)</f>
        <v>0</v>
      </c>
      <c r="N376" s="751"/>
      <c r="O376" s="751"/>
      <c r="P376" s="751"/>
      <c r="Q376" s="751"/>
      <c r="R376" s="751">
        <f>SUM('HL KNIHA VYPOC'!$E$62)</f>
        <v>0</v>
      </c>
      <c r="S376" s="751"/>
      <c r="T376" s="751"/>
      <c r="U376" s="751"/>
      <c r="V376" s="751"/>
      <c r="W376" s="751">
        <f>SUM('HL KNIHA VYPOC'!$E$65)</f>
        <v>0</v>
      </c>
      <c r="X376" s="751"/>
      <c r="Y376" s="751"/>
      <c r="Z376" s="751"/>
      <c r="AA376" s="751"/>
      <c r="AB376" s="751">
        <f>SUM('HL KNIHA VYPOC'!$E$66)</f>
        <v>3634.33</v>
      </c>
      <c r="AC376" s="751"/>
      <c r="AD376" s="751"/>
      <c r="AE376" s="751"/>
      <c r="AF376" s="751"/>
      <c r="AG376" s="751">
        <f>SUM('HL KNIHA VYPOC'!$E$68)+'HL KNIHA VYPOC'!$E$67</f>
        <v>0</v>
      </c>
      <c r="AH376" s="751"/>
      <c r="AI376" s="751"/>
      <c r="AJ376" s="751"/>
      <c r="AK376" s="751"/>
      <c r="AL376" s="751"/>
      <c r="AM376" s="751"/>
      <c r="AN376" s="751"/>
      <c r="AO376" s="751"/>
      <c r="AP376" s="751"/>
      <c r="AQ376" s="751"/>
      <c r="AR376" s="751"/>
      <c r="AS376" s="751"/>
      <c r="AT376" s="751">
        <f>SUM(H376:AS376)</f>
        <v>3634.33</v>
      </c>
      <c r="AU376" s="751"/>
      <c r="AV376" s="751"/>
      <c r="AW376" s="751"/>
      <c r="AX376" s="751"/>
    </row>
    <row r="377" spans="1:50" ht="12.6" customHeight="1" x14ac:dyDescent="0.25">
      <c r="A377" s="253" t="s">
        <v>1476</v>
      </c>
      <c r="B377" s="259"/>
      <c r="C377" s="246"/>
      <c r="D377" s="246"/>
      <c r="E377" s="246"/>
      <c r="F377" s="246"/>
      <c r="G377" s="246"/>
      <c r="H377" s="757"/>
      <c r="I377" s="757"/>
      <c r="J377" s="757"/>
      <c r="K377" s="757"/>
      <c r="L377" s="757"/>
      <c r="M377" s="757"/>
      <c r="N377" s="757"/>
      <c r="O377" s="757"/>
      <c r="P377" s="757"/>
      <c r="Q377" s="757"/>
      <c r="R377" s="757"/>
      <c r="S377" s="757"/>
      <c r="T377" s="757"/>
      <c r="U377" s="757"/>
      <c r="V377" s="757"/>
      <c r="W377" s="757"/>
      <c r="X377" s="757"/>
      <c r="Y377" s="757"/>
      <c r="Z377" s="757"/>
      <c r="AA377" s="757"/>
      <c r="AB377" s="757"/>
      <c r="AC377" s="757"/>
      <c r="AD377" s="757"/>
      <c r="AE377" s="757"/>
      <c r="AF377" s="757"/>
      <c r="AG377" s="757"/>
      <c r="AH377" s="757"/>
      <c r="AI377" s="757"/>
      <c r="AJ377" s="757"/>
      <c r="AK377" s="757"/>
      <c r="AL377" s="757"/>
      <c r="AM377" s="757"/>
      <c r="AN377" s="757"/>
      <c r="AO377" s="757"/>
      <c r="AP377" s="757"/>
      <c r="AQ377" s="757"/>
      <c r="AR377" s="757"/>
      <c r="AS377" s="757"/>
      <c r="AT377" s="751">
        <f>SUM(H377:AS377)</f>
        <v>0</v>
      </c>
      <c r="AU377" s="751"/>
      <c r="AV377" s="751"/>
      <c r="AW377" s="751"/>
      <c r="AX377" s="751"/>
    </row>
    <row r="378" spans="1:50" ht="12.6" customHeight="1" x14ac:dyDescent="0.25">
      <c r="A378" s="243" t="s">
        <v>1477</v>
      </c>
      <c r="B378" s="208"/>
      <c r="C378" s="208"/>
      <c r="D378" s="208"/>
      <c r="E378" s="208"/>
      <c r="F378" s="208"/>
      <c r="G378" s="208"/>
      <c r="H378" s="751"/>
      <c r="I378" s="751"/>
      <c r="J378" s="751"/>
      <c r="K378" s="751"/>
      <c r="L378" s="751"/>
      <c r="M378" s="751">
        <f>SUM(M371+M375-M376+M377)</f>
        <v>391890.08</v>
      </c>
      <c r="N378" s="751"/>
      <c r="O378" s="751"/>
      <c r="P378" s="751"/>
      <c r="Q378" s="751"/>
      <c r="R378" s="751">
        <f>SUM(R371+R375-R376+R377)</f>
        <v>538007.88</v>
      </c>
      <c r="S378" s="751"/>
      <c r="T378" s="751"/>
      <c r="U378" s="751"/>
      <c r="V378" s="751"/>
      <c r="W378" s="751">
        <f>SUM(W371+W375-W376+W377)</f>
        <v>0</v>
      </c>
      <c r="X378" s="751"/>
      <c r="Y378" s="751"/>
      <c r="Z378" s="751"/>
      <c r="AA378" s="751"/>
      <c r="AB378" s="751">
        <f>SUM(AB371+AB375-AB376+AB377)</f>
        <v>92167.8</v>
      </c>
      <c r="AC378" s="751"/>
      <c r="AD378" s="751"/>
      <c r="AE378" s="751"/>
      <c r="AF378" s="751"/>
      <c r="AG378" s="751">
        <f>SUM(AG371+AG375-AG376+AG377)</f>
        <v>0</v>
      </c>
      <c r="AH378" s="751"/>
      <c r="AI378" s="751"/>
      <c r="AJ378" s="751"/>
      <c r="AK378" s="751"/>
      <c r="AL378" s="751"/>
      <c r="AM378" s="751"/>
      <c r="AN378" s="751"/>
      <c r="AO378" s="751"/>
      <c r="AP378" s="751"/>
      <c r="AQ378" s="751"/>
      <c r="AR378" s="751"/>
      <c r="AS378" s="751"/>
      <c r="AT378" s="751">
        <f>SUM(H378:AS380)</f>
        <v>1022065.76</v>
      </c>
      <c r="AU378" s="751"/>
      <c r="AV378" s="751"/>
      <c r="AW378" s="751"/>
      <c r="AX378" s="751"/>
    </row>
    <row r="379" spans="1:50" ht="12.6" customHeight="1" x14ac:dyDescent="0.25">
      <c r="A379" s="243" t="s">
        <v>1524</v>
      </c>
      <c r="B379" s="208"/>
      <c r="C379" s="208"/>
      <c r="D379" s="208"/>
      <c r="E379" s="208"/>
      <c r="F379" s="208"/>
      <c r="G379" s="208"/>
      <c r="H379" s="751"/>
      <c r="I379" s="751"/>
      <c r="J379" s="751"/>
      <c r="K379" s="751"/>
      <c r="L379" s="751"/>
      <c r="M379" s="751"/>
      <c r="N379" s="751"/>
      <c r="O379" s="751"/>
      <c r="P379" s="751"/>
      <c r="Q379" s="751"/>
      <c r="R379" s="751"/>
      <c r="S379" s="751"/>
      <c r="T379" s="751"/>
      <c r="U379" s="751"/>
      <c r="V379" s="751"/>
      <c r="W379" s="751"/>
      <c r="X379" s="751"/>
      <c r="Y379" s="751"/>
      <c r="Z379" s="751"/>
      <c r="AA379" s="751"/>
      <c r="AB379" s="751"/>
      <c r="AC379" s="751"/>
      <c r="AD379" s="751"/>
      <c r="AE379" s="751"/>
      <c r="AF379" s="751"/>
      <c r="AG379" s="751"/>
      <c r="AH379" s="751"/>
      <c r="AI379" s="751"/>
      <c r="AJ379" s="751"/>
      <c r="AK379" s="751"/>
      <c r="AL379" s="751"/>
      <c r="AM379" s="751"/>
      <c r="AN379" s="751"/>
      <c r="AO379" s="751"/>
      <c r="AP379" s="751"/>
      <c r="AQ379" s="751"/>
      <c r="AR379" s="751"/>
      <c r="AS379" s="751"/>
      <c r="AT379" s="751"/>
      <c r="AU379" s="751"/>
      <c r="AV379" s="751"/>
      <c r="AW379" s="751"/>
      <c r="AX379" s="751"/>
    </row>
    <row r="380" spans="1:50" ht="12.6" customHeight="1" x14ac:dyDescent="0.25">
      <c r="A380" s="251" t="s">
        <v>1525</v>
      </c>
      <c r="B380" s="247"/>
      <c r="C380" s="247"/>
      <c r="D380" s="247"/>
      <c r="E380" s="247"/>
      <c r="F380" s="247"/>
      <c r="G380" s="247"/>
      <c r="H380" s="751"/>
      <c r="I380" s="751"/>
      <c r="J380" s="751"/>
      <c r="K380" s="751"/>
      <c r="L380" s="751"/>
      <c r="M380" s="751"/>
      <c r="N380" s="751"/>
      <c r="O380" s="751"/>
      <c r="P380" s="751"/>
      <c r="Q380" s="751"/>
      <c r="R380" s="751"/>
      <c r="S380" s="751"/>
      <c r="T380" s="751"/>
      <c r="U380" s="751"/>
      <c r="V380" s="751"/>
      <c r="W380" s="751"/>
      <c r="X380" s="751"/>
      <c r="Y380" s="751"/>
      <c r="Z380" s="751"/>
      <c r="AA380" s="751"/>
      <c r="AB380" s="751"/>
      <c r="AC380" s="751"/>
      <c r="AD380" s="751"/>
      <c r="AE380" s="751"/>
      <c r="AF380" s="751"/>
      <c r="AG380" s="751"/>
      <c r="AH380" s="751"/>
      <c r="AI380" s="751"/>
      <c r="AJ380" s="751"/>
      <c r="AK380" s="751"/>
      <c r="AL380" s="751"/>
      <c r="AM380" s="751"/>
      <c r="AN380" s="751"/>
      <c r="AO380" s="751"/>
      <c r="AP380" s="751"/>
      <c r="AQ380" s="751"/>
      <c r="AR380" s="751"/>
      <c r="AS380" s="751"/>
      <c r="AT380" s="751"/>
      <c r="AU380" s="751"/>
      <c r="AV380" s="751"/>
      <c r="AW380" s="751"/>
      <c r="AX380" s="751"/>
    </row>
    <row r="381" spans="1:50" ht="12.6" customHeight="1" x14ac:dyDescent="0.25">
      <c r="A381" s="208" t="s">
        <v>1479</v>
      </c>
      <c r="B381" s="208"/>
      <c r="C381" s="208"/>
      <c r="D381" s="208"/>
      <c r="E381" s="208"/>
      <c r="F381" s="208"/>
      <c r="G381" s="208"/>
      <c r="H381" s="262"/>
      <c r="I381" s="262"/>
      <c r="J381" s="262"/>
      <c r="K381" s="262"/>
      <c r="L381" s="262"/>
      <c r="M381" s="262"/>
      <c r="N381" s="262"/>
      <c r="O381" s="262"/>
      <c r="P381" s="262"/>
      <c r="Q381" s="262"/>
      <c r="R381" s="262"/>
      <c r="S381" s="262"/>
      <c r="T381" s="262"/>
      <c r="U381" s="262"/>
      <c r="V381" s="262"/>
      <c r="W381" s="262"/>
      <c r="X381" s="262"/>
      <c r="Y381" s="262"/>
      <c r="Z381" s="262"/>
      <c r="AA381" s="262"/>
      <c r="AB381" s="262"/>
      <c r="AC381" s="262"/>
      <c r="AD381" s="262"/>
      <c r="AE381" s="262"/>
      <c r="AF381" s="262"/>
      <c r="AG381" s="262"/>
      <c r="AH381" s="262"/>
      <c r="AI381" s="262"/>
      <c r="AJ381" s="262"/>
      <c r="AK381" s="262"/>
      <c r="AL381" s="262"/>
      <c r="AM381" s="262"/>
      <c r="AN381" s="262"/>
      <c r="AO381" s="262"/>
      <c r="AP381" s="262"/>
      <c r="AQ381" s="262"/>
      <c r="AR381" s="262"/>
      <c r="AS381" s="262"/>
      <c r="AT381" s="262"/>
      <c r="AU381" s="262"/>
      <c r="AV381" s="262"/>
      <c r="AW381" s="262"/>
      <c r="AX381" s="273"/>
    </row>
    <row r="382" spans="1:50" ht="12.6" customHeight="1" x14ac:dyDescent="0.25">
      <c r="A382" s="241" t="s">
        <v>1522</v>
      </c>
      <c r="B382" s="249"/>
      <c r="C382" s="249"/>
      <c r="D382" s="249"/>
      <c r="E382" s="249"/>
      <c r="F382" s="249"/>
      <c r="G382" s="249"/>
      <c r="H382" s="751">
        <f>SUM(H389-H388+H387-H386)</f>
        <v>0</v>
      </c>
      <c r="I382" s="751"/>
      <c r="J382" s="751"/>
      <c r="K382" s="751"/>
      <c r="L382" s="751"/>
      <c r="M382" s="751">
        <f>SUM(M389-M388+M387-M386)</f>
        <v>0</v>
      </c>
      <c r="N382" s="751"/>
      <c r="O382" s="751"/>
      <c r="P382" s="751"/>
      <c r="Q382" s="751"/>
      <c r="R382" s="751">
        <f>SUM(R389-R388+R387-R386)</f>
        <v>0</v>
      </c>
      <c r="S382" s="751"/>
      <c r="T382" s="751"/>
      <c r="U382" s="751"/>
      <c r="V382" s="751"/>
      <c r="W382" s="751">
        <f>SUM(W389-W388+W387-W386)</f>
        <v>0</v>
      </c>
      <c r="X382" s="751"/>
      <c r="Y382" s="751"/>
      <c r="Z382" s="751"/>
      <c r="AA382" s="751"/>
      <c r="AB382" s="751">
        <f>SUM(AB389-AB388+AB387-AB386)</f>
        <v>0</v>
      </c>
      <c r="AC382" s="751"/>
      <c r="AD382" s="751"/>
      <c r="AE382" s="751"/>
      <c r="AF382" s="751"/>
      <c r="AG382" s="751">
        <f>SUM(AG389-AG388+AG387-AG386)</f>
        <v>0</v>
      </c>
      <c r="AH382" s="751"/>
      <c r="AI382" s="751"/>
      <c r="AJ382" s="751"/>
      <c r="AK382" s="751">
        <f>SUM(AK389-AK388+AK387-AK386)</f>
        <v>0</v>
      </c>
      <c r="AL382" s="751"/>
      <c r="AM382" s="751"/>
      <c r="AN382" s="751"/>
      <c r="AO382" s="751">
        <f>SUM(AO389-AO388+AO387-AO386)</f>
        <v>0</v>
      </c>
      <c r="AP382" s="751"/>
      <c r="AQ382" s="751"/>
      <c r="AR382" s="751"/>
      <c r="AS382" s="751"/>
      <c r="AT382" s="751">
        <f>SUM(H382:AS385)</f>
        <v>0</v>
      </c>
      <c r="AU382" s="751"/>
      <c r="AV382" s="751"/>
      <c r="AW382" s="751"/>
      <c r="AX382" s="751"/>
    </row>
    <row r="383" spans="1:50" ht="12.6" customHeight="1" x14ac:dyDescent="0.25">
      <c r="A383" s="243" t="s">
        <v>1523</v>
      </c>
      <c r="B383" s="208"/>
      <c r="C383" s="208"/>
      <c r="D383" s="208"/>
      <c r="E383" s="208"/>
      <c r="F383" s="208"/>
      <c r="G383" s="208"/>
      <c r="H383" s="751"/>
      <c r="I383" s="751"/>
      <c r="J383" s="751"/>
      <c r="K383" s="751"/>
      <c r="L383" s="751"/>
      <c r="M383" s="751"/>
      <c r="N383" s="751"/>
      <c r="O383" s="751"/>
      <c r="P383" s="751"/>
      <c r="Q383" s="751"/>
      <c r="R383" s="751"/>
      <c r="S383" s="751"/>
      <c r="T383" s="751"/>
      <c r="U383" s="751"/>
      <c r="V383" s="751"/>
      <c r="W383" s="751"/>
      <c r="X383" s="751"/>
      <c r="Y383" s="751"/>
      <c r="Z383" s="751"/>
      <c r="AA383" s="751"/>
      <c r="AB383" s="751"/>
      <c r="AC383" s="751"/>
      <c r="AD383" s="751"/>
      <c r="AE383" s="751"/>
      <c r="AF383" s="751"/>
      <c r="AG383" s="751"/>
      <c r="AH383" s="751"/>
      <c r="AI383" s="751"/>
      <c r="AJ383" s="751"/>
      <c r="AK383" s="751"/>
      <c r="AL383" s="751"/>
      <c r="AM383" s="751"/>
      <c r="AN383" s="751"/>
      <c r="AO383" s="751"/>
      <c r="AP383" s="751"/>
      <c r="AQ383" s="751"/>
      <c r="AR383" s="751"/>
      <c r="AS383" s="751"/>
      <c r="AT383" s="751"/>
      <c r="AU383" s="751"/>
      <c r="AV383" s="751"/>
      <c r="AW383" s="751"/>
      <c r="AX383" s="751"/>
    </row>
    <row r="384" spans="1:50" ht="12.6" customHeight="1" x14ac:dyDescent="0.25">
      <c r="A384" s="243" t="s">
        <v>1524</v>
      </c>
      <c r="B384" s="208"/>
      <c r="C384" s="208"/>
      <c r="D384" s="208"/>
      <c r="E384" s="208"/>
      <c r="F384" s="208"/>
      <c r="G384" s="208"/>
      <c r="H384" s="751"/>
      <c r="I384" s="751"/>
      <c r="J384" s="751"/>
      <c r="K384" s="751"/>
      <c r="L384" s="751"/>
      <c r="M384" s="751"/>
      <c r="N384" s="751"/>
      <c r="O384" s="751"/>
      <c r="P384" s="751"/>
      <c r="Q384" s="751"/>
      <c r="R384" s="751"/>
      <c r="S384" s="751"/>
      <c r="T384" s="751"/>
      <c r="U384" s="751"/>
      <c r="V384" s="751"/>
      <c r="W384" s="751"/>
      <c r="X384" s="751"/>
      <c r="Y384" s="751"/>
      <c r="Z384" s="751"/>
      <c r="AA384" s="751"/>
      <c r="AB384" s="751"/>
      <c r="AC384" s="751"/>
      <c r="AD384" s="751"/>
      <c r="AE384" s="751"/>
      <c r="AF384" s="751"/>
      <c r="AG384" s="751"/>
      <c r="AH384" s="751"/>
      <c r="AI384" s="751"/>
      <c r="AJ384" s="751"/>
      <c r="AK384" s="751"/>
      <c r="AL384" s="751"/>
      <c r="AM384" s="751"/>
      <c r="AN384" s="751"/>
      <c r="AO384" s="751"/>
      <c r="AP384" s="751"/>
      <c r="AQ384" s="751"/>
      <c r="AR384" s="751"/>
      <c r="AS384" s="751"/>
      <c r="AT384" s="751"/>
      <c r="AU384" s="751"/>
      <c r="AV384" s="751"/>
      <c r="AW384" s="751"/>
      <c r="AX384" s="751"/>
    </row>
    <row r="385" spans="1:50" ht="12.6" customHeight="1" x14ac:dyDescent="0.25">
      <c r="A385" s="243" t="s">
        <v>1525</v>
      </c>
      <c r="B385" s="208"/>
      <c r="C385" s="208"/>
      <c r="D385" s="208"/>
      <c r="E385" s="208"/>
      <c r="F385" s="208"/>
      <c r="G385" s="208"/>
      <c r="H385" s="751"/>
      <c r="I385" s="751"/>
      <c r="J385" s="751"/>
      <c r="K385" s="751"/>
      <c r="L385" s="751"/>
      <c r="M385" s="751"/>
      <c r="N385" s="751"/>
      <c r="O385" s="751"/>
      <c r="P385" s="751"/>
      <c r="Q385" s="751"/>
      <c r="R385" s="751"/>
      <c r="S385" s="751"/>
      <c r="T385" s="751"/>
      <c r="U385" s="751"/>
      <c r="V385" s="751"/>
      <c r="W385" s="751"/>
      <c r="X385" s="751"/>
      <c r="Y385" s="751"/>
      <c r="Z385" s="751"/>
      <c r="AA385" s="751"/>
      <c r="AB385" s="751"/>
      <c r="AC385" s="751"/>
      <c r="AD385" s="751"/>
      <c r="AE385" s="751"/>
      <c r="AF385" s="751"/>
      <c r="AG385" s="751"/>
      <c r="AH385" s="751"/>
      <c r="AI385" s="751"/>
      <c r="AJ385" s="751"/>
      <c r="AK385" s="751"/>
      <c r="AL385" s="751"/>
      <c r="AM385" s="751"/>
      <c r="AN385" s="751"/>
      <c r="AO385" s="751"/>
      <c r="AP385" s="751"/>
      <c r="AQ385" s="751"/>
      <c r="AR385" s="751"/>
      <c r="AS385" s="751"/>
      <c r="AT385" s="751"/>
      <c r="AU385" s="751"/>
      <c r="AV385" s="751"/>
      <c r="AW385" s="751"/>
      <c r="AX385" s="751"/>
    </row>
    <row r="386" spans="1:50" ht="12.6" customHeight="1" x14ac:dyDescent="0.25">
      <c r="A386" s="253" t="s">
        <v>1474</v>
      </c>
      <c r="B386" s="246"/>
      <c r="C386" s="246"/>
      <c r="D386" s="246"/>
      <c r="E386" s="246"/>
      <c r="F386" s="246"/>
      <c r="G386" s="246"/>
      <c r="H386" s="757"/>
      <c r="I386" s="757"/>
      <c r="J386" s="757"/>
      <c r="K386" s="757"/>
      <c r="L386" s="757"/>
      <c r="M386" s="757"/>
      <c r="N386" s="757"/>
      <c r="O386" s="757"/>
      <c r="P386" s="757"/>
      <c r="Q386" s="757"/>
      <c r="R386" s="757"/>
      <c r="S386" s="757"/>
      <c r="T386" s="757"/>
      <c r="U386" s="757"/>
      <c r="V386" s="757"/>
      <c r="W386" s="757"/>
      <c r="X386" s="757"/>
      <c r="Y386" s="757"/>
      <c r="Z386" s="757"/>
      <c r="AA386" s="757"/>
      <c r="AB386" s="757"/>
      <c r="AC386" s="757"/>
      <c r="AD386" s="757"/>
      <c r="AE386" s="757"/>
      <c r="AF386" s="757"/>
      <c r="AG386" s="757"/>
      <c r="AH386" s="757"/>
      <c r="AI386" s="757"/>
      <c r="AJ386" s="757"/>
      <c r="AK386" s="757"/>
      <c r="AL386" s="757"/>
      <c r="AM386" s="757"/>
      <c r="AN386" s="757"/>
      <c r="AO386" s="757"/>
      <c r="AP386" s="757"/>
      <c r="AQ386" s="757"/>
      <c r="AR386" s="757"/>
      <c r="AS386" s="757"/>
      <c r="AT386" s="751">
        <f>SUM(H386:AS386)</f>
        <v>0</v>
      </c>
      <c r="AU386" s="751"/>
      <c r="AV386" s="751"/>
      <c r="AW386" s="751"/>
      <c r="AX386" s="751"/>
    </row>
    <row r="387" spans="1:50" ht="12.6" customHeight="1" x14ac:dyDescent="0.25">
      <c r="A387" s="253" t="s">
        <v>1475</v>
      </c>
      <c r="B387" s="259"/>
      <c r="C387" s="246"/>
      <c r="D387" s="246"/>
      <c r="E387" s="246"/>
      <c r="F387" s="246"/>
      <c r="G387" s="246"/>
      <c r="H387" s="757"/>
      <c r="I387" s="757"/>
      <c r="J387" s="757"/>
      <c r="K387" s="757"/>
      <c r="L387" s="757"/>
      <c r="M387" s="757"/>
      <c r="N387" s="757"/>
      <c r="O387" s="757"/>
      <c r="P387" s="757"/>
      <c r="Q387" s="757"/>
      <c r="R387" s="757"/>
      <c r="S387" s="757"/>
      <c r="T387" s="757"/>
      <c r="U387" s="757"/>
      <c r="V387" s="757"/>
      <c r="W387" s="757"/>
      <c r="X387" s="757"/>
      <c r="Y387" s="757"/>
      <c r="Z387" s="757"/>
      <c r="AA387" s="757"/>
      <c r="AB387" s="757"/>
      <c r="AC387" s="757"/>
      <c r="AD387" s="757"/>
      <c r="AE387" s="757"/>
      <c r="AF387" s="757"/>
      <c r="AG387" s="757"/>
      <c r="AH387" s="757"/>
      <c r="AI387" s="757"/>
      <c r="AJ387" s="757"/>
      <c r="AK387" s="757"/>
      <c r="AL387" s="757"/>
      <c r="AM387" s="757"/>
      <c r="AN387" s="757"/>
      <c r="AO387" s="757"/>
      <c r="AP387" s="757"/>
      <c r="AQ387" s="757"/>
      <c r="AR387" s="757"/>
      <c r="AS387" s="757"/>
      <c r="AT387" s="751">
        <f>SUM(H387:AS387)</f>
        <v>0</v>
      </c>
      <c r="AU387" s="751"/>
      <c r="AV387" s="751"/>
      <c r="AW387" s="751"/>
      <c r="AX387" s="751"/>
    </row>
    <row r="388" spans="1:50" ht="12.6" customHeight="1" x14ac:dyDescent="0.25">
      <c r="A388" s="253" t="s">
        <v>1476</v>
      </c>
      <c r="B388" s="259"/>
      <c r="C388" s="246"/>
      <c r="D388" s="246"/>
      <c r="E388" s="246"/>
      <c r="F388" s="246"/>
      <c r="G388" s="246"/>
      <c r="H388" s="757"/>
      <c r="I388" s="757"/>
      <c r="J388" s="757"/>
      <c r="K388" s="757"/>
      <c r="L388" s="757"/>
      <c r="M388" s="757"/>
      <c r="N388" s="757"/>
      <c r="O388" s="757"/>
      <c r="P388" s="757"/>
      <c r="Q388" s="757"/>
      <c r="R388" s="757"/>
      <c r="S388" s="757"/>
      <c r="T388" s="757"/>
      <c r="U388" s="757"/>
      <c r="V388" s="757"/>
      <c r="W388" s="757"/>
      <c r="X388" s="757"/>
      <c r="Y388" s="757"/>
      <c r="Z388" s="757"/>
      <c r="AA388" s="757"/>
      <c r="AB388" s="757"/>
      <c r="AC388" s="757"/>
      <c r="AD388" s="757"/>
      <c r="AE388" s="757"/>
      <c r="AF388" s="757"/>
      <c r="AG388" s="757"/>
      <c r="AH388" s="757"/>
      <c r="AI388" s="757"/>
      <c r="AJ388" s="757"/>
      <c r="AK388" s="757"/>
      <c r="AL388" s="757"/>
      <c r="AM388" s="757"/>
      <c r="AN388" s="757"/>
      <c r="AO388" s="757"/>
      <c r="AP388" s="757"/>
      <c r="AQ388" s="757"/>
      <c r="AR388" s="757"/>
      <c r="AS388" s="757"/>
      <c r="AT388" s="751">
        <f>SUM(H388:AS388)</f>
        <v>0</v>
      </c>
      <c r="AU388" s="751"/>
      <c r="AV388" s="751"/>
      <c r="AW388" s="751"/>
      <c r="AX388" s="751"/>
    </row>
    <row r="389" spans="1:50" ht="12.6" customHeight="1" x14ac:dyDescent="0.25">
      <c r="A389" s="243" t="s">
        <v>1477</v>
      </c>
      <c r="B389" s="208"/>
      <c r="C389" s="208"/>
      <c r="D389" s="208"/>
      <c r="E389" s="208"/>
      <c r="F389" s="208"/>
      <c r="G389" s="208"/>
      <c r="H389" s="751">
        <f>SUM(ANALYTIKAVUJ!$C$33)*-1</f>
        <v>0</v>
      </c>
      <c r="I389" s="751"/>
      <c r="J389" s="751"/>
      <c r="K389" s="751"/>
      <c r="L389" s="751"/>
      <c r="M389" s="751">
        <f>SUM(ANALYTIKAVUJ!$C$34)*-1</f>
        <v>0</v>
      </c>
      <c r="N389" s="751"/>
      <c r="O389" s="751"/>
      <c r="P389" s="751"/>
      <c r="Q389" s="751"/>
      <c r="R389" s="751">
        <f>SUM(ANALYTIKAVUJ!$C$35)*-1</f>
        <v>0</v>
      </c>
      <c r="S389" s="751"/>
      <c r="T389" s="751"/>
      <c r="U389" s="751"/>
      <c r="V389" s="751"/>
      <c r="W389" s="751">
        <f>SUM(ANALYTIKAVUJ!$C$36)*-1</f>
        <v>0</v>
      </c>
      <c r="X389" s="751"/>
      <c r="Y389" s="751"/>
      <c r="Z389" s="751"/>
      <c r="AA389" s="751"/>
      <c r="AB389" s="751">
        <f>SUM(ANALYTIKAVUJ!$C$37)*-1</f>
        <v>0</v>
      </c>
      <c r="AC389" s="751"/>
      <c r="AD389" s="751"/>
      <c r="AE389" s="751"/>
      <c r="AF389" s="751"/>
      <c r="AG389" s="751">
        <f>SUM(ANALYTIKAVUJ!$C$38)*-1</f>
        <v>0</v>
      </c>
      <c r="AH389" s="751"/>
      <c r="AI389" s="751"/>
      <c r="AJ389" s="751"/>
      <c r="AK389" s="751">
        <f>SUM('HL KNIHA VYPOC'!$G$74)*-1</f>
        <v>0</v>
      </c>
      <c r="AL389" s="751"/>
      <c r="AM389" s="751"/>
      <c r="AN389" s="751"/>
      <c r="AO389" s="751">
        <f>SUM(ANALYTIKAVUJ!$C$42)*-1</f>
        <v>0</v>
      </c>
      <c r="AP389" s="751"/>
      <c r="AQ389" s="751"/>
      <c r="AR389" s="751"/>
      <c r="AS389" s="751"/>
      <c r="AT389" s="754">
        <f>SUM(H389:AS391)</f>
        <v>0</v>
      </c>
      <c r="AU389" s="754"/>
      <c r="AV389" s="754"/>
      <c r="AW389" s="754"/>
      <c r="AX389" s="754"/>
    </row>
    <row r="390" spans="1:50" ht="12.6" customHeight="1" x14ac:dyDescent="0.25">
      <c r="A390" s="243" t="s">
        <v>1524</v>
      </c>
      <c r="B390" s="208"/>
      <c r="C390" s="208"/>
      <c r="D390" s="208"/>
      <c r="E390" s="208"/>
      <c r="F390" s="208"/>
      <c r="G390" s="208"/>
      <c r="H390" s="751"/>
      <c r="I390" s="751"/>
      <c r="J390" s="751"/>
      <c r="K390" s="751"/>
      <c r="L390" s="751"/>
      <c r="M390" s="751"/>
      <c r="N390" s="751"/>
      <c r="O390" s="751"/>
      <c r="P390" s="751"/>
      <c r="Q390" s="751"/>
      <c r="R390" s="751"/>
      <c r="S390" s="751"/>
      <c r="T390" s="751"/>
      <c r="U390" s="751"/>
      <c r="V390" s="751"/>
      <c r="W390" s="751"/>
      <c r="X390" s="751"/>
      <c r="Y390" s="751"/>
      <c r="Z390" s="751"/>
      <c r="AA390" s="751"/>
      <c r="AB390" s="751"/>
      <c r="AC390" s="751"/>
      <c r="AD390" s="751"/>
      <c r="AE390" s="751"/>
      <c r="AF390" s="751"/>
      <c r="AG390" s="751"/>
      <c r="AH390" s="751"/>
      <c r="AI390" s="751"/>
      <c r="AJ390" s="751"/>
      <c r="AK390" s="751"/>
      <c r="AL390" s="751"/>
      <c r="AM390" s="751"/>
      <c r="AN390" s="751"/>
      <c r="AO390" s="751"/>
      <c r="AP390" s="751"/>
      <c r="AQ390" s="751"/>
      <c r="AR390" s="751"/>
      <c r="AS390" s="751"/>
      <c r="AT390" s="754"/>
      <c r="AU390" s="754"/>
      <c r="AV390" s="754"/>
      <c r="AW390" s="754"/>
      <c r="AX390" s="754"/>
    </row>
    <row r="391" spans="1:50" ht="12.6" customHeight="1" x14ac:dyDescent="0.25">
      <c r="A391" s="251" t="s">
        <v>1525</v>
      </c>
      <c r="B391" s="247"/>
      <c r="C391" s="247"/>
      <c r="D391" s="247"/>
      <c r="E391" s="247"/>
      <c r="F391" s="247"/>
      <c r="G391" s="247"/>
      <c r="H391" s="751"/>
      <c r="I391" s="751"/>
      <c r="J391" s="751"/>
      <c r="K391" s="751"/>
      <c r="L391" s="751"/>
      <c r="M391" s="751"/>
      <c r="N391" s="751"/>
      <c r="O391" s="751"/>
      <c r="P391" s="751"/>
      <c r="Q391" s="751"/>
      <c r="R391" s="751"/>
      <c r="S391" s="751"/>
      <c r="T391" s="751"/>
      <c r="U391" s="751"/>
      <c r="V391" s="751"/>
      <c r="W391" s="751"/>
      <c r="X391" s="751"/>
      <c r="Y391" s="751"/>
      <c r="Z391" s="751"/>
      <c r="AA391" s="751"/>
      <c r="AB391" s="751"/>
      <c r="AC391" s="751"/>
      <c r="AD391" s="751"/>
      <c r="AE391" s="751"/>
      <c r="AF391" s="751"/>
      <c r="AG391" s="751"/>
      <c r="AH391" s="751"/>
      <c r="AI391" s="751"/>
      <c r="AJ391" s="751"/>
      <c r="AK391" s="751"/>
      <c r="AL391" s="751"/>
      <c r="AM391" s="751"/>
      <c r="AN391" s="751"/>
      <c r="AO391" s="751"/>
      <c r="AP391" s="751"/>
      <c r="AQ391" s="751"/>
      <c r="AR391" s="751"/>
      <c r="AS391" s="751"/>
      <c r="AT391" s="754"/>
      <c r="AU391" s="754"/>
      <c r="AV391" s="754"/>
      <c r="AW391" s="754"/>
      <c r="AX391" s="754"/>
    </row>
    <row r="392" spans="1:50" ht="12.6" customHeight="1" x14ac:dyDescent="0.25">
      <c r="A392" s="246" t="s">
        <v>1480</v>
      </c>
      <c r="B392" s="246"/>
      <c r="C392" s="246"/>
      <c r="D392" s="246"/>
      <c r="E392" s="246"/>
      <c r="F392" s="246"/>
      <c r="G392" s="246"/>
      <c r="H392" s="274"/>
      <c r="I392" s="274"/>
      <c r="J392" s="274"/>
      <c r="K392" s="274"/>
      <c r="L392" s="274"/>
      <c r="M392" s="274"/>
      <c r="N392" s="274"/>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3"/>
    </row>
    <row r="393" spans="1:50" ht="12.6" customHeight="1" x14ac:dyDescent="0.25">
      <c r="A393" s="241" t="s">
        <v>1522</v>
      </c>
      <c r="B393" s="249"/>
      <c r="C393" s="249"/>
      <c r="D393" s="249"/>
      <c r="E393" s="249"/>
      <c r="F393" s="249"/>
      <c r="G393" s="249"/>
      <c r="H393" s="751">
        <f>SUM(H360-H371-H382)</f>
        <v>0</v>
      </c>
      <c r="I393" s="751"/>
      <c r="J393" s="751"/>
      <c r="K393" s="751"/>
      <c r="L393" s="751"/>
      <c r="M393" s="751">
        <f>SUM(M360-M371-M382)</f>
        <v>367811.68</v>
      </c>
      <c r="N393" s="751"/>
      <c r="O393" s="751"/>
      <c r="P393" s="751"/>
      <c r="Q393" s="751"/>
      <c r="R393" s="751">
        <f>SUM(R360-R371-R382)</f>
        <v>3140.5999999999767</v>
      </c>
      <c r="S393" s="751"/>
      <c r="T393" s="751"/>
      <c r="U393" s="751"/>
      <c r="V393" s="751"/>
      <c r="W393" s="751">
        <f>SUM(W360-W371-W382)</f>
        <v>1000</v>
      </c>
      <c r="X393" s="751"/>
      <c r="Y393" s="751"/>
      <c r="Z393" s="751"/>
      <c r="AA393" s="751"/>
      <c r="AB393" s="751">
        <f>SUM(AB360-AB371-AB382)</f>
        <v>35554.81</v>
      </c>
      <c r="AC393" s="751"/>
      <c r="AD393" s="751"/>
      <c r="AE393" s="751"/>
      <c r="AF393" s="751"/>
      <c r="AG393" s="751">
        <f>SUM(AG360-AG371-AG382)</f>
        <v>0</v>
      </c>
      <c r="AH393" s="751"/>
      <c r="AI393" s="751"/>
      <c r="AJ393" s="751"/>
      <c r="AK393" s="751">
        <f>SUM(AK360-AK371-AK382)</f>
        <v>0</v>
      </c>
      <c r="AL393" s="751"/>
      <c r="AM393" s="751"/>
      <c r="AN393" s="751"/>
      <c r="AO393" s="751">
        <f>SUM(AO360-AO371-AO382)</f>
        <v>0</v>
      </c>
      <c r="AP393" s="751"/>
      <c r="AQ393" s="751"/>
      <c r="AR393" s="751"/>
      <c r="AS393" s="751"/>
      <c r="AT393" s="770">
        <f>SUM(AT360-AT371-AT382)</f>
        <v>407507.08999999997</v>
      </c>
      <c r="AU393" s="770"/>
      <c r="AV393" s="770"/>
      <c r="AW393" s="770"/>
      <c r="AX393" s="770"/>
    </row>
    <row r="394" spans="1:50" ht="12.6" customHeight="1" x14ac:dyDescent="0.25">
      <c r="A394" s="243" t="s">
        <v>1523</v>
      </c>
      <c r="B394" s="208"/>
      <c r="C394" s="208"/>
      <c r="D394" s="208"/>
      <c r="E394" s="208"/>
      <c r="F394" s="208"/>
      <c r="G394" s="208"/>
      <c r="H394" s="751"/>
      <c r="I394" s="751"/>
      <c r="J394" s="751"/>
      <c r="K394" s="751"/>
      <c r="L394" s="751"/>
      <c r="M394" s="751"/>
      <c r="N394" s="751"/>
      <c r="O394" s="751"/>
      <c r="P394" s="751"/>
      <c r="Q394" s="751"/>
      <c r="R394" s="751"/>
      <c r="S394" s="751"/>
      <c r="T394" s="751"/>
      <c r="U394" s="751"/>
      <c r="V394" s="751"/>
      <c r="W394" s="751"/>
      <c r="X394" s="751"/>
      <c r="Y394" s="751"/>
      <c r="Z394" s="751"/>
      <c r="AA394" s="751"/>
      <c r="AB394" s="751"/>
      <c r="AC394" s="751"/>
      <c r="AD394" s="751"/>
      <c r="AE394" s="751"/>
      <c r="AF394" s="751"/>
      <c r="AG394" s="751"/>
      <c r="AH394" s="751"/>
      <c r="AI394" s="751"/>
      <c r="AJ394" s="751"/>
      <c r="AK394" s="751"/>
      <c r="AL394" s="751"/>
      <c r="AM394" s="751"/>
      <c r="AN394" s="751"/>
      <c r="AO394" s="751"/>
      <c r="AP394" s="751"/>
      <c r="AQ394" s="751"/>
      <c r="AR394" s="751"/>
      <c r="AS394" s="751"/>
      <c r="AT394" s="770"/>
      <c r="AU394" s="770"/>
      <c r="AV394" s="770"/>
      <c r="AW394" s="770"/>
      <c r="AX394" s="770"/>
    </row>
    <row r="395" spans="1:50" ht="12.6" customHeight="1" x14ac:dyDescent="0.25">
      <c r="A395" s="243" t="s">
        <v>1524</v>
      </c>
      <c r="B395" s="208"/>
      <c r="C395" s="208"/>
      <c r="D395" s="208"/>
      <c r="E395" s="208"/>
      <c r="F395" s="208"/>
      <c r="G395" s="208"/>
      <c r="H395" s="751"/>
      <c r="I395" s="751"/>
      <c r="J395" s="751"/>
      <c r="K395" s="751"/>
      <c r="L395" s="751"/>
      <c r="M395" s="751"/>
      <c r="N395" s="751"/>
      <c r="O395" s="751"/>
      <c r="P395" s="751"/>
      <c r="Q395" s="751"/>
      <c r="R395" s="751"/>
      <c r="S395" s="751"/>
      <c r="T395" s="751"/>
      <c r="U395" s="751"/>
      <c r="V395" s="751"/>
      <c r="W395" s="751"/>
      <c r="X395" s="751"/>
      <c r="Y395" s="751"/>
      <c r="Z395" s="751"/>
      <c r="AA395" s="751"/>
      <c r="AB395" s="751"/>
      <c r="AC395" s="751"/>
      <c r="AD395" s="751"/>
      <c r="AE395" s="751"/>
      <c r="AF395" s="751"/>
      <c r="AG395" s="751"/>
      <c r="AH395" s="751"/>
      <c r="AI395" s="751"/>
      <c r="AJ395" s="751"/>
      <c r="AK395" s="751"/>
      <c r="AL395" s="751"/>
      <c r="AM395" s="751"/>
      <c r="AN395" s="751"/>
      <c r="AO395" s="751"/>
      <c r="AP395" s="751"/>
      <c r="AQ395" s="751"/>
      <c r="AR395" s="751"/>
      <c r="AS395" s="751"/>
      <c r="AT395" s="770"/>
      <c r="AU395" s="770"/>
      <c r="AV395" s="770"/>
      <c r="AW395" s="770"/>
      <c r="AX395" s="770"/>
    </row>
    <row r="396" spans="1:50" ht="12.6" customHeight="1" x14ac:dyDescent="0.25">
      <c r="A396" s="243" t="s">
        <v>1525</v>
      </c>
      <c r="B396" s="208"/>
      <c r="C396" s="208"/>
      <c r="D396" s="208"/>
      <c r="E396" s="208"/>
      <c r="F396" s="208"/>
      <c r="G396" s="208"/>
      <c r="H396" s="751"/>
      <c r="I396" s="751"/>
      <c r="J396" s="751"/>
      <c r="K396" s="751"/>
      <c r="L396" s="751"/>
      <c r="M396" s="751"/>
      <c r="N396" s="751"/>
      <c r="O396" s="751"/>
      <c r="P396" s="751"/>
      <c r="Q396" s="751"/>
      <c r="R396" s="751"/>
      <c r="S396" s="751"/>
      <c r="T396" s="751"/>
      <c r="U396" s="751"/>
      <c r="V396" s="751"/>
      <c r="W396" s="751"/>
      <c r="X396" s="751"/>
      <c r="Y396" s="751"/>
      <c r="Z396" s="751"/>
      <c r="AA396" s="751"/>
      <c r="AB396" s="751"/>
      <c r="AC396" s="751"/>
      <c r="AD396" s="751"/>
      <c r="AE396" s="751"/>
      <c r="AF396" s="751"/>
      <c r="AG396" s="751"/>
      <c r="AH396" s="751"/>
      <c r="AI396" s="751"/>
      <c r="AJ396" s="751"/>
      <c r="AK396" s="751"/>
      <c r="AL396" s="751"/>
      <c r="AM396" s="751"/>
      <c r="AN396" s="751"/>
      <c r="AO396" s="751"/>
      <c r="AP396" s="751"/>
      <c r="AQ396" s="751"/>
      <c r="AR396" s="751"/>
      <c r="AS396" s="751"/>
      <c r="AT396" s="770"/>
      <c r="AU396" s="770"/>
      <c r="AV396" s="770"/>
      <c r="AW396" s="770"/>
      <c r="AX396" s="770"/>
    </row>
    <row r="397" spans="1:50" ht="12.6" customHeight="1" x14ac:dyDescent="0.25">
      <c r="A397" s="241" t="s">
        <v>1477</v>
      </c>
      <c r="B397" s="249"/>
      <c r="C397" s="249"/>
      <c r="D397" s="249"/>
      <c r="E397" s="249"/>
      <c r="F397" s="249"/>
      <c r="G397" s="250"/>
      <c r="H397" s="751">
        <f>SUM(H367-H378-H389)</f>
        <v>0</v>
      </c>
      <c r="I397" s="751"/>
      <c r="J397" s="751"/>
      <c r="K397" s="751"/>
      <c r="L397" s="751"/>
      <c r="M397" s="751">
        <f>SUM(M367-M378-M389)</f>
        <v>335009.68</v>
      </c>
      <c r="N397" s="751"/>
      <c r="O397" s="751"/>
      <c r="P397" s="751"/>
      <c r="Q397" s="751"/>
      <c r="R397" s="751">
        <f>SUM(R367-R378-R389)</f>
        <v>0</v>
      </c>
      <c r="S397" s="751"/>
      <c r="T397" s="751"/>
      <c r="U397" s="751"/>
      <c r="V397" s="751"/>
      <c r="W397" s="751">
        <f>SUM(W367-W378-W389)</f>
        <v>1000</v>
      </c>
      <c r="X397" s="751"/>
      <c r="Y397" s="751"/>
      <c r="Z397" s="751"/>
      <c r="AA397" s="751"/>
      <c r="AB397" s="751">
        <f>SUM(AB367-AB378-AB389)</f>
        <v>25560.449999999997</v>
      </c>
      <c r="AC397" s="751"/>
      <c r="AD397" s="751"/>
      <c r="AE397" s="751"/>
      <c r="AF397" s="751"/>
      <c r="AG397" s="751">
        <f>SUM(AG367-AG378-AG389)</f>
        <v>0</v>
      </c>
      <c r="AH397" s="751"/>
      <c r="AI397" s="751"/>
      <c r="AJ397" s="751"/>
      <c r="AK397" s="751">
        <f>SUM(AK367-AK378-AK389)</f>
        <v>500</v>
      </c>
      <c r="AL397" s="751"/>
      <c r="AM397" s="751"/>
      <c r="AN397" s="751"/>
      <c r="AO397" s="751">
        <f>SUM(AO367-AO378-AO389)</f>
        <v>0</v>
      </c>
      <c r="AP397" s="751"/>
      <c r="AQ397" s="751"/>
      <c r="AR397" s="751"/>
      <c r="AS397" s="751"/>
      <c r="AT397" s="770">
        <f>SUM(H397:AS399)</f>
        <v>362070.13</v>
      </c>
      <c r="AU397" s="770"/>
      <c r="AV397" s="770"/>
      <c r="AW397" s="770"/>
      <c r="AX397" s="770"/>
    </row>
    <row r="398" spans="1:50" ht="12.6" customHeight="1" x14ac:dyDescent="0.25">
      <c r="A398" s="243" t="s">
        <v>1524</v>
      </c>
      <c r="B398" s="208"/>
      <c r="C398" s="208"/>
      <c r="D398" s="208"/>
      <c r="E398" s="208"/>
      <c r="F398" s="208"/>
      <c r="G398" s="245"/>
      <c r="H398" s="751"/>
      <c r="I398" s="751"/>
      <c r="J398" s="751"/>
      <c r="K398" s="751"/>
      <c r="L398" s="751"/>
      <c r="M398" s="751"/>
      <c r="N398" s="751"/>
      <c r="O398" s="751"/>
      <c r="P398" s="751"/>
      <c r="Q398" s="751"/>
      <c r="R398" s="751"/>
      <c r="S398" s="751"/>
      <c r="T398" s="751"/>
      <c r="U398" s="751"/>
      <c r="V398" s="751"/>
      <c r="W398" s="751"/>
      <c r="X398" s="751"/>
      <c r="Y398" s="751"/>
      <c r="Z398" s="751"/>
      <c r="AA398" s="751"/>
      <c r="AB398" s="751"/>
      <c r="AC398" s="751"/>
      <c r="AD398" s="751"/>
      <c r="AE398" s="751"/>
      <c r="AF398" s="751"/>
      <c r="AG398" s="751"/>
      <c r="AH398" s="751"/>
      <c r="AI398" s="751"/>
      <c r="AJ398" s="751"/>
      <c r="AK398" s="751"/>
      <c r="AL398" s="751"/>
      <c r="AM398" s="751"/>
      <c r="AN398" s="751"/>
      <c r="AO398" s="751"/>
      <c r="AP398" s="751"/>
      <c r="AQ398" s="751"/>
      <c r="AR398" s="751"/>
      <c r="AS398" s="751"/>
      <c r="AT398" s="770"/>
      <c r="AU398" s="770"/>
      <c r="AV398" s="770"/>
      <c r="AW398" s="770"/>
      <c r="AX398" s="770"/>
    </row>
    <row r="399" spans="1:50" ht="12.6" customHeight="1" x14ac:dyDescent="0.25">
      <c r="A399" s="251" t="s">
        <v>1525</v>
      </c>
      <c r="B399" s="247"/>
      <c r="C399" s="247"/>
      <c r="D399" s="247"/>
      <c r="E399" s="247"/>
      <c r="F399" s="247"/>
      <c r="G399" s="252"/>
      <c r="H399" s="751"/>
      <c r="I399" s="751"/>
      <c r="J399" s="751"/>
      <c r="K399" s="751"/>
      <c r="L399" s="751"/>
      <c r="M399" s="751"/>
      <c r="N399" s="751"/>
      <c r="O399" s="751"/>
      <c r="P399" s="751"/>
      <c r="Q399" s="751"/>
      <c r="R399" s="751"/>
      <c r="S399" s="751"/>
      <c r="T399" s="751"/>
      <c r="U399" s="751"/>
      <c r="V399" s="751"/>
      <c r="W399" s="751"/>
      <c r="X399" s="751"/>
      <c r="Y399" s="751"/>
      <c r="Z399" s="751"/>
      <c r="AA399" s="751"/>
      <c r="AB399" s="751"/>
      <c r="AC399" s="751"/>
      <c r="AD399" s="751"/>
      <c r="AE399" s="751"/>
      <c r="AF399" s="751"/>
      <c r="AG399" s="751"/>
      <c r="AH399" s="751"/>
      <c r="AI399" s="751"/>
      <c r="AJ399" s="751"/>
      <c r="AK399" s="751"/>
      <c r="AL399" s="751"/>
      <c r="AM399" s="751"/>
      <c r="AN399" s="751"/>
      <c r="AO399" s="751"/>
      <c r="AP399" s="751"/>
      <c r="AQ399" s="751"/>
      <c r="AR399" s="751"/>
      <c r="AS399" s="751"/>
      <c r="AT399" s="770"/>
      <c r="AU399" s="770"/>
      <c r="AV399" s="770"/>
      <c r="AW399" s="770"/>
      <c r="AX399" s="770"/>
    </row>
    <row r="400" spans="1:50" s="208" customFormat="1" ht="12.6" customHeight="1" x14ac:dyDescent="0.25"/>
    <row r="401" spans="1:55" ht="12.6" customHeight="1" x14ac:dyDescent="0.25">
      <c r="A401" s="29" t="s">
        <v>1329</v>
      </c>
      <c r="B401" s="227"/>
      <c r="C401" s="227"/>
      <c r="D401" s="227"/>
      <c r="E401" s="227"/>
      <c r="F401" s="227"/>
      <c r="G401" s="227"/>
      <c r="H401" s="227"/>
      <c r="I401" s="227"/>
      <c r="J401" s="227"/>
      <c r="K401" s="227"/>
      <c r="L401" s="227"/>
      <c r="M401" s="227"/>
      <c r="N401" s="227"/>
      <c r="O401" s="227"/>
      <c r="P401" s="227"/>
      <c r="Q401" s="227"/>
      <c r="R401" s="227"/>
      <c r="S401" s="227"/>
      <c r="T401" s="227"/>
      <c r="U401" s="227"/>
      <c r="V401" s="227"/>
      <c r="W401" s="227"/>
      <c r="X401" s="227"/>
      <c r="Y401" s="227"/>
      <c r="Z401" s="227"/>
      <c r="AA401" s="227"/>
      <c r="AB401" s="227"/>
      <c r="AC401" s="227"/>
      <c r="AD401" s="227"/>
      <c r="AE401" s="227"/>
      <c r="AF401" s="227"/>
      <c r="AG401" s="227"/>
      <c r="AH401" s="227"/>
      <c r="AI401" s="227"/>
      <c r="AJ401" s="227"/>
      <c r="AK401" s="227"/>
      <c r="AL401" s="227"/>
      <c r="AM401" s="227"/>
      <c r="AN401" s="227"/>
      <c r="AO401" s="227"/>
      <c r="AP401" s="227"/>
      <c r="AQ401" s="227"/>
      <c r="AR401" s="227"/>
      <c r="AS401" s="227"/>
      <c r="AT401" s="227"/>
      <c r="AU401" s="227"/>
      <c r="AV401" s="227"/>
      <c r="AW401" s="227"/>
      <c r="AX401" s="227"/>
      <c r="AY401" s="227"/>
      <c r="AZ401" s="227"/>
      <c r="BA401" s="227"/>
      <c r="BB401" s="227"/>
    </row>
    <row r="402" spans="1:55" ht="12.6" customHeight="1" x14ac:dyDescent="0.25">
      <c r="A402" s="241"/>
      <c r="B402" s="242"/>
      <c r="C402" s="242"/>
      <c r="D402" s="242"/>
      <c r="E402" s="242"/>
      <c r="F402" s="242"/>
      <c r="G402" s="242"/>
      <c r="H402" s="707" t="s">
        <v>1306</v>
      </c>
      <c r="I402" s="707"/>
      <c r="J402" s="707"/>
      <c r="K402" s="707"/>
      <c r="L402" s="707"/>
      <c r="M402" s="707"/>
      <c r="N402" s="707"/>
      <c r="O402" s="707"/>
      <c r="P402" s="707"/>
      <c r="Q402" s="707"/>
      <c r="R402" s="707"/>
      <c r="S402" s="707"/>
      <c r="T402" s="707"/>
      <c r="U402" s="707"/>
      <c r="V402" s="707"/>
      <c r="W402" s="707"/>
      <c r="X402" s="707"/>
      <c r="Y402" s="707"/>
      <c r="Z402" s="707"/>
      <c r="AA402" s="707"/>
      <c r="AB402" s="707"/>
      <c r="AC402" s="707"/>
      <c r="AD402" s="707"/>
      <c r="AE402" s="707"/>
      <c r="AF402" s="707"/>
      <c r="AG402" s="707"/>
      <c r="AH402" s="707"/>
      <c r="AI402" s="707"/>
      <c r="AJ402" s="707"/>
      <c r="AK402" s="707"/>
      <c r="AL402" s="707"/>
      <c r="AM402" s="707"/>
      <c r="AN402" s="707"/>
      <c r="AO402" s="707"/>
      <c r="AP402" s="707"/>
      <c r="AQ402" s="707"/>
      <c r="AR402" s="707"/>
      <c r="AS402" s="707"/>
      <c r="AT402" s="707"/>
      <c r="AU402" s="707"/>
      <c r="AV402" s="707"/>
      <c r="AW402" s="707"/>
      <c r="AX402" s="707"/>
      <c r="AY402" s="211"/>
      <c r="AZ402" s="211"/>
      <c r="BA402" s="211"/>
      <c r="BB402" s="211"/>
      <c r="BC402" s="208"/>
    </row>
    <row r="403" spans="1:55" ht="12.6" customHeight="1" x14ac:dyDescent="0.25">
      <c r="A403" s="243"/>
      <c r="B403" s="244"/>
      <c r="C403" s="244"/>
      <c r="D403" s="244"/>
      <c r="E403" s="244"/>
      <c r="F403" s="244"/>
      <c r="G403" s="244"/>
      <c r="H403" s="745"/>
      <c r="I403" s="745"/>
      <c r="J403" s="745"/>
      <c r="K403" s="745"/>
      <c r="L403" s="745"/>
      <c r="M403" s="745"/>
      <c r="N403" s="745"/>
      <c r="O403" s="745"/>
      <c r="P403" s="745"/>
      <c r="Q403" s="745"/>
      <c r="R403" s="745" t="s">
        <v>1490</v>
      </c>
      <c r="S403" s="745"/>
      <c r="T403" s="745"/>
      <c r="U403" s="745"/>
      <c r="V403" s="745"/>
      <c r="W403" s="745"/>
      <c r="X403" s="745"/>
      <c r="Y403" s="745"/>
      <c r="Z403" s="745"/>
      <c r="AA403" s="745"/>
      <c r="AB403" s="745"/>
      <c r="AC403" s="745"/>
      <c r="AD403" s="745"/>
      <c r="AE403" s="745"/>
      <c r="AF403" s="745"/>
      <c r="AG403" s="243"/>
      <c r="AH403" s="244"/>
      <c r="AI403" s="244"/>
      <c r="AJ403" s="269"/>
      <c r="AK403" s="243"/>
      <c r="AL403" s="244"/>
      <c r="AM403" s="244"/>
      <c r="AN403" s="269"/>
      <c r="AO403" s="243"/>
      <c r="AP403" s="244"/>
      <c r="AQ403" s="244"/>
      <c r="AR403" s="244"/>
      <c r="AS403" s="269"/>
      <c r="AT403" s="243"/>
      <c r="AU403" s="244"/>
      <c r="AV403" s="244"/>
      <c r="AW403" s="244"/>
      <c r="AX403" s="245"/>
    </row>
    <row r="404" spans="1:55" ht="12.6" customHeight="1" x14ac:dyDescent="0.25">
      <c r="A404" s="243"/>
      <c r="B404" s="244"/>
      <c r="C404" s="244"/>
      <c r="D404" s="244"/>
      <c r="E404" s="244"/>
      <c r="F404" s="244"/>
      <c r="G404" s="244"/>
      <c r="H404" s="745"/>
      <c r="I404" s="745"/>
      <c r="J404" s="745"/>
      <c r="K404" s="745"/>
      <c r="L404" s="745"/>
      <c r="M404" s="745"/>
      <c r="N404" s="745"/>
      <c r="O404" s="745"/>
      <c r="P404" s="745"/>
      <c r="Q404" s="745"/>
      <c r="R404" s="745" t="s">
        <v>1491</v>
      </c>
      <c r="S404" s="745"/>
      <c r="T404" s="745"/>
      <c r="U404" s="745"/>
      <c r="V404" s="745"/>
      <c r="W404" s="745"/>
      <c r="X404" s="745"/>
      <c r="Y404" s="745"/>
      <c r="Z404" s="745"/>
      <c r="AA404" s="745"/>
      <c r="AB404" s="745"/>
      <c r="AC404" s="745"/>
      <c r="AD404" s="745"/>
      <c r="AE404" s="745"/>
      <c r="AF404" s="745"/>
      <c r="AG404" s="243"/>
      <c r="AH404" s="244"/>
      <c r="AI404" s="244"/>
      <c r="AJ404" s="269"/>
      <c r="AK404" s="243"/>
      <c r="AL404" s="244"/>
      <c r="AM404" s="244"/>
      <c r="AN404" s="269"/>
      <c r="AO404" s="745" t="s">
        <v>1492</v>
      </c>
      <c r="AP404" s="745"/>
      <c r="AQ404" s="745"/>
      <c r="AR404" s="745"/>
      <c r="AS404" s="745"/>
      <c r="AT404" s="243"/>
      <c r="AU404" s="244"/>
      <c r="AV404" s="244"/>
      <c r="AW404" s="244"/>
      <c r="AX404" s="245"/>
    </row>
    <row r="405" spans="1:55" ht="12.6" customHeight="1" x14ac:dyDescent="0.25">
      <c r="A405" s="747" t="s">
        <v>1493</v>
      </c>
      <c r="B405" s="747"/>
      <c r="C405" s="747"/>
      <c r="D405" s="747"/>
      <c r="E405" s="747"/>
      <c r="F405" s="747"/>
      <c r="G405" s="747"/>
      <c r="H405" s="745"/>
      <c r="I405" s="745"/>
      <c r="J405" s="745"/>
      <c r="K405" s="745"/>
      <c r="L405" s="745"/>
      <c r="M405" s="745"/>
      <c r="N405" s="745"/>
      <c r="O405" s="745"/>
      <c r="P405" s="745"/>
      <c r="Q405" s="745"/>
      <c r="R405" s="745" t="s">
        <v>1494</v>
      </c>
      <c r="S405" s="745"/>
      <c r="T405" s="745"/>
      <c r="U405" s="745"/>
      <c r="V405" s="745"/>
      <c r="W405" s="745" t="s">
        <v>1495</v>
      </c>
      <c r="X405" s="745"/>
      <c r="Y405" s="745"/>
      <c r="Z405" s="745"/>
      <c r="AA405" s="745"/>
      <c r="AB405" s="745"/>
      <c r="AC405" s="745"/>
      <c r="AD405" s="745"/>
      <c r="AE405" s="745"/>
      <c r="AF405" s="745"/>
      <c r="AG405" s="243"/>
      <c r="AH405" s="244"/>
      <c r="AI405" s="244"/>
      <c r="AJ405" s="269"/>
      <c r="AK405" s="243"/>
      <c r="AL405" s="244"/>
      <c r="AM405" s="244"/>
      <c r="AN405" s="269"/>
      <c r="AO405" s="745" t="s">
        <v>1496</v>
      </c>
      <c r="AP405" s="745"/>
      <c r="AQ405" s="745"/>
      <c r="AR405" s="745"/>
      <c r="AS405" s="745"/>
      <c r="AT405" s="243"/>
      <c r="AU405" s="244"/>
      <c r="AV405" s="244"/>
      <c r="AW405" s="244"/>
      <c r="AX405" s="245"/>
    </row>
    <row r="406" spans="1:55" ht="12.6" customHeight="1" x14ac:dyDescent="0.25">
      <c r="A406" s="747" t="s">
        <v>1497</v>
      </c>
      <c r="B406" s="747"/>
      <c r="C406" s="747"/>
      <c r="D406" s="747"/>
      <c r="E406" s="747"/>
      <c r="F406" s="747"/>
      <c r="G406" s="747"/>
      <c r="H406" s="745" t="s">
        <v>1498</v>
      </c>
      <c r="I406" s="745"/>
      <c r="J406" s="745"/>
      <c r="K406" s="745"/>
      <c r="L406" s="745"/>
      <c r="M406" s="745" t="s">
        <v>1499</v>
      </c>
      <c r="N406" s="745"/>
      <c r="O406" s="745"/>
      <c r="P406" s="745"/>
      <c r="Q406" s="745"/>
      <c r="R406" s="745" t="s">
        <v>1500</v>
      </c>
      <c r="S406" s="745"/>
      <c r="T406" s="745"/>
      <c r="U406" s="745"/>
      <c r="V406" s="745"/>
      <c r="W406" s="745" t="s">
        <v>1501</v>
      </c>
      <c r="X406" s="745"/>
      <c r="Y406" s="745"/>
      <c r="Z406" s="745"/>
      <c r="AA406" s="745"/>
      <c r="AB406" s="745" t="s">
        <v>1502</v>
      </c>
      <c r="AC406" s="745"/>
      <c r="AD406" s="745"/>
      <c r="AE406" s="745"/>
      <c r="AF406" s="745"/>
      <c r="AG406" s="745"/>
      <c r="AH406" s="745"/>
      <c r="AI406" s="745"/>
      <c r="AJ406" s="745"/>
      <c r="AK406" s="745" t="s">
        <v>1503</v>
      </c>
      <c r="AL406" s="745"/>
      <c r="AM406" s="745"/>
      <c r="AN406" s="745"/>
      <c r="AO406" s="745" t="s">
        <v>1504</v>
      </c>
      <c r="AP406" s="745"/>
      <c r="AQ406" s="745"/>
      <c r="AR406" s="745"/>
      <c r="AS406" s="745"/>
      <c r="AT406" s="747" t="s">
        <v>1328</v>
      </c>
      <c r="AU406" s="747"/>
      <c r="AV406" s="747"/>
      <c r="AW406" s="747"/>
      <c r="AX406" s="245"/>
    </row>
    <row r="407" spans="1:55" ht="12.6" customHeight="1" x14ac:dyDescent="0.25">
      <c r="A407" s="243"/>
      <c r="B407" s="244"/>
      <c r="C407" s="244"/>
      <c r="D407" s="244"/>
      <c r="E407" s="244"/>
      <c r="F407" s="244"/>
      <c r="G407" s="244"/>
      <c r="H407" s="745"/>
      <c r="I407" s="745"/>
      <c r="J407" s="745"/>
      <c r="K407" s="745"/>
      <c r="L407" s="745"/>
      <c r="M407" s="745"/>
      <c r="N407" s="745"/>
      <c r="O407" s="745"/>
      <c r="P407" s="745"/>
      <c r="Q407" s="745"/>
      <c r="R407" s="745" t="s">
        <v>1323</v>
      </c>
      <c r="S407" s="745"/>
      <c r="T407" s="745"/>
      <c r="U407" s="745"/>
      <c r="V407" s="745"/>
      <c r="W407" s="745" t="s">
        <v>1505</v>
      </c>
      <c r="X407" s="745"/>
      <c r="Y407" s="745"/>
      <c r="Z407" s="745"/>
      <c r="AA407" s="745"/>
      <c r="AB407" s="745" t="s">
        <v>1506</v>
      </c>
      <c r="AC407" s="745"/>
      <c r="AD407" s="745"/>
      <c r="AE407" s="745"/>
      <c r="AF407" s="745"/>
      <c r="AG407" s="745" t="s">
        <v>1507</v>
      </c>
      <c r="AH407" s="745"/>
      <c r="AI407" s="745"/>
      <c r="AJ407" s="745"/>
      <c r="AK407" s="745" t="s">
        <v>1508</v>
      </c>
      <c r="AL407" s="745"/>
      <c r="AM407" s="745"/>
      <c r="AN407" s="745"/>
      <c r="AO407" s="745" t="s">
        <v>1526</v>
      </c>
      <c r="AP407" s="745"/>
      <c r="AQ407" s="745"/>
      <c r="AR407" s="745"/>
      <c r="AS407" s="745"/>
      <c r="AT407" s="243"/>
      <c r="AU407" s="244"/>
      <c r="AV407" s="244"/>
      <c r="AW407" s="244"/>
      <c r="AX407" s="245"/>
    </row>
    <row r="408" spans="1:55" ht="12.6" customHeight="1" x14ac:dyDescent="0.25">
      <c r="A408" s="243"/>
      <c r="B408" s="244"/>
      <c r="C408" s="244"/>
      <c r="D408" s="244"/>
      <c r="E408" s="244"/>
      <c r="F408" s="244"/>
      <c r="G408" s="244"/>
      <c r="H408" s="745"/>
      <c r="I408" s="745"/>
      <c r="J408" s="745"/>
      <c r="K408" s="745"/>
      <c r="L408" s="745"/>
      <c r="M408" s="745"/>
      <c r="N408" s="745"/>
      <c r="O408" s="745"/>
      <c r="P408" s="745"/>
      <c r="Q408" s="745"/>
      <c r="R408" s="745" t="s">
        <v>1510</v>
      </c>
      <c r="S408" s="745"/>
      <c r="T408" s="745"/>
      <c r="U408" s="745"/>
      <c r="V408" s="745"/>
      <c r="W408" s="745" t="s">
        <v>1511</v>
      </c>
      <c r="X408" s="745"/>
      <c r="Y408" s="745"/>
      <c r="Z408" s="745"/>
      <c r="AA408" s="745"/>
      <c r="AB408" s="745" t="s">
        <v>1512</v>
      </c>
      <c r="AC408" s="745"/>
      <c r="AD408" s="745"/>
      <c r="AE408" s="745"/>
      <c r="AF408" s="745"/>
      <c r="AG408" s="745" t="s">
        <v>1513</v>
      </c>
      <c r="AH408" s="745"/>
      <c r="AI408" s="745"/>
      <c r="AJ408" s="745"/>
      <c r="AK408" s="745" t="s">
        <v>1514</v>
      </c>
      <c r="AL408" s="745"/>
      <c r="AM408" s="745"/>
      <c r="AN408" s="745"/>
      <c r="AO408" s="745" t="s">
        <v>1515</v>
      </c>
      <c r="AP408" s="745"/>
      <c r="AQ408" s="745"/>
      <c r="AR408" s="745"/>
      <c r="AS408" s="745"/>
      <c r="AT408" s="243"/>
      <c r="AU408" s="244"/>
      <c r="AV408" s="244"/>
      <c r="AW408" s="244"/>
      <c r="AX408" s="245"/>
    </row>
    <row r="409" spans="1:55" ht="12.6" customHeight="1" x14ac:dyDescent="0.25">
      <c r="A409" s="243"/>
      <c r="B409" s="244"/>
      <c r="C409" s="244"/>
      <c r="D409" s="244"/>
      <c r="E409" s="244"/>
      <c r="F409" s="244"/>
      <c r="G409" s="244"/>
      <c r="H409" s="745"/>
      <c r="I409" s="745"/>
      <c r="J409" s="745"/>
      <c r="K409" s="745"/>
      <c r="L409" s="745"/>
      <c r="M409" s="745"/>
      <c r="N409" s="745"/>
      <c r="O409" s="745"/>
      <c r="P409" s="745"/>
      <c r="Q409" s="745"/>
      <c r="R409" s="745" t="s">
        <v>1494</v>
      </c>
      <c r="S409" s="745"/>
      <c r="T409" s="745"/>
      <c r="U409" s="745"/>
      <c r="V409" s="745"/>
      <c r="W409" s="745" t="s">
        <v>1516</v>
      </c>
      <c r="X409" s="745"/>
      <c r="Y409" s="745"/>
      <c r="Z409" s="745"/>
      <c r="AA409" s="745"/>
      <c r="AB409" s="745" t="s">
        <v>1517</v>
      </c>
      <c r="AC409" s="745"/>
      <c r="AD409" s="745"/>
      <c r="AE409" s="745"/>
      <c r="AF409" s="745"/>
      <c r="AG409" s="745" t="s">
        <v>1518</v>
      </c>
      <c r="AH409" s="745"/>
      <c r="AI409" s="745"/>
      <c r="AJ409" s="745"/>
      <c r="AK409" s="745" t="s">
        <v>1518</v>
      </c>
      <c r="AL409" s="745"/>
      <c r="AM409" s="745"/>
      <c r="AN409" s="745"/>
      <c r="AO409" s="745" t="s">
        <v>1518</v>
      </c>
      <c r="AP409" s="745"/>
      <c r="AQ409" s="745"/>
      <c r="AR409" s="745"/>
      <c r="AS409" s="745"/>
      <c r="AT409" s="243"/>
      <c r="AU409" s="244"/>
      <c r="AV409" s="244"/>
      <c r="AW409" s="244"/>
      <c r="AX409" s="245"/>
    </row>
    <row r="410" spans="1:55" ht="12.6" customHeight="1" x14ac:dyDescent="0.25">
      <c r="A410" s="243"/>
      <c r="B410" s="244"/>
      <c r="C410" s="244"/>
      <c r="D410" s="244"/>
      <c r="E410" s="244"/>
      <c r="F410" s="244"/>
      <c r="G410" s="244"/>
      <c r="H410" s="745"/>
      <c r="I410" s="745"/>
      <c r="J410" s="745"/>
      <c r="K410" s="745"/>
      <c r="L410" s="745"/>
      <c r="M410" s="745"/>
      <c r="N410" s="745"/>
      <c r="O410" s="745"/>
      <c r="P410" s="745"/>
      <c r="Q410" s="745"/>
      <c r="R410" s="745" t="s">
        <v>1519</v>
      </c>
      <c r="S410" s="745"/>
      <c r="T410" s="745"/>
      <c r="U410" s="745"/>
      <c r="V410" s="745"/>
      <c r="W410" s="745"/>
      <c r="X410" s="745"/>
      <c r="Y410" s="745"/>
      <c r="Z410" s="745"/>
      <c r="AA410" s="745"/>
      <c r="AB410" s="745"/>
      <c r="AC410" s="745"/>
      <c r="AD410" s="745"/>
      <c r="AE410" s="745"/>
      <c r="AF410" s="745"/>
      <c r="AG410" s="243"/>
      <c r="AH410" s="244"/>
      <c r="AI410" s="244"/>
      <c r="AJ410" s="269"/>
      <c r="AK410" s="243"/>
      <c r="AL410" s="244"/>
      <c r="AM410" s="244"/>
      <c r="AN410" s="269"/>
      <c r="AO410" s="243"/>
      <c r="AP410" s="244"/>
      <c r="AQ410" s="244"/>
      <c r="AR410" s="244"/>
      <c r="AS410" s="269"/>
      <c r="AT410" s="243"/>
      <c r="AU410" s="244"/>
      <c r="AV410" s="244"/>
      <c r="AW410" s="244"/>
      <c r="AX410" s="245"/>
    </row>
    <row r="411" spans="1:55" ht="12.6" customHeight="1" x14ac:dyDescent="0.25">
      <c r="A411" s="243"/>
      <c r="B411" s="244"/>
      <c r="C411" s="244"/>
      <c r="D411" s="244"/>
      <c r="E411" s="244"/>
      <c r="F411" s="244"/>
      <c r="G411" s="244"/>
      <c r="H411" s="745"/>
      <c r="I411" s="745"/>
      <c r="J411" s="745"/>
      <c r="K411" s="745"/>
      <c r="L411" s="745"/>
      <c r="M411" s="745"/>
      <c r="N411" s="745"/>
      <c r="O411" s="745"/>
      <c r="P411" s="745"/>
      <c r="Q411" s="745"/>
      <c r="R411" s="745" t="s">
        <v>1520</v>
      </c>
      <c r="S411" s="745"/>
      <c r="T411" s="745"/>
      <c r="U411" s="745"/>
      <c r="V411" s="745"/>
      <c r="W411" s="745"/>
      <c r="X411" s="745"/>
      <c r="Y411" s="745"/>
      <c r="Z411" s="745"/>
      <c r="AA411" s="745"/>
      <c r="AB411" s="745"/>
      <c r="AC411" s="745"/>
      <c r="AD411" s="745"/>
      <c r="AE411" s="745"/>
      <c r="AF411" s="745"/>
      <c r="AG411" s="243"/>
      <c r="AH411" s="244"/>
      <c r="AI411" s="244"/>
      <c r="AJ411" s="269"/>
      <c r="AK411" s="243"/>
      <c r="AL411" s="244"/>
      <c r="AM411" s="244"/>
      <c r="AN411" s="269"/>
      <c r="AO411" s="243"/>
      <c r="AP411" s="244"/>
      <c r="AQ411" s="244"/>
      <c r="AR411" s="244"/>
      <c r="AS411" s="269"/>
      <c r="AT411" s="243"/>
      <c r="AU411" s="244"/>
      <c r="AV411" s="244"/>
      <c r="AW411" s="244"/>
      <c r="AX411" s="245"/>
    </row>
    <row r="412" spans="1:55" ht="12.6" customHeight="1" x14ac:dyDescent="0.25">
      <c r="A412" s="749" t="s">
        <v>1323</v>
      </c>
      <c r="B412" s="749"/>
      <c r="C412" s="749"/>
      <c r="D412" s="749"/>
      <c r="E412" s="749"/>
      <c r="F412" s="749"/>
      <c r="G412" s="749"/>
      <c r="H412" s="750" t="s">
        <v>1324</v>
      </c>
      <c r="I412" s="750"/>
      <c r="J412" s="750"/>
      <c r="K412" s="750"/>
      <c r="L412" s="750"/>
      <c r="M412" s="750" t="s">
        <v>1325</v>
      </c>
      <c r="N412" s="750"/>
      <c r="O412" s="750"/>
      <c r="P412" s="750"/>
      <c r="Q412" s="750"/>
      <c r="R412" s="750" t="s">
        <v>1326</v>
      </c>
      <c r="S412" s="750"/>
      <c r="T412" s="750"/>
      <c r="U412" s="750"/>
      <c r="V412" s="750"/>
      <c r="W412" s="750" t="s">
        <v>1327</v>
      </c>
      <c r="X412" s="750"/>
      <c r="Y412" s="750"/>
      <c r="Z412" s="750"/>
      <c r="AA412" s="750"/>
      <c r="AB412" s="750" t="s">
        <v>1333</v>
      </c>
      <c r="AC412" s="750"/>
      <c r="AD412" s="750"/>
      <c r="AE412" s="750"/>
      <c r="AF412" s="750"/>
      <c r="AG412" s="750" t="s">
        <v>1468</v>
      </c>
      <c r="AH412" s="750"/>
      <c r="AI412" s="750"/>
      <c r="AJ412" s="750"/>
      <c r="AK412" s="750" t="s">
        <v>1469</v>
      </c>
      <c r="AL412" s="750"/>
      <c r="AM412" s="750"/>
      <c r="AN412" s="750"/>
      <c r="AO412" s="750" t="s">
        <v>1470</v>
      </c>
      <c r="AP412" s="750"/>
      <c r="AQ412" s="750"/>
      <c r="AR412" s="750"/>
      <c r="AS412" s="750"/>
      <c r="AT412" s="749" t="s">
        <v>1521</v>
      </c>
      <c r="AU412" s="749"/>
      <c r="AV412" s="749"/>
      <c r="AW412" s="749"/>
      <c r="AX412" s="245"/>
    </row>
    <row r="413" spans="1:55" ht="12.6" customHeight="1" x14ac:dyDescent="0.25">
      <c r="A413" s="208" t="s">
        <v>1471</v>
      </c>
      <c r="B413" s="208"/>
      <c r="C413" s="208"/>
      <c r="D413" s="208"/>
      <c r="E413" s="208"/>
      <c r="F413" s="208"/>
      <c r="G413" s="208"/>
      <c r="H413" s="208"/>
      <c r="I413" s="208"/>
      <c r="J413" s="208"/>
      <c r="K413" s="208"/>
      <c r="L413" s="208"/>
      <c r="M413" s="208"/>
      <c r="N413" s="208"/>
      <c r="O413" s="208"/>
      <c r="P413" s="208"/>
      <c r="Q413" s="208"/>
      <c r="R413" s="208"/>
      <c r="S413" s="208"/>
      <c r="T413" s="208"/>
      <c r="U413" s="208"/>
      <c r="V413" s="208"/>
      <c r="W413" s="208"/>
      <c r="X413" s="208"/>
      <c r="Y413" s="208"/>
      <c r="Z413" s="208"/>
      <c r="AA413" s="208"/>
      <c r="AB413" s="208"/>
      <c r="AC413" s="208"/>
      <c r="AD413" s="208"/>
      <c r="AE413" s="208"/>
      <c r="AF413" s="208"/>
      <c r="AG413" s="208"/>
      <c r="AH413" s="208"/>
      <c r="AI413" s="208"/>
      <c r="AJ413" s="208"/>
      <c r="AK413" s="208"/>
      <c r="AL413" s="208"/>
      <c r="AM413" s="208"/>
      <c r="AN413" s="208"/>
      <c r="AO413" s="208"/>
      <c r="AP413" s="208"/>
      <c r="AQ413" s="208"/>
      <c r="AR413" s="208"/>
      <c r="AS413" s="208"/>
      <c r="AT413" s="208"/>
      <c r="AU413" s="208"/>
      <c r="AV413" s="208"/>
      <c r="AW413" s="208"/>
      <c r="AX413" s="248"/>
    </row>
    <row r="414" spans="1:55" ht="12.6" customHeight="1" x14ac:dyDescent="0.25">
      <c r="A414" s="241" t="s">
        <v>1522</v>
      </c>
      <c r="B414" s="270"/>
      <c r="C414" s="249"/>
      <c r="D414" s="249"/>
      <c r="E414" s="249"/>
      <c r="F414" s="249"/>
      <c r="G414" s="249"/>
      <c r="H414" s="751">
        <f>SUM('HL KNIHA VYPOC'!$H$26)</f>
        <v>0</v>
      </c>
      <c r="I414" s="751"/>
      <c r="J414" s="751"/>
      <c r="K414" s="751"/>
      <c r="L414" s="751"/>
      <c r="M414" s="751">
        <f>SUM('HL KNIHA VYPOC'!$H$16)</f>
        <v>726899.76</v>
      </c>
      <c r="N414" s="751"/>
      <c r="O414" s="751"/>
      <c r="P414" s="751"/>
      <c r="Q414" s="751"/>
      <c r="R414" s="751">
        <f>SUM('HL KNIHA VYPOC'!$H$17)</f>
        <v>538007.88</v>
      </c>
      <c r="S414" s="751"/>
      <c r="T414" s="751"/>
      <c r="U414" s="751"/>
      <c r="V414" s="751"/>
      <c r="W414" s="751">
        <f>SUM('HL KNIHA VYPOC'!$H$20)</f>
        <v>0</v>
      </c>
      <c r="X414" s="751"/>
      <c r="Y414" s="751"/>
      <c r="Z414" s="751"/>
      <c r="AA414" s="751"/>
      <c r="AB414" s="751">
        <f>SUM('HL KNIHA VYPOC'!$H$21)</f>
        <v>109079.25</v>
      </c>
      <c r="AC414" s="751"/>
      <c r="AD414" s="751"/>
      <c r="AE414" s="751"/>
      <c r="AF414" s="751"/>
      <c r="AG414" s="751">
        <f>SUM('HL KNIHA VYPOC'!$H$22+'HL KNIHA VYPOC'!$H$23+'HL KNIHA VYPOC'!H27)</f>
        <v>0</v>
      </c>
      <c r="AH414" s="751"/>
      <c r="AI414" s="751"/>
      <c r="AJ414" s="751"/>
      <c r="AK414" s="751">
        <f>SUM('HL KNIHA VYPOC'!$H$32)</f>
        <v>0</v>
      </c>
      <c r="AL414" s="751"/>
      <c r="AM414" s="751"/>
      <c r="AN414" s="751"/>
      <c r="AO414" s="751">
        <f>SUM('HL KNIHA VYPOC'!$H$38)</f>
        <v>0</v>
      </c>
      <c r="AP414" s="751"/>
      <c r="AQ414" s="751"/>
      <c r="AR414" s="751"/>
      <c r="AS414" s="751"/>
      <c r="AT414" s="751">
        <f>SUM(H414:AS417)</f>
        <v>1373986.8900000001</v>
      </c>
      <c r="AU414" s="751"/>
      <c r="AV414" s="751"/>
      <c r="AW414" s="751"/>
      <c r="AX414" s="751"/>
    </row>
    <row r="415" spans="1:55" ht="12.6" customHeight="1" x14ac:dyDescent="0.25">
      <c r="A415" s="243" t="s">
        <v>1523</v>
      </c>
      <c r="B415" s="260"/>
      <c r="C415" s="208"/>
      <c r="D415" s="208"/>
      <c r="E415" s="208"/>
      <c r="F415" s="208"/>
      <c r="G415" s="208"/>
      <c r="H415" s="751"/>
      <c r="I415" s="751"/>
      <c r="J415" s="751"/>
      <c r="K415" s="751"/>
      <c r="L415" s="751"/>
      <c r="M415" s="751"/>
      <c r="N415" s="751"/>
      <c r="O415" s="751"/>
      <c r="P415" s="751"/>
      <c r="Q415" s="751"/>
      <c r="R415" s="751"/>
      <c r="S415" s="751"/>
      <c r="T415" s="751"/>
      <c r="U415" s="751"/>
      <c r="V415" s="751"/>
      <c r="W415" s="751"/>
      <c r="X415" s="751"/>
      <c r="Y415" s="751"/>
      <c r="Z415" s="751"/>
      <c r="AA415" s="751"/>
      <c r="AB415" s="751"/>
      <c r="AC415" s="751"/>
      <c r="AD415" s="751"/>
      <c r="AE415" s="751"/>
      <c r="AF415" s="751"/>
      <c r="AG415" s="751"/>
      <c r="AH415" s="751"/>
      <c r="AI415" s="751"/>
      <c r="AJ415" s="751"/>
      <c r="AK415" s="751"/>
      <c r="AL415" s="751"/>
      <c r="AM415" s="751"/>
      <c r="AN415" s="751"/>
      <c r="AO415" s="751"/>
      <c r="AP415" s="751"/>
      <c r="AQ415" s="751"/>
      <c r="AR415" s="751"/>
      <c r="AS415" s="751"/>
      <c r="AT415" s="751"/>
      <c r="AU415" s="751"/>
      <c r="AV415" s="751"/>
      <c r="AW415" s="751"/>
      <c r="AX415" s="751"/>
    </row>
    <row r="416" spans="1:55" ht="12.6" customHeight="1" x14ac:dyDescent="0.25">
      <c r="A416" s="243" t="s">
        <v>1524</v>
      </c>
      <c r="B416" s="260"/>
      <c r="C416" s="208"/>
      <c r="D416" s="208"/>
      <c r="E416" s="208"/>
      <c r="F416" s="208"/>
      <c r="G416" s="208"/>
      <c r="H416" s="751"/>
      <c r="I416" s="751"/>
      <c r="J416" s="751"/>
      <c r="K416" s="751"/>
      <c r="L416" s="751"/>
      <c r="M416" s="751"/>
      <c r="N416" s="751"/>
      <c r="O416" s="751"/>
      <c r="P416" s="751"/>
      <c r="Q416" s="751"/>
      <c r="R416" s="751"/>
      <c r="S416" s="751"/>
      <c r="T416" s="751"/>
      <c r="U416" s="751"/>
      <c r="V416" s="751"/>
      <c r="W416" s="751"/>
      <c r="X416" s="751"/>
      <c r="Y416" s="751"/>
      <c r="Z416" s="751"/>
      <c r="AA416" s="751"/>
      <c r="AB416" s="751"/>
      <c r="AC416" s="751"/>
      <c r="AD416" s="751"/>
      <c r="AE416" s="751"/>
      <c r="AF416" s="751"/>
      <c r="AG416" s="751"/>
      <c r="AH416" s="751"/>
      <c r="AI416" s="751"/>
      <c r="AJ416" s="751"/>
      <c r="AK416" s="751"/>
      <c r="AL416" s="751"/>
      <c r="AM416" s="751"/>
      <c r="AN416" s="751"/>
      <c r="AO416" s="751"/>
      <c r="AP416" s="751"/>
      <c r="AQ416" s="751"/>
      <c r="AR416" s="751"/>
      <c r="AS416" s="751"/>
      <c r="AT416" s="751"/>
      <c r="AU416" s="751"/>
      <c r="AV416" s="751"/>
      <c r="AW416" s="751"/>
      <c r="AX416" s="751"/>
    </row>
    <row r="417" spans="1:50" ht="12.6" customHeight="1" x14ac:dyDescent="0.25">
      <c r="A417" s="243" t="s">
        <v>1525</v>
      </c>
      <c r="B417" s="260"/>
      <c r="C417" s="208"/>
      <c r="D417" s="208"/>
      <c r="E417" s="208"/>
      <c r="F417" s="208"/>
      <c r="G417" s="208"/>
      <c r="H417" s="751"/>
      <c r="I417" s="751"/>
      <c r="J417" s="751"/>
      <c r="K417" s="751"/>
      <c r="L417" s="751"/>
      <c r="M417" s="751"/>
      <c r="N417" s="751"/>
      <c r="O417" s="751"/>
      <c r="P417" s="751"/>
      <c r="Q417" s="751"/>
      <c r="R417" s="751"/>
      <c r="S417" s="751"/>
      <c r="T417" s="751"/>
      <c r="U417" s="751"/>
      <c r="V417" s="751"/>
      <c r="W417" s="751"/>
      <c r="X417" s="751"/>
      <c r="Y417" s="751"/>
      <c r="Z417" s="751"/>
      <c r="AA417" s="751"/>
      <c r="AB417" s="751"/>
      <c r="AC417" s="751"/>
      <c r="AD417" s="751"/>
      <c r="AE417" s="751"/>
      <c r="AF417" s="751"/>
      <c r="AG417" s="751"/>
      <c r="AH417" s="751"/>
      <c r="AI417" s="751"/>
      <c r="AJ417" s="751"/>
      <c r="AK417" s="751"/>
      <c r="AL417" s="751"/>
      <c r="AM417" s="751"/>
      <c r="AN417" s="751"/>
      <c r="AO417" s="751"/>
      <c r="AP417" s="751"/>
      <c r="AQ417" s="751"/>
      <c r="AR417" s="751"/>
      <c r="AS417" s="751"/>
      <c r="AT417" s="751"/>
      <c r="AU417" s="751"/>
      <c r="AV417" s="751"/>
      <c r="AW417" s="751"/>
      <c r="AX417" s="751"/>
    </row>
    <row r="418" spans="1:50" ht="12.6" customHeight="1" x14ac:dyDescent="0.25">
      <c r="A418" s="253" t="s">
        <v>1474</v>
      </c>
      <c r="B418" s="259"/>
      <c r="C418" s="246"/>
      <c r="D418" s="246"/>
      <c r="E418" s="246"/>
      <c r="F418" s="246"/>
      <c r="G418" s="246"/>
      <c r="H418" s="751">
        <f>SUM('HL KNIHA VYPOC'!$I$26)</f>
        <v>0</v>
      </c>
      <c r="I418" s="751"/>
      <c r="J418" s="751"/>
      <c r="K418" s="751"/>
      <c r="L418" s="751"/>
      <c r="M418" s="751">
        <f>SUM('HL KNIHA VYPOC'!$I$16)</f>
        <v>0</v>
      </c>
      <c r="N418" s="751"/>
      <c r="O418" s="751"/>
      <c r="P418" s="751"/>
      <c r="Q418" s="751"/>
      <c r="R418" s="751">
        <f>SUM('HL KNIHA VYPOC'!$I$17)</f>
        <v>0</v>
      </c>
      <c r="S418" s="751"/>
      <c r="T418" s="751"/>
      <c r="U418" s="751"/>
      <c r="V418" s="751"/>
      <c r="W418" s="751">
        <f>SUM('HL KNIHA VYPOC'!$I$20)</f>
        <v>1000</v>
      </c>
      <c r="X418" s="751"/>
      <c r="Y418" s="751"/>
      <c r="Z418" s="751"/>
      <c r="AA418" s="751"/>
      <c r="AB418" s="751">
        <f>SUM('HL KNIHA VYPOC'!$I$21)</f>
        <v>14548.1</v>
      </c>
      <c r="AC418" s="751"/>
      <c r="AD418" s="751"/>
      <c r="AE418" s="751"/>
      <c r="AF418" s="751"/>
      <c r="AG418" s="751">
        <f>SUM('HL KNIHA VYPOC'!$I$22+'HL KNIHA VYPOC'!$I$23+'HL KNIHA VYPOC'!I27)</f>
        <v>0</v>
      </c>
      <c r="AH418" s="751"/>
      <c r="AI418" s="751"/>
      <c r="AJ418" s="751"/>
      <c r="AK418" s="751">
        <f>SUM('HL KNIHA VYPOC'!$I$32)</f>
        <v>15548.1</v>
      </c>
      <c r="AL418" s="751"/>
      <c r="AM418" s="751"/>
      <c r="AN418" s="751"/>
      <c r="AO418" s="751">
        <f>SUM('HL KNIHA VYPOC'!$I$38)</f>
        <v>0</v>
      </c>
      <c r="AP418" s="751"/>
      <c r="AQ418" s="751"/>
      <c r="AR418" s="751"/>
      <c r="AS418" s="751"/>
      <c r="AT418" s="751">
        <f>SUM(H418:AS418)</f>
        <v>31096.2</v>
      </c>
      <c r="AU418" s="751"/>
      <c r="AV418" s="751"/>
      <c r="AW418" s="751"/>
      <c r="AX418" s="751"/>
    </row>
    <row r="419" spans="1:50" ht="12.6" customHeight="1" x14ac:dyDescent="0.25">
      <c r="A419" s="253" t="s">
        <v>1475</v>
      </c>
      <c r="B419" s="259"/>
      <c r="C419" s="246"/>
      <c r="D419" s="246"/>
      <c r="E419" s="246"/>
      <c r="F419" s="246"/>
      <c r="G419" s="246"/>
      <c r="H419" s="751">
        <f>SUM('HL KNIHA VYPOC'!$J$26)</f>
        <v>0</v>
      </c>
      <c r="I419" s="751"/>
      <c r="J419" s="751"/>
      <c r="K419" s="751"/>
      <c r="L419" s="751"/>
      <c r="M419" s="751">
        <f>SUM('HL KNIHA VYPOC'!$J$16)</f>
        <v>0</v>
      </c>
      <c r="N419" s="751"/>
      <c r="O419" s="751"/>
      <c r="P419" s="751"/>
      <c r="Q419" s="751"/>
      <c r="R419" s="751">
        <f>SUM('HL KNIHA VYPOC'!$J$17)</f>
        <v>0</v>
      </c>
      <c r="S419" s="751"/>
      <c r="T419" s="751"/>
      <c r="U419" s="751"/>
      <c r="V419" s="751"/>
      <c r="W419" s="751">
        <f>SUM('HL KNIHA VYPOC'!$J$20)</f>
        <v>0</v>
      </c>
      <c r="X419" s="751"/>
      <c r="Y419" s="751"/>
      <c r="Z419" s="751"/>
      <c r="AA419" s="751"/>
      <c r="AB419" s="751">
        <f>SUM('HL KNIHA VYPOC'!$J$21)</f>
        <v>8399.3700000000008</v>
      </c>
      <c r="AC419" s="751"/>
      <c r="AD419" s="751"/>
      <c r="AE419" s="751"/>
      <c r="AF419" s="751"/>
      <c r="AG419" s="751">
        <f>SUM('HL KNIHA VYPOC'!$J$22+'HL KNIHA VYPOC'!$J$23+'HL KNIHA VYPOC'!J27)</f>
        <v>0</v>
      </c>
      <c r="AH419" s="751"/>
      <c r="AI419" s="751"/>
      <c r="AJ419" s="751"/>
      <c r="AK419" s="751">
        <f>SUM('HL KNIHA VYPOC'!$J$32)</f>
        <v>15548.1</v>
      </c>
      <c r="AL419" s="751"/>
      <c r="AM419" s="751"/>
      <c r="AN419" s="751"/>
      <c r="AO419" s="751">
        <f>SUM('HL KNIHA VYPOC'!$J$38)</f>
        <v>0</v>
      </c>
      <c r="AP419" s="751"/>
      <c r="AQ419" s="751"/>
      <c r="AR419" s="751"/>
      <c r="AS419" s="751"/>
      <c r="AT419" s="751">
        <f>SUM(H419:AS419)</f>
        <v>23947.47</v>
      </c>
      <c r="AU419" s="751"/>
      <c r="AV419" s="751"/>
      <c r="AW419" s="751"/>
      <c r="AX419" s="751"/>
    </row>
    <row r="420" spans="1:50" ht="12.6" customHeight="1" x14ac:dyDescent="0.25">
      <c r="A420" s="253" t="s">
        <v>1476</v>
      </c>
      <c r="B420" s="259"/>
      <c r="C420" s="246"/>
      <c r="D420" s="246"/>
      <c r="E420" s="246"/>
      <c r="F420" s="246"/>
      <c r="G420" s="246"/>
      <c r="H420" s="757"/>
      <c r="I420" s="757"/>
      <c r="J420" s="757"/>
      <c r="K420" s="757"/>
      <c r="L420" s="757"/>
      <c r="M420" s="757"/>
      <c r="N420" s="757"/>
      <c r="O420" s="757"/>
      <c r="P420" s="757"/>
      <c r="Q420" s="757"/>
      <c r="R420" s="757"/>
      <c r="S420" s="757"/>
      <c r="T420" s="757"/>
      <c r="U420" s="757"/>
      <c r="V420" s="757"/>
      <c r="W420" s="757"/>
      <c r="X420" s="757"/>
      <c r="Y420" s="757"/>
      <c r="Z420" s="757"/>
      <c r="AA420" s="757"/>
      <c r="AB420" s="757"/>
      <c r="AC420" s="757"/>
      <c r="AD420" s="757"/>
      <c r="AE420" s="757"/>
      <c r="AF420" s="757"/>
      <c r="AG420" s="757"/>
      <c r="AH420" s="757"/>
      <c r="AI420" s="757"/>
      <c r="AJ420" s="757"/>
      <c r="AK420" s="757"/>
      <c r="AL420" s="757"/>
      <c r="AM420" s="757"/>
      <c r="AN420" s="757"/>
      <c r="AO420" s="757"/>
      <c r="AP420" s="757"/>
      <c r="AQ420" s="757"/>
      <c r="AR420" s="757"/>
      <c r="AS420" s="757"/>
      <c r="AT420" s="751">
        <f>SUM(H420:AS420)</f>
        <v>0</v>
      </c>
      <c r="AU420" s="751"/>
      <c r="AV420" s="751"/>
      <c r="AW420" s="751"/>
      <c r="AX420" s="751"/>
    </row>
    <row r="421" spans="1:50" ht="12.6" customHeight="1" x14ac:dyDescent="0.25">
      <c r="A421" s="243" t="s">
        <v>1477</v>
      </c>
      <c r="B421" s="260"/>
      <c r="C421" s="208"/>
      <c r="D421" s="208"/>
      <c r="E421" s="208"/>
      <c r="F421" s="208"/>
      <c r="G421" s="208"/>
      <c r="H421" s="751">
        <f>SUM(H414+H418-H419+H420)</f>
        <v>0</v>
      </c>
      <c r="I421" s="751"/>
      <c r="J421" s="751"/>
      <c r="K421" s="751"/>
      <c r="L421" s="751"/>
      <c r="M421" s="751">
        <f>SUM(M414+M418-M419+M420)</f>
        <v>726899.76</v>
      </c>
      <c r="N421" s="751"/>
      <c r="O421" s="751"/>
      <c r="P421" s="751"/>
      <c r="Q421" s="751"/>
      <c r="R421" s="751">
        <f>SUM(R414+R418-R419+R420)</f>
        <v>538007.88</v>
      </c>
      <c r="S421" s="751"/>
      <c r="T421" s="751"/>
      <c r="U421" s="751"/>
      <c r="V421" s="751"/>
      <c r="W421" s="751">
        <f>SUM(W414+W418-W419+W420)</f>
        <v>1000</v>
      </c>
      <c r="X421" s="751"/>
      <c r="Y421" s="751"/>
      <c r="Z421" s="751"/>
      <c r="AA421" s="751"/>
      <c r="AB421" s="751">
        <f>SUM(AB414+AB418-AB419+AB420)</f>
        <v>115227.98000000001</v>
      </c>
      <c r="AC421" s="751"/>
      <c r="AD421" s="751"/>
      <c r="AE421" s="751"/>
      <c r="AF421" s="751"/>
      <c r="AG421" s="751">
        <f>SUM(AG414+AG418-AG419+AG420)</f>
        <v>0</v>
      </c>
      <c r="AH421" s="751"/>
      <c r="AI421" s="751"/>
      <c r="AJ421" s="751"/>
      <c r="AK421" s="751">
        <f>SUM(AK414+AK418-AK419+AK420)</f>
        <v>0</v>
      </c>
      <c r="AL421" s="751"/>
      <c r="AM421" s="751"/>
      <c r="AN421" s="751"/>
      <c r="AO421" s="751">
        <f>SUM(AO414+AO418-AO419+AO420)</f>
        <v>0</v>
      </c>
      <c r="AP421" s="751"/>
      <c r="AQ421" s="751"/>
      <c r="AR421" s="751"/>
      <c r="AS421" s="751"/>
      <c r="AT421" s="769">
        <f>SUM(H421:AS423)</f>
        <v>1381135.62</v>
      </c>
      <c r="AU421" s="769"/>
      <c r="AV421" s="769"/>
      <c r="AW421" s="769"/>
      <c r="AX421" s="769"/>
    </row>
    <row r="422" spans="1:50" ht="12.6" customHeight="1" x14ac:dyDescent="0.25">
      <c r="A422" s="243" t="s">
        <v>1524</v>
      </c>
      <c r="B422" s="260"/>
      <c r="C422" s="208"/>
      <c r="D422" s="208"/>
      <c r="E422" s="208"/>
      <c r="F422" s="208"/>
      <c r="G422" s="208"/>
      <c r="H422" s="751"/>
      <c r="I422" s="751"/>
      <c r="J422" s="751"/>
      <c r="K422" s="751"/>
      <c r="L422" s="751"/>
      <c r="M422" s="751"/>
      <c r="N422" s="751"/>
      <c r="O422" s="751"/>
      <c r="P422" s="751"/>
      <c r="Q422" s="751"/>
      <c r="R422" s="751"/>
      <c r="S422" s="751"/>
      <c r="T422" s="751"/>
      <c r="U422" s="751"/>
      <c r="V422" s="751"/>
      <c r="W422" s="751"/>
      <c r="X422" s="751"/>
      <c r="Y422" s="751"/>
      <c r="Z422" s="751"/>
      <c r="AA422" s="751"/>
      <c r="AB422" s="751"/>
      <c r="AC422" s="751"/>
      <c r="AD422" s="751"/>
      <c r="AE422" s="751"/>
      <c r="AF422" s="751"/>
      <c r="AG422" s="751"/>
      <c r="AH422" s="751"/>
      <c r="AI422" s="751"/>
      <c r="AJ422" s="751"/>
      <c r="AK422" s="751"/>
      <c r="AL422" s="751"/>
      <c r="AM422" s="751"/>
      <c r="AN422" s="751"/>
      <c r="AO422" s="751"/>
      <c r="AP422" s="751"/>
      <c r="AQ422" s="751"/>
      <c r="AR422" s="751"/>
      <c r="AS422" s="751"/>
      <c r="AT422" s="769"/>
      <c r="AU422" s="769"/>
      <c r="AV422" s="769"/>
      <c r="AW422" s="769"/>
      <c r="AX422" s="769"/>
    </row>
    <row r="423" spans="1:50" ht="12.6" customHeight="1" x14ac:dyDescent="0.25">
      <c r="A423" s="251" t="s">
        <v>1525</v>
      </c>
      <c r="B423" s="261"/>
      <c r="C423" s="247"/>
      <c r="D423" s="247"/>
      <c r="E423" s="247"/>
      <c r="F423" s="247"/>
      <c r="G423" s="247"/>
      <c r="H423" s="751"/>
      <c r="I423" s="751"/>
      <c r="J423" s="751"/>
      <c r="K423" s="751"/>
      <c r="L423" s="751"/>
      <c r="M423" s="751"/>
      <c r="N423" s="751"/>
      <c r="O423" s="751"/>
      <c r="P423" s="751"/>
      <c r="Q423" s="751"/>
      <c r="R423" s="751"/>
      <c r="S423" s="751"/>
      <c r="T423" s="751"/>
      <c r="U423" s="751"/>
      <c r="V423" s="751"/>
      <c r="W423" s="751"/>
      <c r="X423" s="751"/>
      <c r="Y423" s="751"/>
      <c r="Z423" s="751"/>
      <c r="AA423" s="751"/>
      <c r="AB423" s="751"/>
      <c r="AC423" s="751"/>
      <c r="AD423" s="751"/>
      <c r="AE423" s="751"/>
      <c r="AF423" s="751"/>
      <c r="AG423" s="751"/>
      <c r="AH423" s="751"/>
      <c r="AI423" s="751"/>
      <c r="AJ423" s="751"/>
      <c r="AK423" s="751"/>
      <c r="AL423" s="751"/>
      <c r="AM423" s="751"/>
      <c r="AN423" s="751"/>
      <c r="AO423" s="751"/>
      <c r="AP423" s="751"/>
      <c r="AQ423" s="751"/>
      <c r="AR423" s="751"/>
      <c r="AS423" s="751"/>
      <c r="AT423" s="769"/>
      <c r="AU423" s="769"/>
      <c r="AV423" s="769"/>
      <c r="AW423" s="769"/>
      <c r="AX423" s="769"/>
    </row>
    <row r="424" spans="1:50" ht="12.6" customHeight="1" x14ac:dyDescent="0.25">
      <c r="A424" s="208" t="s">
        <v>1478</v>
      </c>
      <c r="B424" s="208"/>
      <c r="C424" s="208"/>
      <c r="D424" s="208"/>
      <c r="E424" s="208"/>
      <c r="F424" s="208"/>
      <c r="G424" s="208"/>
      <c r="H424" s="262"/>
      <c r="I424" s="262"/>
      <c r="J424" s="262"/>
      <c r="K424" s="262"/>
      <c r="L424" s="262"/>
      <c r="M424" s="262"/>
      <c r="N424" s="262"/>
      <c r="O424" s="262"/>
      <c r="P424" s="262"/>
      <c r="Q424" s="262"/>
      <c r="R424" s="262"/>
      <c r="S424" s="262"/>
      <c r="T424" s="262"/>
      <c r="U424" s="262"/>
      <c r="V424" s="262"/>
      <c r="W424" s="262"/>
      <c r="X424" s="262"/>
      <c r="Y424" s="262"/>
      <c r="Z424" s="262"/>
      <c r="AA424" s="262"/>
      <c r="AB424" s="262"/>
      <c r="AC424" s="262"/>
      <c r="AD424" s="262"/>
      <c r="AE424" s="262"/>
      <c r="AF424" s="262"/>
      <c r="AG424" s="262"/>
      <c r="AH424" s="262"/>
      <c r="AI424" s="262"/>
      <c r="AJ424" s="262"/>
      <c r="AK424" s="262"/>
      <c r="AL424" s="262"/>
      <c r="AM424" s="262"/>
      <c r="AN424" s="262"/>
      <c r="AO424" s="262"/>
      <c r="AP424" s="262"/>
      <c r="AQ424" s="262"/>
      <c r="AR424" s="262"/>
      <c r="AS424" s="262"/>
      <c r="AT424" s="271"/>
      <c r="AU424" s="271"/>
      <c r="AV424" s="271"/>
      <c r="AW424" s="271"/>
      <c r="AX424" s="273"/>
    </row>
    <row r="425" spans="1:50" ht="12.6" customHeight="1" x14ac:dyDescent="0.25">
      <c r="A425" s="241" t="s">
        <v>1522</v>
      </c>
      <c r="B425" s="249"/>
      <c r="C425" s="249"/>
      <c r="D425" s="249"/>
      <c r="E425" s="249"/>
      <c r="F425" s="249"/>
      <c r="G425" s="249"/>
      <c r="H425" s="754"/>
      <c r="I425" s="754"/>
      <c r="J425" s="754"/>
      <c r="K425" s="754"/>
      <c r="L425" s="754"/>
      <c r="M425" s="754">
        <f>SUM('HL KNIHA VYPOC'!$H$61)*-1</f>
        <v>325524.28999999998</v>
      </c>
      <c r="N425" s="754"/>
      <c r="O425" s="754"/>
      <c r="P425" s="754"/>
      <c r="Q425" s="754"/>
      <c r="R425" s="754">
        <f>SUM('HL KNIHA VYPOC'!$H$62)*-1</f>
        <v>531436.48</v>
      </c>
      <c r="S425" s="754"/>
      <c r="T425" s="754"/>
      <c r="U425" s="754"/>
      <c r="V425" s="754"/>
      <c r="W425" s="754">
        <f>SUM('HL KNIHA VYPOC'!$H$65)*-1</f>
        <v>0</v>
      </c>
      <c r="X425" s="754"/>
      <c r="Y425" s="754"/>
      <c r="Z425" s="754"/>
      <c r="AA425" s="754"/>
      <c r="AB425" s="754">
        <f>SUM('HL KNIHA VYPOC'!$H$66)*-1</f>
        <v>68650.84</v>
      </c>
      <c r="AC425" s="754"/>
      <c r="AD425" s="754"/>
      <c r="AE425" s="754"/>
      <c r="AF425" s="754"/>
      <c r="AG425" s="754">
        <f>SUM('HL KNIHA VYPOC'!$H$68)*-1+'HL KNIHA VYPOC'!$H$67</f>
        <v>0</v>
      </c>
      <c r="AH425" s="754"/>
      <c r="AI425" s="754"/>
      <c r="AJ425" s="754"/>
      <c r="AK425" s="754"/>
      <c r="AL425" s="754"/>
      <c r="AM425" s="754"/>
      <c r="AN425" s="754"/>
      <c r="AO425" s="754"/>
      <c r="AP425" s="754"/>
      <c r="AQ425" s="754"/>
      <c r="AR425" s="754"/>
      <c r="AS425" s="754"/>
      <c r="AT425" s="751">
        <f>SUM(H425:AS428)</f>
        <v>925611.61</v>
      </c>
      <c r="AU425" s="751"/>
      <c r="AV425" s="751"/>
      <c r="AW425" s="751"/>
      <c r="AX425" s="751"/>
    </row>
    <row r="426" spans="1:50" ht="12.6" customHeight="1" x14ac:dyDescent="0.25">
      <c r="A426" s="243" t="s">
        <v>1523</v>
      </c>
      <c r="B426" s="208"/>
      <c r="C426" s="208"/>
      <c r="D426" s="208"/>
      <c r="E426" s="208"/>
      <c r="F426" s="208"/>
      <c r="G426" s="208"/>
      <c r="H426" s="754"/>
      <c r="I426" s="754"/>
      <c r="J426" s="754"/>
      <c r="K426" s="754"/>
      <c r="L426" s="754"/>
      <c r="M426" s="754"/>
      <c r="N426" s="754"/>
      <c r="O426" s="754"/>
      <c r="P426" s="754"/>
      <c r="Q426" s="754"/>
      <c r="R426" s="754"/>
      <c r="S426" s="754"/>
      <c r="T426" s="754"/>
      <c r="U426" s="754"/>
      <c r="V426" s="754"/>
      <c r="W426" s="754"/>
      <c r="X426" s="754"/>
      <c r="Y426" s="754"/>
      <c r="Z426" s="754"/>
      <c r="AA426" s="754"/>
      <c r="AB426" s="754"/>
      <c r="AC426" s="754"/>
      <c r="AD426" s="754"/>
      <c r="AE426" s="754"/>
      <c r="AF426" s="754"/>
      <c r="AG426" s="754"/>
      <c r="AH426" s="754"/>
      <c r="AI426" s="754"/>
      <c r="AJ426" s="754"/>
      <c r="AK426" s="754"/>
      <c r="AL426" s="754"/>
      <c r="AM426" s="754"/>
      <c r="AN426" s="754"/>
      <c r="AO426" s="754"/>
      <c r="AP426" s="754"/>
      <c r="AQ426" s="754"/>
      <c r="AR426" s="754"/>
      <c r="AS426" s="754"/>
      <c r="AT426" s="751"/>
      <c r="AU426" s="751"/>
      <c r="AV426" s="751"/>
      <c r="AW426" s="751"/>
      <c r="AX426" s="751"/>
    </row>
    <row r="427" spans="1:50" ht="12.6" customHeight="1" x14ac:dyDescent="0.25">
      <c r="A427" s="243" t="s">
        <v>1524</v>
      </c>
      <c r="B427" s="208"/>
      <c r="C427" s="208"/>
      <c r="D427" s="208"/>
      <c r="E427" s="208"/>
      <c r="F427" s="208"/>
      <c r="G427" s="208"/>
      <c r="H427" s="754"/>
      <c r="I427" s="754"/>
      <c r="J427" s="754"/>
      <c r="K427" s="754"/>
      <c r="L427" s="754"/>
      <c r="M427" s="754"/>
      <c r="N427" s="754"/>
      <c r="O427" s="754"/>
      <c r="P427" s="754"/>
      <c r="Q427" s="754"/>
      <c r="R427" s="754"/>
      <c r="S427" s="754"/>
      <c r="T427" s="754"/>
      <c r="U427" s="754"/>
      <c r="V427" s="754"/>
      <c r="W427" s="754"/>
      <c r="X427" s="754"/>
      <c r="Y427" s="754"/>
      <c r="Z427" s="754"/>
      <c r="AA427" s="754"/>
      <c r="AB427" s="754"/>
      <c r="AC427" s="754"/>
      <c r="AD427" s="754"/>
      <c r="AE427" s="754"/>
      <c r="AF427" s="754"/>
      <c r="AG427" s="754"/>
      <c r="AH427" s="754"/>
      <c r="AI427" s="754"/>
      <c r="AJ427" s="754"/>
      <c r="AK427" s="754"/>
      <c r="AL427" s="754"/>
      <c r="AM427" s="754"/>
      <c r="AN427" s="754"/>
      <c r="AO427" s="754"/>
      <c r="AP427" s="754"/>
      <c r="AQ427" s="754"/>
      <c r="AR427" s="754"/>
      <c r="AS427" s="754"/>
      <c r="AT427" s="751"/>
      <c r="AU427" s="751"/>
      <c r="AV427" s="751"/>
      <c r="AW427" s="751"/>
      <c r="AX427" s="751"/>
    </row>
    <row r="428" spans="1:50" ht="12.6" customHeight="1" x14ac:dyDescent="0.25">
      <c r="A428" s="243" t="s">
        <v>1525</v>
      </c>
      <c r="B428" s="208"/>
      <c r="C428" s="208"/>
      <c r="D428" s="208"/>
      <c r="E428" s="208"/>
      <c r="F428" s="208"/>
      <c r="G428" s="208"/>
      <c r="H428" s="754"/>
      <c r="I428" s="754"/>
      <c r="J428" s="754"/>
      <c r="K428" s="754"/>
      <c r="L428" s="754"/>
      <c r="M428" s="754"/>
      <c r="N428" s="754"/>
      <c r="O428" s="754"/>
      <c r="P428" s="754"/>
      <c r="Q428" s="754"/>
      <c r="R428" s="754"/>
      <c r="S428" s="754"/>
      <c r="T428" s="754"/>
      <c r="U428" s="754"/>
      <c r="V428" s="754"/>
      <c r="W428" s="754"/>
      <c r="X428" s="754"/>
      <c r="Y428" s="754"/>
      <c r="Z428" s="754"/>
      <c r="AA428" s="754"/>
      <c r="AB428" s="754"/>
      <c r="AC428" s="754"/>
      <c r="AD428" s="754"/>
      <c r="AE428" s="754"/>
      <c r="AF428" s="754"/>
      <c r="AG428" s="754"/>
      <c r="AH428" s="754"/>
      <c r="AI428" s="754"/>
      <c r="AJ428" s="754"/>
      <c r="AK428" s="754"/>
      <c r="AL428" s="754"/>
      <c r="AM428" s="754"/>
      <c r="AN428" s="754"/>
      <c r="AO428" s="754"/>
      <c r="AP428" s="754"/>
      <c r="AQ428" s="754"/>
      <c r="AR428" s="754"/>
      <c r="AS428" s="754"/>
      <c r="AT428" s="751"/>
      <c r="AU428" s="751"/>
      <c r="AV428" s="751"/>
      <c r="AW428" s="751"/>
      <c r="AX428" s="751"/>
    </row>
    <row r="429" spans="1:50" ht="12.6" customHeight="1" x14ac:dyDescent="0.25">
      <c r="A429" s="253" t="s">
        <v>1474</v>
      </c>
      <c r="B429" s="246"/>
      <c r="C429" s="246"/>
      <c r="D429" s="246"/>
      <c r="E429" s="246"/>
      <c r="F429" s="246"/>
      <c r="G429" s="246"/>
      <c r="H429" s="754"/>
      <c r="I429" s="754"/>
      <c r="J429" s="754"/>
      <c r="K429" s="754"/>
      <c r="L429" s="754"/>
      <c r="M429" s="754">
        <f>SUM('HL KNIHA VYPOC'!$J$61)</f>
        <v>33563.79</v>
      </c>
      <c r="N429" s="754"/>
      <c r="O429" s="754"/>
      <c r="P429" s="754"/>
      <c r="Q429" s="754"/>
      <c r="R429" s="754">
        <f>SUM('HL KNIHA VYPOC'!$J$62)</f>
        <v>3430.8</v>
      </c>
      <c r="S429" s="754"/>
      <c r="T429" s="754"/>
      <c r="U429" s="754"/>
      <c r="V429" s="754"/>
      <c r="W429" s="754">
        <f>SUM('HL KNIHA VYPOC'!$J$65)</f>
        <v>0</v>
      </c>
      <c r="X429" s="754"/>
      <c r="Y429" s="754"/>
      <c r="Z429" s="754"/>
      <c r="AA429" s="754"/>
      <c r="AB429" s="754">
        <f>SUM('HL KNIHA VYPOC'!$J$66)</f>
        <v>19421.7</v>
      </c>
      <c r="AC429" s="754"/>
      <c r="AD429" s="754"/>
      <c r="AE429" s="754"/>
      <c r="AF429" s="754"/>
      <c r="AG429" s="754">
        <f>SUM('HL KNIHA VYPOC'!$J$68+'HL KNIHA VYPOC'!$J$67)</f>
        <v>0</v>
      </c>
      <c r="AH429" s="754"/>
      <c r="AI429" s="754"/>
      <c r="AJ429" s="754"/>
      <c r="AK429" s="754"/>
      <c r="AL429" s="754"/>
      <c r="AM429" s="754"/>
      <c r="AN429" s="754"/>
      <c r="AO429" s="754"/>
      <c r="AP429" s="754"/>
      <c r="AQ429" s="754"/>
      <c r="AR429" s="754"/>
      <c r="AS429" s="754"/>
      <c r="AT429" s="751">
        <f>SUM(H429:AS429)</f>
        <v>56416.290000000008</v>
      </c>
      <c r="AU429" s="751"/>
      <c r="AV429" s="751"/>
      <c r="AW429" s="751"/>
      <c r="AX429" s="751"/>
    </row>
    <row r="430" spans="1:50" ht="12.6" customHeight="1" x14ac:dyDescent="0.25">
      <c r="A430" s="253" t="s">
        <v>1475</v>
      </c>
      <c r="B430" s="259"/>
      <c r="C430" s="246"/>
      <c r="D430" s="246"/>
      <c r="E430" s="246"/>
      <c r="F430" s="246"/>
      <c r="G430" s="246"/>
      <c r="H430" s="754"/>
      <c r="I430" s="754"/>
      <c r="J430" s="754"/>
      <c r="K430" s="754"/>
      <c r="L430" s="754"/>
      <c r="M430" s="754">
        <f>SUM('HL KNIHA VYPOC'!$I$61)</f>
        <v>0</v>
      </c>
      <c r="N430" s="754"/>
      <c r="O430" s="754"/>
      <c r="P430" s="754"/>
      <c r="Q430" s="754"/>
      <c r="R430" s="754">
        <f>SUM('HL KNIHA VYPOC'!$I$62)</f>
        <v>0</v>
      </c>
      <c r="S430" s="754"/>
      <c r="T430" s="754"/>
      <c r="U430" s="754"/>
      <c r="V430" s="754"/>
      <c r="W430" s="754">
        <f>SUM('HL KNIHA VYPOC'!$I$65)</f>
        <v>0</v>
      </c>
      <c r="X430" s="754"/>
      <c r="Y430" s="754"/>
      <c r="Z430" s="754"/>
      <c r="AA430" s="754"/>
      <c r="AB430" s="754">
        <f>SUM('HL KNIHA VYPOC'!$I$66)</f>
        <v>8399.3700000000008</v>
      </c>
      <c r="AC430" s="754"/>
      <c r="AD430" s="754"/>
      <c r="AE430" s="754"/>
      <c r="AF430" s="754"/>
      <c r="AG430" s="754">
        <f>SUM('HL KNIHA VYPOC'!$I$68)+'HL KNIHA VYPOC'!$I$67</f>
        <v>0</v>
      </c>
      <c r="AH430" s="754"/>
      <c r="AI430" s="754"/>
      <c r="AJ430" s="754"/>
      <c r="AK430" s="754"/>
      <c r="AL430" s="754"/>
      <c r="AM430" s="754"/>
      <c r="AN430" s="754"/>
      <c r="AO430" s="754"/>
      <c r="AP430" s="754"/>
      <c r="AQ430" s="754"/>
      <c r="AR430" s="754"/>
      <c r="AS430" s="754"/>
      <c r="AT430" s="751">
        <f>SUM(H430:AS430)</f>
        <v>8399.3700000000008</v>
      </c>
      <c r="AU430" s="751"/>
      <c r="AV430" s="751"/>
      <c r="AW430" s="751"/>
      <c r="AX430" s="751"/>
    </row>
    <row r="431" spans="1:50" ht="12.6" customHeight="1" x14ac:dyDescent="0.25">
      <c r="A431" s="253" t="s">
        <v>1476</v>
      </c>
      <c r="B431" s="259"/>
      <c r="C431" s="246"/>
      <c r="D431" s="246"/>
      <c r="E431" s="246"/>
      <c r="F431" s="246"/>
      <c r="G431" s="246"/>
      <c r="H431" s="771"/>
      <c r="I431" s="771"/>
      <c r="J431" s="771"/>
      <c r="K431" s="771"/>
      <c r="L431" s="771"/>
      <c r="M431" s="771"/>
      <c r="N431" s="771"/>
      <c r="O431" s="771"/>
      <c r="P431" s="771"/>
      <c r="Q431" s="771"/>
      <c r="R431" s="771"/>
      <c r="S431" s="771"/>
      <c r="T431" s="771"/>
      <c r="U431" s="771"/>
      <c r="V431" s="771"/>
      <c r="W431" s="771"/>
      <c r="X431" s="771"/>
      <c r="Y431" s="771"/>
      <c r="Z431" s="771"/>
      <c r="AA431" s="771"/>
      <c r="AB431" s="771"/>
      <c r="AC431" s="771"/>
      <c r="AD431" s="771"/>
      <c r="AE431" s="771"/>
      <c r="AF431" s="771"/>
      <c r="AG431" s="771"/>
      <c r="AH431" s="771"/>
      <c r="AI431" s="771"/>
      <c r="AJ431" s="771"/>
      <c r="AK431" s="771"/>
      <c r="AL431" s="771"/>
      <c r="AM431" s="771"/>
      <c r="AN431" s="771"/>
      <c r="AO431" s="771"/>
      <c r="AP431" s="771"/>
      <c r="AQ431" s="771"/>
      <c r="AR431" s="771"/>
      <c r="AS431" s="771"/>
      <c r="AT431" s="751">
        <f>SUM(H431:AS431)</f>
        <v>0</v>
      </c>
      <c r="AU431" s="751"/>
      <c r="AV431" s="751"/>
      <c r="AW431" s="751"/>
      <c r="AX431" s="751"/>
    </row>
    <row r="432" spans="1:50" ht="12.6" customHeight="1" x14ac:dyDescent="0.25">
      <c r="A432" s="243" t="s">
        <v>1477</v>
      </c>
      <c r="B432" s="208"/>
      <c r="C432" s="208"/>
      <c r="D432" s="208"/>
      <c r="E432" s="208"/>
      <c r="F432" s="208"/>
      <c r="G432" s="208"/>
      <c r="H432" s="754"/>
      <c r="I432" s="754"/>
      <c r="J432" s="754"/>
      <c r="K432" s="754"/>
      <c r="L432" s="754"/>
      <c r="M432" s="754">
        <f>SUM(M425+M429-M430+M431)</f>
        <v>359088.07999999996</v>
      </c>
      <c r="N432" s="754"/>
      <c r="O432" s="754"/>
      <c r="P432" s="754"/>
      <c r="Q432" s="754"/>
      <c r="R432" s="754">
        <f>SUM(R425+R429-R430+R431)</f>
        <v>534867.28</v>
      </c>
      <c r="S432" s="754"/>
      <c r="T432" s="754"/>
      <c r="U432" s="754"/>
      <c r="V432" s="754"/>
      <c r="W432" s="754">
        <f>SUM(W425+W429-W430+W431)</f>
        <v>0</v>
      </c>
      <c r="X432" s="754"/>
      <c r="Y432" s="754"/>
      <c r="Z432" s="754"/>
      <c r="AA432" s="754"/>
      <c r="AB432" s="754">
        <f>SUM(AB425+AB429-AB430+AB431)</f>
        <v>79673.17</v>
      </c>
      <c r="AC432" s="754"/>
      <c r="AD432" s="754"/>
      <c r="AE432" s="754"/>
      <c r="AF432" s="754"/>
      <c r="AG432" s="754">
        <f>SUM(AG425+AG429-AG430+AG431)</f>
        <v>0</v>
      </c>
      <c r="AH432" s="754"/>
      <c r="AI432" s="754"/>
      <c r="AJ432" s="754"/>
      <c r="AK432" s="754"/>
      <c r="AL432" s="754"/>
      <c r="AM432" s="754"/>
      <c r="AN432" s="754"/>
      <c r="AO432" s="754"/>
      <c r="AP432" s="754"/>
      <c r="AQ432" s="754"/>
      <c r="AR432" s="754"/>
      <c r="AS432" s="754"/>
      <c r="AT432" s="751">
        <f>SUM(H432:AS434)</f>
        <v>973628.53</v>
      </c>
      <c r="AU432" s="751"/>
      <c r="AV432" s="751"/>
      <c r="AW432" s="751"/>
      <c r="AX432" s="751"/>
    </row>
    <row r="433" spans="1:50" ht="12.6" customHeight="1" x14ac:dyDescent="0.25">
      <c r="A433" s="243" t="s">
        <v>1524</v>
      </c>
      <c r="B433" s="208"/>
      <c r="C433" s="208"/>
      <c r="D433" s="208"/>
      <c r="E433" s="208"/>
      <c r="F433" s="208"/>
      <c r="G433" s="208"/>
      <c r="H433" s="754"/>
      <c r="I433" s="754"/>
      <c r="J433" s="754"/>
      <c r="K433" s="754"/>
      <c r="L433" s="754"/>
      <c r="M433" s="754"/>
      <c r="N433" s="754"/>
      <c r="O433" s="754"/>
      <c r="P433" s="754"/>
      <c r="Q433" s="754"/>
      <c r="R433" s="754"/>
      <c r="S433" s="754"/>
      <c r="T433" s="754"/>
      <c r="U433" s="754"/>
      <c r="V433" s="754"/>
      <c r="W433" s="754"/>
      <c r="X433" s="754"/>
      <c r="Y433" s="754"/>
      <c r="Z433" s="754"/>
      <c r="AA433" s="754"/>
      <c r="AB433" s="754"/>
      <c r="AC433" s="754"/>
      <c r="AD433" s="754"/>
      <c r="AE433" s="754"/>
      <c r="AF433" s="754"/>
      <c r="AG433" s="754"/>
      <c r="AH433" s="754"/>
      <c r="AI433" s="754"/>
      <c r="AJ433" s="754"/>
      <c r="AK433" s="754"/>
      <c r="AL433" s="754"/>
      <c r="AM433" s="754"/>
      <c r="AN433" s="754"/>
      <c r="AO433" s="754"/>
      <c r="AP433" s="754"/>
      <c r="AQ433" s="754"/>
      <c r="AR433" s="754"/>
      <c r="AS433" s="754"/>
      <c r="AT433" s="751"/>
      <c r="AU433" s="751"/>
      <c r="AV433" s="751"/>
      <c r="AW433" s="751"/>
      <c r="AX433" s="751"/>
    </row>
    <row r="434" spans="1:50" ht="12.6" customHeight="1" x14ac:dyDescent="0.25">
      <c r="A434" s="251" t="s">
        <v>1525</v>
      </c>
      <c r="B434" s="247"/>
      <c r="C434" s="247"/>
      <c r="D434" s="247"/>
      <c r="E434" s="247"/>
      <c r="F434" s="247"/>
      <c r="G434" s="247"/>
      <c r="H434" s="754"/>
      <c r="I434" s="754"/>
      <c r="J434" s="754"/>
      <c r="K434" s="754"/>
      <c r="L434" s="754"/>
      <c r="M434" s="754"/>
      <c r="N434" s="754"/>
      <c r="O434" s="754"/>
      <c r="P434" s="754"/>
      <c r="Q434" s="754"/>
      <c r="R434" s="754"/>
      <c r="S434" s="754"/>
      <c r="T434" s="754"/>
      <c r="U434" s="754"/>
      <c r="V434" s="754"/>
      <c r="W434" s="754"/>
      <c r="X434" s="754"/>
      <c r="Y434" s="754"/>
      <c r="Z434" s="754"/>
      <c r="AA434" s="754"/>
      <c r="AB434" s="754"/>
      <c r="AC434" s="754"/>
      <c r="AD434" s="754"/>
      <c r="AE434" s="754"/>
      <c r="AF434" s="754"/>
      <c r="AG434" s="754"/>
      <c r="AH434" s="754"/>
      <c r="AI434" s="754"/>
      <c r="AJ434" s="754"/>
      <c r="AK434" s="754"/>
      <c r="AL434" s="754"/>
      <c r="AM434" s="754"/>
      <c r="AN434" s="754"/>
      <c r="AO434" s="754"/>
      <c r="AP434" s="754"/>
      <c r="AQ434" s="754"/>
      <c r="AR434" s="754"/>
      <c r="AS434" s="754"/>
      <c r="AT434" s="751"/>
      <c r="AU434" s="751"/>
      <c r="AV434" s="751"/>
      <c r="AW434" s="751"/>
      <c r="AX434" s="751"/>
    </row>
    <row r="435" spans="1:50" ht="12.6" customHeight="1" x14ac:dyDescent="0.25">
      <c r="A435" s="208" t="s">
        <v>1479</v>
      </c>
      <c r="B435" s="208"/>
      <c r="C435" s="208"/>
      <c r="D435" s="208"/>
      <c r="E435" s="208"/>
      <c r="F435" s="208"/>
      <c r="G435" s="208"/>
      <c r="H435" s="262"/>
      <c r="I435" s="262"/>
      <c r="J435" s="262"/>
      <c r="K435" s="262"/>
      <c r="L435" s="262"/>
      <c r="M435" s="262"/>
      <c r="N435" s="262"/>
      <c r="O435" s="262"/>
      <c r="P435" s="262"/>
      <c r="Q435" s="262"/>
      <c r="R435" s="262"/>
      <c r="S435" s="262"/>
      <c r="T435" s="262"/>
      <c r="U435" s="262"/>
      <c r="V435" s="262"/>
      <c r="W435" s="262"/>
      <c r="X435" s="262"/>
      <c r="Y435" s="262"/>
      <c r="Z435" s="262"/>
      <c r="AA435" s="262"/>
      <c r="AB435" s="262"/>
      <c r="AC435" s="262"/>
      <c r="AD435" s="262"/>
      <c r="AE435" s="262"/>
      <c r="AF435" s="262"/>
      <c r="AG435" s="262"/>
      <c r="AH435" s="262"/>
      <c r="AI435" s="262"/>
      <c r="AJ435" s="262"/>
      <c r="AK435" s="262"/>
      <c r="AL435" s="262"/>
      <c r="AM435" s="262"/>
      <c r="AN435" s="262"/>
      <c r="AO435" s="262"/>
      <c r="AP435" s="262"/>
      <c r="AQ435" s="262"/>
      <c r="AR435" s="262"/>
      <c r="AS435" s="262"/>
      <c r="AT435" s="254"/>
      <c r="AU435" s="254"/>
      <c r="AV435" s="254"/>
      <c r="AW435" s="254"/>
      <c r="AX435" s="274"/>
    </row>
    <row r="436" spans="1:50" ht="12.6" customHeight="1" x14ac:dyDescent="0.25">
      <c r="A436" s="241" t="s">
        <v>1522</v>
      </c>
      <c r="B436" s="249"/>
      <c r="C436" s="249"/>
      <c r="D436" s="249"/>
      <c r="E436" s="249"/>
      <c r="F436" s="249"/>
      <c r="G436" s="249"/>
      <c r="H436" s="754">
        <f>SUM(H443-H442+H441-H440)</f>
        <v>0</v>
      </c>
      <c r="I436" s="754"/>
      <c r="J436" s="754"/>
      <c r="K436" s="754"/>
      <c r="L436" s="754"/>
      <c r="M436" s="754">
        <f>SUM(M443-M442+M441-M440)</f>
        <v>0</v>
      </c>
      <c r="N436" s="754"/>
      <c r="O436" s="754"/>
      <c r="P436" s="754"/>
      <c r="Q436" s="754"/>
      <c r="R436" s="754">
        <f>SUM(R443-R442+R441-R440)</f>
        <v>0</v>
      </c>
      <c r="S436" s="754"/>
      <c r="T436" s="754"/>
      <c r="U436" s="754"/>
      <c r="V436" s="754"/>
      <c r="W436" s="754">
        <f>SUM(W443-W442+W441-W440)</f>
        <v>0</v>
      </c>
      <c r="X436" s="754"/>
      <c r="Y436" s="754"/>
      <c r="Z436" s="754"/>
      <c r="AA436" s="754"/>
      <c r="AB436" s="754">
        <f>SUM(AB443-AB442+AB441-AB440)</f>
        <v>0</v>
      </c>
      <c r="AC436" s="754"/>
      <c r="AD436" s="754"/>
      <c r="AE436" s="754"/>
      <c r="AF436" s="754"/>
      <c r="AG436" s="754">
        <f>SUM(AG443-AG442+AG441-AG440)</f>
        <v>0</v>
      </c>
      <c r="AH436" s="754"/>
      <c r="AI436" s="754"/>
      <c r="AJ436" s="754"/>
      <c r="AK436" s="754">
        <f>SUM(AK443-AK442+AK441-AK440)</f>
        <v>0</v>
      </c>
      <c r="AL436" s="754"/>
      <c r="AM436" s="754"/>
      <c r="AN436" s="754"/>
      <c r="AO436" s="754">
        <f>SUM(AO443-AO442+AO441-AO440)</f>
        <v>0</v>
      </c>
      <c r="AP436" s="754"/>
      <c r="AQ436" s="754"/>
      <c r="AR436" s="754"/>
      <c r="AS436" s="754"/>
      <c r="AT436" s="751">
        <f>SUM(H436:AS439)</f>
        <v>0</v>
      </c>
      <c r="AU436" s="751"/>
      <c r="AV436" s="751"/>
      <c r="AW436" s="751"/>
      <c r="AX436" s="751"/>
    </row>
    <row r="437" spans="1:50" ht="12.6" customHeight="1" x14ac:dyDescent="0.25">
      <c r="A437" s="243" t="s">
        <v>1523</v>
      </c>
      <c r="B437" s="208"/>
      <c r="C437" s="208"/>
      <c r="D437" s="208"/>
      <c r="E437" s="208"/>
      <c r="F437" s="208"/>
      <c r="G437" s="208"/>
      <c r="H437" s="754"/>
      <c r="I437" s="754"/>
      <c r="J437" s="754"/>
      <c r="K437" s="754"/>
      <c r="L437" s="754"/>
      <c r="M437" s="754"/>
      <c r="N437" s="754"/>
      <c r="O437" s="754"/>
      <c r="P437" s="754"/>
      <c r="Q437" s="754"/>
      <c r="R437" s="754"/>
      <c r="S437" s="754"/>
      <c r="T437" s="754"/>
      <c r="U437" s="754"/>
      <c r="V437" s="754"/>
      <c r="W437" s="754"/>
      <c r="X437" s="754"/>
      <c r="Y437" s="754"/>
      <c r="Z437" s="754"/>
      <c r="AA437" s="754"/>
      <c r="AB437" s="754"/>
      <c r="AC437" s="754"/>
      <c r="AD437" s="754"/>
      <c r="AE437" s="754"/>
      <c r="AF437" s="754"/>
      <c r="AG437" s="754"/>
      <c r="AH437" s="754"/>
      <c r="AI437" s="754"/>
      <c r="AJ437" s="754"/>
      <c r="AK437" s="754"/>
      <c r="AL437" s="754"/>
      <c r="AM437" s="754"/>
      <c r="AN437" s="754"/>
      <c r="AO437" s="754"/>
      <c r="AP437" s="754"/>
      <c r="AQ437" s="754"/>
      <c r="AR437" s="754"/>
      <c r="AS437" s="754"/>
      <c r="AT437" s="751"/>
      <c r="AU437" s="751"/>
      <c r="AV437" s="751"/>
      <c r="AW437" s="751"/>
      <c r="AX437" s="751"/>
    </row>
    <row r="438" spans="1:50" ht="12.6" customHeight="1" x14ac:dyDescent="0.25">
      <c r="A438" s="243" t="s">
        <v>1524</v>
      </c>
      <c r="B438" s="208"/>
      <c r="C438" s="208"/>
      <c r="D438" s="208"/>
      <c r="E438" s="208"/>
      <c r="F438" s="208"/>
      <c r="G438" s="208"/>
      <c r="H438" s="754"/>
      <c r="I438" s="754"/>
      <c r="J438" s="754"/>
      <c r="K438" s="754"/>
      <c r="L438" s="754"/>
      <c r="M438" s="754"/>
      <c r="N438" s="754"/>
      <c r="O438" s="754"/>
      <c r="P438" s="754"/>
      <c r="Q438" s="754"/>
      <c r="R438" s="754"/>
      <c r="S438" s="754"/>
      <c r="T438" s="754"/>
      <c r="U438" s="754"/>
      <c r="V438" s="754"/>
      <c r="W438" s="754"/>
      <c r="X438" s="754"/>
      <c r="Y438" s="754"/>
      <c r="Z438" s="754"/>
      <c r="AA438" s="754"/>
      <c r="AB438" s="754"/>
      <c r="AC438" s="754"/>
      <c r="AD438" s="754"/>
      <c r="AE438" s="754"/>
      <c r="AF438" s="754"/>
      <c r="AG438" s="754"/>
      <c r="AH438" s="754"/>
      <c r="AI438" s="754"/>
      <c r="AJ438" s="754"/>
      <c r="AK438" s="754"/>
      <c r="AL438" s="754"/>
      <c r="AM438" s="754"/>
      <c r="AN438" s="754"/>
      <c r="AO438" s="754"/>
      <c r="AP438" s="754"/>
      <c r="AQ438" s="754"/>
      <c r="AR438" s="754"/>
      <c r="AS438" s="754"/>
      <c r="AT438" s="751"/>
      <c r="AU438" s="751"/>
      <c r="AV438" s="751"/>
      <c r="AW438" s="751"/>
      <c r="AX438" s="751"/>
    </row>
    <row r="439" spans="1:50" ht="12.6" customHeight="1" x14ac:dyDescent="0.25">
      <c r="A439" s="243" t="s">
        <v>1525</v>
      </c>
      <c r="B439" s="208"/>
      <c r="C439" s="208"/>
      <c r="D439" s="208"/>
      <c r="E439" s="208"/>
      <c r="F439" s="208"/>
      <c r="G439" s="208"/>
      <c r="H439" s="754"/>
      <c r="I439" s="754"/>
      <c r="J439" s="754"/>
      <c r="K439" s="754"/>
      <c r="L439" s="754"/>
      <c r="M439" s="754"/>
      <c r="N439" s="754"/>
      <c r="O439" s="754"/>
      <c r="P439" s="754"/>
      <c r="Q439" s="754"/>
      <c r="R439" s="754"/>
      <c r="S439" s="754"/>
      <c r="T439" s="754"/>
      <c r="U439" s="754"/>
      <c r="V439" s="754"/>
      <c r="W439" s="754"/>
      <c r="X439" s="754"/>
      <c r="Y439" s="754"/>
      <c r="Z439" s="754"/>
      <c r="AA439" s="754"/>
      <c r="AB439" s="754"/>
      <c r="AC439" s="754"/>
      <c r="AD439" s="754"/>
      <c r="AE439" s="754"/>
      <c r="AF439" s="754"/>
      <c r="AG439" s="754"/>
      <c r="AH439" s="754"/>
      <c r="AI439" s="754"/>
      <c r="AJ439" s="754"/>
      <c r="AK439" s="754"/>
      <c r="AL439" s="754"/>
      <c r="AM439" s="754"/>
      <c r="AN439" s="754"/>
      <c r="AO439" s="754"/>
      <c r="AP439" s="754"/>
      <c r="AQ439" s="754"/>
      <c r="AR439" s="754"/>
      <c r="AS439" s="754"/>
      <c r="AT439" s="751"/>
      <c r="AU439" s="751"/>
      <c r="AV439" s="751"/>
      <c r="AW439" s="751"/>
      <c r="AX439" s="751"/>
    </row>
    <row r="440" spans="1:50" ht="12.6" customHeight="1" x14ac:dyDescent="0.25">
      <c r="A440" s="253" t="s">
        <v>1474</v>
      </c>
      <c r="B440" s="246"/>
      <c r="C440" s="246"/>
      <c r="D440" s="246"/>
      <c r="E440" s="246"/>
      <c r="F440" s="246"/>
      <c r="G440" s="246"/>
      <c r="H440" s="771"/>
      <c r="I440" s="771"/>
      <c r="J440" s="771"/>
      <c r="K440" s="771"/>
      <c r="L440" s="771"/>
      <c r="M440" s="771"/>
      <c r="N440" s="771"/>
      <c r="O440" s="771"/>
      <c r="P440" s="771"/>
      <c r="Q440" s="771"/>
      <c r="R440" s="771"/>
      <c r="S440" s="771"/>
      <c r="T440" s="771"/>
      <c r="U440" s="771"/>
      <c r="V440" s="771"/>
      <c r="W440" s="771"/>
      <c r="X440" s="771"/>
      <c r="Y440" s="771"/>
      <c r="Z440" s="771"/>
      <c r="AA440" s="771"/>
      <c r="AB440" s="771"/>
      <c r="AC440" s="771"/>
      <c r="AD440" s="771"/>
      <c r="AE440" s="771"/>
      <c r="AF440" s="771"/>
      <c r="AG440" s="771"/>
      <c r="AH440" s="771"/>
      <c r="AI440" s="771"/>
      <c r="AJ440" s="771"/>
      <c r="AK440" s="771"/>
      <c r="AL440" s="771"/>
      <c r="AM440" s="771"/>
      <c r="AN440" s="771"/>
      <c r="AO440" s="771"/>
      <c r="AP440" s="771"/>
      <c r="AQ440" s="771"/>
      <c r="AR440" s="771"/>
      <c r="AS440" s="771"/>
      <c r="AT440" s="751">
        <f>SUM(H440:AS440)</f>
        <v>0</v>
      </c>
      <c r="AU440" s="751"/>
      <c r="AV440" s="751"/>
      <c r="AW440" s="751"/>
      <c r="AX440" s="751"/>
    </row>
    <row r="441" spans="1:50" ht="12.6" customHeight="1" x14ac:dyDescent="0.25">
      <c r="A441" s="253" t="s">
        <v>1475</v>
      </c>
      <c r="B441" s="259"/>
      <c r="C441" s="246"/>
      <c r="D441" s="246"/>
      <c r="E441" s="246"/>
      <c r="F441" s="246"/>
      <c r="G441" s="246"/>
      <c r="H441" s="771"/>
      <c r="I441" s="771"/>
      <c r="J441" s="771"/>
      <c r="K441" s="771"/>
      <c r="L441" s="771"/>
      <c r="M441" s="757"/>
      <c r="N441" s="757"/>
      <c r="O441" s="757"/>
      <c r="P441" s="757"/>
      <c r="Q441" s="757"/>
      <c r="R441" s="757"/>
      <c r="S441" s="757"/>
      <c r="T441" s="757"/>
      <c r="U441" s="757"/>
      <c r="V441" s="757"/>
      <c r="W441" s="757"/>
      <c r="X441" s="757"/>
      <c r="Y441" s="757"/>
      <c r="Z441" s="757"/>
      <c r="AA441" s="757"/>
      <c r="AB441" s="757"/>
      <c r="AC441" s="757"/>
      <c r="AD441" s="757"/>
      <c r="AE441" s="757"/>
      <c r="AF441" s="757"/>
      <c r="AG441" s="757"/>
      <c r="AH441" s="757"/>
      <c r="AI441" s="757"/>
      <c r="AJ441" s="757"/>
      <c r="AK441" s="757"/>
      <c r="AL441" s="757"/>
      <c r="AM441" s="757"/>
      <c r="AN441" s="757"/>
      <c r="AO441" s="757"/>
      <c r="AP441" s="757"/>
      <c r="AQ441" s="757"/>
      <c r="AR441" s="757"/>
      <c r="AS441" s="757"/>
      <c r="AT441" s="751">
        <f>SUM(H441:AS441)</f>
        <v>0</v>
      </c>
      <c r="AU441" s="751"/>
      <c r="AV441" s="751"/>
      <c r="AW441" s="751"/>
      <c r="AX441" s="751"/>
    </row>
    <row r="442" spans="1:50" ht="12.6" customHeight="1" x14ac:dyDescent="0.25">
      <c r="A442" s="253" t="s">
        <v>1476</v>
      </c>
      <c r="B442" s="259"/>
      <c r="C442" s="246"/>
      <c r="D442" s="246"/>
      <c r="E442" s="246"/>
      <c r="F442" s="246"/>
      <c r="G442" s="246"/>
      <c r="H442" s="757"/>
      <c r="I442" s="757"/>
      <c r="J442" s="757"/>
      <c r="K442" s="757"/>
      <c r="L442" s="757"/>
      <c r="M442" s="757"/>
      <c r="N442" s="757"/>
      <c r="O442" s="757"/>
      <c r="P442" s="757"/>
      <c r="Q442" s="757"/>
      <c r="R442" s="757"/>
      <c r="S442" s="757"/>
      <c r="T442" s="757"/>
      <c r="U442" s="757"/>
      <c r="V442" s="757"/>
      <c r="W442" s="757"/>
      <c r="X442" s="757"/>
      <c r="Y442" s="757"/>
      <c r="Z442" s="757"/>
      <c r="AA442" s="757"/>
      <c r="AB442" s="757"/>
      <c r="AC442" s="757"/>
      <c r="AD442" s="757"/>
      <c r="AE442" s="757"/>
      <c r="AF442" s="757"/>
      <c r="AG442" s="757"/>
      <c r="AH442" s="757"/>
      <c r="AI442" s="757"/>
      <c r="AJ442" s="757"/>
      <c r="AK442" s="757"/>
      <c r="AL442" s="757"/>
      <c r="AM442" s="757"/>
      <c r="AN442" s="757"/>
      <c r="AO442" s="757"/>
      <c r="AP442" s="757"/>
      <c r="AQ442" s="757"/>
      <c r="AR442" s="757"/>
      <c r="AS442" s="757"/>
      <c r="AT442" s="751">
        <f>SUM(H442:AS442)</f>
        <v>0</v>
      </c>
      <c r="AU442" s="751"/>
      <c r="AV442" s="751"/>
      <c r="AW442" s="751"/>
      <c r="AX442" s="751"/>
    </row>
    <row r="443" spans="1:50" ht="12.6" customHeight="1" x14ac:dyDescent="0.25">
      <c r="A443" s="243" t="s">
        <v>1477</v>
      </c>
      <c r="B443" s="208"/>
      <c r="C443" s="208"/>
      <c r="D443" s="208"/>
      <c r="E443" s="208"/>
      <c r="F443" s="208"/>
      <c r="G443" s="208"/>
      <c r="H443" s="751">
        <f>SUM(ANALYTIKAVUJ!$D$33)*-1</f>
        <v>0</v>
      </c>
      <c r="I443" s="751"/>
      <c r="J443" s="751"/>
      <c r="K443" s="751"/>
      <c r="L443" s="751"/>
      <c r="M443" s="751">
        <f>SUM(ANALYTIKAVUJ!$D$34)*-1</f>
        <v>0</v>
      </c>
      <c r="N443" s="751"/>
      <c r="O443" s="751"/>
      <c r="P443" s="751"/>
      <c r="Q443" s="751"/>
      <c r="R443" s="751">
        <f>SUM(ANALYTIKAVUJ!$D$35)*-1</f>
        <v>0</v>
      </c>
      <c r="S443" s="751"/>
      <c r="T443" s="751"/>
      <c r="U443" s="751"/>
      <c r="V443" s="751"/>
      <c r="W443" s="751">
        <f>SUM(ANALYTIKAVUJ!$D$36)*-1</f>
        <v>0</v>
      </c>
      <c r="X443" s="751"/>
      <c r="Y443" s="751"/>
      <c r="Z443" s="751"/>
      <c r="AA443" s="751"/>
      <c r="AB443" s="751">
        <f>SUM(ANALYTIKAVUJ!$D$37)*-1</f>
        <v>0</v>
      </c>
      <c r="AC443" s="751"/>
      <c r="AD443" s="751"/>
      <c r="AE443" s="751"/>
      <c r="AF443" s="751"/>
      <c r="AG443" s="751">
        <f>SUM(ANALYTIKAVUJ!$D$38)*-1</f>
        <v>0</v>
      </c>
      <c r="AH443" s="751"/>
      <c r="AI443" s="751"/>
      <c r="AJ443" s="751"/>
      <c r="AK443" s="751">
        <f>SUM('HL KNIHA VYPOC'!$K$74)*-1</f>
        <v>0</v>
      </c>
      <c r="AL443" s="751"/>
      <c r="AM443" s="751"/>
      <c r="AN443" s="751"/>
      <c r="AO443" s="751">
        <f>SUM(ANALYTIKAVUJ!$D$42)*-1</f>
        <v>0</v>
      </c>
      <c r="AP443" s="751"/>
      <c r="AQ443" s="751"/>
      <c r="AR443" s="751"/>
      <c r="AS443" s="751"/>
      <c r="AT443" s="754">
        <f>SUM(H443:AS445)</f>
        <v>0</v>
      </c>
      <c r="AU443" s="754"/>
      <c r="AV443" s="754"/>
      <c r="AW443" s="754"/>
      <c r="AX443" s="754"/>
    </row>
    <row r="444" spans="1:50" ht="12.6" customHeight="1" x14ac:dyDescent="0.25">
      <c r="A444" s="243" t="s">
        <v>1524</v>
      </c>
      <c r="B444" s="208"/>
      <c r="C444" s="208"/>
      <c r="D444" s="208"/>
      <c r="E444" s="208"/>
      <c r="F444" s="208"/>
      <c r="G444" s="208"/>
      <c r="H444" s="751"/>
      <c r="I444" s="751"/>
      <c r="J444" s="751"/>
      <c r="K444" s="751"/>
      <c r="L444" s="751"/>
      <c r="M444" s="751"/>
      <c r="N444" s="751"/>
      <c r="O444" s="751"/>
      <c r="P444" s="751"/>
      <c r="Q444" s="751"/>
      <c r="R444" s="751"/>
      <c r="S444" s="751"/>
      <c r="T444" s="751"/>
      <c r="U444" s="751"/>
      <c r="V444" s="751"/>
      <c r="W444" s="751"/>
      <c r="X444" s="751"/>
      <c r="Y444" s="751"/>
      <c r="Z444" s="751"/>
      <c r="AA444" s="751"/>
      <c r="AB444" s="751"/>
      <c r="AC444" s="751"/>
      <c r="AD444" s="751"/>
      <c r="AE444" s="751"/>
      <c r="AF444" s="751"/>
      <c r="AG444" s="751"/>
      <c r="AH444" s="751"/>
      <c r="AI444" s="751"/>
      <c r="AJ444" s="751"/>
      <c r="AK444" s="751"/>
      <c r="AL444" s="751"/>
      <c r="AM444" s="751"/>
      <c r="AN444" s="751"/>
      <c r="AO444" s="751"/>
      <c r="AP444" s="751"/>
      <c r="AQ444" s="751"/>
      <c r="AR444" s="751"/>
      <c r="AS444" s="751"/>
      <c r="AT444" s="754"/>
      <c r="AU444" s="754"/>
      <c r="AV444" s="754"/>
      <c r="AW444" s="754"/>
      <c r="AX444" s="754"/>
    </row>
    <row r="445" spans="1:50" ht="12.6" customHeight="1" x14ac:dyDescent="0.25">
      <c r="A445" s="251" t="s">
        <v>1525</v>
      </c>
      <c r="B445" s="247"/>
      <c r="C445" s="247"/>
      <c r="D445" s="247"/>
      <c r="E445" s="247"/>
      <c r="F445" s="247"/>
      <c r="G445" s="247"/>
      <c r="H445" s="751"/>
      <c r="I445" s="751"/>
      <c r="J445" s="751"/>
      <c r="K445" s="751"/>
      <c r="L445" s="751"/>
      <c r="M445" s="751"/>
      <c r="N445" s="751"/>
      <c r="O445" s="751"/>
      <c r="P445" s="751"/>
      <c r="Q445" s="751"/>
      <c r="R445" s="751"/>
      <c r="S445" s="751"/>
      <c r="T445" s="751"/>
      <c r="U445" s="751"/>
      <c r="V445" s="751"/>
      <c r="W445" s="751"/>
      <c r="X445" s="751"/>
      <c r="Y445" s="751"/>
      <c r="Z445" s="751"/>
      <c r="AA445" s="751"/>
      <c r="AB445" s="751"/>
      <c r="AC445" s="751"/>
      <c r="AD445" s="751"/>
      <c r="AE445" s="751"/>
      <c r="AF445" s="751"/>
      <c r="AG445" s="751"/>
      <c r="AH445" s="751"/>
      <c r="AI445" s="751"/>
      <c r="AJ445" s="751"/>
      <c r="AK445" s="751"/>
      <c r="AL445" s="751"/>
      <c r="AM445" s="751"/>
      <c r="AN445" s="751"/>
      <c r="AO445" s="751"/>
      <c r="AP445" s="751"/>
      <c r="AQ445" s="751"/>
      <c r="AR445" s="751"/>
      <c r="AS445" s="751"/>
      <c r="AT445" s="754"/>
      <c r="AU445" s="754"/>
      <c r="AV445" s="754"/>
      <c r="AW445" s="754"/>
      <c r="AX445" s="754"/>
    </row>
    <row r="446" spans="1:50" ht="12.6" customHeight="1" x14ac:dyDescent="0.25">
      <c r="A446" s="246" t="s">
        <v>1480</v>
      </c>
      <c r="B446" s="246"/>
      <c r="C446" s="246"/>
      <c r="D446" s="246"/>
      <c r="E446" s="246"/>
      <c r="F446" s="246"/>
      <c r="G446" s="246"/>
      <c r="H446" s="255"/>
      <c r="I446" s="255"/>
      <c r="J446" s="255"/>
      <c r="K446" s="255"/>
      <c r="L446" s="255"/>
      <c r="M446" s="255"/>
      <c r="N446" s="255"/>
      <c r="O446" s="255"/>
      <c r="P446" s="255"/>
      <c r="Q446" s="255"/>
      <c r="R446" s="255"/>
      <c r="S446" s="255"/>
      <c r="T446" s="255"/>
      <c r="U446" s="255"/>
      <c r="V446" s="255"/>
      <c r="W446" s="255"/>
      <c r="X446" s="255"/>
      <c r="Y446" s="255"/>
      <c r="Z446" s="255"/>
      <c r="AA446" s="255"/>
      <c r="AB446" s="255"/>
      <c r="AC446" s="255"/>
      <c r="AD446" s="255"/>
      <c r="AE446" s="255"/>
      <c r="AF446" s="255"/>
      <c r="AG446" s="255"/>
      <c r="AH446" s="255"/>
      <c r="AI446" s="255"/>
      <c r="AJ446" s="255"/>
      <c r="AK446" s="255"/>
      <c r="AL446" s="255"/>
      <c r="AM446" s="255"/>
      <c r="AN446" s="255"/>
      <c r="AO446" s="255"/>
      <c r="AP446" s="255"/>
      <c r="AQ446" s="255"/>
      <c r="AR446" s="255"/>
      <c r="AS446" s="255"/>
      <c r="AT446" s="274"/>
      <c r="AU446" s="274"/>
      <c r="AV446" s="274"/>
      <c r="AW446" s="274"/>
      <c r="AX446" s="273"/>
    </row>
    <row r="447" spans="1:50" ht="12.6" customHeight="1" x14ac:dyDescent="0.25">
      <c r="A447" s="241" t="s">
        <v>1522</v>
      </c>
      <c r="B447" s="249"/>
      <c r="C447" s="249"/>
      <c r="D447" s="249"/>
      <c r="E447" s="249"/>
      <c r="F447" s="249"/>
      <c r="G447" s="250"/>
      <c r="H447" s="751">
        <f>SUM(H414-H425--H436)</f>
        <v>0</v>
      </c>
      <c r="I447" s="751"/>
      <c r="J447" s="751"/>
      <c r="K447" s="751"/>
      <c r="L447" s="751"/>
      <c r="M447" s="751">
        <f>SUM(M414-M425--M436)</f>
        <v>401375.47000000003</v>
      </c>
      <c r="N447" s="751"/>
      <c r="O447" s="751"/>
      <c r="P447" s="751"/>
      <c r="Q447" s="751"/>
      <c r="R447" s="751">
        <f>SUM(R414-R425-R436)</f>
        <v>6571.4000000000233</v>
      </c>
      <c r="S447" s="751"/>
      <c r="T447" s="751"/>
      <c r="U447" s="751"/>
      <c r="V447" s="751"/>
      <c r="W447" s="751">
        <f>SUM(W414-W425--W436)</f>
        <v>0</v>
      </c>
      <c r="X447" s="751"/>
      <c r="Y447" s="751"/>
      <c r="Z447" s="751"/>
      <c r="AA447" s="751"/>
      <c r="AB447" s="751">
        <f>SUM(AB414-AB425--AB436)</f>
        <v>40428.410000000003</v>
      </c>
      <c r="AC447" s="751"/>
      <c r="AD447" s="751"/>
      <c r="AE447" s="751"/>
      <c r="AF447" s="751"/>
      <c r="AG447" s="751">
        <f>SUM(AG414-AG425-AG436)</f>
        <v>0</v>
      </c>
      <c r="AH447" s="751"/>
      <c r="AI447" s="751"/>
      <c r="AJ447" s="751"/>
      <c r="AK447" s="751">
        <f>SUM(AK414-AK425-AK436)</f>
        <v>0</v>
      </c>
      <c r="AL447" s="751"/>
      <c r="AM447" s="751"/>
      <c r="AN447" s="751"/>
      <c r="AO447" s="751">
        <f>SUM(AO414-AO425--AO436)</f>
        <v>0</v>
      </c>
      <c r="AP447" s="751"/>
      <c r="AQ447" s="751"/>
      <c r="AR447" s="751"/>
      <c r="AS447" s="751"/>
      <c r="AT447" s="751">
        <f>SUM(H447:AS450)</f>
        <v>448375.28</v>
      </c>
      <c r="AU447" s="751"/>
      <c r="AV447" s="751"/>
      <c r="AW447" s="751"/>
      <c r="AX447" s="751"/>
    </row>
    <row r="448" spans="1:50" ht="12.6" customHeight="1" x14ac:dyDescent="0.25">
      <c r="A448" s="243" t="s">
        <v>1523</v>
      </c>
      <c r="B448" s="208"/>
      <c r="C448" s="208"/>
      <c r="D448" s="208"/>
      <c r="E448" s="208"/>
      <c r="F448" s="208"/>
      <c r="G448" s="245"/>
      <c r="H448" s="751"/>
      <c r="I448" s="751"/>
      <c r="J448" s="751"/>
      <c r="K448" s="751"/>
      <c r="L448" s="751"/>
      <c r="M448" s="751"/>
      <c r="N448" s="751"/>
      <c r="O448" s="751"/>
      <c r="P448" s="751"/>
      <c r="Q448" s="751"/>
      <c r="R448" s="751"/>
      <c r="S448" s="751"/>
      <c r="T448" s="751"/>
      <c r="U448" s="751"/>
      <c r="V448" s="751"/>
      <c r="W448" s="751"/>
      <c r="X448" s="751"/>
      <c r="Y448" s="751"/>
      <c r="Z448" s="751"/>
      <c r="AA448" s="751"/>
      <c r="AB448" s="751"/>
      <c r="AC448" s="751"/>
      <c r="AD448" s="751"/>
      <c r="AE448" s="751"/>
      <c r="AF448" s="751"/>
      <c r="AG448" s="751"/>
      <c r="AH448" s="751"/>
      <c r="AI448" s="751"/>
      <c r="AJ448" s="751"/>
      <c r="AK448" s="751"/>
      <c r="AL448" s="751"/>
      <c r="AM448" s="751"/>
      <c r="AN448" s="751"/>
      <c r="AO448" s="751"/>
      <c r="AP448" s="751"/>
      <c r="AQ448" s="751"/>
      <c r="AR448" s="751"/>
      <c r="AS448" s="751"/>
      <c r="AT448" s="751"/>
      <c r="AU448" s="751"/>
      <c r="AV448" s="751"/>
      <c r="AW448" s="751"/>
      <c r="AX448" s="751"/>
    </row>
    <row r="449" spans="1:54" ht="12.6" customHeight="1" x14ac:dyDescent="0.25">
      <c r="A449" s="243" t="s">
        <v>1524</v>
      </c>
      <c r="B449" s="208"/>
      <c r="C449" s="208"/>
      <c r="D449" s="208"/>
      <c r="E449" s="208"/>
      <c r="F449" s="208"/>
      <c r="G449" s="245"/>
      <c r="H449" s="751"/>
      <c r="I449" s="751"/>
      <c r="J449" s="751"/>
      <c r="K449" s="751"/>
      <c r="L449" s="751"/>
      <c r="M449" s="751"/>
      <c r="N449" s="751"/>
      <c r="O449" s="751"/>
      <c r="P449" s="751"/>
      <c r="Q449" s="751"/>
      <c r="R449" s="751"/>
      <c r="S449" s="751"/>
      <c r="T449" s="751"/>
      <c r="U449" s="751"/>
      <c r="V449" s="751"/>
      <c r="W449" s="751"/>
      <c r="X449" s="751"/>
      <c r="Y449" s="751"/>
      <c r="Z449" s="751"/>
      <c r="AA449" s="751"/>
      <c r="AB449" s="751"/>
      <c r="AC449" s="751"/>
      <c r="AD449" s="751"/>
      <c r="AE449" s="751"/>
      <c r="AF449" s="751"/>
      <c r="AG449" s="751"/>
      <c r="AH449" s="751"/>
      <c r="AI449" s="751"/>
      <c r="AJ449" s="751"/>
      <c r="AK449" s="751"/>
      <c r="AL449" s="751"/>
      <c r="AM449" s="751"/>
      <c r="AN449" s="751"/>
      <c r="AO449" s="751"/>
      <c r="AP449" s="751"/>
      <c r="AQ449" s="751"/>
      <c r="AR449" s="751"/>
      <c r="AS449" s="751"/>
      <c r="AT449" s="751"/>
      <c r="AU449" s="751"/>
      <c r="AV449" s="751"/>
      <c r="AW449" s="751"/>
      <c r="AX449" s="751"/>
    </row>
    <row r="450" spans="1:54" ht="12.6" customHeight="1" x14ac:dyDescent="0.25">
      <c r="A450" s="251" t="s">
        <v>1525</v>
      </c>
      <c r="B450" s="247"/>
      <c r="C450" s="247"/>
      <c r="D450" s="247"/>
      <c r="E450" s="247"/>
      <c r="F450" s="247"/>
      <c r="G450" s="252"/>
      <c r="H450" s="751"/>
      <c r="I450" s="751"/>
      <c r="J450" s="751"/>
      <c r="K450" s="751"/>
      <c r="L450" s="751"/>
      <c r="M450" s="751"/>
      <c r="N450" s="751"/>
      <c r="O450" s="751"/>
      <c r="P450" s="751"/>
      <c r="Q450" s="751"/>
      <c r="R450" s="751"/>
      <c r="S450" s="751"/>
      <c r="T450" s="751"/>
      <c r="U450" s="751"/>
      <c r="V450" s="751"/>
      <c r="W450" s="751"/>
      <c r="X450" s="751"/>
      <c r="Y450" s="751"/>
      <c r="Z450" s="751"/>
      <c r="AA450" s="751"/>
      <c r="AB450" s="751"/>
      <c r="AC450" s="751"/>
      <c r="AD450" s="751"/>
      <c r="AE450" s="751"/>
      <c r="AF450" s="751"/>
      <c r="AG450" s="751"/>
      <c r="AH450" s="751"/>
      <c r="AI450" s="751"/>
      <c r="AJ450" s="751"/>
      <c r="AK450" s="751"/>
      <c r="AL450" s="751"/>
      <c r="AM450" s="751"/>
      <c r="AN450" s="751"/>
      <c r="AO450" s="751"/>
      <c r="AP450" s="751"/>
      <c r="AQ450" s="751"/>
      <c r="AR450" s="751"/>
      <c r="AS450" s="751"/>
      <c r="AT450" s="751"/>
      <c r="AU450" s="751"/>
      <c r="AV450" s="751"/>
      <c r="AW450" s="751"/>
      <c r="AX450" s="751"/>
    </row>
    <row r="451" spans="1:54" ht="12.6" customHeight="1" x14ac:dyDescent="0.25">
      <c r="A451" s="243" t="s">
        <v>1477</v>
      </c>
      <c r="B451" s="208"/>
      <c r="C451" s="208"/>
      <c r="D451" s="208"/>
      <c r="E451" s="208"/>
      <c r="F451" s="208"/>
      <c r="G451" s="208"/>
      <c r="H451" s="751">
        <f>SUM(H421-H432-H443)</f>
        <v>0</v>
      </c>
      <c r="I451" s="751"/>
      <c r="J451" s="751"/>
      <c r="K451" s="751"/>
      <c r="L451" s="751"/>
      <c r="M451" s="751">
        <f>SUM(M421-M432-M443)</f>
        <v>367811.68000000005</v>
      </c>
      <c r="N451" s="751"/>
      <c r="O451" s="751"/>
      <c r="P451" s="751"/>
      <c r="Q451" s="751"/>
      <c r="R451" s="751">
        <f>SUM(R421-R432-R443)</f>
        <v>3140.5999999999767</v>
      </c>
      <c r="S451" s="751"/>
      <c r="T451" s="751"/>
      <c r="U451" s="751"/>
      <c r="V451" s="751"/>
      <c r="W451" s="751">
        <f>SUM(W421-W432-W443)</f>
        <v>1000</v>
      </c>
      <c r="X451" s="751"/>
      <c r="Y451" s="751"/>
      <c r="Z451" s="751"/>
      <c r="AA451" s="751"/>
      <c r="AB451" s="751">
        <f>SUM(AB421-AB432-AB443)</f>
        <v>35554.810000000012</v>
      </c>
      <c r="AC451" s="751"/>
      <c r="AD451" s="751"/>
      <c r="AE451" s="751"/>
      <c r="AF451" s="751"/>
      <c r="AG451" s="751">
        <f>SUM(AG421-AG432-AG443)</f>
        <v>0</v>
      </c>
      <c r="AH451" s="751"/>
      <c r="AI451" s="751"/>
      <c r="AJ451" s="751"/>
      <c r="AK451" s="751">
        <f>SUM(AK421-AK432-AK443)</f>
        <v>0</v>
      </c>
      <c r="AL451" s="751"/>
      <c r="AM451" s="751"/>
      <c r="AN451" s="751"/>
      <c r="AO451" s="751">
        <f>SUM(AO421-AO432-AO443)</f>
        <v>0</v>
      </c>
      <c r="AP451" s="751"/>
      <c r="AQ451" s="751"/>
      <c r="AR451" s="751"/>
      <c r="AS451" s="751"/>
      <c r="AT451" s="770">
        <f>SUVAHAVUJ!$X$13</f>
        <v>407508</v>
      </c>
      <c r="AU451" s="770"/>
      <c r="AV451" s="770"/>
      <c r="AW451" s="770"/>
      <c r="AX451" s="770"/>
    </row>
    <row r="452" spans="1:54" ht="12.6" customHeight="1" x14ac:dyDescent="0.25">
      <c r="A452" s="243" t="s">
        <v>1524</v>
      </c>
      <c r="B452" s="208"/>
      <c r="C452" s="208"/>
      <c r="D452" s="208"/>
      <c r="E452" s="208"/>
      <c r="F452" s="208"/>
      <c r="G452" s="208"/>
      <c r="H452" s="751"/>
      <c r="I452" s="751"/>
      <c r="J452" s="751"/>
      <c r="K452" s="751"/>
      <c r="L452" s="751"/>
      <c r="M452" s="751"/>
      <c r="N452" s="751"/>
      <c r="O452" s="751"/>
      <c r="P452" s="751"/>
      <c r="Q452" s="751"/>
      <c r="R452" s="751"/>
      <c r="S452" s="751"/>
      <c r="T452" s="751"/>
      <c r="U452" s="751"/>
      <c r="V452" s="751"/>
      <c r="W452" s="751"/>
      <c r="X452" s="751"/>
      <c r="Y452" s="751"/>
      <c r="Z452" s="751"/>
      <c r="AA452" s="751"/>
      <c r="AB452" s="751"/>
      <c r="AC452" s="751"/>
      <c r="AD452" s="751"/>
      <c r="AE452" s="751"/>
      <c r="AF452" s="751"/>
      <c r="AG452" s="751"/>
      <c r="AH452" s="751"/>
      <c r="AI452" s="751"/>
      <c r="AJ452" s="751"/>
      <c r="AK452" s="751"/>
      <c r="AL452" s="751"/>
      <c r="AM452" s="751"/>
      <c r="AN452" s="751"/>
      <c r="AO452" s="751"/>
      <c r="AP452" s="751"/>
      <c r="AQ452" s="751"/>
      <c r="AR452" s="751"/>
      <c r="AS452" s="751"/>
      <c r="AT452" s="770"/>
      <c r="AU452" s="770"/>
      <c r="AV452" s="770"/>
      <c r="AW452" s="770"/>
      <c r="AX452" s="770"/>
    </row>
    <row r="453" spans="1:54" ht="12.6" customHeight="1" x14ac:dyDescent="0.25">
      <c r="A453" s="251" t="s">
        <v>1525</v>
      </c>
      <c r="B453" s="247"/>
      <c r="C453" s="247"/>
      <c r="D453" s="247"/>
      <c r="E453" s="247"/>
      <c r="F453" s="247"/>
      <c r="G453" s="247"/>
      <c r="H453" s="751"/>
      <c r="I453" s="751"/>
      <c r="J453" s="751"/>
      <c r="K453" s="751"/>
      <c r="L453" s="751"/>
      <c r="M453" s="751"/>
      <c r="N453" s="751"/>
      <c r="O453" s="751"/>
      <c r="P453" s="751"/>
      <c r="Q453" s="751"/>
      <c r="R453" s="751"/>
      <c r="S453" s="751"/>
      <c r="T453" s="751"/>
      <c r="U453" s="751"/>
      <c r="V453" s="751"/>
      <c r="W453" s="751"/>
      <c r="X453" s="751"/>
      <c r="Y453" s="751"/>
      <c r="Z453" s="751"/>
      <c r="AA453" s="751"/>
      <c r="AB453" s="751"/>
      <c r="AC453" s="751"/>
      <c r="AD453" s="751"/>
      <c r="AE453" s="751"/>
      <c r="AF453" s="751"/>
      <c r="AG453" s="751"/>
      <c r="AH453" s="751"/>
      <c r="AI453" s="751"/>
      <c r="AJ453" s="751"/>
      <c r="AK453" s="751"/>
      <c r="AL453" s="751"/>
      <c r="AM453" s="751"/>
      <c r="AN453" s="751"/>
      <c r="AO453" s="751"/>
      <c r="AP453" s="751"/>
      <c r="AQ453" s="751"/>
      <c r="AR453" s="751"/>
      <c r="AS453" s="751"/>
      <c r="AT453" s="770"/>
      <c r="AU453" s="770"/>
      <c r="AV453" s="770"/>
      <c r="AW453" s="770"/>
      <c r="AX453" s="770"/>
    </row>
    <row r="454" spans="1:54" ht="12.6" customHeight="1" x14ac:dyDescent="0.25">
      <c r="A454" s="227" t="s">
        <v>1482</v>
      </c>
    </row>
    <row r="455" spans="1:54" ht="15" customHeight="1" x14ac:dyDescent="0.25">
      <c r="A455" s="763"/>
      <c r="B455" s="763"/>
      <c r="C455" s="763"/>
      <c r="D455" s="763"/>
      <c r="E455" s="763"/>
      <c r="F455" s="763"/>
      <c r="G455" s="763"/>
      <c r="H455" s="763"/>
      <c r="I455" s="763"/>
      <c r="J455" s="763"/>
      <c r="K455" s="763"/>
      <c r="L455" s="763"/>
      <c r="M455" s="763"/>
      <c r="N455" s="763"/>
      <c r="O455" s="763"/>
      <c r="P455" s="763"/>
      <c r="Q455" s="763"/>
      <c r="R455" s="763"/>
      <c r="S455" s="763"/>
      <c r="T455" s="763"/>
      <c r="U455" s="763"/>
      <c r="V455" s="763"/>
      <c r="W455" s="763"/>
      <c r="X455" s="763"/>
      <c r="Y455" s="763"/>
      <c r="Z455" s="763"/>
      <c r="AA455" s="763"/>
      <c r="AB455" s="763"/>
      <c r="AC455" s="763"/>
      <c r="AD455" s="763"/>
      <c r="AE455" s="763"/>
      <c r="AF455" s="763"/>
      <c r="AG455" s="763"/>
      <c r="AH455" s="763"/>
      <c r="AI455" s="763"/>
      <c r="AJ455" s="763"/>
      <c r="AK455" s="763"/>
      <c r="AL455" s="763"/>
      <c r="AM455" s="763"/>
      <c r="AN455" s="763"/>
      <c r="AO455" s="763"/>
      <c r="AP455" s="763"/>
      <c r="AQ455" s="763"/>
      <c r="AR455" s="763"/>
      <c r="AS455" s="763"/>
      <c r="AT455" s="763"/>
      <c r="AU455" s="763"/>
      <c r="AV455" s="763"/>
      <c r="AW455" s="763"/>
      <c r="AX455" s="763"/>
      <c r="AY455" s="265"/>
      <c r="AZ455" s="265"/>
      <c r="BA455" s="265"/>
      <c r="BB455" s="265"/>
    </row>
    <row r="456" spans="1:54" ht="15" customHeight="1" x14ac:dyDescent="0.25">
      <c r="A456" s="763"/>
      <c r="B456" s="763"/>
      <c r="C456" s="763"/>
      <c r="D456" s="763"/>
      <c r="E456" s="763"/>
      <c r="F456" s="763"/>
      <c r="G456" s="763"/>
      <c r="H456" s="763"/>
      <c r="I456" s="763"/>
      <c r="J456" s="763"/>
      <c r="K456" s="763"/>
      <c r="L456" s="763"/>
      <c r="M456" s="763"/>
      <c r="N456" s="763"/>
      <c r="O456" s="763"/>
      <c r="P456" s="763"/>
      <c r="Q456" s="763"/>
      <c r="R456" s="763"/>
      <c r="S456" s="763"/>
      <c r="T456" s="763"/>
      <c r="U456" s="763"/>
      <c r="V456" s="763"/>
      <c r="W456" s="763"/>
      <c r="X456" s="763"/>
      <c r="Y456" s="763"/>
      <c r="Z456" s="763"/>
      <c r="AA456" s="763"/>
      <c r="AB456" s="763"/>
      <c r="AC456" s="763"/>
      <c r="AD456" s="763"/>
      <c r="AE456" s="763"/>
      <c r="AF456" s="763"/>
      <c r="AG456" s="763"/>
      <c r="AH456" s="763"/>
      <c r="AI456" s="763"/>
      <c r="AJ456" s="763"/>
      <c r="AK456" s="763"/>
      <c r="AL456" s="763"/>
      <c r="AM456" s="763"/>
      <c r="AN456" s="763"/>
      <c r="AO456" s="763"/>
      <c r="AP456" s="763"/>
      <c r="AQ456" s="763"/>
      <c r="AR456" s="763"/>
      <c r="AS456" s="763"/>
      <c r="AT456" s="763"/>
      <c r="AU456" s="763"/>
      <c r="AV456" s="763"/>
      <c r="AW456" s="763"/>
      <c r="AX456" s="763"/>
      <c r="AY456" s="265"/>
      <c r="AZ456" s="265"/>
      <c r="BA456" s="265"/>
      <c r="BB456" s="265"/>
    </row>
    <row r="457" spans="1:54" s="208" customFormat="1" ht="12.6" customHeight="1" x14ac:dyDescent="0.25"/>
    <row r="458" spans="1:54" ht="12.6" customHeight="1" x14ac:dyDescent="0.25">
      <c r="A458" s="227" t="s">
        <v>1527</v>
      </c>
    </row>
    <row r="459" spans="1:54" ht="12.6" customHeight="1" x14ac:dyDescent="0.25">
      <c r="A459" s="706" t="s">
        <v>1528</v>
      </c>
      <c r="B459" s="706"/>
      <c r="C459" s="706"/>
      <c r="D459" s="706"/>
      <c r="E459" s="706"/>
      <c r="F459" s="706"/>
      <c r="G459" s="706"/>
      <c r="H459" s="706"/>
      <c r="I459" s="706"/>
      <c r="J459" s="706"/>
      <c r="K459" s="706"/>
      <c r="L459" s="706"/>
      <c r="M459" s="706"/>
      <c r="N459" s="706"/>
      <c r="O459" s="706"/>
      <c r="P459" s="706"/>
      <c r="Q459" s="706"/>
      <c r="R459" s="706"/>
      <c r="S459" s="706"/>
      <c r="T459" s="706"/>
      <c r="U459" s="706"/>
      <c r="V459" s="706"/>
      <c r="W459" s="706"/>
      <c r="X459" s="706"/>
      <c r="Y459" s="706"/>
      <c r="Z459" s="706"/>
      <c r="AA459" s="706"/>
      <c r="AB459" s="706"/>
      <c r="AC459" s="706"/>
      <c r="AD459" s="706"/>
      <c r="AE459" s="706"/>
      <c r="AF459" s="706"/>
      <c r="AG459" s="706"/>
      <c r="AH459" s="764" t="s">
        <v>1485</v>
      </c>
      <c r="AI459" s="764"/>
      <c r="AJ459" s="764"/>
      <c r="AK459" s="764"/>
      <c r="AL459" s="764"/>
      <c r="AM459" s="764"/>
      <c r="AN459" s="764"/>
      <c r="AO459" s="764"/>
      <c r="AP459" s="764"/>
      <c r="AQ459" s="764"/>
      <c r="AR459" s="764"/>
      <c r="AS459" s="764"/>
      <c r="AT459" s="764"/>
      <c r="AU459" s="764"/>
      <c r="AV459" s="764"/>
      <c r="AW459" s="764"/>
      <c r="AX459" s="764"/>
      <c r="AY459" s="210"/>
      <c r="AZ459" s="211"/>
      <c r="BA459" s="211"/>
      <c r="BB459" s="211"/>
    </row>
    <row r="460" spans="1:54" ht="12.6" customHeight="1" x14ac:dyDescent="0.25">
      <c r="A460" s="706"/>
      <c r="B460" s="706"/>
      <c r="C460" s="706"/>
      <c r="D460" s="706"/>
      <c r="E460" s="706"/>
      <c r="F460" s="706"/>
      <c r="G460" s="706"/>
      <c r="H460" s="706"/>
      <c r="I460" s="706"/>
      <c r="J460" s="706"/>
      <c r="K460" s="706"/>
      <c r="L460" s="706"/>
      <c r="M460" s="706"/>
      <c r="N460" s="706"/>
      <c r="O460" s="706"/>
      <c r="P460" s="706"/>
      <c r="Q460" s="706"/>
      <c r="R460" s="706"/>
      <c r="S460" s="706"/>
      <c r="T460" s="706"/>
      <c r="U460" s="706"/>
      <c r="V460" s="706"/>
      <c r="W460" s="706"/>
      <c r="X460" s="706"/>
      <c r="Y460" s="706"/>
      <c r="Z460" s="706"/>
      <c r="AA460" s="706"/>
      <c r="AB460" s="706"/>
      <c r="AC460" s="706"/>
      <c r="AD460" s="706"/>
      <c r="AE460" s="706"/>
      <c r="AF460" s="706"/>
      <c r="AG460" s="706"/>
      <c r="AH460" s="765" t="s">
        <v>1486</v>
      </c>
      <c r="AI460" s="765"/>
      <c r="AJ460" s="765"/>
      <c r="AK460" s="765"/>
      <c r="AL460" s="765"/>
      <c r="AM460" s="765"/>
      <c r="AN460" s="765"/>
      <c r="AO460" s="765"/>
      <c r="AP460" s="765"/>
      <c r="AQ460" s="765"/>
      <c r="AR460" s="765"/>
      <c r="AS460" s="765"/>
      <c r="AT460" s="765"/>
      <c r="AU460" s="765"/>
      <c r="AV460" s="765"/>
      <c r="AW460" s="765"/>
      <c r="AX460" s="765"/>
      <c r="AY460" s="266"/>
      <c r="AZ460" s="267"/>
      <c r="BA460" s="267"/>
      <c r="BB460" s="267"/>
    </row>
    <row r="461" spans="1:54" ht="12.6" customHeight="1" x14ac:dyDescent="0.25">
      <c r="A461" s="253" t="s">
        <v>1529</v>
      </c>
      <c r="B461" s="246"/>
      <c r="C461" s="246"/>
      <c r="D461" s="246"/>
      <c r="E461" s="246"/>
      <c r="F461" s="246"/>
      <c r="G461" s="246"/>
      <c r="H461" s="246"/>
      <c r="I461" s="246"/>
      <c r="J461" s="246"/>
      <c r="K461" s="246"/>
      <c r="L461" s="246"/>
      <c r="M461" s="246"/>
      <c r="N461" s="246"/>
      <c r="O461" s="246"/>
      <c r="P461" s="246"/>
      <c r="Q461" s="246"/>
      <c r="R461" s="246"/>
      <c r="S461" s="246"/>
      <c r="T461" s="246"/>
      <c r="U461" s="246"/>
      <c r="V461" s="246"/>
      <c r="W461" s="246"/>
      <c r="X461" s="246"/>
      <c r="Y461" s="246"/>
      <c r="Z461" s="246"/>
      <c r="AA461" s="246"/>
      <c r="AB461" s="246"/>
      <c r="AC461" s="246"/>
      <c r="AD461" s="246"/>
      <c r="AE461" s="246"/>
      <c r="AF461" s="246"/>
      <c r="AG461" s="246"/>
      <c r="AH461" s="766"/>
      <c r="AI461" s="766"/>
      <c r="AJ461" s="766"/>
      <c r="AK461" s="766"/>
      <c r="AL461" s="766"/>
      <c r="AM461" s="766"/>
      <c r="AN461" s="766"/>
      <c r="AO461" s="766"/>
      <c r="AP461" s="766"/>
      <c r="AQ461" s="766"/>
      <c r="AR461" s="766"/>
      <c r="AS461" s="766"/>
      <c r="AT461" s="766"/>
      <c r="AU461" s="766"/>
      <c r="AV461" s="766"/>
      <c r="AW461" s="766"/>
      <c r="AX461" s="766"/>
      <c r="AY461" s="212"/>
      <c r="AZ461" s="213"/>
      <c r="BA461" s="213"/>
      <c r="BB461" s="213"/>
    </row>
    <row r="462" spans="1:54" ht="27.75" customHeight="1" x14ac:dyDescent="0.25">
      <c r="A462" s="767" t="s">
        <v>1530</v>
      </c>
      <c r="B462" s="767"/>
      <c r="C462" s="767"/>
      <c r="D462" s="767"/>
      <c r="E462" s="767"/>
      <c r="F462" s="767"/>
      <c r="G462" s="767"/>
      <c r="H462" s="767"/>
      <c r="I462" s="767"/>
      <c r="J462" s="767"/>
      <c r="K462" s="767"/>
      <c r="L462" s="767"/>
      <c r="M462" s="767"/>
      <c r="N462" s="767"/>
      <c r="O462" s="767"/>
      <c r="P462" s="767"/>
      <c r="Q462" s="767"/>
      <c r="R462" s="767"/>
      <c r="S462" s="767"/>
      <c r="T462" s="767"/>
      <c r="U462" s="767"/>
      <c r="V462" s="767"/>
      <c r="W462" s="767"/>
      <c r="X462" s="767"/>
      <c r="Y462" s="767"/>
      <c r="Z462" s="767"/>
      <c r="AA462" s="767"/>
      <c r="AB462" s="767"/>
      <c r="AC462" s="767"/>
      <c r="AD462" s="767"/>
      <c r="AE462" s="767"/>
      <c r="AF462" s="767"/>
      <c r="AG462" s="767"/>
      <c r="AH462" s="766"/>
      <c r="AI462" s="766"/>
      <c r="AJ462" s="766"/>
      <c r="AK462" s="766"/>
      <c r="AL462" s="766"/>
      <c r="AM462" s="766"/>
      <c r="AN462" s="766"/>
      <c r="AO462" s="766"/>
      <c r="AP462" s="766"/>
      <c r="AQ462" s="766"/>
      <c r="AR462" s="766"/>
      <c r="AS462" s="766"/>
      <c r="AT462" s="766"/>
      <c r="AU462" s="766"/>
      <c r="AV462" s="766"/>
      <c r="AW462" s="766"/>
      <c r="AX462" s="766"/>
      <c r="AY462" s="212"/>
      <c r="AZ462" s="213"/>
      <c r="BA462" s="213"/>
      <c r="BB462" s="213"/>
    </row>
    <row r="463" spans="1:54" ht="12.6" customHeight="1" x14ac:dyDescent="0.25">
      <c r="A463" s="244" t="s">
        <v>1344</v>
      </c>
      <c r="B463" s="208"/>
      <c r="C463" s="208"/>
      <c r="D463" s="208"/>
      <c r="E463" s="208"/>
      <c r="F463" s="208"/>
      <c r="G463" s="208"/>
      <c r="H463" s="208"/>
      <c r="I463" s="208"/>
      <c r="J463" s="208"/>
      <c r="K463" s="208"/>
      <c r="L463" s="208"/>
      <c r="M463" s="208"/>
      <c r="N463" s="208"/>
      <c r="O463" s="208"/>
      <c r="P463" s="208"/>
      <c r="Q463" s="208"/>
      <c r="R463" s="208"/>
      <c r="S463" s="208"/>
      <c r="T463" s="208"/>
      <c r="U463" s="208"/>
      <c r="V463" s="208"/>
      <c r="W463" s="208"/>
      <c r="X463" s="208"/>
      <c r="Y463" s="208"/>
      <c r="Z463" s="208"/>
      <c r="AA463" s="208"/>
      <c r="AB463" s="208"/>
      <c r="AC463" s="208"/>
      <c r="AD463" s="208"/>
      <c r="AE463" s="208"/>
      <c r="AF463" s="208"/>
      <c r="AG463" s="208"/>
      <c r="AH463" s="213"/>
      <c r="AI463" s="213"/>
      <c r="AJ463" s="213"/>
      <c r="AK463" s="213"/>
      <c r="AL463" s="213"/>
      <c r="AM463" s="213"/>
      <c r="AN463" s="213"/>
      <c r="AO463" s="213"/>
      <c r="AP463" s="213"/>
      <c r="AQ463" s="213"/>
      <c r="AR463" s="213"/>
      <c r="AS463" s="213"/>
      <c r="AT463" s="213"/>
      <c r="AU463" s="213"/>
      <c r="AV463" s="213"/>
      <c r="AW463" s="213"/>
      <c r="AX463" s="213"/>
      <c r="AY463" s="213"/>
      <c r="AZ463" s="213"/>
      <c r="BA463" s="213"/>
      <c r="BB463" s="213"/>
    </row>
    <row r="464" spans="1:54" ht="15" customHeight="1" x14ac:dyDescent="0.25">
      <c r="A464" s="763"/>
      <c r="B464" s="763"/>
      <c r="C464" s="763"/>
      <c r="D464" s="763"/>
      <c r="E464" s="763"/>
      <c r="F464" s="763"/>
      <c r="G464" s="763"/>
      <c r="H464" s="763"/>
      <c r="I464" s="763"/>
      <c r="J464" s="763"/>
      <c r="K464" s="763"/>
      <c r="L464" s="763"/>
      <c r="M464" s="763"/>
      <c r="N464" s="763"/>
      <c r="O464" s="763"/>
      <c r="P464" s="763"/>
      <c r="Q464" s="763"/>
      <c r="R464" s="763"/>
      <c r="S464" s="763"/>
      <c r="T464" s="763"/>
      <c r="U464" s="763"/>
      <c r="V464" s="763"/>
      <c r="W464" s="763"/>
      <c r="X464" s="763"/>
      <c r="Y464" s="763"/>
      <c r="Z464" s="763"/>
      <c r="AA464" s="763"/>
      <c r="AB464" s="763"/>
      <c r="AC464" s="763"/>
      <c r="AD464" s="763"/>
      <c r="AE464" s="763"/>
      <c r="AF464" s="763"/>
      <c r="AG464" s="763"/>
      <c r="AH464" s="763"/>
      <c r="AI464" s="763"/>
      <c r="AJ464" s="763"/>
      <c r="AK464" s="763"/>
      <c r="AL464" s="763"/>
      <c r="AM464" s="763"/>
      <c r="AN464" s="763"/>
      <c r="AO464" s="763"/>
      <c r="AP464" s="763"/>
      <c r="AQ464" s="763"/>
      <c r="AR464" s="763"/>
      <c r="AS464" s="763"/>
      <c r="AT464" s="763"/>
      <c r="AU464" s="763"/>
      <c r="AV464" s="763"/>
      <c r="AW464" s="763"/>
      <c r="AX464" s="763"/>
      <c r="AY464" s="265"/>
      <c r="AZ464" s="265"/>
      <c r="BA464" s="265"/>
      <c r="BB464" s="265"/>
    </row>
    <row r="465" spans="1:100" ht="15" customHeight="1" x14ac:dyDescent="0.25">
      <c r="A465" s="763"/>
      <c r="B465" s="763"/>
      <c r="C465" s="763"/>
      <c r="D465" s="763"/>
      <c r="E465" s="763"/>
      <c r="F465" s="763"/>
      <c r="G465" s="763"/>
      <c r="H465" s="763"/>
      <c r="I465" s="763"/>
      <c r="J465" s="763"/>
      <c r="K465" s="763"/>
      <c r="L465" s="763"/>
      <c r="M465" s="763"/>
      <c r="N465" s="763"/>
      <c r="O465" s="763"/>
      <c r="P465" s="763"/>
      <c r="Q465" s="763"/>
      <c r="R465" s="763"/>
      <c r="S465" s="763"/>
      <c r="T465" s="763"/>
      <c r="U465" s="763"/>
      <c r="V465" s="763"/>
      <c r="W465" s="763"/>
      <c r="X465" s="763"/>
      <c r="Y465" s="763"/>
      <c r="Z465" s="763"/>
      <c r="AA465" s="763"/>
      <c r="AB465" s="763"/>
      <c r="AC465" s="763"/>
      <c r="AD465" s="763"/>
      <c r="AE465" s="763"/>
      <c r="AF465" s="763"/>
      <c r="AG465" s="763"/>
      <c r="AH465" s="763"/>
      <c r="AI465" s="763"/>
      <c r="AJ465" s="763"/>
      <c r="AK465" s="763"/>
      <c r="AL465" s="763"/>
      <c r="AM465" s="763"/>
      <c r="AN465" s="763"/>
      <c r="AO465" s="763"/>
      <c r="AP465" s="763"/>
      <c r="AQ465" s="763"/>
      <c r="AR465" s="763"/>
      <c r="AS465" s="763"/>
      <c r="AT465" s="763"/>
      <c r="AU465" s="763"/>
      <c r="AV465" s="763"/>
      <c r="AW465" s="763"/>
      <c r="AX465" s="763"/>
      <c r="AY465" s="265"/>
      <c r="AZ465" s="265"/>
      <c r="BA465" s="265"/>
      <c r="BB465" s="265"/>
    </row>
    <row r="466" spans="1:100" ht="12.6" customHeight="1" x14ac:dyDescent="0.25">
      <c r="A466" s="227" t="s">
        <v>1531</v>
      </c>
    </row>
    <row r="467" spans="1:100" ht="12.6" customHeight="1" x14ac:dyDescent="0.25">
      <c r="A467" s="29" t="s">
        <v>1316</v>
      </c>
    </row>
    <row r="468" spans="1:100" ht="12.6" customHeight="1" x14ac:dyDescent="0.25">
      <c r="A468" s="275"/>
      <c r="B468" s="276"/>
      <c r="C468" s="276"/>
      <c r="D468" s="276"/>
      <c r="E468" s="276"/>
      <c r="F468" s="772" t="s">
        <v>1288</v>
      </c>
      <c r="G468" s="772"/>
      <c r="H468" s="772"/>
      <c r="I468" s="772"/>
      <c r="J468" s="772"/>
      <c r="K468" s="772"/>
      <c r="L468" s="772"/>
      <c r="M468" s="772"/>
      <c r="N468" s="772"/>
      <c r="O468" s="772"/>
      <c r="P468" s="772"/>
      <c r="Q468" s="772"/>
      <c r="R468" s="772"/>
      <c r="S468" s="772"/>
      <c r="T468" s="772"/>
      <c r="U468" s="772"/>
      <c r="V468" s="772"/>
      <c r="W468" s="772"/>
      <c r="X468" s="772"/>
      <c r="Y468" s="772"/>
      <c r="Z468" s="772"/>
      <c r="AA468" s="772"/>
      <c r="AB468" s="772"/>
      <c r="AC468" s="772"/>
      <c r="AD468" s="772"/>
      <c r="AE468" s="772"/>
      <c r="AF468" s="772"/>
      <c r="AG468" s="772"/>
      <c r="AH468" s="772"/>
      <c r="AI468" s="772"/>
      <c r="AJ468" s="772"/>
      <c r="AK468" s="772"/>
      <c r="AL468" s="772"/>
      <c r="AM468" s="772"/>
      <c r="AN468" s="772"/>
      <c r="AO468" s="772"/>
      <c r="AP468" s="772"/>
      <c r="AQ468" s="772"/>
      <c r="AR468" s="772"/>
      <c r="AS468" s="772"/>
      <c r="AT468" s="772"/>
      <c r="AU468" s="772"/>
      <c r="AV468" s="772"/>
      <c r="AW468" s="772"/>
      <c r="AX468" s="772"/>
      <c r="AY468" s="772"/>
      <c r="AZ468" s="277"/>
      <c r="BA468" s="277"/>
      <c r="BB468" s="277"/>
      <c r="BC468" s="277"/>
      <c r="BD468" s="277"/>
      <c r="BE468" s="277"/>
      <c r="BF468" s="277"/>
      <c r="BG468" s="29"/>
      <c r="BH468" s="29"/>
      <c r="BI468" s="29"/>
      <c r="BJ468" s="29"/>
      <c r="BK468" s="29"/>
      <c r="BL468" s="29"/>
      <c r="BM468" s="29"/>
      <c r="BN468" s="29"/>
      <c r="BO468" s="29"/>
      <c r="BP468" s="29"/>
      <c r="BQ468" s="29"/>
      <c r="BR468" s="29"/>
      <c r="BS468" s="29"/>
      <c r="BT468" s="29"/>
      <c r="BU468" s="29"/>
      <c r="BV468" s="29"/>
      <c r="BW468" s="29"/>
      <c r="BX468" s="29"/>
      <c r="BY468" s="29"/>
      <c r="BZ468" s="29"/>
      <c r="CA468" s="29"/>
      <c r="CB468" s="29"/>
      <c r="CC468" s="29"/>
      <c r="CD468" s="29"/>
      <c r="CE468" s="29"/>
      <c r="CF468" s="29"/>
      <c r="CG468" s="29"/>
      <c r="CH468" s="29"/>
      <c r="CI468" s="29"/>
      <c r="CJ468" s="29"/>
      <c r="CK468" s="29"/>
      <c r="CL468" s="29"/>
      <c r="CM468" s="29"/>
      <c r="CN468" s="29"/>
      <c r="CO468" s="29"/>
      <c r="CP468" s="29"/>
      <c r="CQ468" s="29"/>
      <c r="CR468" s="29"/>
      <c r="CS468" s="29"/>
      <c r="CT468" s="29"/>
      <c r="CU468" s="29"/>
      <c r="CV468" s="29"/>
    </row>
    <row r="469" spans="1:100" ht="12.6" customHeight="1" x14ac:dyDescent="0.25">
      <c r="A469" s="278"/>
      <c r="B469" s="279"/>
      <c r="C469" s="279"/>
      <c r="D469" s="279"/>
      <c r="E469" s="279"/>
      <c r="F469" s="773" t="s">
        <v>1532</v>
      </c>
      <c r="G469" s="773"/>
      <c r="H469" s="773"/>
      <c r="I469" s="774" t="s">
        <v>1533</v>
      </c>
      <c r="J469" s="774"/>
      <c r="K469" s="774"/>
      <c r="L469" s="774"/>
      <c r="M469" s="774" t="s">
        <v>1534</v>
      </c>
      <c r="N469" s="774"/>
      <c r="O469" s="774"/>
      <c r="P469" s="774"/>
      <c r="Q469" s="774" t="s">
        <v>1535</v>
      </c>
      <c r="R469" s="774"/>
      <c r="S469" s="774"/>
      <c r="T469" s="774"/>
      <c r="U469" s="774" t="s">
        <v>1536</v>
      </c>
      <c r="V469" s="774"/>
      <c r="W469" s="774"/>
      <c r="X469" s="774"/>
      <c r="Y469" s="774" t="s">
        <v>1537</v>
      </c>
      <c r="Z469" s="774"/>
      <c r="AA469" s="774"/>
      <c r="AB469" s="774"/>
      <c r="AC469" s="774" t="s">
        <v>1538</v>
      </c>
      <c r="AD469" s="774"/>
      <c r="AE469" s="774"/>
      <c r="AF469" s="774"/>
      <c r="AG469" s="774" t="s">
        <v>1539</v>
      </c>
      <c r="AH469" s="774"/>
      <c r="AI469" s="774"/>
      <c r="AJ469" s="774"/>
      <c r="AK469" s="774" t="s">
        <v>1540</v>
      </c>
      <c r="AL469" s="774"/>
      <c r="AM469" s="774"/>
      <c r="AN469" s="774"/>
      <c r="AO469" s="774" t="s">
        <v>1541</v>
      </c>
      <c r="AP469" s="774"/>
      <c r="AQ469" s="774"/>
      <c r="AR469" s="774"/>
      <c r="AS469" s="774" t="s">
        <v>1542</v>
      </c>
      <c r="AT469" s="774"/>
      <c r="AU469" s="774"/>
      <c r="AV469" s="774"/>
      <c r="AW469" s="775" t="s">
        <v>1328</v>
      </c>
      <c r="AX469" s="775"/>
      <c r="AY469" s="775"/>
      <c r="AZ469" s="280"/>
      <c r="BA469" s="776"/>
      <c r="BB469" s="776"/>
      <c r="BC469" s="776"/>
      <c r="BD469" s="776"/>
      <c r="BE469" s="776"/>
    </row>
    <row r="470" spans="1:100" ht="12.6" customHeight="1" x14ac:dyDescent="0.25">
      <c r="A470" s="278"/>
      <c r="B470" s="279"/>
      <c r="C470" s="279"/>
      <c r="D470" s="279"/>
      <c r="E470" s="279"/>
      <c r="F470" s="773"/>
      <c r="G470" s="773"/>
      <c r="H470" s="773"/>
      <c r="I470" s="774"/>
      <c r="J470" s="774"/>
      <c r="K470" s="774"/>
      <c r="L470" s="774"/>
      <c r="M470" s="774"/>
      <c r="N470" s="774"/>
      <c r="O470" s="774"/>
      <c r="P470" s="774"/>
      <c r="Q470" s="774"/>
      <c r="R470" s="774"/>
      <c r="S470" s="774"/>
      <c r="T470" s="774"/>
      <c r="U470" s="774"/>
      <c r="V470" s="774"/>
      <c r="W470" s="774"/>
      <c r="X470" s="774"/>
      <c r="Y470" s="774"/>
      <c r="Z470" s="774"/>
      <c r="AA470" s="774"/>
      <c r="AB470" s="774"/>
      <c r="AC470" s="774"/>
      <c r="AD470" s="774"/>
      <c r="AE470" s="774"/>
      <c r="AF470" s="774"/>
      <c r="AG470" s="774"/>
      <c r="AH470" s="774"/>
      <c r="AI470" s="774"/>
      <c r="AJ470" s="774"/>
      <c r="AK470" s="774"/>
      <c r="AL470" s="774"/>
      <c r="AM470" s="774"/>
      <c r="AN470" s="774"/>
      <c r="AO470" s="774"/>
      <c r="AP470" s="774"/>
      <c r="AQ470" s="774"/>
      <c r="AR470" s="774"/>
      <c r="AS470" s="774"/>
      <c r="AT470" s="774"/>
      <c r="AU470" s="774"/>
      <c r="AV470" s="774"/>
      <c r="AW470" s="775"/>
      <c r="AX470" s="775"/>
      <c r="AY470" s="775"/>
      <c r="AZ470" s="280"/>
      <c r="BA470" s="776"/>
      <c r="BB470" s="776"/>
      <c r="BC470" s="776"/>
      <c r="BD470" s="776"/>
      <c r="BE470" s="776"/>
    </row>
    <row r="471" spans="1:100" ht="12.6" customHeight="1" x14ac:dyDescent="0.25">
      <c r="A471" s="777" t="s">
        <v>1493</v>
      </c>
      <c r="B471" s="777"/>
      <c r="C471" s="777"/>
      <c r="D471" s="777"/>
      <c r="E471" s="777"/>
      <c r="F471" s="773"/>
      <c r="G471" s="773"/>
      <c r="H471" s="773"/>
      <c r="I471" s="774"/>
      <c r="J471" s="774"/>
      <c r="K471" s="774"/>
      <c r="L471" s="774"/>
      <c r="M471" s="774"/>
      <c r="N471" s="774"/>
      <c r="O471" s="774"/>
      <c r="P471" s="774"/>
      <c r="Q471" s="774"/>
      <c r="R471" s="774"/>
      <c r="S471" s="774"/>
      <c r="T471" s="774"/>
      <c r="U471" s="774"/>
      <c r="V471" s="774"/>
      <c r="W471" s="774"/>
      <c r="X471" s="774"/>
      <c r="Y471" s="774"/>
      <c r="Z471" s="774"/>
      <c r="AA471" s="774"/>
      <c r="AB471" s="774"/>
      <c r="AC471" s="774"/>
      <c r="AD471" s="774"/>
      <c r="AE471" s="774"/>
      <c r="AF471" s="774"/>
      <c r="AG471" s="774"/>
      <c r="AH471" s="774"/>
      <c r="AI471" s="774"/>
      <c r="AJ471" s="774"/>
      <c r="AK471" s="774"/>
      <c r="AL471" s="774"/>
      <c r="AM471" s="774"/>
      <c r="AN471" s="774"/>
      <c r="AO471" s="774"/>
      <c r="AP471" s="774"/>
      <c r="AQ471" s="774"/>
      <c r="AR471" s="774"/>
      <c r="AS471" s="774"/>
      <c r="AT471" s="774"/>
      <c r="AU471" s="774"/>
      <c r="AV471" s="774"/>
      <c r="AW471" s="775"/>
      <c r="AX471" s="775"/>
      <c r="AY471" s="775"/>
      <c r="AZ471" s="280"/>
      <c r="BA471" s="776"/>
      <c r="BB471" s="776"/>
      <c r="BC471" s="776"/>
      <c r="BD471" s="776"/>
      <c r="BE471" s="776"/>
    </row>
    <row r="472" spans="1:100" ht="12.6" customHeight="1" x14ac:dyDescent="0.25">
      <c r="A472" s="777" t="s">
        <v>1543</v>
      </c>
      <c r="B472" s="777"/>
      <c r="C472" s="777"/>
      <c r="D472" s="777"/>
      <c r="E472" s="777"/>
      <c r="F472" s="773"/>
      <c r="G472" s="773"/>
      <c r="H472" s="773"/>
      <c r="I472" s="774"/>
      <c r="J472" s="774"/>
      <c r="K472" s="774"/>
      <c r="L472" s="774"/>
      <c r="M472" s="774"/>
      <c r="N472" s="774"/>
      <c r="O472" s="774"/>
      <c r="P472" s="774"/>
      <c r="Q472" s="774"/>
      <c r="R472" s="774"/>
      <c r="S472" s="774"/>
      <c r="T472" s="774"/>
      <c r="U472" s="774"/>
      <c r="V472" s="774"/>
      <c r="W472" s="774"/>
      <c r="X472" s="774"/>
      <c r="Y472" s="774"/>
      <c r="Z472" s="774"/>
      <c r="AA472" s="774"/>
      <c r="AB472" s="774"/>
      <c r="AC472" s="774"/>
      <c r="AD472" s="774"/>
      <c r="AE472" s="774"/>
      <c r="AF472" s="774"/>
      <c r="AG472" s="774"/>
      <c r="AH472" s="774"/>
      <c r="AI472" s="774"/>
      <c r="AJ472" s="774"/>
      <c r="AK472" s="774"/>
      <c r="AL472" s="774"/>
      <c r="AM472" s="774"/>
      <c r="AN472" s="774"/>
      <c r="AO472" s="774"/>
      <c r="AP472" s="774"/>
      <c r="AQ472" s="774"/>
      <c r="AR472" s="774"/>
      <c r="AS472" s="774"/>
      <c r="AT472" s="774"/>
      <c r="AU472" s="774"/>
      <c r="AV472" s="774"/>
      <c r="AW472" s="775"/>
      <c r="AX472" s="775"/>
      <c r="AY472" s="775"/>
      <c r="AZ472" s="280"/>
      <c r="BA472" s="776"/>
      <c r="BB472" s="776"/>
      <c r="BC472" s="776"/>
      <c r="BD472" s="776"/>
      <c r="BE472" s="776"/>
    </row>
    <row r="473" spans="1:100" ht="12.6" customHeight="1" x14ac:dyDescent="0.25">
      <c r="A473" s="777" t="s">
        <v>1462</v>
      </c>
      <c r="B473" s="777"/>
      <c r="C473" s="777"/>
      <c r="D473" s="777"/>
      <c r="E473" s="777"/>
      <c r="F473" s="773"/>
      <c r="G473" s="773"/>
      <c r="H473" s="773"/>
      <c r="I473" s="774"/>
      <c r="J473" s="774"/>
      <c r="K473" s="774"/>
      <c r="L473" s="774"/>
      <c r="M473" s="774"/>
      <c r="N473" s="774"/>
      <c r="O473" s="774"/>
      <c r="P473" s="774"/>
      <c r="Q473" s="774"/>
      <c r="R473" s="774"/>
      <c r="S473" s="774"/>
      <c r="T473" s="774"/>
      <c r="U473" s="774"/>
      <c r="V473" s="774"/>
      <c r="W473" s="774"/>
      <c r="X473" s="774"/>
      <c r="Y473" s="774"/>
      <c r="Z473" s="774"/>
      <c r="AA473" s="774"/>
      <c r="AB473" s="774"/>
      <c r="AC473" s="774"/>
      <c r="AD473" s="774"/>
      <c r="AE473" s="774"/>
      <c r="AF473" s="774"/>
      <c r="AG473" s="774"/>
      <c r="AH473" s="774"/>
      <c r="AI473" s="774"/>
      <c r="AJ473" s="774"/>
      <c r="AK473" s="774"/>
      <c r="AL473" s="774"/>
      <c r="AM473" s="774"/>
      <c r="AN473" s="774"/>
      <c r="AO473" s="774"/>
      <c r="AP473" s="774"/>
      <c r="AQ473" s="774"/>
      <c r="AR473" s="774"/>
      <c r="AS473" s="774"/>
      <c r="AT473" s="774"/>
      <c r="AU473" s="774"/>
      <c r="AV473" s="774"/>
      <c r="AW473" s="775"/>
      <c r="AX473" s="775"/>
      <c r="AY473" s="775"/>
      <c r="AZ473" s="280"/>
      <c r="BA473" s="776"/>
      <c r="BB473" s="776"/>
      <c r="BC473" s="776"/>
      <c r="BD473" s="776"/>
      <c r="BE473" s="776"/>
    </row>
    <row r="474" spans="1:100" ht="12.6" customHeight="1" x14ac:dyDescent="0.25">
      <c r="A474" s="278"/>
      <c r="B474" s="279"/>
      <c r="C474" s="279"/>
      <c r="D474" s="279"/>
      <c r="E474" s="279"/>
      <c r="F474" s="773"/>
      <c r="G474" s="773"/>
      <c r="H474" s="773"/>
      <c r="I474" s="774"/>
      <c r="J474" s="774"/>
      <c r="K474" s="774"/>
      <c r="L474" s="774"/>
      <c r="M474" s="774"/>
      <c r="N474" s="774"/>
      <c r="O474" s="774"/>
      <c r="P474" s="774"/>
      <c r="Q474" s="774"/>
      <c r="R474" s="774"/>
      <c r="S474" s="774"/>
      <c r="T474" s="774"/>
      <c r="U474" s="774"/>
      <c r="V474" s="774"/>
      <c r="W474" s="774"/>
      <c r="X474" s="774"/>
      <c r="Y474" s="774"/>
      <c r="Z474" s="774"/>
      <c r="AA474" s="774"/>
      <c r="AB474" s="774"/>
      <c r="AC474" s="774"/>
      <c r="AD474" s="774"/>
      <c r="AE474" s="774"/>
      <c r="AF474" s="774"/>
      <c r="AG474" s="774"/>
      <c r="AH474" s="774"/>
      <c r="AI474" s="774"/>
      <c r="AJ474" s="774"/>
      <c r="AK474" s="774"/>
      <c r="AL474" s="774"/>
      <c r="AM474" s="774"/>
      <c r="AN474" s="774"/>
      <c r="AO474" s="774"/>
      <c r="AP474" s="774"/>
      <c r="AQ474" s="774"/>
      <c r="AR474" s="774"/>
      <c r="AS474" s="774"/>
      <c r="AT474" s="774"/>
      <c r="AU474" s="774"/>
      <c r="AV474" s="774"/>
      <c r="AW474" s="775"/>
      <c r="AX474" s="775"/>
      <c r="AY474" s="775"/>
      <c r="AZ474" s="280"/>
      <c r="BA474" s="776"/>
      <c r="BB474" s="776"/>
      <c r="BC474" s="776"/>
      <c r="BD474" s="776"/>
      <c r="BE474" s="776"/>
    </row>
    <row r="475" spans="1:100" ht="12.6" customHeight="1" x14ac:dyDescent="0.25">
      <c r="A475" s="278"/>
      <c r="B475" s="279"/>
      <c r="C475" s="279"/>
      <c r="D475" s="279"/>
      <c r="E475" s="279"/>
      <c r="F475" s="773"/>
      <c r="G475" s="773"/>
      <c r="H475" s="773"/>
      <c r="I475" s="774"/>
      <c r="J475" s="774"/>
      <c r="K475" s="774"/>
      <c r="L475" s="774"/>
      <c r="M475" s="774"/>
      <c r="N475" s="774"/>
      <c r="O475" s="774"/>
      <c r="P475" s="774"/>
      <c r="Q475" s="774"/>
      <c r="R475" s="774"/>
      <c r="S475" s="774"/>
      <c r="T475" s="774"/>
      <c r="U475" s="774"/>
      <c r="V475" s="774"/>
      <c r="W475" s="774"/>
      <c r="X475" s="774"/>
      <c r="Y475" s="774"/>
      <c r="Z475" s="774"/>
      <c r="AA475" s="774"/>
      <c r="AB475" s="774"/>
      <c r="AC475" s="774"/>
      <c r="AD475" s="774"/>
      <c r="AE475" s="774"/>
      <c r="AF475" s="774"/>
      <c r="AG475" s="774"/>
      <c r="AH475" s="774"/>
      <c r="AI475" s="774"/>
      <c r="AJ475" s="774"/>
      <c r="AK475" s="774"/>
      <c r="AL475" s="774"/>
      <c r="AM475" s="774"/>
      <c r="AN475" s="774"/>
      <c r="AO475" s="774"/>
      <c r="AP475" s="774"/>
      <c r="AQ475" s="774"/>
      <c r="AR475" s="774"/>
      <c r="AS475" s="774"/>
      <c r="AT475" s="774"/>
      <c r="AU475" s="774"/>
      <c r="AV475" s="774"/>
      <c r="AW475" s="775"/>
      <c r="AX475" s="775"/>
      <c r="AY475" s="775"/>
      <c r="AZ475" s="280"/>
      <c r="BA475" s="776"/>
      <c r="BB475" s="776"/>
      <c r="BC475" s="776"/>
      <c r="BD475" s="776"/>
      <c r="BE475" s="776"/>
    </row>
    <row r="476" spans="1:100" ht="12.6" customHeight="1" x14ac:dyDescent="0.25">
      <c r="A476" s="278"/>
      <c r="B476" s="279"/>
      <c r="C476" s="279"/>
      <c r="D476" s="279"/>
      <c r="E476" s="279"/>
      <c r="F476" s="773"/>
      <c r="G476" s="773"/>
      <c r="H476" s="773"/>
      <c r="I476" s="774"/>
      <c r="J476" s="774"/>
      <c r="K476" s="774"/>
      <c r="L476" s="774"/>
      <c r="M476" s="774"/>
      <c r="N476" s="774"/>
      <c r="O476" s="774"/>
      <c r="P476" s="774"/>
      <c r="Q476" s="774"/>
      <c r="R476" s="774"/>
      <c r="S476" s="774"/>
      <c r="T476" s="774"/>
      <c r="U476" s="774"/>
      <c r="V476" s="774"/>
      <c r="W476" s="774"/>
      <c r="X476" s="774"/>
      <c r="Y476" s="774"/>
      <c r="Z476" s="774"/>
      <c r="AA476" s="774"/>
      <c r="AB476" s="774"/>
      <c r="AC476" s="774"/>
      <c r="AD476" s="774"/>
      <c r="AE476" s="774"/>
      <c r="AF476" s="774"/>
      <c r="AG476" s="774"/>
      <c r="AH476" s="774"/>
      <c r="AI476" s="774"/>
      <c r="AJ476" s="774"/>
      <c r="AK476" s="774"/>
      <c r="AL476" s="774"/>
      <c r="AM476" s="774"/>
      <c r="AN476" s="774"/>
      <c r="AO476" s="774"/>
      <c r="AP476" s="774"/>
      <c r="AQ476" s="774"/>
      <c r="AR476" s="774"/>
      <c r="AS476" s="774"/>
      <c r="AT476" s="774"/>
      <c r="AU476" s="774"/>
      <c r="AV476" s="774"/>
      <c r="AW476" s="775"/>
      <c r="AX476" s="775"/>
      <c r="AY476" s="775"/>
      <c r="AZ476" s="280"/>
      <c r="BA476" s="776"/>
      <c r="BB476" s="776"/>
      <c r="BC476" s="776"/>
      <c r="BD476" s="776"/>
      <c r="BE476" s="776"/>
    </row>
    <row r="477" spans="1:100" ht="19.5" customHeight="1" x14ac:dyDescent="0.25">
      <c r="A477" s="278"/>
      <c r="B477" s="279"/>
      <c r="C477" s="279"/>
      <c r="D477" s="279"/>
      <c r="E477" s="279"/>
      <c r="F477" s="773"/>
      <c r="G477" s="773"/>
      <c r="H477" s="773"/>
      <c r="I477" s="774"/>
      <c r="J477" s="774"/>
      <c r="K477" s="774"/>
      <c r="L477" s="774"/>
      <c r="M477" s="774"/>
      <c r="N477" s="774"/>
      <c r="O477" s="774"/>
      <c r="P477" s="774"/>
      <c r="Q477" s="774"/>
      <c r="R477" s="774"/>
      <c r="S477" s="774"/>
      <c r="T477" s="774"/>
      <c r="U477" s="774"/>
      <c r="V477" s="774"/>
      <c r="W477" s="774"/>
      <c r="X477" s="774"/>
      <c r="Y477" s="774"/>
      <c r="Z477" s="774"/>
      <c r="AA477" s="774"/>
      <c r="AB477" s="774"/>
      <c r="AC477" s="774"/>
      <c r="AD477" s="774"/>
      <c r="AE477" s="774"/>
      <c r="AF477" s="774"/>
      <c r="AG477" s="774"/>
      <c r="AH477" s="774"/>
      <c r="AI477" s="774"/>
      <c r="AJ477" s="774"/>
      <c r="AK477" s="774"/>
      <c r="AL477" s="774"/>
      <c r="AM477" s="774"/>
      <c r="AN477" s="774"/>
      <c r="AO477" s="774"/>
      <c r="AP477" s="774"/>
      <c r="AQ477" s="774"/>
      <c r="AR477" s="774"/>
      <c r="AS477" s="774"/>
      <c r="AT477" s="774"/>
      <c r="AU477" s="774"/>
      <c r="AV477" s="774"/>
      <c r="AW477" s="775"/>
      <c r="AX477" s="775"/>
      <c r="AY477" s="775"/>
      <c r="AZ477" s="280"/>
      <c r="BA477" s="776"/>
      <c r="BB477" s="776"/>
      <c r="BC477" s="776"/>
      <c r="BD477" s="776"/>
      <c r="BE477" s="776"/>
    </row>
    <row r="478" spans="1:100" ht="12.6" customHeight="1" x14ac:dyDescent="0.25">
      <c r="A478" s="749" t="s">
        <v>1323</v>
      </c>
      <c r="B478" s="749"/>
      <c r="C478" s="749"/>
      <c r="D478" s="749"/>
      <c r="E478" s="749"/>
      <c r="F478" s="778" t="s">
        <v>1324</v>
      </c>
      <c r="G478" s="778"/>
      <c r="H478" s="778"/>
      <c r="I478" s="750" t="s">
        <v>1325</v>
      </c>
      <c r="J478" s="750"/>
      <c r="K478" s="750"/>
      <c r="L478" s="750"/>
      <c r="M478" s="750" t="s">
        <v>1326</v>
      </c>
      <c r="N478" s="750"/>
      <c r="O478" s="750"/>
      <c r="P478" s="750"/>
      <c r="Q478" s="750" t="s">
        <v>1327</v>
      </c>
      <c r="R478" s="750"/>
      <c r="S478" s="750"/>
      <c r="T478" s="750"/>
      <c r="U478" s="750" t="s">
        <v>1333</v>
      </c>
      <c r="V478" s="750"/>
      <c r="W478" s="750"/>
      <c r="X478" s="750"/>
      <c r="Y478" s="750" t="s">
        <v>1468</v>
      </c>
      <c r="Z478" s="750"/>
      <c r="AA478" s="750"/>
      <c r="AB478" s="750"/>
      <c r="AC478" s="750" t="s">
        <v>1469</v>
      </c>
      <c r="AD478" s="750"/>
      <c r="AE478" s="750"/>
      <c r="AF478" s="750"/>
      <c r="AG478" s="750" t="s">
        <v>1470</v>
      </c>
      <c r="AH478" s="750"/>
      <c r="AI478" s="750"/>
      <c r="AJ478" s="750"/>
      <c r="AK478" s="750" t="s">
        <v>1521</v>
      </c>
      <c r="AL478" s="750"/>
      <c r="AM478" s="750"/>
      <c r="AN478" s="750"/>
      <c r="AO478" s="750" t="s">
        <v>1544</v>
      </c>
      <c r="AP478" s="750"/>
      <c r="AQ478" s="750"/>
      <c r="AR478" s="750"/>
      <c r="AS478" s="750" t="s">
        <v>1545</v>
      </c>
      <c r="AT478" s="750"/>
      <c r="AU478" s="750"/>
      <c r="AV478" s="750"/>
      <c r="AW478" s="750" t="s">
        <v>1546</v>
      </c>
      <c r="AX478" s="750"/>
      <c r="AY478" s="750"/>
      <c r="AZ478" s="211"/>
      <c r="BA478" s="779"/>
      <c r="BB478" s="779"/>
      <c r="BC478" s="779"/>
      <c r="BD478" s="779"/>
      <c r="BE478" s="779"/>
    </row>
    <row r="479" spans="1:100" ht="12.6" customHeight="1" x14ac:dyDescent="0.25">
      <c r="A479" s="208" t="s">
        <v>1471</v>
      </c>
      <c r="B479" s="208"/>
      <c r="C479" s="208"/>
      <c r="D479" s="208"/>
      <c r="E479" s="208"/>
      <c r="F479" s="236"/>
      <c r="G479" s="236"/>
      <c r="H479" s="236"/>
      <c r="I479" s="208"/>
      <c r="J479" s="208"/>
      <c r="K479" s="208"/>
      <c r="L479" s="208"/>
      <c r="M479" s="208"/>
      <c r="N479" s="208"/>
      <c r="O479" s="208"/>
      <c r="P479" s="208"/>
      <c r="Q479" s="208"/>
      <c r="R479" s="208"/>
      <c r="S479" s="208"/>
      <c r="T479" s="208"/>
      <c r="U479" s="208"/>
      <c r="V479" s="208"/>
      <c r="W479" s="208"/>
      <c r="X479" s="208"/>
      <c r="Y479" s="208"/>
      <c r="Z479" s="208"/>
      <c r="AA479" s="208"/>
      <c r="AB479" s="208"/>
      <c r="AC479" s="208"/>
      <c r="AD479" s="208"/>
      <c r="AE479" s="208"/>
      <c r="AF479" s="208"/>
      <c r="AG479" s="208"/>
      <c r="AH479" s="208"/>
      <c r="AI479" s="208"/>
      <c r="AJ479" s="208"/>
      <c r="AK479" s="208"/>
      <c r="AL479" s="208"/>
      <c r="AM479" s="208"/>
      <c r="AN479" s="208"/>
      <c r="AO479" s="208"/>
      <c r="AP479" s="208"/>
      <c r="AQ479" s="208"/>
      <c r="AR479" s="208"/>
      <c r="AS479" s="208"/>
      <c r="AT479" s="208"/>
      <c r="AU479" s="208"/>
      <c r="AV479" s="208"/>
      <c r="AW479" s="208"/>
      <c r="AX479" s="208"/>
      <c r="AY479" s="208"/>
      <c r="AZ479" s="208"/>
      <c r="BA479" s="208"/>
      <c r="BB479" s="208"/>
      <c r="BC479" s="208"/>
      <c r="BD479" s="208"/>
      <c r="BE479" s="208"/>
    </row>
    <row r="480" spans="1:100" ht="12.6" customHeight="1" x14ac:dyDescent="0.25">
      <c r="A480" s="241" t="s">
        <v>1522</v>
      </c>
      <c r="B480" s="257"/>
      <c r="C480" s="249"/>
      <c r="D480" s="249"/>
      <c r="E480" s="250"/>
      <c r="F480" s="780">
        <f>SUM(F487-F486+F485-F484)</f>
        <v>0</v>
      </c>
      <c r="G480" s="780"/>
      <c r="H480" s="780"/>
      <c r="I480" s="781">
        <f>SUM(I487-I486+I485-I484)</f>
        <v>0</v>
      </c>
      <c r="J480" s="781"/>
      <c r="K480" s="781"/>
      <c r="L480" s="781"/>
      <c r="M480" s="781">
        <f>SUM(M487-M486+M485-M484)</f>
        <v>0</v>
      </c>
      <c r="N480" s="781"/>
      <c r="O480" s="781"/>
      <c r="P480" s="781"/>
      <c r="Q480" s="781">
        <f>SUM(Q487-Q486+Q485-Q484)</f>
        <v>0</v>
      </c>
      <c r="R480" s="781"/>
      <c r="S480" s="781"/>
      <c r="T480" s="781"/>
      <c r="U480" s="781">
        <f>SUM(U487-U486+U485-U484)</f>
        <v>0</v>
      </c>
      <c r="V480" s="781"/>
      <c r="W480" s="781"/>
      <c r="X480" s="781"/>
      <c r="Y480" s="781">
        <f>SUM(Y487-Y486+Y485-Y484)</f>
        <v>0</v>
      </c>
      <c r="Z480" s="781"/>
      <c r="AA480" s="781"/>
      <c r="AB480" s="781"/>
      <c r="AC480" s="781">
        <f>SUM(AC487-AC486+AC485-AC484)</f>
        <v>0</v>
      </c>
      <c r="AD480" s="781"/>
      <c r="AE480" s="781"/>
      <c r="AF480" s="781"/>
      <c r="AG480" s="781">
        <f>SUM(AG487-AG486+AG485-AG484)</f>
        <v>0</v>
      </c>
      <c r="AH480" s="781"/>
      <c r="AI480" s="781"/>
      <c r="AJ480" s="781"/>
      <c r="AK480" s="781">
        <f>SUM(AK487-AK486+AK485-AK484)</f>
        <v>0</v>
      </c>
      <c r="AL480" s="781"/>
      <c r="AM480" s="781"/>
      <c r="AN480" s="781"/>
      <c r="AO480" s="781">
        <f>SUM('HL KNIHA VYPOC'!D390)</f>
        <v>0</v>
      </c>
      <c r="AP480" s="781"/>
      <c r="AQ480" s="781"/>
      <c r="AR480" s="781"/>
      <c r="AS480" s="781">
        <f>SUM('HL KNIHA VYPOC'!D396)</f>
        <v>0</v>
      </c>
      <c r="AT480" s="781"/>
      <c r="AU480" s="781"/>
      <c r="AV480" s="781"/>
      <c r="AW480" s="780">
        <f>SUM(F480:AV483)</f>
        <v>0</v>
      </c>
      <c r="AX480" s="780"/>
      <c r="AY480" s="780"/>
      <c r="AZ480" s="263"/>
      <c r="BA480" s="782"/>
      <c r="BB480" s="782"/>
      <c r="BC480" s="782"/>
      <c r="BD480" s="782"/>
      <c r="BE480" s="782"/>
    </row>
    <row r="481" spans="1:57" ht="12.6" customHeight="1" x14ac:dyDescent="0.25">
      <c r="A481" s="243" t="s">
        <v>1523</v>
      </c>
      <c r="B481" s="281"/>
      <c r="C481" s="208"/>
      <c r="D481" s="208"/>
      <c r="E481" s="245"/>
      <c r="F481" s="780"/>
      <c r="G481" s="780"/>
      <c r="H481" s="780"/>
      <c r="I481" s="781"/>
      <c r="J481" s="781"/>
      <c r="K481" s="781"/>
      <c r="L481" s="781"/>
      <c r="M481" s="781"/>
      <c r="N481" s="781"/>
      <c r="O481" s="781"/>
      <c r="P481" s="781"/>
      <c r="Q481" s="781"/>
      <c r="R481" s="781"/>
      <c r="S481" s="781"/>
      <c r="T481" s="781"/>
      <c r="U481" s="781"/>
      <c r="V481" s="781"/>
      <c r="W481" s="781"/>
      <c r="X481" s="781"/>
      <c r="Y481" s="781"/>
      <c r="Z481" s="781"/>
      <c r="AA481" s="781"/>
      <c r="AB481" s="781"/>
      <c r="AC481" s="781"/>
      <c r="AD481" s="781"/>
      <c r="AE481" s="781"/>
      <c r="AF481" s="781"/>
      <c r="AG481" s="781"/>
      <c r="AH481" s="781"/>
      <c r="AI481" s="781"/>
      <c r="AJ481" s="781"/>
      <c r="AK481" s="781"/>
      <c r="AL481" s="781"/>
      <c r="AM481" s="781"/>
      <c r="AN481" s="781"/>
      <c r="AO481" s="781"/>
      <c r="AP481" s="781"/>
      <c r="AQ481" s="781"/>
      <c r="AR481" s="781"/>
      <c r="AS481" s="781"/>
      <c r="AT481" s="781"/>
      <c r="AU481" s="781"/>
      <c r="AV481" s="781"/>
      <c r="AW481" s="780"/>
      <c r="AX481" s="780"/>
      <c r="AY481" s="780"/>
      <c r="AZ481" s="263"/>
      <c r="BA481" s="782"/>
      <c r="BB481" s="782"/>
      <c r="BC481" s="782"/>
      <c r="BD481" s="782"/>
      <c r="BE481" s="782"/>
    </row>
    <row r="482" spans="1:57" ht="12.6" customHeight="1" x14ac:dyDescent="0.25">
      <c r="A482" s="243" t="s">
        <v>1524</v>
      </c>
      <c r="B482" s="281"/>
      <c r="C482" s="208"/>
      <c r="D482" s="208"/>
      <c r="E482" s="245"/>
      <c r="F482" s="780"/>
      <c r="G482" s="780"/>
      <c r="H482" s="780"/>
      <c r="I482" s="781"/>
      <c r="J482" s="781"/>
      <c r="K482" s="781"/>
      <c r="L482" s="781"/>
      <c r="M482" s="781"/>
      <c r="N482" s="781"/>
      <c r="O482" s="781"/>
      <c r="P482" s="781"/>
      <c r="Q482" s="781"/>
      <c r="R482" s="781"/>
      <c r="S482" s="781"/>
      <c r="T482" s="781"/>
      <c r="U482" s="781"/>
      <c r="V482" s="781"/>
      <c r="W482" s="781"/>
      <c r="X482" s="781"/>
      <c r="Y482" s="781"/>
      <c r="Z482" s="781"/>
      <c r="AA482" s="781"/>
      <c r="AB482" s="781"/>
      <c r="AC482" s="781"/>
      <c r="AD482" s="781"/>
      <c r="AE482" s="781"/>
      <c r="AF482" s="781"/>
      <c r="AG482" s="781"/>
      <c r="AH482" s="781"/>
      <c r="AI482" s="781"/>
      <c r="AJ482" s="781"/>
      <c r="AK482" s="781"/>
      <c r="AL482" s="781"/>
      <c r="AM482" s="781"/>
      <c r="AN482" s="781"/>
      <c r="AO482" s="781"/>
      <c r="AP482" s="781"/>
      <c r="AQ482" s="781"/>
      <c r="AR482" s="781"/>
      <c r="AS482" s="781"/>
      <c r="AT482" s="781"/>
      <c r="AU482" s="781"/>
      <c r="AV482" s="781"/>
      <c r="AW482" s="780"/>
      <c r="AX482" s="780"/>
      <c r="AY482" s="780"/>
      <c r="AZ482" s="263"/>
      <c r="BA482" s="782"/>
      <c r="BB482" s="782"/>
      <c r="BC482" s="782"/>
      <c r="BD482" s="782"/>
      <c r="BE482" s="782"/>
    </row>
    <row r="483" spans="1:57" ht="12.6" customHeight="1" x14ac:dyDescent="0.25">
      <c r="A483" s="243" t="s">
        <v>1525</v>
      </c>
      <c r="B483" s="281"/>
      <c r="C483" s="208"/>
      <c r="D483" s="208"/>
      <c r="E483" s="245"/>
      <c r="F483" s="780"/>
      <c r="G483" s="780"/>
      <c r="H483" s="780"/>
      <c r="I483" s="781"/>
      <c r="J483" s="781"/>
      <c r="K483" s="781"/>
      <c r="L483" s="781"/>
      <c r="M483" s="781"/>
      <c r="N483" s="781"/>
      <c r="O483" s="781"/>
      <c r="P483" s="781"/>
      <c r="Q483" s="781"/>
      <c r="R483" s="781"/>
      <c r="S483" s="781"/>
      <c r="T483" s="781"/>
      <c r="U483" s="781"/>
      <c r="V483" s="781"/>
      <c r="W483" s="781"/>
      <c r="X483" s="781"/>
      <c r="Y483" s="781"/>
      <c r="Z483" s="781"/>
      <c r="AA483" s="781"/>
      <c r="AB483" s="781"/>
      <c r="AC483" s="781"/>
      <c r="AD483" s="781"/>
      <c r="AE483" s="781"/>
      <c r="AF483" s="781"/>
      <c r="AG483" s="781"/>
      <c r="AH483" s="781"/>
      <c r="AI483" s="781"/>
      <c r="AJ483" s="781"/>
      <c r="AK483" s="781"/>
      <c r="AL483" s="781"/>
      <c r="AM483" s="781"/>
      <c r="AN483" s="781"/>
      <c r="AO483" s="781"/>
      <c r="AP483" s="781"/>
      <c r="AQ483" s="781"/>
      <c r="AR483" s="781"/>
      <c r="AS483" s="781"/>
      <c r="AT483" s="781"/>
      <c r="AU483" s="781"/>
      <c r="AV483" s="781"/>
      <c r="AW483" s="780"/>
      <c r="AX483" s="780"/>
      <c r="AY483" s="780"/>
      <c r="AZ483" s="263"/>
      <c r="BA483" s="782"/>
      <c r="BB483" s="782"/>
      <c r="BC483" s="782"/>
      <c r="BD483" s="782"/>
      <c r="BE483" s="782"/>
    </row>
    <row r="484" spans="1:57" ht="12.6" customHeight="1" x14ac:dyDescent="0.25">
      <c r="A484" s="253" t="s">
        <v>1474</v>
      </c>
      <c r="B484" s="253"/>
      <c r="C484" s="246"/>
      <c r="D484" s="246"/>
      <c r="E484" s="248"/>
      <c r="F484" s="780"/>
      <c r="G484" s="780"/>
      <c r="H484" s="780"/>
      <c r="I484" s="781"/>
      <c r="J484" s="781"/>
      <c r="K484" s="781"/>
      <c r="L484" s="781"/>
      <c r="M484" s="781"/>
      <c r="N484" s="781"/>
      <c r="O484" s="781"/>
      <c r="P484" s="781"/>
      <c r="Q484" s="781"/>
      <c r="R484" s="781"/>
      <c r="S484" s="781"/>
      <c r="T484" s="781"/>
      <c r="U484" s="781"/>
      <c r="V484" s="781"/>
      <c r="W484" s="781"/>
      <c r="X484" s="781"/>
      <c r="Y484" s="781"/>
      <c r="Z484" s="781"/>
      <c r="AA484" s="781"/>
      <c r="AB484" s="781"/>
      <c r="AC484" s="781"/>
      <c r="AD484" s="781"/>
      <c r="AE484" s="781"/>
      <c r="AF484" s="781"/>
      <c r="AG484" s="781"/>
      <c r="AH484" s="781"/>
      <c r="AI484" s="781"/>
      <c r="AJ484" s="781"/>
      <c r="AK484" s="781"/>
      <c r="AL484" s="781"/>
      <c r="AM484" s="781"/>
      <c r="AN484" s="781"/>
      <c r="AO484" s="781">
        <f>SUM('HL KNIHA VYPOC'!$E$33)</f>
        <v>0</v>
      </c>
      <c r="AP484" s="781"/>
      <c r="AQ484" s="781"/>
      <c r="AR484" s="781"/>
      <c r="AS484" s="781">
        <f>SUM('HL KNIHA VYPOC'!$E$39)</f>
        <v>0</v>
      </c>
      <c r="AT484" s="781"/>
      <c r="AU484" s="781"/>
      <c r="AV484" s="781"/>
      <c r="AW484" s="780">
        <f>SUM(F484:AV484)</f>
        <v>0</v>
      </c>
      <c r="AX484" s="780"/>
      <c r="AY484" s="780"/>
      <c r="AZ484" s="263"/>
      <c r="BA484" s="782"/>
      <c r="BB484" s="782"/>
      <c r="BC484" s="782"/>
      <c r="BD484" s="782"/>
      <c r="BE484" s="782"/>
    </row>
    <row r="485" spans="1:57" ht="12.6" customHeight="1" x14ac:dyDescent="0.25">
      <c r="A485" s="253" t="s">
        <v>1475</v>
      </c>
      <c r="B485" s="253"/>
      <c r="C485" s="246"/>
      <c r="D485" s="246"/>
      <c r="E485" s="248"/>
      <c r="F485" s="780"/>
      <c r="G485" s="780"/>
      <c r="H485" s="780"/>
      <c r="I485" s="781"/>
      <c r="J485" s="781"/>
      <c r="K485" s="781"/>
      <c r="L485" s="781"/>
      <c r="M485" s="781"/>
      <c r="N485" s="781"/>
      <c r="O485" s="781"/>
      <c r="P485" s="781"/>
      <c r="Q485" s="781"/>
      <c r="R485" s="781"/>
      <c r="S485" s="781"/>
      <c r="T485" s="781"/>
      <c r="U485" s="781"/>
      <c r="V485" s="781"/>
      <c r="W485" s="781"/>
      <c r="X485" s="781"/>
      <c r="Y485" s="781"/>
      <c r="Z485" s="781"/>
      <c r="AA485" s="781"/>
      <c r="AB485" s="781"/>
      <c r="AC485" s="781"/>
      <c r="AD485" s="781"/>
      <c r="AE485" s="781"/>
      <c r="AF485" s="781"/>
      <c r="AG485" s="781"/>
      <c r="AH485" s="781"/>
      <c r="AI485" s="781"/>
      <c r="AJ485" s="781"/>
      <c r="AK485" s="781"/>
      <c r="AL485" s="781"/>
      <c r="AM485" s="781"/>
      <c r="AN485" s="781"/>
      <c r="AO485" s="781">
        <f>SUM('HL KNIHA VYPOC'!$F$33)</f>
        <v>0</v>
      </c>
      <c r="AP485" s="781"/>
      <c r="AQ485" s="781"/>
      <c r="AR485" s="781"/>
      <c r="AS485" s="781">
        <f>SUM('HL KNIHA VYPOC'!$F$39)</f>
        <v>0</v>
      </c>
      <c r="AT485" s="781"/>
      <c r="AU485" s="781"/>
      <c r="AV485" s="781"/>
      <c r="AW485" s="780">
        <f>SUM(F485:AV485)</f>
        <v>0</v>
      </c>
      <c r="AX485" s="780"/>
      <c r="AY485" s="780"/>
      <c r="AZ485" s="263"/>
      <c r="BA485" s="782"/>
      <c r="BB485" s="782"/>
      <c r="BC485" s="782"/>
      <c r="BD485" s="782"/>
      <c r="BE485" s="782"/>
    </row>
    <row r="486" spans="1:57" ht="12.6" customHeight="1" x14ac:dyDescent="0.25">
      <c r="A486" s="253" t="s">
        <v>1476</v>
      </c>
      <c r="B486" s="253"/>
      <c r="C486" s="246"/>
      <c r="D486" s="246"/>
      <c r="E486" s="248"/>
      <c r="F486" s="783"/>
      <c r="G486" s="783"/>
      <c r="H486" s="783"/>
      <c r="I486" s="784"/>
      <c r="J486" s="784"/>
      <c r="K486" s="784"/>
      <c r="L486" s="784"/>
      <c r="M486" s="784"/>
      <c r="N486" s="784"/>
      <c r="O486" s="784"/>
      <c r="P486" s="784"/>
      <c r="Q486" s="784"/>
      <c r="R486" s="784"/>
      <c r="S486" s="784"/>
      <c r="T486" s="784"/>
      <c r="U486" s="784"/>
      <c r="V486" s="784"/>
      <c r="W486" s="784"/>
      <c r="X486" s="784"/>
      <c r="Y486" s="784"/>
      <c r="Z486" s="784"/>
      <c r="AA486" s="784"/>
      <c r="AB486" s="784"/>
      <c r="AC486" s="784"/>
      <c r="AD486" s="784"/>
      <c r="AE486" s="784"/>
      <c r="AF486" s="784"/>
      <c r="AG486" s="784"/>
      <c r="AH486" s="784"/>
      <c r="AI486" s="784"/>
      <c r="AJ486" s="784"/>
      <c r="AK486" s="784"/>
      <c r="AL486" s="784"/>
      <c r="AM486" s="784"/>
      <c r="AN486" s="784"/>
      <c r="AO486" s="784"/>
      <c r="AP486" s="784"/>
      <c r="AQ486" s="784"/>
      <c r="AR486" s="784"/>
      <c r="AS486" s="784"/>
      <c r="AT486" s="784"/>
      <c r="AU486" s="784"/>
      <c r="AV486" s="784"/>
      <c r="AW486" s="780">
        <f>SUM(F486:AV486)</f>
        <v>0</v>
      </c>
      <c r="AX486" s="780"/>
      <c r="AY486" s="780"/>
      <c r="AZ486" s="263"/>
      <c r="BA486" s="782"/>
      <c r="BB486" s="782"/>
      <c r="BC486" s="782"/>
      <c r="BD486" s="782"/>
      <c r="BE486" s="782"/>
    </row>
    <row r="487" spans="1:57" ht="12.6" customHeight="1" x14ac:dyDescent="0.25">
      <c r="A487" s="241" t="s">
        <v>1477</v>
      </c>
      <c r="B487" s="257"/>
      <c r="C487" s="249"/>
      <c r="D487" s="249"/>
      <c r="E487" s="250"/>
      <c r="F487" s="780">
        <f>SUM(ANALYTIKAVUJ!$C$5+ANALYTIKAVUJ!$C$9+'HL KNIHA VYPOC'!$G$42)</f>
        <v>0</v>
      </c>
      <c r="G487" s="780"/>
      <c r="H487" s="780"/>
      <c r="I487" s="781">
        <f>SUM(ANALYTIKAVUJ!$C$6)</f>
        <v>0</v>
      </c>
      <c r="J487" s="781"/>
      <c r="K487" s="781"/>
      <c r="L487" s="781"/>
      <c r="M487" s="781">
        <f>SUM(ANALYTIKAVUJ!$C$10)</f>
        <v>0</v>
      </c>
      <c r="N487" s="781"/>
      <c r="O487" s="781"/>
      <c r="P487" s="781"/>
      <c r="Q487" s="781">
        <f>SUM(ANALYTIKAVUJ!$C$13)</f>
        <v>0</v>
      </c>
      <c r="R487" s="781"/>
      <c r="S487" s="781"/>
      <c r="T487" s="781"/>
      <c r="U487" s="781">
        <f>SUM(ANALYTIKAVUJ!$C$14)</f>
        <v>0</v>
      </c>
      <c r="V487" s="781"/>
      <c r="W487" s="781"/>
      <c r="X487" s="781"/>
      <c r="Y487" s="781">
        <f>SUM(ANALYTIKAVUJ!$C$18)</f>
        <v>0</v>
      </c>
      <c r="Z487" s="781"/>
      <c r="AA487" s="781"/>
      <c r="AB487" s="781"/>
      <c r="AC487" s="781">
        <f>SUM(ANALYTIKAVUJ!$C$22+'HL KNIHA VYPOC'!$G$45)</f>
        <v>0</v>
      </c>
      <c r="AD487" s="781"/>
      <c r="AE487" s="781"/>
      <c r="AF487" s="781"/>
      <c r="AG487" s="781">
        <f>SUM(ANALYTIKAVUJ!$C$15+ANALYTIKAVUJ!$C$19+ANALYTIKAVUJ!$C$23)</f>
        <v>0</v>
      </c>
      <c r="AH487" s="781"/>
      <c r="AI487" s="781"/>
      <c r="AJ487" s="781"/>
      <c r="AK487" s="781">
        <f>SUM(ANALYTIKAVUJ!$C$108)</f>
        <v>0</v>
      </c>
      <c r="AL487" s="781"/>
      <c r="AM487" s="781"/>
      <c r="AN487" s="781"/>
      <c r="AO487" s="781">
        <f>SUM('HL KNIHA VYPOC'!$G$33)</f>
        <v>0</v>
      </c>
      <c r="AP487" s="781"/>
      <c r="AQ487" s="781"/>
      <c r="AR487" s="781"/>
      <c r="AS487" s="781">
        <f>SUM('HL KNIHA VYPOC'!$G$39)</f>
        <v>0</v>
      </c>
      <c r="AT487" s="781"/>
      <c r="AU487" s="781"/>
      <c r="AV487" s="781"/>
      <c r="AW487" s="780">
        <f>SUM(F487:AV489)</f>
        <v>0</v>
      </c>
      <c r="AX487" s="780"/>
      <c r="AY487" s="780"/>
      <c r="AZ487" s="263"/>
      <c r="BA487" s="782"/>
      <c r="BB487" s="782"/>
      <c r="BC487" s="782"/>
      <c r="BD487" s="782"/>
      <c r="BE487" s="782"/>
    </row>
    <row r="488" spans="1:57" ht="12.6" customHeight="1" x14ac:dyDescent="0.25">
      <c r="A488" s="243" t="s">
        <v>1524</v>
      </c>
      <c r="B488" s="281"/>
      <c r="C488" s="208"/>
      <c r="D488" s="208"/>
      <c r="E488" s="245"/>
      <c r="F488" s="780"/>
      <c r="G488" s="780"/>
      <c r="H488" s="780"/>
      <c r="I488" s="781"/>
      <c r="J488" s="781"/>
      <c r="K488" s="781"/>
      <c r="L488" s="781"/>
      <c r="M488" s="781"/>
      <c r="N488" s="781"/>
      <c r="O488" s="781"/>
      <c r="P488" s="781"/>
      <c r="Q488" s="781"/>
      <c r="R488" s="781"/>
      <c r="S488" s="781"/>
      <c r="T488" s="781"/>
      <c r="U488" s="781"/>
      <c r="V488" s="781"/>
      <c r="W488" s="781"/>
      <c r="X488" s="781"/>
      <c r="Y488" s="781"/>
      <c r="Z488" s="781"/>
      <c r="AA488" s="781"/>
      <c r="AB488" s="781"/>
      <c r="AC488" s="781"/>
      <c r="AD488" s="781"/>
      <c r="AE488" s="781"/>
      <c r="AF488" s="781"/>
      <c r="AG488" s="781"/>
      <c r="AH488" s="781"/>
      <c r="AI488" s="781"/>
      <c r="AJ488" s="781"/>
      <c r="AK488" s="781"/>
      <c r="AL488" s="781"/>
      <c r="AM488" s="781"/>
      <c r="AN488" s="781"/>
      <c r="AO488" s="781"/>
      <c r="AP488" s="781"/>
      <c r="AQ488" s="781"/>
      <c r="AR488" s="781"/>
      <c r="AS488" s="781"/>
      <c r="AT488" s="781"/>
      <c r="AU488" s="781"/>
      <c r="AV488" s="781"/>
      <c r="AW488" s="780"/>
      <c r="AX488" s="780"/>
      <c r="AY488" s="780"/>
      <c r="AZ488" s="263"/>
      <c r="BA488" s="782"/>
      <c r="BB488" s="782"/>
      <c r="BC488" s="782"/>
      <c r="BD488" s="782"/>
      <c r="BE488" s="782"/>
    </row>
    <row r="489" spans="1:57" ht="12.6" customHeight="1" x14ac:dyDescent="0.25">
      <c r="A489" s="251" t="s">
        <v>1525</v>
      </c>
      <c r="B489" s="258"/>
      <c r="C489" s="247"/>
      <c r="D489" s="247"/>
      <c r="E489" s="252"/>
      <c r="F489" s="780"/>
      <c r="G489" s="780"/>
      <c r="H489" s="780"/>
      <c r="I489" s="781"/>
      <c r="J489" s="781"/>
      <c r="K489" s="781"/>
      <c r="L489" s="781"/>
      <c r="M489" s="781"/>
      <c r="N489" s="781"/>
      <c r="O489" s="781"/>
      <c r="P489" s="781"/>
      <c r="Q489" s="781"/>
      <c r="R489" s="781"/>
      <c r="S489" s="781"/>
      <c r="T489" s="781"/>
      <c r="U489" s="781"/>
      <c r="V489" s="781"/>
      <c r="W489" s="781"/>
      <c r="X489" s="781"/>
      <c r="Y489" s="781"/>
      <c r="Z489" s="781"/>
      <c r="AA489" s="781"/>
      <c r="AB489" s="781"/>
      <c r="AC489" s="781"/>
      <c r="AD489" s="781"/>
      <c r="AE489" s="781"/>
      <c r="AF489" s="781"/>
      <c r="AG489" s="781"/>
      <c r="AH489" s="781"/>
      <c r="AI489" s="781"/>
      <c r="AJ489" s="781"/>
      <c r="AK489" s="781"/>
      <c r="AL489" s="781"/>
      <c r="AM489" s="781"/>
      <c r="AN489" s="781"/>
      <c r="AO489" s="781"/>
      <c r="AP489" s="781"/>
      <c r="AQ489" s="781"/>
      <c r="AR489" s="781"/>
      <c r="AS489" s="781"/>
      <c r="AT489" s="781"/>
      <c r="AU489" s="781"/>
      <c r="AV489" s="781"/>
      <c r="AW489" s="780"/>
      <c r="AX489" s="780"/>
      <c r="AY489" s="780"/>
      <c r="AZ489" s="263"/>
      <c r="BA489" s="782"/>
      <c r="BB489" s="782"/>
      <c r="BC489" s="782"/>
      <c r="BD489" s="782"/>
      <c r="BE489" s="782"/>
    </row>
    <row r="490" spans="1:57" ht="12.6" customHeight="1" x14ac:dyDescent="0.25">
      <c r="A490" s="208" t="s">
        <v>1479</v>
      </c>
      <c r="B490" s="208"/>
      <c r="C490" s="208"/>
      <c r="D490" s="208"/>
      <c r="E490" s="208"/>
      <c r="F490" s="282"/>
      <c r="G490" s="282"/>
      <c r="H490" s="282"/>
      <c r="I490" s="282"/>
      <c r="J490" s="282"/>
      <c r="K490" s="282"/>
      <c r="L490" s="282"/>
      <c r="M490" s="282"/>
      <c r="N490" s="282"/>
      <c r="O490" s="282"/>
      <c r="P490" s="282"/>
      <c r="Q490" s="282"/>
      <c r="R490" s="282"/>
      <c r="S490" s="282"/>
      <c r="T490" s="282"/>
      <c r="U490" s="282"/>
      <c r="V490" s="282"/>
      <c r="W490" s="282"/>
      <c r="X490" s="282"/>
      <c r="Y490" s="282"/>
      <c r="Z490" s="282"/>
      <c r="AA490" s="282"/>
      <c r="AB490" s="282"/>
      <c r="AC490" s="282"/>
      <c r="AD490" s="282"/>
      <c r="AE490" s="282"/>
      <c r="AF490" s="282"/>
      <c r="AG490" s="282"/>
      <c r="AH490" s="282"/>
      <c r="AI490" s="282"/>
      <c r="AJ490" s="282"/>
      <c r="AK490" s="282"/>
      <c r="AL490" s="282"/>
      <c r="AM490" s="282"/>
      <c r="AN490" s="282"/>
      <c r="AO490" s="282"/>
      <c r="AP490" s="282"/>
      <c r="AQ490" s="282"/>
      <c r="AR490" s="282"/>
      <c r="AS490" s="282"/>
      <c r="AT490" s="282"/>
      <c r="AU490" s="282"/>
      <c r="AV490" s="282"/>
      <c r="AW490" s="282"/>
      <c r="AX490" s="282"/>
      <c r="AY490" s="282"/>
      <c r="AZ490" s="263"/>
      <c r="BA490" s="213"/>
      <c r="BB490" s="213"/>
      <c r="BC490" s="213"/>
      <c r="BD490" s="213"/>
      <c r="BE490" s="283"/>
    </row>
    <row r="491" spans="1:57" ht="12.6" customHeight="1" x14ac:dyDescent="0.25">
      <c r="A491" s="241" t="s">
        <v>1522</v>
      </c>
      <c r="B491" s="249"/>
      <c r="C491" s="249"/>
      <c r="D491" s="249"/>
      <c r="E491" s="249"/>
      <c r="F491" s="781">
        <f>SUM(F498-F497+F496-F495)</f>
        <v>0</v>
      </c>
      <c r="G491" s="781"/>
      <c r="H491" s="781"/>
      <c r="I491" s="781">
        <f>SUM(I498-I497+I496-I495)</f>
        <v>0</v>
      </c>
      <c r="J491" s="781"/>
      <c r="K491" s="781"/>
      <c r="L491" s="781"/>
      <c r="M491" s="781">
        <f>SUM(M498-M497+M496-M495)</f>
        <v>0</v>
      </c>
      <c r="N491" s="781"/>
      <c r="O491" s="781"/>
      <c r="P491" s="781"/>
      <c r="Q491" s="781">
        <f>SUM(Q498-Q497+Q496-Q495)</f>
        <v>0</v>
      </c>
      <c r="R491" s="781"/>
      <c r="S491" s="781"/>
      <c r="T491" s="781"/>
      <c r="U491" s="781">
        <f>SUM(U498-U497+U496-U495)</f>
        <v>0</v>
      </c>
      <c r="V491" s="781"/>
      <c r="W491" s="781"/>
      <c r="X491" s="781"/>
      <c r="Y491" s="781">
        <f>SUM(Y498-Y497+Y496-Y495)</f>
        <v>0</v>
      </c>
      <c r="Z491" s="781"/>
      <c r="AA491" s="781"/>
      <c r="AB491" s="781"/>
      <c r="AC491" s="781">
        <f>SUM(AC498-AC497+AC496-AC495)</f>
        <v>0</v>
      </c>
      <c r="AD491" s="781"/>
      <c r="AE491" s="781"/>
      <c r="AF491" s="781"/>
      <c r="AG491" s="781">
        <f>SUM(AG498-AG497+AG496-AG495)</f>
        <v>0</v>
      </c>
      <c r="AH491" s="781"/>
      <c r="AI491" s="781"/>
      <c r="AJ491" s="781"/>
      <c r="AK491" s="781"/>
      <c r="AL491" s="781"/>
      <c r="AM491" s="781"/>
      <c r="AN491" s="781"/>
      <c r="AO491" s="781">
        <f>SUM(AO498-AO497+AO496-AO495)</f>
        <v>0</v>
      </c>
      <c r="AP491" s="781"/>
      <c r="AQ491" s="781"/>
      <c r="AR491" s="781"/>
      <c r="AS491" s="781">
        <f>SUM(AS498-AS497+AS496-AS495)</f>
        <v>0</v>
      </c>
      <c r="AT491" s="781"/>
      <c r="AU491" s="781"/>
      <c r="AV491" s="781"/>
      <c r="AW491" s="781">
        <f>SUM(F491:AV494)</f>
        <v>0</v>
      </c>
      <c r="AX491" s="781"/>
      <c r="AY491" s="781"/>
      <c r="AZ491" s="263"/>
      <c r="BA491" s="782"/>
      <c r="BB491" s="782"/>
      <c r="BC491" s="782"/>
      <c r="BD491" s="782"/>
      <c r="BE491" s="782"/>
    </row>
    <row r="492" spans="1:57" ht="12.6" customHeight="1" x14ac:dyDescent="0.25">
      <c r="A492" s="243" t="s">
        <v>1523</v>
      </c>
      <c r="B492" s="208"/>
      <c r="C492" s="208"/>
      <c r="D492" s="208"/>
      <c r="E492" s="208"/>
      <c r="F492" s="781"/>
      <c r="G492" s="781"/>
      <c r="H492" s="781"/>
      <c r="I492" s="781"/>
      <c r="J492" s="781"/>
      <c r="K492" s="781"/>
      <c r="L492" s="781"/>
      <c r="M492" s="781"/>
      <c r="N492" s="781"/>
      <c r="O492" s="781"/>
      <c r="P492" s="781"/>
      <c r="Q492" s="781"/>
      <c r="R492" s="781"/>
      <c r="S492" s="781"/>
      <c r="T492" s="781"/>
      <c r="U492" s="781"/>
      <c r="V492" s="781"/>
      <c r="W492" s="781"/>
      <c r="X492" s="781"/>
      <c r="Y492" s="781"/>
      <c r="Z492" s="781"/>
      <c r="AA492" s="781"/>
      <c r="AB492" s="781"/>
      <c r="AC492" s="781"/>
      <c r="AD492" s="781"/>
      <c r="AE492" s="781"/>
      <c r="AF492" s="781"/>
      <c r="AG492" s="781"/>
      <c r="AH492" s="781"/>
      <c r="AI492" s="781"/>
      <c r="AJ492" s="781"/>
      <c r="AK492" s="781"/>
      <c r="AL492" s="781"/>
      <c r="AM492" s="781"/>
      <c r="AN492" s="781"/>
      <c r="AO492" s="781"/>
      <c r="AP492" s="781"/>
      <c r="AQ492" s="781"/>
      <c r="AR492" s="781"/>
      <c r="AS492" s="781"/>
      <c r="AT492" s="781"/>
      <c r="AU492" s="781"/>
      <c r="AV492" s="781"/>
      <c r="AW492" s="781"/>
      <c r="AX492" s="781"/>
      <c r="AY492" s="781"/>
      <c r="AZ492" s="263"/>
      <c r="BA492" s="782"/>
      <c r="BB492" s="782"/>
      <c r="BC492" s="782"/>
      <c r="BD492" s="782"/>
      <c r="BE492" s="782"/>
    </row>
    <row r="493" spans="1:57" ht="12.6" customHeight="1" x14ac:dyDescent="0.25">
      <c r="A493" s="243" t="s">
        <v>1524</v>
      </c>
      <c r="B493" s="208"/>
      <c r="C493" s="208"/>
      <c r="D493" s="208"/>
      <c r="E493" s="208"/>
      <c r="F493" s="781"/>
      <c r="G493" s="781"/>
      <c r="H493" s="781"/>
      <c r="I493" s="781"/>
      <c r="J493" s="781"/>
      <c r="K493" s="781"/>
      <c r="L493" s="781"/>
      <c r="M493" s="781"/>
      <c r="N493" s="781"/>
      <c r="O493" s="781"/>
      <c r="P493" s="781"/>
      <c r="Q493" s="781"/>
      <c r="R493" s="781"/>
      <c r="S493" s="781"/>
      <c r="T493" s="781"/>
      <c r="U493" s="781"/>
      <c r="V493" s="781"/>
      <c r="W493" s="781"/>
      <c r="X493" s="781"/>
      <c r="Y493" s="781"/>
      <c r="Z493" s="781"/>
      <c r="AA493" s="781"/>
      <c r="AB493" s="781"/>
      <c r="AC493" s="781"/>
      <c r="AD493" s="781"/>
      <c r="AE493" s="781"/>
      <c r="AF493" s="781"/>
      <c r="AG493" s="781"/>
      <c r="AH493" s="781"/>
      <c r="AI493" s="781"/>
      <c r="AJ493" s="781"/>
      <c r="AK493" s="781"/>
      <c r="AL493" s="781"/>
      <c r="AM493" s="781"/>
      <c r="AN493" s="781"/>
      <c r="AO493" s="781"/>
      <c r="AP493" s="781"/>
      <c r="AQ493" s="781"/>
      <c r="AR493" s="781"/>
      <c r="AS493" s="781"/>
      <c r="AT493" s="781"/>
      <c r="AU493" s="781"/>
      <c r="AV493" s="781"/>
      <c r="AW493" s="781"/>
      <c r="AX493" s="781"/>
      <c r="AY493" s="781"/>
      <c r="AZ493" s="263"/>
      <c r="BA493" s="782"/>
      <c r="BB493" s="782"/>
      <c r="BC493" s="782"/>
      <c r="BD493" s="782"/>
      <c r="BE493" s="782"/>
    </row>
    <row r="494" spans="1:57" ht="12.6" customHeight="1" x14ac:dyDescent="0.25">
      <c r="A494" s="251" t="s">
        <v>1525</v>
      </c>
      <c r="B494" s="247"/>
      <c r="C494" s="247"/>
      <c r="D494" s="247"/>
      <c r="E494" s="247"/>
      <c r="F494" s="781"/>
      <c r="G494" s="781"/>
      <c r="H494" s="781"/>
      <c r="I494" s="781"/>
      <c r="J494" s="781"/>
      <c r="K494" s="781"/>
      <c r="L494" s="781"/>
      <c r="M494" s="781"/>
      <c r="N494" s="781"/>
      <c r="O494" s="781"/>
      <c r="P494" s="781"/>
      <c r="Q494" s="781"/>
      <c r="R494" s="781"/>
      <c r="S494" s="781"/>
      <c r="T494" s="781"/>
      <c r="U494" s="781"/>
      <c r="V494" s="781"/>
      <c r="W494" s="781"/>
      <c r="X494" s="781"/>
      <c r="Y494" s="781"/>
      <c r="Z494" s="781"/>
      <c r="AA494" s="781"/>
      <c r="AB494" s="781"/>
      <c r="AC494" s="781"/>
      <c r="AD494" s="781"/>
      <c r="AE494" s="781"/>
      <c r="AF494" s="781"/>
      <c r="AG494" s="781"/>
      <c r="AH494" s="781"/>
      <c r="AI494" s="781"/>
      <c r="AJ494" s="781"/>
      <c r="AK494" s="781"/>
      <c r="AL494" s="781"/>
      <c r="AM494" s="781"/>
      <c r="AN494" s="781"/>
      <c r="AO494" s="781"/>
      <c r="AP494" s="781"/>
      <c r="AQ494" s="781"/>
      <c r="AR494" s="781"/>
      <c r="AS494" s="781"/>
      <c r="AT494" s="781"/>
      <c r="AU494" s="781"/>
      <c r="AV494" s="781"/>
      <c r="AW494" s="781"/>
      <c r="AX494" s="781"/>
      <c r="AY494" s="781"/>
      <c r="AZ494" s="263"/>
      <c r="BA494" s="782"/>
      <c r="BB494" s="782"/>
      <c r="BC494" s="782"/>
      <c r="BD494" s="782"/>
      <c r="BE494" s="782"/>
    </row>
    <row r="495" spans="1:57" ht="12.6" customHeight="1" x14ac:dyDescent="0.25">
      <c r="A495" s="253" t="s">
        <v>1474</v>
      </c>
      <c r="B495" s="246"/>
      <c r="C495" s="246"/>
      <c r="D495" s="246"/>
      <c r="E495" s="246"/>
      <c r="F495" s="783"/>
      <c r="G495" s="783"/>
      <c r="H495" s="783"/>
      <c r="I495" s="784"/>
      <c r="J495" s="784"/>
      <c r="K495" s="784"/>
      <c r="L495" s="784"/>
      <c r="M495" s="784"/>
      <c r="N495" s="784"/>
      <c r="O495" s="784"/>
      <c r="P495" s="784"/>
      <c r="Q495" s="784"/>
      <c r="R495" s="784"/>
      <c r="S495" s="784"/>
      <c r="T495" s="784"/>
      <c r="U495" s="784"/>
      <c r="V495" s="784"/>
      <c r="W495" s="784"/>
      <c r="X495" s="784"/>
      <c r="Y495" s="784"/>
      <c r="Z495" s="784"/>
      <c r="AA495" s="784"/>
      <c r="AB495" s="784"/>
      <c r="AC495" s="784"/>
      <c r="AD495" s="784"/>
      <c r="AE495" s="784"/>
      <c r="AF495" s="784"/>
      <c r="AG495" s="784"/>
      <c r="AH495" s="784"/>
      <c r="AI495" s="784"/>
      <c r="AJ495" s="784"/>
      <c r="AK495" s="784"/>
      <c r="AL495" s="784"/>
      <c r="AM495" s="784"/>
      <c r="AN495" s="784"/>
      <c r="AO495" s="784"/>
      <c r="AP495" s="784"/>
      <c r="AQ495" s="784"/>
      <c r="AR495" s="784"/>
      <c r="AS495" s="784"/>
      <c r="AT495" s="784"/>
      <c r="AU495" s="784"/>
      <c r="AV495" s="784"/>
      <c r="AW495" s="780">
        <f>SUM(F495:AV495)</f>
        <v>0</v>
      </c>
      <c r="AX495" s="780"/>
      <c r="AY495" s="780"/>
      <c r="AZ495" s="263"/>
      <c r="BA495" s="782"/>
      <c r="BB495" s="782"/>
      <c r="BC495" s="782"/>
      <c r="BD495" s="782"/>
      <c r="BE495" s="782"/>
    </row>
    <row r="496" spans="1:57" ht="12.6" customHeight="1" x14ac:dyDescent="0.25">
      <c r="A496" s="253" t="s">
        <v>1475</v>
      </c>
      <c r="B496" s="259"/>
      <c r="C496" s="246"/>
      <c r="D496" s="246"/>
      <c r="E496" s="246"/>
      <c r="F496" s="783"/>
      <c r="G496" s="783"/>
      <c r="H496" s="783"/>
      <c r="I496" s="784"/>
      <c r="J496" s="784"/>
      <c r="K496" s="784"/>
      <c r="L496" s="784"/>
      <c r="M496" s="784"/>
      <c r="N496" s="784"/>
      <c r="O496" s="784"/>
      <c r="P496" s="784"/>
      <c r="Q496" s="784"/>
      <c r="R496" s="784"/>
      <c r="S496" s="784"/>
      <c r="T496" s="784"/>
      <c r="U496" s="784"/>
      <c r="V496" s="784"/>
      <c r="W496" s="784"/>
      <c r="X496" s="784"/>
      <c r="Y496" s="784"/>
      <c r="Z496" s="784"/>
      <c r="AA496" s="784"/>
      <c r="AB496" s="784"/>
      <c r="AC496" s="784"/>
      <c r="AD496" s="784"/>
      <c r="AE496" s="784"/>
      <c r="AF496" s="784"/>
      <c r="AG496" s="784"/>
      <c r="AH496" s="784"/>
      <c r="AI496" s="784"/>
      <c r="AJ496" s="784"/>
      <c r="AK496" s="784"/>
      <c r="AL496" s="784"/>
      <c r="AM496" s="784"/>
      <c r="AN496" s="784"/>
      <c r="AO496" s="784"/>
      <c r="AP496" s="784"/>
      <c r="AQ496" s="784"/>
      <c r="AR496" s="784"/>
      <c r="AS496" s="784"/>
      <c r="AT496" s="784"/>
      <c r="AU496" s="784"/>
      <c r="AV496" s="784"/>
      <c r="AW496" s="780">
        <f>SUM(F496:AV496)</f>
        <v>0</v>
      </c>
      <c r="AX496" s="780"/>
      <c r="AY496" s="780"/>
      <c r="AZ496" s="263"/>
      <c r="BA496" s="782"/>
      <c r="BB496" s="782"/>
      <c r="BC496" s="782"/>
      <c r="BD496" s="782"/>
      <c r="BE496" s="782"/>
    </row>
    <row r="497" spans="1:57" ht="12.6" customHeight="1" x14ac:dyDescent="0.25">
      <c r="A497" s="253" t="s">
        <v>1476</v>
      </c>
      <c r="B497" s="259"/>
      <c r="C497" s="246"/>
      <c r="D497" s="246"/>
      <c r="E497" s="246"/>
      <c r="F497" s="783"/>
      <c r="G497" s="783"/>
      <c r="H497" s="783"/>
      <c r="I497" s="784"/>
      <c r="J497" s="784"/>
      <c r="K497" s="784"/>
      <c r="L497" s="784"/>
      <c r="M497" s="784"/>
      <c r="N497" s="784"/>
      <c r="O497" s="784"/>
      <c r="P497" s="784"/>
      <c r="Q497" s="784"/>
      <c r="R497" s="784"/>
      <c r="S497" s="784"/>
      <c r="T497" s="784"/>
      <c r="U497" s="784"/>
      <c r="V497" s="784"/>
      <c r="W497" s="784"/>
      <c r="X497" s="784"/>
      <c r="Y497" s="784"/>
      <c r="Z497" s="784"/>
      <c r="AA497" s="784"/>
      <c r="AB497" s="784"/>
      <c r="AC497" s="784"/>
      <c r="AD497" s="784"/>
      <c r="AE497" s="784"/>
      <c r="AF497" s="784"/>
      <c r="AG497" s="784"/>
      <c r="AH497" s="784"/>
      <c r="AI497" s="784"/>
      <c r="AJ497" s="784"/>
      <c r="AK497" s="784"/>
      <c r="AL497" s="784"/>
      <c r="AM497" s="784"/>
      <c r="AN497" s="784"/>
      <c r="AO497" s="784"/>
      <c r="AP497" s="784"/>
      <c r="AQ497" s="784"/>
      <c r="AR497" s="784"/>
      <c r="AS497" s="784"/>
      <c r="AT497" s="784"/>
      <c r="AU497" s="784"/>
      <c r="AV497" s="784"/>
      <c r="AW497" s="780">
        <f>SUM(F497:AV497)</f>
        <v>0</v>
      </c>
      <c r="AX497" s="780"/>
      <c r="AY497" s="780"/>
      <c r="AZ497" s="263"/>
      <c r="BA497" s="782"/>
      <c r="BB497" s="782"/>
      <c r="BC497" s="782"/>
      <c r="BD497" s="782"/>
      <c r="BE497" s="782"/>
    </row>
    <row r="498" spans="1:57" ht="12.6" customHeight="1" x14ac:dyDescent="0.25">
      <c r="A498" s="243" t="s">
        <v>1477</v>
      </c>
      <c r="B498" s="208"/>
      <c r="C498" s="208"/>
      <c r="D498" s="208"/>
      <c r="E498" s="208"/>
      <c r="F498" s="780">
        <f>SUM(ANALYTIKAVUJ!$C$46)*-1</f>
        <v>0</v>
      </c>
      <c r="G498" s="780"/>
      <c r="H498" s="780"/>
      <c r="I498" s="781">
        <f>SUM(ANALYTIKAVUJ!$C$47)*-1</f>
        <v>0</v>
      </c>
      <c r="J498" s="781"/>
      <c r="K498" s="781"/>
      <c r="L498" s="781"/>
      <c r="M498" s="781">
        <f>SUM(ANALYTIKAVUJ!$C$48)*-1</f>
        <v>0</v>
      </c>
      <c r="N498" s="781"/>
      <c r="O498" s="781"/>
      <c r="P498" s="781"/>
      <c r="Q498" s="781">
        <f>SUM(ANALYTIKAVUJ!$C$49)*-1</f>
        <v>0</v>
      </c>
      <c r="R498" s="781"/>
      <c r="S498" s="781"/>
      <c r="T498" s="781"/>
      <c r="U498" s="781">
        <f>SUM(ANALYTIKAVUJ!$C$50)*-1</f>
        <v>0</v>
      </c>
      <c r="V498" s="781"/>
      <c r="W498" s="781"/>
      <c r="X498" s="781"/>
      <c r="Y498" s="781">
        <f>SUM(ANALYTIKAVUJ!$C$51)*-1</f>
        <v>0</v>
      </c>
      <c r="Z498" s="781"/>
      <c r="AA498" s="781"/>
      <c r="AB498" s="781"/>
      <c r="AC498" s="781">
        <f>SUM(ANALYTIKAVUJ!$C$52)*-1</f>
        <v>0</v>
      </c>
      <c r="AD498" s="781"/>
      <c r="AE498" s="781"/>
      <c r="AF498" s="781"/>
      <c r="AG498" s="781">
        <f>SUM(ANALYTIKAVUJ!$C$53)*-1</f>
        <v>0</v>
      </c>
      <c r="AH498" s="781"/>
      <c r="AI498" s="781"/>
      <c r="AJ498" s="781"/>
      <c r="AK498" s="781"/>
      <c r="AL498" s="781"/>
      <c r="AM498" s="781"/>
      <c r="AN498" s="781"/>
      <c r="AO498" s="781">
        <f>SUM(ANALYTIKAVUJ!$C$54)*-1</f>
        <v>0</v>
      </c>
      <c r="AP498" s="781"/>
      <c r="AQ498" s="781"/>
      <c r="AR498" s="781"/>
      <c r="AS498" s="781">
        <f>SUM(ANALYTIKAVUJ!$C$43)*-1</f>
        <v>0</v>
      </c>
      <c r="AT498" s="781"/>
      <c r="AU498" s="781"/>
      <c r="AV498" s="781"/>
      <c r="AW498" s="780">
        <f>SUM(F498:AV500)</f>
        <v>0</v>
      </c>
      <c r="AX498" s="780"/>
      <c r="AY498" s="780"/>
      <c r="AZ498" s="263"/>
      <c r="BA498" s="782"/>
      <c r="BB498" s="782"/>
      <c r="BC498" s="782"/>
      <c r="BD498" s="782"/>
      <c r="BE498" s="782"/>
    </row>
    <row r="499" spans="1:57" ht="12.6" customHeight="1" x14ac:dyDescent="0.25">
      <c r="A499" s="243" t="s">
        <v>1524</v>
      </c>
      <c r="B499" s="208"/>
      <c r="C499" s="208"/>
      <c r="D499" s="208"/>
      <c r="E499" s="208"/>
      <c r="F499" s="780"/>
      <c r="G499" s="780"/>
      <c r="H499" s="780"/>
      <c r="I499" s="781"/>
      <c r="J499" s="781"/>
      <c r="K499" s="781"/>
      <c r="L499" s="781"/>
      <c r="M499" s="781"/>
      <c r="N499" s="781"/>
      <c r="O499" s="781"/>
      <c r="P499" s="781"/>
      <c r="Q499" s="781"/>
      <c r="R499" s="781"/>
      <c r="S499" s="781"/>
      <c r="T499" s="781"/>
      <c r="U499" s="781"/>
      <c r="V499" s="781"/>
      <c r="W499" s="781"/>
      <c r="X499" s="781"/>
      <c r="Y499" s="781"/>
      <c r="Z499" s="781"/>
      <c r="AA499" s="781"/>
      <c r="AB499" s="781"/>
      <c r="AC499" s="781"/>
      <c r="AD499" s="781"/>
      <c r="AE499" s="781"/>
      <c r="AF499" s="781"/>
      <c r="AG499" s="781"/>
      <c r="AH499" s="781"/>
      <c r="AI499" s="781"/>
      <c r="AJ499" s="781"/>
      <c r="AK499" s="781"/>
      <c r="AL499" s="781"/>
      <c r="AM499" s="781"/>
      <c r="AN499" s="781"/>
      <c r="AO499" s="781"/>
      <c r="AP499" s="781"/>
      <c r="AQ499" s="781"/>
      <c r="AR499" s="781"/>
      <c r="AS499" s="781"/>
      <c r="AT499" s="781"/>
      <c r="AU499" s="781"/>
      <c r="AV499" s="781"/>
      <c r="AW499" s="780"/>
      <c r="AX499" s="780"/>
      <c r="AY499" s="780"/>
      <c r="AZ499" s="263"/>
      <c r="BA499" s="782"/>
      <c r="BB499" s="782"/>
      <c r="BC499" s="782"/>
      <c r="BD499" s="782"/>
      <c r="BE499" s="782"/>
    </row>
    <row r="500" spans="1:57" ht="12.6" customHeight="1" x14ac:dyDescent="0.25">
      <c r="A500" s="251" t="s">
        <v>1525</v>
      </c>
      <c r="B500" s="247"/>
      <c r="C500" s="247"/>
      <c r="D500" s="247"/>
      <c r="E500" s="247"/>
      <c r="F500" s="780"/>
      <c r="G500" s="780"/>
      <c r="H500" s="780"/>
      <c r="I500" s="781"/>
      <c r="J500" s="781"/>
      <c r="K500" s="781"/>
      <c r="L500" s="781"/>
      <c r="M500" s="781"/>
      <c r="N500" s="781"/>
      <c r="O500" s="781"/>
      <c r="P500" s="781"/>
      <c r="Q500" s="781"/>
      <c r="R500" s="781"/>
      <c r="S500" s="781"/>
      <c r="T500" s="781"/>
      <c r="U500" s="781"/>
      <c r="V500" s="781"/>
      <c r="W500" s="781"/>
      <c r="X500" s="781"/>
      <c r="Y500" s="781"/>
      <c r="Z500" s="781"/>
      <c r="AA500" s="781"/>
      <c r="AB500" s="781"/>
      <c r="AC500" s="781"/>
      <c r="AD500" s="781"/>
      <c r="AE500" s="781"/>
      <c r="AF500" s="781"/>
      <c r="AG500" s="781"/>
      <c r="AH500" s="781"/>
      <c r="AI500" s="781"/>
      <c r="AJ500" s="781"/>
      <c r="AK500" s="781"/>
      <c r="AL500" s="781"/>
      <c r="AM500" s="781"/>
      <c r="AN500" s="781"/>
      <c r="AO500" s="781"/>
      <c r="AP500" s="781"/>
      <c r="AQ500" s="781"/>
      <c r="AR500" s="781"/>
      <c r="AS500" s="781"/>
      <c r="AT500" s="781"/>
      <c r="AU500" s="781"/>
      <c r="AV500" s="781"/>
      <c r="AW500" s="780"/>
      <c r="AX500" s="780"/>
      <c r="AY500" s="780"/>
      <c r="AZ500" s="263"/>
      <c r="BA500" s="782"/>
      <c r="BB500" s="782"/>
      <c r="BC500" s="782"/>
      <c r="BD500" s="782"/>
      <c r="BE500" s="782"/>
    </row>
    <row r="501" spans="1:57" ht="12.6" customHeight="1" x14ac:dyDescent="0.25">
      <c r="A501" s="246" t="s">
        <v>1547</v>
      </c>
      <c r="B501" s="246"/>
      <c r="C501" s="246"/>
      <c r="D501" s="246"/>
      <c r="E501" s="246"/>
      <c r="F501" s="284"/>
      <c r="G501" s="284"/>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c r="AL501" s="284"/>
      <c r="AM501" s="284"/>
      <c r="AN501" s="284"/>
      <c r="AO501" s="284"/>
      <c r="AP501" s="284"/>
      <c r="AQ501" s="284"/>
      <c r="AR501" s="284"/>
      <c r="AS501" s="284"/>
      <c r="AT501" s="284"/>
      <c r="AU501" s="284"/>
      <c r="AV501" s="284"/>
      <c r="AW501" s="284"/>
      <c r="AX501" s="284"/>
      <c r="AY501" s="284"/>
      <c r="AZ501" s="263"/>
      <c r="BA501" s="283"/>
      <c r="BB501" s="283"/>
      <c r="BC501" s="283"/>
      <c r="BD501" s="283"/>
      <c r="BE501" s="283"/>
    </row>
    <row r="502" spans="1:57" ht="12.6" customHeight="1" x14ac:dyDescent="0.25">
      <c r="A502" s="241" t="s">
        <v>1522</v>
      </c>
      <c r="B502" s="249"/>
      <c r="C502" s="249"/>
      <c r="D502" s="249"/>
      <c r="E502" s="249"/>
      <c r="F502" s="780">
        <f>SUM(F480-F491)</f>
        <v>0</v>
      </c>
      <c r="G502" s="780"/>
      <c r="H502" s="780"/>
      <c r="I502" s="781">
        <f>SUM(I480-I491)</f>
        <v>0</v>
      </c>
      <c r="J502" s="781"/>
      <c r="K502" s="781"/>
      <c r="L502" s="781"/>
      <c r="M502" s="781">
        <f>SUM(M480-M491)</f>
        <v>0</v>
      </c>
      <c r="N502" s="781"/>
      <c r="O502" s="781"/>
      <c r="P502" s="781"/>
      <c r="Q502" s="781">
        <f>SUM(Q480-Q491)</f>
        <v>0</v>
      </c>
      <c r="R502" s="781"/>
      <c r="S502" s="781"/>
      <c r="T502" s="781"/>
      <c r="U502" s="781">
        <f>SUM(U480-U491)</f>
        <v>0</v>
      </c>
      <c r="V502" s="781"/>
      <c r="W502" s="781"/>
      <c r="X502" s="781"/>
      <c r="Y502" s="781">
        <f>SUM(Y480-Y491)</f>
        <v>0</v>
      </c>
      <c r="Z502" s="781"/>
      <c r="AA502" s="781"/>
      <c r="AB502" s="781"/>
      <c r="AC502" s="781">
        <f>SUM(AC480-AC491)</f>
        <v>0</v>
      </c>
      <c r="AD502" s="781"/>
      <c r="AE502" s="781"/>
      <c r="AF502" s="781"/>
      <c r="AG502" s="781">
        <f>SUM(AG480-AG491)</f>
        <v>0</v>
      </c>
      <c r="AH502" s="781"/>
      <c r="AI502" s="781"/>
      <c r="AJ502" s="781"/>
      <c r="AK502" s="781">
        <f>SUM(AK480-AK491)</f>
        <v>0</v>
      </c>
      <c r="AL502" s="781"/>
      <c r="AM502" s="781"/>
      <c r="AN502" s="781"/>
      <c r="AO502" s="781">
        <f>SUM(AO480-AO491)</f>
        <v>0</v>
      </c>
      <c r="AP502" s="781"/>
      <c r="AQ502" s="781"/>
      <c r="AR502" s="781"/>
      <c r="AS502" s="781">
        <f>SUM(AS480-AS491)</f>
        <v>0</v>
      </c>
      <c r="AT502" s="781"/>
      <c r="AU502" s="781"/>
      <c r="AV502" s="781"/>
      <c r="AW502" s="780">
        <f>SUM(F502:AV505)</f>
        <v>0</v>
      </c>
      <c r="AX502" s="780"/>
      <c r="AY502" s="780"/>
      <c r="AZ502" s="263"/>
      <c r="BA502" s="785"/>
      <c r="BB502" s="785"/>
      <c r="BC502" s="785"/>
      <c r="BD502" s="785"/>
      <c r="BE502" s="785"/>
    </row>
    <row r="503" spans="1:57" ht="12.6" customHeight="1" x14ac:dyDescent="0.25">
      <c r="A503" s="243" t="s">
        <v>1523</v>
      </c>
      <c r="B503" s="208"/>
      <c r="C503" s="208"/>
      <c r="D503" s="208"/>
      <c r="E503" s="208"/>
      <c r="F503" s="780"/>
      <c r="G503" s="780"/>
      <c r="H503" s="780"/>
      <c r="I503" s="781"/>
      <c r="J503" s="781"/>
      <c r="K503" s="781"/>
      <c r="L503" s="781"/>
      <c r="M503" s="781"/>
      <c r="N503" s="781"/>
      <c r="O503" s="781"/>
      <c r="P503" s="781"/>
      <c r="Q503" s="781"/>
      <c r="R503" s="781"/>
      <c r="S503" s="781"/>
      <c r="T503" s="781"/>
      <c r="U503" s="781"/>
      <c r="V503" s="781"/>
      <c r="W503" s="781"/>
      <c r="X503" s="781"/>
      <c r="Y503" s="781"/>
      <c r="Z503" s="781"/>
      <c r="AA503" s="781"/>
      <c r="AB503" s="781"/>
      <c r="AC503" s="781"/>
      <c r="AD503" s="781"/>
      <c r="AE503" s="781"/>
      <c r="AF503" s="781"/>
      <c r="AG503" s="781"/>
      <c r="AH503" s="781"/>
      <c r="AI503" s="781"/>
      <c r="AJ503" s="781"/>
      <c r="AK503" s="781"/>
      <c r="AL503" s="781"/>
      <c r="AM503" s="781"/>
      <c r="AN503" s="781"/>
      <c r="AO503" s="781"/>
      <c r="AP503" s="781"/>
      <c r="AQ503" s="781"/>
      <c r="AR503" s="781"/>
      <c r="AS503" s="781"/>
      <c r="AT503" s="781"/>
      <c r="AU503" s="781"/>
      <c r="AV503" s="781"/>
      <c r="AW503" s="780"/>
      <c r="AX503" s="780"/>
      <c r="AY503" s="780"/>
      <c r="AZ503" s="263"/>
      <c r="BA503" s="785"/>
      <c r="BB503" s="785"/>
      <c r="BC503" s="785"/>
      <c r="BD503" s="785"/>
      <c r="BE503" s="785"/>
    </row>
    <row r="504" spans="1:57" ht="12.6" customHeight="1" x14ac:dyDescent="0.25">
      <c r="A504" s="243" t="s">
        <v>1524</v>
      </c>
      <c r="B504" s="208"/>
      <c r="C504" s="208"/>
      <c r="D504" s="208"/>
      <c r="E504" s="208"/>
      <c r="F504" s="780"/>
      <c r="G504" s="780"/>
      <c r="H504" s="780"/>
      <c r="I504" s="781"/>
      <c r="J504" s="781"/>
      <c r="K504" s="781"/>
      <c r="L504" s="781"/>
      <c r="M504" s="781"/>
      <c r="N504" s="781"/>
      <c r="O504" s="781"/>
      <c r="P504" s="781"/>
      <c r="Q504" s="781"/>
      <c r="R504" s="781"/>
      <c r="S504" s="781"/>
      <c r="T504" s="781"/>
      <c r="U504" s="781"/>
      <c r="V504" s="781"/>
      <c r="W504" s="781"/>
      <c r="X504" s="781"/>
      <c r="Y504" s="781"/>
      <c r="Z504" s="781"/>
      <c r="AA504" s="781"/>
      <c r="AB504" s="781"/>
      <c r="AC504" s="781"/>
      <c r="AD504" s="781"/>
      <c r="AE504" s="781"/>
      <c r="AF504" s="781"/>
      <c r="AG504" s="781"/>
      <c r="AH504" s="781"/>
      <c r="AI504" s="781"/>
      <c r="AJ504" s="781"/>
      <c r="AK504" s="781"/>
      <c r="AL504" s="781"/>
      <c r="AM504" s="781"/>
      <c r="AN504" s="781"/>
      <c r="AO504" s="781"/>
      <c r="AP504" s="781"/>
      <c r="AQ504" s="781"/>
      <c r="AR504" s="781"/>
      <c r="AS504" s="781"/>
      <c r="AT504" s="781"/>
      <c r="AU504" s="781"/>
      <c r="AV504" s="781"/>
      <c r="AW504" s="780"/>
      <c r="AX504" s="780"/>
      <c r="AY504" s="780"/>
      <c r="AZ504" s="263"/>
      <c r="BA504" s="785"/>
      <c r="BB504" s="785"/>
      <c r="BC504" s="785"/>
      <c r="BD504" s="785"/>
      <c r="BE504" s="785"/>
    </row>
    <row r="505" spans="1:57" ht="12.6" customHeight="1" x14ac:dyDescent="0.25">
      <c r="A505" s="243" t="s">
        <v>1525</v>
      </c>
      <c r="B505" s="208"/>
      <c r="C505" s="208"/>
      <c r="D505" s="208"/>
      <c r="E505" s="208"/>
      <c r="F505" s="780"/>
      <c r="G505" s="780"/>
      <c r="H505" s="780"/>
      <c r="I505" s="781"/>
      <c r="J505" s="781"/>
      <c r="K505" s="781"/>
      <c r="L505" s="781"/>
      <c r="M505" s="781"/>
      <c r="N505" s="781"/>
      <c r="O505" s="781"/>
      <c r="P505" s="781"/>
      <c r="Q505" s="781"/>
      <c r="R505" s="781"/>
      <c r="S505" s="781"/>
      <c r="T505" s="781"/>
      <c r="U505" s="781"/>
      <c r="V505" s="781"/>
      <c r="W505" s="781"/>
      <c r="X505" s="781"/>
      <c r="Y505" s="781"/>
      <c r="Z505" s="781"/>
      <c r="AA505" s="781"/>
      <c r="AB505" s="781"/>
      <c r="AC505" s="781"/>
      <c r="AD505" s="781"/>
      <c r="AE505" s="781"/>
      <c r="AF505" s="781"/>
      <c r="AG505" s="781"/>
      <c r="AH505" s="781"/>
      <c r="AI505" s="781"/>
      <c r="AJ505" s="781"/>
      <c r="AK505" s="781"/>
      <c r="AL505" s="781"/>
      <c r="AM505" s="781"/>
      <c r="AN505" s="781"/>
      <c r="AO505" s="781"/>
      <c r="AP505" s="781"/>
      <c r="AQ505" s="781"/>
      <c r="AR505" s="781"/>
      <c r="AS505" s="781"/>
      <c r="AT505" s="781"/>
      <c r="AU505" s="781"/>
      <c r="AV505" s="781"/>
      <c r="AW505" s="780"/>
      <c r="AX505" s="780"/>
      <c r="AY505" s="780"/>
      <c r="AZ505" s="263"/>
      <c r="BA505" s="785"/>
      <c r="BB505" s="785"/>
      <c r="BC505" s="785"/>
      <c r="BD505" s="785"/>
      <c r="BE505" s="785"/>
    </row>
    <row r="506" spans="1:57" ht="12.6" customHeight="1" x14ac:dyDescent="0.25">
      <c r="A506" s="241" t="s">
        <v>1477</v>
      </c>
      <c r="B506" s="249"/>
      <c r="C506" s="249"/>
      <c r="D506" s="249"/>
      <c r="E506" s="249"/>
      <c r="F506" s="780">
        <f>SUM(F487-F498)</f>
        <v>0</v>
      </c>
      <c r="G506" s="780"/>
      <c r="H506" s="780"/>
      <c r="I506" s="781">
        <f>SUM(I487-I498)</f>
        <v>0</v>
      </c>
      <c r="J506" s="781"/>
      <c r="K506" s="781"/>
      <c r="L506" s="781"/>
      <c r="M506" s="781">
        <f>SUM(M487-M498)</f>
        <v>0</v>
      </c>
      <c r="N506" s="781"/>
      <c r="O506" s="781"/>
      <c r="P506" s="781"/>
      <c r="Q506" s="781">
        <f>SUM(Q487-Q498)</f>
        <v>0</v>
      </c>
      <c r="R506" s="781"/>
      <c r="S506" s="781"/>
      <c r="T506" s="781"/>
      <c r="U506" s="781">
        <f>SUM(U487-U498)</f>
        <v>0</v>
      </c>
      <c r="V506" s="781"/>
      <c r="W506" s="781"/>
      <c r="X506" s="781"/>
      <c r="Y506" s="781">
        <f>SUM(Y487-Y498)</f>
        <v>0</v>
      </c>
      <c r="Z506" s="781"/>
      <c r="AA506" s="781"/>
      <c r="AB506" s="781"/>
      <c r="AC506" s="781">
        <f>SUM(AC487-AC498)</f>
        <v>0</v>
      </c>
      <c r="AD506" s="781"/>
      <c r="AE506" s="781"/>
      <c r="AF506" s="781"/>
      <c r="AG506" s="781">
        <f>SUM(AG487-AG498)</f>
        <v>0</v>
      </c>
      <c r="AH506" s="781"/>
      <c r="AI506" s="781"/>
      <c r="AJ506" s="781"/>
      <c r="AK506" s="781">
        <f>SUM(AK487-AK498)</f>
        <v>0</v>
      </c>
      <c r="AL506" s="781"/>
      <c r="AM506" s="781"/>
      <c r="AN506" s="781"/>
      <c r="AO506" s="781">
        <f>SUM(AO487-AO498)</f>
        <v>0</v>
      </c>
      <c r="AP506" s="781"/>
      <c r="AQ506" s="781"/>
      <c r="AR506" s="781"/>
      <c r="AS506" s="781">
        <f>SUM(AS487-AS498)</f>
        <v>0</v>
      </c>
      <c r="AT506" s="781"/>
      <c r="AU506" s="781"/>
      <c r="AV506" s="781"/>
      <c r="AW506" s="786">
        <f>SUM(F506:AV508)</f>
        <v>0</v>
      </c>
      <c r="AX506" s="786"/>
      <c r="AY506" s="786"/>
      <c r="AZ506" s="263"/>
      <c r="BA506" s="785"/>
      <c r="BB506" s="785"/>
      <c r="BC506" s="785"/>
      <c r="BD506" s="785"/>
      <c r="BE506" s="785"/>
    </row>
    <row r="507" spans="1:57" ht="12.6" customHeight="1" x14ac:dyDescent="0.25">
      <c r="A507" s="243" t="s">
        <v>1524</v>
      </c>
      <c r="B507" s="208"/>
      <c r="C507" s="208"/>
      <c r="D507" s="208"/>
      <c r="E507" s="208"/>
      <c r="F507" s="780"/>
      <c r="G507" s="780"/>
      <c r="H507" s="780"/>
      <c r="I507" s="781"/>
      <c r="J507" s="781"/>
      <c r="K507" s="781"/>
      <c r="L507" s="781"/>
      <c r="M507" s="781"/>
      <c r="N507" s="781"/>
      <c r="O507" s="781"/>
      <c r="P507" s="781"/>
      <c r="Q507" s="781"/>
      <c r="R507" s="781"/>
      <c r="S507" s="781"/>
      <c r="T507" s="781"/>
      <c r="U507" s="781"/>
      <c r="V507" s="781"/>
      <c r="W507" s="781"/>
      <c r="X507" s="781"/>
      <c r="Y507" s="781"/>
      <c r="Z507" s="781"/>
      <c r="AA507" s="781"/>
      <c r="AB507" s="781"/>
      <c r="AC507" s="781"/>
      <c r="AD507" s="781"/>
      <c r="AE507" s="781"/>
      <c r="AF507" s="781"/>
      <c r="AG507" s="781"/>
      <c r="AH507" s="781"/>
      <c r="AI507" s="781"/>
      <c r="AJ507" s="781"/>
      <c r="AK507" s="781"/>
      <c r="AL507" s="781"/>
      <c r="AM507" s="781"/>
      <c r="AN507" s="781"/>
      <c r="AO507" s="781"/>
      <c r="AP507" s="781"/>
      <c r="AQ507" s="781"/>
      <c r="AR507" s="781"/>
      <c r="AS507" s="781"/>
      <c r="AT507" s="781"/>
      <c r="AU507" s="781"/>
      <c r="AV507" s="781"/>
      <c r="AW507" s="786"/>
      <c r="AX507" s="786"/>
      <c r="AY507" s="786"/>
      <c r="AZ507" s="263"/>
      <c r="BA507" s="785"/>
      <c r="BB507" s="785"/>
      <c r="BC507" s="785"/>
      <c r="BD507" s="785"/>
      <c r="BE507" s="785"/>
    </row>
    <row r="508" spans="1:57" ht="12.6" customHeight="1" x14ac:dyDescent="0.25">
      <c r="A508" s="251" t="s">
        <v>1525</v>
      </c>
      <c r="B508" s="247"/>
      <c r="C508" s="247"/>
      <c r="D508" s="247"/>
      <c r="E508" s="247"/>
      <c r="F508" s="780"/>
      <c r="G508" s="780"/>
      <c r="H508" s="780"/>
      <c r="I508" s="781"/>
      <c r="J508" s="781"/>
      <c r="K508" s="781"/>
      <c r="L508" s="781"/>
      <c r="M508" s="781"/>
      <c r="N508" s="781"/>
      <c r="O508" s="781"/>
      <c r="P508" s="781"/>
      <c r="Q508" s="781"/>
      <c r="R508" s="781"/>
      <c r="S508" s="781"/>
      <c r="T508" s="781"/>
      <c r="U508" s="781"/>
      <c r="V508" s="781"/>
      <c r="W508" s="781"/>
      <c r="X508" s="781"/>
      <c r="Y508" s="781"/>
      <c r="Z508" s="781"/>
      <c r="AA508" s="781"/>
      <c r="AB508" s="781"/>
      <c r="AC508" s="781"/>
      <c r="AD508" s="781"/>
      <c r="AE508" s="781"/>
      <c r="AF508" s="781"/>
      <c r="AG508" s="781"/>
      <c r="AH508" s="781"/>
      <c r="AI508" s="781"/>
      <c r="AJ508" s="781"/>
      <c r="AK508" s="781"/>
      <c r="AL508" s="781"/>
      <c r="AM508" s="781"/>
      <c r="AN508" s="781"/>
      <c r="AO508" s="781"/>
      <c r="AP508" s="781"/>
      <c r="AQ508" s="781"/>
      <c r="AR508" s="781"/>
      <c r="AS508" s="781"/>
      <c r="AT508" s="781"/>
      <c r="AU508" s="781"/>
      <c r="AV508" s="781"/>
      <c r="AW508" s="786"/>
      <c r="AX508" s="786"/>
      <c r="AY508" s="786"/>
      <c r="AZ508" s="263"/>
      <c r="BA508" s="785"/>
      <c r="BB508" s="785"/>
      <c r="BC508" s="785"/>
      <c r="BD508" s="785"/>
      <c r="BE508" s="785"/>
    </row>
    <row r="509" spans="1:57" ht="12.6" customHeight="1" x14ac:dyDescent="0.25">
      <c r="A509" s="244"/>
      <c r="B509" s="208"/>
      <c r="C509" s="208"/>
      <c r="D509" s="208"/>
      <c r="E509" s="208"/>
      <c r="F509" s="285"/>
      <c r="G509" s="285"/>
      <c r="H509" s="285"/>
      <c r="I509" s="282"/>
      <c r="J509" s="282"/>
      <c r="K509" s="282"/>
      <c r="L509" s="282"/>
      <c r="M509" s="282"/>
      <c r="N509" s="282"/>
      <c r="O509" s="282"/>
      <c r="P509" s="282"/>
      <c r="Q509" s="282"/>
      <c r="R509" s="282"/>
      <c r="S509" s="282"/>
      <c r="T509" s="282"/>
      <c r="U509" s="282"/>
      <c r="V509" s="282"/>
      <c r="W509" s="282"/>
      <c r="X509" s="282"/>
      <c r="Y509" s="282"/>
      <c r="Z509" s="282"/>
      <c r="AA509" s="282"/>
      <c r="AB509" s="282"/>
      <c r="AC509" s="282"/>
      <c r="AD509" s="282"/>
      <c r="AE509" s="282"/>
      <c r="AF509" s="282"/>
      <c r="AG509" s="282"/>
      <c r="AH509" s="282"/>
      <c r="AI509" s="282"/>
      <c r="AJ509" s="282"/>
      <c r="AK509" s="282"/>
      <c r="AL509" s="282"/>
      <c r="AM509" s="282"/>
      <c r="AN509" s="282"/>
      <c r="AO509" s="282"/>
      <c r="AP509" s="282"/>
      <c r="AQ509" s="282"/>
      <c r="AR509" s="282"/>
      <c r="AS509" s="282"/>
      <c r="AT509" s="282"/>
      <c r="AU509" s="282"/>
      <c r="AV509" s="282"/>
      <c r="AW509" s="286"/>
      <c r="AX509" s="286"/>
      <c r="AY509" s="286"/>
      <c r="AZ509" s="263"/>
      <c r="BA509" s="264"/>
      <c r="BB509" s="264"/>
      <c r="BC509" s="264"/>
      <c r="BD509" s="264"/>
      <c r="BE509" s="264"/>
    </row>
    <row r="510" spans="1:57" ht="12.6" customHeight="1" x14ac:dyDescent="0.25">
      <c r="A510" s="244"/>
      <c r="B510" s="208"/>
      <c r="C510" s="208"/>
      <c r="D510" s="208"/>
      <c r="E510" s="208"/>
      <c r="F510" s="285"/>
      <c r="G510" s="285"/>
      <c r="H510" s="285"/>
      <c r="I510" s="282"/>
      <c r="J510" s="282"/>
      <c r="K510" s="282"/>
      <c r="L510" s="282"/>
      <c r="M510" s="282"/>
      <c r="N510" s="282"/>
      <c r="O510" s="282"/>
      <c r="P510" s="282"/>
      <c r="Q510" s="282"/>
      <c r="R510" s="282"/>
      <c r="S510" s="282"/>
      <c r="T510" s="282"/>
      <c r="U510" s="282"/>
      <c r="V510" s="282"/>
      <c r="W510" s="282"/>
      <c r="X510" s="282"/>
      <c r="Y510" s="282"/>
      <c r="Z510" s="282"/>
      <c r="AA510" s="282"/>
      <c r="AB510" s="282"/>
      <c r="AC510" s="282"/>
      <c r="AD510" s="282"/>
      <c r="AE510" s="282"/>
      <c r="AF510" s="282"/>
      <c r="AG510" s="282"/>
      <c r="AH510" s="282"/>
      <c r="AI510" s="282"/>
      <c r="AJ510" s="282"/>
      <c r="AK510" s="282"/>
      <c r="AL510" s="282"/>
      <c r="AM510" s="282"/>
      <c r="AN510" s="282"/>
      <c r="AO510" s="282"/>
      <c r="AP510" s="282"/>
      <c r="AQ510" s="282"/>
      <c r="AR510" s="282"/>
      <c r="AS510" s="282"/>
      <c r="AT510" s="282"/>
      <c r="AU510" s="282"/>
      <c r="AV510" s="282"/>
      <c r="AW510" s="286"/>
      <c r="AX510" s="286"/>
      <c r="AY510" s="286"/>
      <c r="AZ510" s="263"/>
      <c r="BA510" s="264"/>
      <c r="BB510" s="264"/>
      <c r="BC510" s="264"/>
      <c r="BD510" s="264"/>
      <c r="BE510" s="264"/>
    </row>
    <row r="511" spans="1:57" ht="12.6" customHeight="1" x14ac:dyDescent="0.25">
      <c r="A511" s="244"/>
      <c r="B511" s="208"/>
      <c r="C511" s="208"/>
      <c r="D511" s="208"/>
      <c r="E511" s="208"/>
      <c r="F511" s="285"/>
      <c r="G511" s="285"/>
      <c r="H511" s="285"/>
      <c r="I511" s="282"/>
      <c r="J511" s="282"/>
      <c r="K511" s="282"/>
      <c r="L511" s="282"/>
      <c r="M511" s="282"/>
      <c r="N511" s="282"/>
      <c r="O511" s="282"/>
      <c r="P511" s="282"/>
      <c r="Q511" s="282"/>
      <c r="R511" s="282"/>
      <c r="S511" s="282"/>
      <c r="T511" s="282"/>
      <c r="U511" s="282"/>
      <c r="V511" s="282"/>
      <c r="W511" s="282"/>
      <c r="X511" s="282"/>
      <c r="Y511" s="282"/>
      <c r="Z511" s="282"/>
      <c r="AA511" s="282"/>
      <c r="AB511" s="282"/>
      <c r="AC511" s="282"/>
      <c r="AD511" s="282"/>
      <c r="AE511" s="282"/>
      <c r="AF511" s="282"/>
      <c r="AG511" s="282"/>
      <c r="AH511" s="282"/>
      <c r="AI511" s="282"/>
      <c r="AJ511" s="282"/>
      <c r="AK511" s="282"/>
      <c r="AL511" s="282"/>
      <c r="AM511" s="282"/>
      <c r="AN511" s="282"/>
      <c r="AO511" s="282"/>
      <c r="AP511" s="282"/>
      <c r="AQ511" s="282"/>
      <c r="AR511" s="282"/>
      <c r="AS511" s="282"/>
      <c r="AT511" s="282"/>
      <c r="AU511" s="282"/>
      <c r="AV511" s="282"/>
      <c r="AW511" s="286"/>
      <c r="AX511" s="286"/>
      <c r="AY511" s="286"/>
      <c r="AZ511" s="263"/>
      <c r="BA511" s="264"/>
      <c r="BB511" s="264"/>
      <c r="BC511" s="264"/>
      <c r="BD511" s="264"/>
      <c r="BE511" s="264"/>
    </row>
    <row r="512" spans="1:57" ht="12.6" customHeight="1" x14ac:dyDescent="0.25">
      <c r="A512" s="244"/>
      <c r="B512" s="208"/>
      <c r="C512" s="208"/>
      <c r="D512" s="208"/>
      <c r="E512" s="208"/>
      <c r="F512" s="285"/>
      <c r="G512" s="285"/>
      <c r="H512" s="285"/>
      <c r="I512" s="282"/>
      <c r="J512" s="282"/>
      <c r="K512" s="282"/>
      <c r="L512" s="282"/>
      <c r="M512" s="282"/>
      <c r="N512" s="282"/>
      <c r="O512" s="282"/>
      <c r="P512" s="282"/>
      <c r="Q512" s="282"/>
      <c r="R512" s="282"/>
      <c r="S512" s="282"/>
      <c r="T512" s="282"/>
      <c r="U512" s="282"/>
      <c r="V512" s="282"/>
      <c r="W512" s="282"/>
      <c r="X512" s="282"/>
      <c r="Y512" s="282"/>
      <c r="Z512" s="282"/>
      <c r="AA512" s="282"/>
      <c r="AB512" s="282"/>
      <c r="AC512" s="282"/>
      <c r="AD512" s="282"/>
      <c r="AE512" s="282"/>
      <c r="AF512" s="282"/>
      <c r="AG512" s="282"/>
      <c r="AH512" s="282"/>
      <c r="AI512" s="282"/>
      <c r="AJ512" s="282"/>
      <c r="AK512" s="282"/>
      <c r="AL512" s="282"/>
      <c r="AM512" s="282"/>
      <c r="AN512" s="282"/>
      <c r="AO512" s="282"/>
      <c r="AP512" s="282"/>
      <c r="AQ512" s="282"/>
      <c r="AR512" s="282"/>
      <c r="AS512" s="282"/>
      <c r="AT512" s="282"/>
      <c r="AU512" s="282"/>
      <c r="AV512" s="282"/>
      <c r="AW512" s="286"/>
      <c r="AX512" s="286"/>
      <c r="AY512" s="286"/>
      <c r="AZ512" s="263"/>
      <c r="BA512" s="264"/>
      <c r="BB512" s="264"/>
      <c r="BC512" s="264"/>
      <c r="BD512" s="264"/>
      <c r="BE512" s="264"/>
    </row>
    <row r="513" spans="1:57" ht="12.6" customHeight="1" x14ac:dyDescent="0.25">
      <c r="A513" s="244"/>
      <c r="B513" s="208"/>
      <c r="C513" s="208"/>
      <c r="D513" s="208"/>
      <c r="E513" s="208"/>
      <c r="F513" s="285"/>
      <c r="G513" s="285"/>
      <c r="H513" s="285"/>
      <c r="I513" s="282"/>
      <c r="J513" s="282"/>
      <c r="K513" s="282"/>
      <c r="L513" s="282"/>
      <c r="M513" s="282"/>
      <c r="N513" s="282"/>
      <c r="O513" s="282"/>
      <c r="P513" s="282"/>
      <c r="Q513" s="282"/>
      <c r="R513" s="282"/>
      <c r="S513" s="282"/>
      <c r="T513" s="282"/>
      <c r="U513" s="282"/>
      <c r="V513" s="282"/>
      <c r="W513" s="282"/>
      <c r="X513" s="282"/>
      <c r="Y513" s="282"/>
      <c r="Z513" s="282"/>
      <c r="AA513" s="282"/>
      <c r="AB513" s="282"/>
      <c r="AC513" s="282"/>
      <c r="AD513" s="282"/>
      <c r="AE513" s="282"/>
      <c r="AF513" s="282"/>
      <c r="AG513" s="282"/>
      <c r="AH513" s="282"/>
      <c r="AI513" s="282"/>
      <c r="AJ513" s="282"/>
      <c r="AK513" s="282"/>
      <c r="AL513" s="282"/>
      <c r="AM513" s="282"/>
      <c r="AN513" s="282"/>
      <c r="AO513" s="282"/>
      <c r="AP513" s="282"/>
      <c r="AQ513" s="282"/>
      <c r="AR513" s="282"/>
      <c r="AS513" s="282"/>
      <c r="AT513" s="282"/>
      <c r="AU513" s="282"/>
      <c r="AV513" s="282"/>
      <c r="AW513" s="286"/>
      <c r="AX513" s="286"/>
      <c r="AY513" s="286"/>
      <c r="AZ513" s="263"/>
      <c r="BA513" s="264"/>
      <c r="BB513" s="264"/>
      <c r="BC513" s="264"/>
      <c r="BD513" s="264"/>
      <c r="BE513" s="264"/>
    </row>
    <row r="514" spans="1:57" ht="12.6" customHeight="1" x14ac:dyDescent="0.25">
      <c r="A514" s="244"/>
      <c r="B514" s="208"/>
      <c r="C514" s="208"/>
      <c r="D514" s="208"/>
      <c r="E514" s="208"/>
      <c r="F514" s="285"/>
      <c r="G514" s="285"/>
      <c r="H514" s="285"/>
      <c r="I514" s="282"/>
      <c r="J514" s="282"/>
      <c r="K514" s="282"/>
      <c r="L514" s="282"/>
      <c r="M514" s="282"/>
      <c r="N514" s="282"/>
      <c r="O514" s="282"/>
      <c r="P514" s="282"/>
      <c r="Q514" s="282"/>
      <c r="R514" s="282"/>
      <c r="S514" s="282"/>
      <c r="T514" s="282"/>
      <c r="U514" s="282"/>
      <c r="V514" s="282"/>
      <c r="W514" s="282"/>
      <c r="X514" s="282"/>
      <c r="Y514" s="282"/>
      <c r="Z514" s="282"/>
      <c r="AA514" s="282"/>
      <c r="AB514" s="282"/>
      <c r="AC514" s="282"/>
      <c r="AD514" s="282"/>
      <c r="AE514" s="282"/>
      <c r="AF514" s="282"/>
      <c r="AG514" s="282"/>
      <c r="AH514" s="282"/>
      <c r="AI514" s="282"/>
      <c r="AJ514" s="282"/>
      <c r="AK514" s="282"/>
      <c r="AL514" s="282"/>
      <c r="AM514" s="282"/>
      <c r="AN514" s="282"/>
      <c r="AO514" s="282"/>
      <c r="AP514" s="282"/>
      <c r="AQ514" s="282"/>
      <c r="AR514" s="282"/>
      <c r="AS514" s="282"/>
      <c r="AT514" s="282"/>
      <c r="AU514" s="282"/>
      <c r="AV514" s="282"/>
      <c r="AW514" s="286"/>
      <c r="AX514" s="286"/>
      <c r="AY514" s="286"/>
      <c r="AZ514" s="263"/>
      <c r="BA514" s="264"/>
      <c r="BB514" s="264"/>
      <c r="BC514" s="264"/>
      <c r="BD514" s="264"/>
      <c r="BE514" s="264"/>
    </row>
    <row r="515" spans="1:57" ht="12.6" customHeight="1" x14ac:dyDescent="0.25">
      <c r="A515" s="244"/>
      <c r="B515" s="208"/>
      <c r="C515" s="208"/>
      <c r="D515" s="208"/>
      <c r="E515" s="208"/>
      <c r="F515" s="285"/>
      <c r="G515" s="285"/>
      <c r="H515" s="285"/>
      <c r="I515" s="282"/>
      <c r="J515" s="282"/>
      <c r="K515" s="282"/>
      <c r="L515" s="282"/>
      <c r="M515" s="282"/>
      <c r="N515" s="282"/>
      <c r="O515" s="282"/>
      <c r="P515" s="282"/>
      <c r="Q515" s="282"/>
      <c r="R515" s="282"/>
      <c r="S515" s="282"/>
      <c r="T515" s="282"/>
      <c r="U515" s="282"/>
      <c r="V515" s="282"/>
      <c r="W515" s="282"/>
      <c r="X515" s="282"/>
      <c r="Y515" s="282"/>
      <c r="Z515" s="282"/>
      <c r="AA515" s="282"/>
      <c r="AB515" s="282"/>
      <c r="AC515" s="282"/>
      <c r="AD515" s="282"/>
      <c r="AE515" s="282"/>
      <c r="AF515" s="282"/>
      <c r="AG515" s="282"/>
      <c r="AH515" s="282"/>
      <c r="AI515" s="282"/>
      <c r="AJ515" s="282"/>
      <c r="AK515" s="282"/>
      <c r="AL515" s="282"/>
      <c r="AM515" s="282"/>
      <c r="AN515" s="282"/>
      <c r="AO515" s="282"/>
      <c r="AP515" s="282"/>
      <c r="AQ515" s="282"/>
      <c r="AR515" s="282"/>
      <c r="AS515" s="282"/>
      <c r="AT515" s="282"/>
      <c r="AU515" s="282"/>
      <c r="AV515" s="282"/>
      <c r="AW515" s="286"/>
      <c r="AX515" s="286"/>
      <c r="AY515" s="286"/>
      <c r="AZ515" s="263"/>
      <c r="BA515" s="264"/>
      <c r="BB515" s="264"/>
      <c r="BC515" s="264"/>
      <c r="BD515" s="264"/>
      <c r="BE515" s="264"/>
    </row>
    <row r="516" spans="1:57" ht="12.6" customHeight="1" x14ac:dyDescent="0.25">
      <c r="A516" s="244"/>
      <c r="B516" s="208"/>
      <c r="C516" s="208"/>
      <c r="D516" s="208"/>
      <c r="E516" s="208"/>
      <c r="F516" s="285"/>
      <c r="G516" s="285"/>
      <c r="H516" s="285"/>
      <c r="I516" s="282"/>
      <c r="J516" s="282"/>
      <c r="K516" s="282"/>
      <c r="L516" s="282"/>
      <c r="M516" s="282"/>
      <c r="N516" s="282"/>
      <c r="O516" s="282"/>
      <c r="P516" s="282"/>
      <c r="Q516" s="282"/>
      <c r="R516" s="282"/>
      <c r="S516" s="282"/>
      <c r="T516" s="282"/>
      <c r="U516" s="282"/>
      <c r="V516" s="282"/>
      <c r="W516" s="282"/>
      <c r="X516" s="282"/>
      <c r="Y516" s="282"/>
      <c r="Z516" s="282"/>
      <c r="AA516" s="282"/>
      <c r="AB516" s="282"/>
      <c r="AC516" s="282"/>
      <c r="AD516" s="282"/>
      <c r="AE516" s="282"/>
      <c r="AF516" s="282"/>
      <c r="AG516" s="282"/>
      <c r="AH516" s="282"/>
      <c r="AI516" s="282"/>
      <c r="AJ516" s="282"/>
      <c r="AK516" s="282"/>
      <c r="AL516" s="282"/>
      <c r="AM516" s="282"/>
      <c r="AN516" s="282"/>
      <c r="AO516" s="282"/>
      <c r="AP516" s="282"/>
      <c r="AQ516" s="282"/>
      <c r="AR516" s="282"/>
      <c r="AS516" s="282"/>
      <c r="AT516" s="282"/>
      <c r="AU516" s="282"/>
      <c r="AV516" s="282"/>
      <c r="AW516" s="286"/>
      <c r="AX516" s="286"/>
      <c r="AY516" s="286"/>
      <c r="AZ516" s="263"/>
      <c r="BA516" s="264"/>
      <c r="BB516" s="264"/>
      <c r="BC516" s="264"/>
      <c r="BD516" s="264"/>
      <c r="BE516" s="264"/>
    </row>
    <row r="517" spans="1:57" ht="12.6" customHeight="1" x14ac:dyDescent="0.25">
      <c r="A517" s="244"/>
      <c r="B517" s="208"/>
      <c r="C517" s="208"/>
      <c r="D517" s="208"/>
      <c r="E517" s="208"/>
      <c r="F517" s="285"/>
      <c r="G517" s="285"/>
      <c r="H517" s="285"/>
      <c r="I517" s="282"/>
      <c r="J517" s="282"/>
      <c r="K517" s="282"/>
      <c r="L517" s="282"/>
      <c r="M517" s="282"/>
      <c r="N517" s="282"/>
      <c r="O517" s="282"/>
      <c r="P517" s="282"/>
      <c r="Q517" s="282"/>
      <c r="R517" s="282"/>
      <c r="S517" s="282"/>
      <c r="T517" s="282"/>
      <c r="U517" s="282"/>
      <c r="V517" s="282"/>
      <c r="W517" s="282"/>
      <c r="X517" s="282"/>
      <c r="Y517" s="282"/>
      <c r="Z517" s="282"/>
      <c r="AA517" s="282"/>
      <c r="AB517" s="282"/>
      <c r="AC517" s="282"/>
      <c r="AD517" s="282"/>
      <c r="AE517" s="282"/>
      <c r="AF517" s="282"/>
      <c r="AG517" s="282"/>
      <c r="AH517" s="282"/>
      <c r="AI517" s="282"/>
      <c r="AJ517" s="282"/>
      <c r="AK517" s="282"/>
      <c r="AL517" s="282"/>
      <c r="AM517" s="282"/>
      <c r="AN517" s="282"/>
      <c r="AO517" s="282"/>
      <c r="AP517" s="282"/>
      <c r="AQ517" s="282"/>
      <c r="AR517" s="282"/>
      <c r="AS517" s="282"/>
      <c r="AT517" s="282"/>
      <c r="AU517" s="282"/>
      <c r="AV517" s="282"/>
      <c r="AW517" s="286"/>
      <c r="AX517" s="286"/>
      <c r="AY517" s="286"/>
      <c r="AZ517" s="263"/>
      <c r="BA517" s="264"/>
      <c r="BB517" s="264"/>
      <c r="BC517" s="264"/>
      <c r="BD517" s="264"/>
      <c r="BE517" s="264"/>
    </row>
    <row r="518" spans="1:57" ht="12.6" customHeight="1" x14ac:dyDescent="0.25">
      <c r="A518" s="244"/>
      <c r="B518" s="208"/>
      <c r="C518" s="208"/>
      <c r="D518" s="208"/>
      <c r="E518" s="208"/>
      <c r="F518" s="285"/>
      <c r="G518" s="285"/>
      <c r="H518" s="285"/>
      <c r="I518" s="282"/>
      <c r="J518" s="282"/>
      <c r="K518" s="282"/>
      <c r="L518" s="282"/>
      <c r="M518" s="282"/>
      <c r="N518" s="282"/>
      <c r="O518" s="282"/>
      <c r="P518" s="282"/>
      <c r="Q518" s="282"/>
      <c r="R518" s="282"/>
      <c r="S518" s="282"/>
      <c r="T518" s="282"/>
      <c r="U518" s="282"/>
      <c r="V518" s="282"/>
      <c r="W518" s="282"/>
      <c r="X518" s="282"/>
      <c r="Y518" s="282"/>
      <c r="Z518" s="282"/>
      <c r="AA518" s="282"/>
      <c r="AB518" s="282"/>
      <c r="AC518" s="282"/>
      <c r="AD518" s="282"/>
      <c r="AE518" s="282"/>
      <c r="AF518" s="282"/>
      <c r="AG518" s="282"/>
      <c r="AH518" s="282"/>
      <c r="AI518" s="282"/>
      <c r="AJ518" s="282"/>
      <c r="AK518" s="282"/>
      <c r="AL518" s="282"/>
      <c r="AM518" s="282"/>
      <c r="AN518" s="282"/>
      <c r="AO518" s="282"/>
      <c r="AP518" s="282"/>
      <c r="AQ518" s="282"/>
      <c r="AR518" s="282"/>
      <c r="AS518" s="282"/>
      <c r="AT518" s="282"/>
      <c r="AU518" s="282"/>
      <c r="AV518" s="282"/>
      <c r="AW518" s="286"/>
      <c r="AX518" s="286"/>
      <c r="AY518" s="286"/>
      <c r="AZ518" s="263"/>
      <c r="BA518" s="264"/>
      <c r="BB518" s="264"/>
      <c r="BC518" s="264"/>
      <c r="BD518" s="264"/>
      <c r="BE518" s="264"/>
    </row>
    <row r="519" spans="1:57" ht="12.6" customHeight="1" x14ac:dyDescent="0.25">
      <c r="A519" s="244"/>
      <c r="B519" s="208"/>
      <c r="C519" s="208"/>
      <c r="D519" s="208"/>
      <c r="E519" s="208"/>
      <c r="F519" s="285"/>
      <c r="G519" s="285"/>
      <c r="H519" s="285"/>
      <c r="I519" s="282"/>
      <c r="J519" s="282"/>
      <c r="K519" s="282"/>
      <c r="L519" s="282"/>
      <c r="M519" s="282"/>
      <c r="N519" s="282"/>
      <c r="O519" s="282"/>
      <c r="P519" s="282"/>
      <c r="Q519" s="282"/>
      <c r="R519" s="282"/>
      <c r="S519" s="282"/>
      <c r="T519" s="282"/>
      <c r="U519" s="282"/>
      <c r="V519" s="282"/>
      <c r="W519" s="282"/>
      <c r="X519" s="282"/>
      <c r="Y519" s="282"/>
      <c r="Z519" s="282"/>
      <c r="AA519" s="282"/>
      <c r="AB519" s="282"/>
      <c r="AC519" s="282"/>
      <c r="AD519" s="282"/>
      <c r="AE519" s="282"/>
      <c r="AF519" s="282"/>
      <c r="AG519" s="282"/>
      <c r="AH519" s="282"/>
      <c r="AI519" s="282"/>
      <c r="AJ519" s="282"/>
      <c r="AK519" s="282"/>
      <c r="AL519" s="282"/>
      <c r="AM519" s="282"/>
      <c r="AN519" s="282"/>
      <c r="AO519" s="282"/>
      <c r="AP519" s="282"/>
      <c r="AQ519" s="282"/>
      <c r="AR519" s="282"/>
      <c r="AS519" s="282"/>
      <c r="AT519" s="282"/>
      <c r="AU519" s="282"/>
      <c r="AV519" s="282"/>
      <c r="AW519" s="286"/>
      <c r="AX519" s="286"/>
      <c r="AY519" s="286"/>
      <c r="AZ519" s="263"/>
      <c r="BA519" s="264"/>
      <c r="BB519" s="264"/>
      <c r="BC519" s="264"/>
      <c r="BD519" s="264"/>
      <c r="BE519" s="264"/>
    </row>
    <row r="520" spans="1:57" ht="12.6" customHeight="1" x14ac:dyDescent="0.25">
      <c r="A520" s="244"/>
      <c r="B520" s="208"/>
      <c r="C520" s="208"/>
      <c r="D520" s="208"/>
      <c r="E520" s="208"/>
      <c r="F520" s="285"/>
      <c r="G520" s="285"/>
      <c r="H520" s="285"/>
      <c r="I520" s="282"/>
      <c r="J520" s="282"/>
      <c r="K520" s="282"/>
      <c r="L520" s="282"/>
      <c r="M520" s="282"/>
      <c r="N520" s="282"/>
      <c r="O520" s="282"/>
      <c r="P520" s="282"/>
      <c r="Q520" s="282"/>
      <c r="R520" s="282"/>
      <c r="S520" s="282"/>
      <c r="T520" s="282"/>
      <c r="U520" s="282"/>
      <c r="V520" s="282"/>
      <c r="W520" s="282"/>
      <c r="X520" s="282"/>
      <c r="Y520" s="282"/>
      <c r="Z520" s="282"/>
      <c r="AA520" s="282"/>
      <c r="AB520" s="282"/>
      <c r="AC520" s="282"/>
      <c r="AD520" s="282"/>
      <c r="AE520" s="282"/>
      <c r="AF520" s="282"/>
      <c r="AG520" s="282"/>
      <c r="AH520" s="282"/>
      <c r="AI520" s="282"/>
      <c r="AJ520" s="282"/>
      <c r="AK520" s="282"/>
      <c r="AL520" s="282"/>
      <c r="AM520" s="282"/>
      <c r="AN520" s="282"/>
      <c r="AO520" s="282"/>
      <c r="AP520" s="282"/>
      <c r="AQ520" s="282"/>
      <c r="AR520" s="282"/>
      <c r="AS520" s="282"/>
      <c r="AT520" s="282"/>
      <c r="AU520" s="282"/>
      <c r="AV520" s="282"/>
      <c r="AW520" s="286"/>
      <c r="AX520" s="286"/>
      <c r="AY520" s="286"/>
      <c r="AZ520" s="263"/>
      <c r="BA520" s="264"/>
      <c r="BB520" s="264"/>
      <c r="BC520" s="264"/>
      <c r="BD520" s="264"/>
      <c r="BE520" s="264"/>
    </row>
    <row r="521" spans="1:57" ht="12.6" customHeight="1" x14ac:dyDescent="0.25">
      <c r="F521" s="287"/>
      <c r="G521" s="287"/>
      <c r="H521" s="287"/>
      <c r="AW521" s="787"/>
      <c r="AX521" s="787"/>
      <c r="AY521" s="787"/>
    </row>
    <row r="522" spans="1:57" s="208" customFormat="1" ht="12.6" customHeight="1" x14ac:dyDescent="0.25">
      <c r="F522" s="236"/>
      <c r="G522" s="236"/>
      <c r="H522" s="236"/>
    </row>
    <row r="523" spans="1:57" ht="12.6" customHeight="1" x14ac:dyDescent="0.25">
      <c r="A523" s="29" t="s">
        <v>1329</v>
      </c>
      <c r="F523" s="287"/>
      <c r="G523" s="287"/>
      <c r="H523" s="287"/>
    </row>
    <row r="524" spans="1:57" ht="12.6" customHeight="1" x14ac:dyDescent="0.25">
      <c r="A524" s="288"/>
      <c r="B524" s="289"/>
      <c r="C524" s="289"/>
      <c r="D524" s="289"/>
      <c r="E524" s="289"/>
      <c r="F524" s="788" t="s">
        <v>1306</v>
      </c>
      <c r="G524" s="788"/>
      <c r="H524" s="788"/>
      <c r="I524" s="788"/>
      <c r="J524" s="788"/>
      <c r="K524" s="788"/>
      <c r="L524" s="788"/>
      <c r="M524" s="788"/>
      <c r="N524" s="788"/>
      <c r="O524" s="788"/>
      <c r="P524" s="788"/>
      <c r="Q524" s="788"/>
      <c r="R524" s="788"/>
      <c r="S524" s="788"/>
      <c r="T524" s="788"/>
      <c r="U524" s="788"/>
      <c r="V524" s="788"/>
      <c r="W524" s="788"/>
      <c r="X524" s="788"/>
      <c r="Y524" s="788"/>
      <c r="Z524" s="788"/>
      <c r="AA524" s="788"/>
      <c r="AB524" s="788"/>
      <c r="AC524" s="788"/>
      <c r="AD524" s="788"/>
      <c r="AE524" s="788"/>
      <c r="AF524" s="788"/>
      <c r="AG524" s="788"/>
      <c r="AH524" s="788"/>
      <c r="AI524" s="788"/>
      <c r="AJ524" s="788"/>
      <c r="AK524" s="788"/>
      <c r="AL524" s="788"/>
      <c r="AM524" s="788"/>
      <c r="AN524" s="788"/>
      <c r="AO524" s="788"/>
      <c r="AP524" s="788"/>
      <c r="AQ524" s="788"/>
      <c r="AR524" s="788"/>
      <c r="AS524" s="788"/>
      <c r="AT524" s="788"/>
      <c r="AU524" s="788"/>
      <c r="AV524" s="788"/>
      <c r="AW524" s="788"/>
      <c r="AX524" s="788"/>
      <c r="AY524" s="788"/>
      <c r="AZ524" s="788"/>
      <c r="BA524" s="277"/>
      <c r="BB524" s="277"/>
      <c r="BC524" s="277"/>
      <c r="BD524" s="277"/>
      <c r="BE524" s="277"/>
    </row>
    <row r="525" spans="1:57" ht="12.6" customHeight="1" x14ac:dyDescent="0.25">
      <c r="A525" s="290" t="s">
        <v>1493</v>
      </c>
      <c r="B525" s="291"/>
      <c r="C525" s="291"/>
      <c r="D525" s="291"/>
      <c r="E525" s="291"/>
      <c r="F525" s="789" t="s">
        <v>1548</v>
      </c>
      <c r="G525" s="789"/>
      <c r="H525" s="789"/>
      <c r="I525" s="775" t="s">
        <v>1549</v>
      </c>
      <c r="J525" s="775"/>
      <c r="K525" s="775"/>
      <c r="L525" s="775"/>
      <c r="M525" s="775" t="s">
        <v>1550</v>
      </c>
      <c r="N525" s="775"/>
      <c r="O525" s="775"/>
      <c r="P525" s="775"/>
      <c r="Q525" s="775" t="s">
        <v>1535</v>
      </c>
      <c r="R525" s="775"/>
      <c r="S525" s="775"/>
      <c r="T525" s="775"/>
      <c r="U525" s="775" t="s">
        <v>1551</v>
      </c>
      <c r="V525" s="775"/>
      <c r="W525" s="775"/>
      <c r="X525" s="775"/>
      <c r="Y525" s="775" t="s">
        <v>1537</v>
      </c>
      <c r="Z525" s="775"/>
      <c r="AA525" s="775"/>
      <c r="AB525" s="775"/>
      <c r="AC525" s="775" t="s">
        <v>1538</v>
      </c>
      <c r="AD525" s="775"/>
      <c r="AE525" s="775"/>
      <c r="AF525" s="775"/>
      <c r="AG525" s="775" t="s">
        <v>1552</v>
      </c>
      <c r="AH525" s="775"/>
      <c r="AI525" s="775"/>
      <c r="AJ525" s="775"/>
      <c r="AK525" s="775" t="s">
        <v>1540</v>
      </c>
      <c r="AL525" s="775"/>
      <c r="AM525" s="775"/>
      <c r="AN525" s="775"/>
      <c r="AO525" s="775" t="s">
        <v>1553</v>
      </c>
      <c r="AP525" s="775"/>
      <c r="AQ525" s="775"/>
      <c r="AR525" s="775"/>
      <c r="AS525" s="774" t="s">
        <v>1542</v>
      </c>
      <c r="AT525" s="774"/>
      <c r="AU525" s="774"/>
      <c r="AV525" s="774"/>
      <c r="AW525" s="775" t="s">
        <v>1554</v>
      </c>
      <c r="AX525" s="775"/>
      <c r="AY525" s="775"/>
      <c r="AZ525" s="775"/>
      <c r="BA525" s="790"/>
      <c r="BB525" s="790"/>
      <c r="BC525" s="790"/>
      <c r="BD525" s="790"/>
      <c r="BE525" s="790"/>
    </row>
    <row r="526" spans="1:57" ht="12.6" customHeight="1" x14ac:dyDescent="0.25">
      <c r="A526" s="290" t="s">
        <v>1543</v>
      </c>
      <c r="B526" s="291"/>
      <c r="C526" s="291"/>
      <c r="D526" s="291"/>
      <c r="E526" s="291"/>
      <c r="F526" s="789"/>
      <c r="G526" s="789"/>
      <c r="H526" s="789"/>
      <c r="I526" s="775"/>
      <c r="J526" s="775"/>
      <c r="K526" s="775"/>
      <c r="L526" s="775"/>
      <c r="M526" s="775"/>
      <c r="N526" s="775"/>
      <c r="O526" s="775"/>
      <c r="P526" s="775"/>
      <c r="Q526" s="775"/>
      <c r="R526" s="775"/>
      <c r="S526" s="775"/>
      <c r="T526" s="775"/>
      <c r="U526" s="775"/>
      <c r="V526" s="775"/>
      <c r="W526" s="775"/>
      <c r="X526" s="775"/>
      <c r="Y526" s="775"/>
      <c r="Z526" s="775"/>
      <c r="AA526" s="775"/>
      <c r="AB526" s="775"/>
      <c r="AC526" s="775"/>
      <c r="AD526" s="775"/>
      <c r="AE526" s="775"/>
      <c r="AF526" s="775"/>
      <c r="AG526" s="775"/>
      <c r="AH526" s="775"/>
      <c r="AI526" s="775"/>
      <c r="AJ526" s="775"/>
      <c r="AK526" s="775"/>
      <c r="AL526" s="775"/>
      <c r="AM526" s="775"/>
      <c r="AN526" s="775"/>
      <c r="AO526" s="775"/>
      <c r="AP526" s="775"/>
      <c r="AQ526" s="775"/>
      <c r="AR526" s="775"/>
      <c r="AS526" s="774"/>
      <c r="AT526" s="774"/>
      <c r="AU526" s="774"/>
      <c r="AV526" s="774"/>
      <c r="AW526" s="775"/>
      <c r="AX526" s="775"/>
      <c r="AY526" s="775"/>
      <c r="AZ526" s="775"/>
      <c r="BA526" s="790"/>
      <c r="BB526" s="790"/>
      <c r="BC526" s="790"/>
      <c r="BD526" s="790"/>
      <c r="BE526" s="790"/>
    </row>
    <row r="527" spans="1:57" ht="12.6" customHeight="1" x14ac:dyDescent="0.25">
      <c r="A527" s="290" t="s">
        <v>1462</v>
      </c>
      <c r="B527" s="277"/>
      <c r="C527" s="277"/>
      <c r="D527" s="277"/>
      <c r="E527" s="277"/>
      <c r="F527" s="789"/>
      <c r="G527" s="789"/>
      <c r="H527" s="789"/>
      <c r="I527" s="775"/>
      <c r="J527" s="775"/>
      <c r="K527" s="775"/>
      <c r="L527" s="775"/>
      <c r="M527" s="775"/>
      <c r="N527" s="775"/>
      <c r="O527" s="775"/>
      <c r="P527" s="775"/>
      <c r="Q527" s="775"/>
      <c r="R527" s="775"/>
      <c r="S527" s="775"/>
      <c r="T527" s="775"/>
      <c r="U527" s="775"/>
      <c r="V527" s="775"/>
      <c r="W527" s="775"/>
      <c r="X527" s="775"/>
      <c r="Y527" s="775"/>
      <c r="Z527" s="775"/>
      <c r="AA527" s="775"/>
      <c r="AB527" s="775"/>
      <c r="AC527" s="775"/>
      <c r="AD527" s="775"/>
      <c r="AE527" s="775"/>
      <c r="AF527" s="775"/>
      <c r="AG527" s="775"/>
      <c r="AH527" s="775"/>
      <c r="AI527" s="775"/>
      <c r="AJ527" s="775"/>
      <c r="AK527" s="775"/>
      <c r="AL527" s="775"/>
      <c r="AM527" s="775"/>
      <c r="AN527" s="775"/>
      <c r="AO527" s="775"/>
      <c r="AP527" s="775"/>
      <c r="AQ527" s="775"/>
      <c r="AR527" s="775"/>
      <c r="AS527" s="774"/>
      <c r="AT527" s="774"/>
      <c r="AU527" s="774"/>
      <c r="AV527" s="774"/>
      <c r="AW527" s="775"/>
      <c r="AX527" s="775"/>
      <c r="AY527" s="775"/>
      <c r="AZ527" s="775"/>
      <c r="BA527" s="790"/>
      <c r="BB527" s="790"/>
      <c r="BC527" s="790"/>
      <c r="BD527" s="790"/>
      <c r="BE527" s="790"/>
    </row>
    <row r="528" spans="1:57" ht="12.6" customHeight="1" x14ac:dyDescent="0.25">
      <c r="A528" s="281"/>
      <c r="B528" s="277"/>
      <c r="C528" s="277"/>
      <c r="D528" s="277"/>
      <c r="E528" s="277"/>
      <c r="F528" s="789"/>
      <c r="G528" s="789"/>
      <c r="H528" s="789"/>
      <c r="I528" s="775"/>
      <c r="J528" s="775"/>
      <c r="K528" s="775"/>
      <c r="L528" s="775"/>
      <c r="M528" s="775"/>
      <c r="N528" s="775"/>
      <c r="O528" s="775"/>
      <c r="P528" s="775"/>
      <c r="Q528" s="775"/>
      <c r="R528" s="775"/>
      <c r="S528" s="775"/>
      <c r="T528" s="775"/>
      <c r="U528" s="775"/>
      <c r="V528" s="775"/>
      <c r="W528" s="775"/>
      <c r="X528" s="775"/>
      <c r="Y528" s="775"/>
      <c r="Z528" s="775"/>
      <c r="AA528" s="775"/>
      <c r="AB528" s="775"/>
      <c r="AC528" s="775"/>
      <c r="AD528" s="775"/>
      <c r="AE528" s="775"/>
      <c r="AF528" s="775"/>
      <c r="AG528" s="775"/>
      <c r="AH528" s="775"/>
      <c r="AI528" s="775"/>
      <c r="AJ528" s="775"/>
      <c r="AK528" s="775"/>
      <c r="AL528" s="775"/>
      <c r="AM528" s="775"/>
      <c r="AN528" s="775"/>
      <c r="AO528" s="775"/>
      <c r="AP528" s="775"/>
      <c r="AQ528" s="775"/>
      <c r="AR528" s="775"/>
      <c r="AS528" s="774"/>
      <c r="AT528" s="774"/>
      <c r="AU528" s="774"/>
      <c r="AV528" s="774"/>
      <c r="AW528" s="775"/>
      <c r="AX528" s="775"/>
      <c r="AY528" s="775"/>
      <c r="AZ528" s="775"/>
      <c r="BA528" s="790"/>
      <c r="BB528" s="790"/>
      <c r="BC528" s="790"/>
      <c r="BD528" s="790"/>
      <c r="BE528" s="790"/>
    </row>
    <row r="529" spans="1:57" ht="12.6" customHeight="1" x14ac:dyDescent="0.25">
      <c r="A529" s="281"/>
      <c r="B529" s="277"/>
      <c r="C529" s="277"/>
      <c r="D529" s="277"/>
      <c r="E529" s="277"/>
      <c r="F529" s="789"/>
      <c r="G529" s="789"/>
      <c r="H529" s="789"/>
      <c r="I529" s="775"/>
      <c r="J529" s="775"/>
      <c r="K529" s="775"/>
      <c r="L529" s="775"/>
      <c r="M529" s="775"/>
      <c r="N529" s="775"/>
      <c r="O529" s="775"/>
      <c r="P529" s="775"/>
      <c r="Q529" s="775"/>
      <c r="R529" s="775"/>
      <c r="S529" s="775"/>
      <c r="T529" s="775"/>
      <c r="U529" s="775"/>
      <c r="V529" s="775"/>
      <c r="W529" s="775"/>
      <c r="X529" s="775"/>
      <c r="Y529" s="775"/>
      <c r="Z529" s="775"/>
      <c r="AA529" s="775"/>
      <c r="AB529" s="775"/>
      <c r="AC529" s="775"/>
      <c r="AD529" s="775"/>
      <c r="AE529" s="775"/>
      <c r="AF529" s="775"/>
      <c r="AG529" s="775"/>
      <c r="AH529" s="775"/>
      <c r="AI529" s="775"/>
      <c r="AJ529" s="775"/>
      <c r="AK529" s="775"/>
      <c r="AL529" s="775"/>
      <c r="AM529" s="775"/>
      <c r="AN529" s="775"/>
      <c r="AO529" s="775"/>
      <c r="AP529" s="775"/>
      <c r="AQ529" s="775"/>
      <c r="AR529" s="775"/>
      <c r="AS529" s="774"/>
      <c r="AT529" s="774"/>
      <c r="AU529" s="774"/>
      <c r="AV529" s="774"/>
      <c r="AW529" s="775"/>
      <c r="AX529" s="775"/>
      <c r="AY529" s="775"/>
      <c r="AZ529" s="775"/>
      <c r="BA529" s="790"/>
      <c r="BB529" s="790"/>
      <c r="BC529" s="790"/>
      <c r="BD529" s="790"/>
      <c r="BE529" s="790"/>
    </row>
    <row r="530" spans="1:57" ht="12.6" customHeight="1" x14ac:dyDescent="0.25">
      <c r="A530" s="292"/>
      <c r="B530" s="291"/>
      <c r="C530" s="291"/>
      <c r="D530" s="291"/>
      <c r="E530" s="291"/>
      <c r="F530" s="789"/>
      <c r="G530" s="789"/>
      <c r="H530" s="789"/>
      <c r="I530" s="775"/>
      <c r="J530" s="775"/>
      <c r="K530" s="775"/>
      <c r="L530" s="775"/>
      <c r="M530" s="775"/>
      <c r="N530" s="775"/>
      <c r="O530" s="775"/>
      <c r="P530" s="775"/>
      <c r="Q530" s="775"/>
      <c r="R530" s="775"/>
      <c r="S530" s="775"/>
      <c r="T530" s="775"/>
      <c r="U530" s="775"/>
      <c r="V530" s="775"/>
      <c r="W530" s="775"/>
      <c r="X530" s="775"/>
      <c r="Y530" s="775"/>
      <c r="Z530" s="775"/>
      <c r="AA530" s="775"/>
      <c r="AB530" s="775"/>
      <c r="AC530" s="775"/>
      <c r="AD530" s="775"/>
      <c r="AE530" s="775"/>
      <c r="AF530" s="775"/>
      <c r="AG530" s="775"/>
      <c r="AH530" s="775"/>
      <c r="AI530" s="775"/>
      <c r="AJ530" s="775"/>
      <c r="AK530" s="775"/>
      <c r="AL530" s="775"/>
      <c r="AM530" s="775"/>
      <c r="AN530" s="775"/>
      <c r="AO530" s="775"/>
      <c r="AP530" s="775"/>
      <c r="AQ530" s="775"/>
      <c r="AR530" s="775"/>
      <c r="AS530" s="774"/>
      <c r="AT530" s="774"/>
      <c r="AU530" s="774"/>
      <c r="AV530" s="774"/>
      <c r="AW530" s="775"/>
      <c r="AX530" s="775"/>
      <c r="AY530" s="775"/>
      <c r="AZ530" s="775"/>
      <c r="BA530" s="790"/>
      <c r="BB530" s="790"/>
      <c r="BC530" s="790"/>
      <c r="BD530" s="790"/>
      <c r="BE530" s="790"/>
    </row>
    <row r="531" spans="1:57" ht="12.6" customHeight="1" x14ac:dyDescent="0.25">
      <c r="A531" s="292"/>
      <c r="B531" s="291"/>
      <c r="C531" s="291"/>
      <c r="D531" s="291"/>
      <c r="E531" s="291"/>
      <c r="F531" s="789"/>
      <c r="G531" s="789"/>
      <c r="H531" s="789"/>
      <c r="I531" s="775"/>
      <c r="J531" s="775"/>
      <c r="K531" s="775"/>
      <c r="L531" s="775"/>
      <c r="M531" s="775"/>
      <c r="N531" s="775"/>
      <c r="O531" s="775"/>
      <c r="P531" s="775"/>
      <c r="Q531" s="775"/>
      <c r="R531" s="775"/>
      <c r="S531" s="775"/>
      <c r="T531" s="775"/>
      <c r="U531" s="775"/>
      <c r="V531" s="775"/>
      <c r="W531" s="775"/>
      <c r="X531" s="775"/>
      <c r="Y531" s="775"/>
      <c r="Z531" s="775"/>
      <c r="AA531" s="775"/>
      <c r="AB531" s="775"/>
      <c r="AC531" s="775"/>
      <c r="AD531" s="775"/>
      <c r="AE531" s="775"/>
      <c r="AF531" s="775"/>
      <c r="AG531" s="775"/>
      <c r="AH531" s="775"/>
      <c r="AI531" s="775"/>
      <c r="AJ531" s="775"/>
      <c r="AK531" s="775"/>
      <c r="AL531" s="775"/>
      <c r="AM531" s="775"/>
      <c r="AN531" s="775"/>
      <c r="AO531" s="775"/>
      <c r="AP531" s="775"/>
      <c r="AQ531" s="775"/>
      <c r="AR531" s="775"/>
      <c r="AS531" s="774"/>
      <c r="AT531" s="774"/>
      <c r="AU531" s="774"/>
      <c r="AV531" s="774"/>
      <c r="AW531" s="775"/>
      <c r="AX531" s="775"/>
      <c r="AY531" s="775"/>
      <c r="AZ531" s="775"/>
      <c r="BA531" s="790"/>
      <c r="BB531" s="790"/>
      <c r="BC531" s="790"/>
      <c r="BD531" s="790"/>
      <c r="BE531" s="790"/>
    </row>
    <row r="532" spans="1:57" ht="12.6" customHeight="1" x14ac:dyDescent="0.25">
      <c r="A532" s="292"/>
      <c r="B532" s="291"/>
      <c r="C532" s="291"/>
      <c r="D532" s="291"/>
      <c r="E532" s="291"/>
      <c r="F532" s="789"/>
      <c r="G532" s="789"/>
      <c r="H532" s="789"/>
      <c r="I532" s="775"/>
      <c r="J532" s="775"/>
      <c r="K532" s="775"/>
      <c r="L532" s="775"/>
      <c r="M532" s="775"/>
      <c r="N532" s="775"/>
      <c r="O532" s="775"/>
      <c r="P532" s="775"/>
      <c r="Q532" s="775"/>
      <c r="R532" s="775"/>
      <c r="S532" s="775"/>
      <c r="T532" s="775"/>
      <c r="U532" s="775"/>
      <c r="V532" s="775"/>
      <c r="W532" s="775"/>
      <c r="X532" s="775"/>
      <c r="Y532" s="775"/>
      <c r="Z532" s="775"/>
      <c r="AA532" s="775"/>
      <c r="AB532" s="775"/>
      <c r="AC532" s="775"/>
      <c r="AD532" s="775"/>
      <c r="AE532" s="775"/>
      <c r="AF532" s="775"/>
      <c r="AG532" s="775"/>
      <c r="AH532" s="775"/>
      <c r="AI532" s="775"/>
      <c r="AJ532" s="775"/>
      <c r="AK532" s="775"/>
      <c r="AL532" s="775"/>
      <c r="AM532" s="775"/>
      <c r="AN532" s="775"/>
      <c r="AO532" s="775"/>
      <c r="AP532" s="775"/>
      <c r="AQ532" s="775"/>
      <c r="AR532" s="775"/>
      <c r="AS532" s="774"/>
      <c r="AT532" s="774"/>
      <c r="AU532" s="774"/>
      <c r="AV532" s="774"/>
      <c r="AW532" s="775"/>
      <c r="AX532" s="775"/>
      <c r="AY532" s="775"/>
      <c r="AZ532" s="775"/>
      <c r="BA532" s="790"/>
      <c r="BB532" s="790"/>
      <c r="BC532" s="790"/>
      <c r="BD532" s="790"/>
      <c r="BE532" s="790"/>
    </row>
    <row r="533" spans="1:57" ht="12.6" customHeight="1" x14ac:dyDescent="0.25">
      <c r="A533" s="292"/>
      <c r="B533" s="291"/>
      <c r="C533" s="291"/>
      <c r="D533" s="291"/>
      <c r="E533" s="291"/>
      <c r="F533" s="789"/>
      <c r="G533" s="789"/>
      <c r="H533" s="789"/>
      <c r="I533" s="775"/>
      <c r="J533" s="775"/>
      <c r="K533" s="775"/>
      <c r="L533" s="775"/>
      <c r="M533" s="775"/>
      <c r="N533" s="775"/>
      <c r="O533" s="775"/>
      <c r="P533" s="775"/>
      <c r="Q533" s="775"/>
      <c r="R533" s="775"/>
      <c r="S533" s="775"/>
      <c r="T533" s="775"/>
      <c r="U533" s="775"/>
      <c r="V533" s="775"/>
      <c r="W533" s="775"/>
      <c r="X533" s="775"/>
      <c r="Y533" s="775"/>
      <c r="Z533" s="775"/>
      <c r="AA533" s="775"/>
      <c r="AB533" s="775"/>
      <c r="AC533" s="775"/>
      <c r="AD533" s="775"/>
      <c r="AE533" s="775"/>
      <c r="AF533" s="775"/>
      <c r="AG533" s="775"/>
      <c r="AH533" s="775"/>
      <c r="AI533" s="775"/>
      <c r="AJ533" s="775"/>
      <c r="AK533" s="775"/>
      <c r="AL533" s="775"/>
      <c r="AM533" s="775"/>
      <c r="AN533" s="775"/>
      <c r="AO533" s="775"/>
      <c r="AP533" s="775"/>
      <c r="AQ533" s="775"/>
      <c r="AR533" s="775"/>
      <c r="AS533" s="774"/>
      <c r="AT533" s="774"/>
      <c r="AU533" s="774"/>
      <c r="AV533" s="774"/>
      <c r="AW533" s="775"/>
      <c r="AX533" s="775"/>
      <c r="AY533" s="775"/>
      <c r="AZ533" s="775"/>
      <c r="BA533" s="790"/>
      <c r="BB533" s="790"/>
      <c r="BC533" s="790"/>
      <c r="BD533" s="790"/>
      <c r="BE533" s="790"/>
    </row>
    <row r="534" spans="1:57" ht="12.6" customHeight="1" x14ac:dyDescent="0.25">
      <c r="A534" s="749" t="s">
        <v>1323</v>
      </c>
      <c r="B534" s="749"/>
      <c r="C534" s="749"/>
      <c r="D534" s="749"/>
      <c r="E534" s="749"/>
      <c r="F534" s="778" t="s">
        <v>1324</v>
      </c>
      <c r="G534" s="778"/>
      <c r="H534" s="778"/>
      <c r="I534" s="750" t="s">
        <v>1325</v>
      </c>
      <c r="J534" s="750"/>
      <c r="K534" s="750"/>
      <c r="L534" s="750"/>
      <c r="M534" s="750" t="s">
        <v>1326</v>
      </c>
      <c r="N534" s="750"/>
      <c r="O534" s="750"/>
      <c r="P534" s="750"/>
      <c r="Q534" s="750" t="s">
        <v>1327</v>
      </c>
      <c r="R534" s="750"/>
      <c r="S534" s="750"/>
      <c r="T534" s="750"/>
      <c r="U534" s="750" t="s">
        <v>1333</v>
      </c>
      <c r="V534" s="750"/>
      <c r="W534" s="750"/>
      <c r="X534" s="750"/>
      <c r="Y534" s="750" t="s">
        <v>1468</v>
      </c>
      <c r="Z534" s="750"/>
      <c r="AA534" s="750"/>
      <c r="AB534" s="750"/>
      <c r="AC534" s="750" t="s">
        <v>1469</v>
      </c>
      <c r="AD534" s="750"/>
      <c r="AE534" s="750"/>
      <c r="AF534" s="750"/>
      <c r="AG534" s="750" t="s">
        <v>1470</v>
      </c>
      <c r="AH534" s="750"/>
      <c r="AI534" s="750"/>
      <c r="AJ534" s="750"/>
      <c r="AK534" s="750" t="s">
        <v>1521</v>
      </c>
      <c r="AL534" s="750"/>
      <c r="AM534" s="750"/>
      <c r="AN534" s="750"/>
      <c r="AO534" s="750" t="s">
        <v>1544</v>
      </c>
      <c r="AP534" s="750"/>
      <c r="AQ534" s="750"/>
      <c r="AR534" s="750"/>
      <c r="AS534" s="750" t="s">
        <v>1545</v>
      </c>
      <c r="AT534" s="750"/>
      <c r="AU534" s="750"/>
      <c r="AV534" s="750"/>
      <c r="AW534" s="750" t="s">
        <v>1546</v>
      </c>
      <c r="AX534" s="750"/>
      <c r="AY534" s="750"/>
      <c r="AZ534" s="750"/>
      <c r="BA534" s="747"/>
      <c r="BB534" s="747"/>
      <c r="BC534" s="747"/>
      <c r="BD534" s="747"/>
      <c r="BE534" s="747"/>
    </row>
    <row r="535" spans="1:57" ht="12.6" customHeight="1" x14ac:dyDescent="0.25">
      <c r="A535" s="208" t="s">
        <v>1471</v>
      </c>
      <c r="B535" s="208"/>
      <c r="C535" s="208"/>
      <c r="D535" s="208"/>
      <c r="E535" s="208"/>
      <c r="F535" s="236"/>
      <c r="G535" s="236"/>
      <c r="H535" s="236"/>
      <c r="I535" s="208"/>
      <c r="J535" s="208"/>
      <c r="K535" s="208"/>
      <c r="L535" s="208"/>
      <c r="M535" s="208"/>
      <c r="N535" s="208"/>
      <c r="O535" s="208"/>
      <c r="P535" s="208"/>
      <c r="Q535" s="208"/>
      <c r="R535" s="208"/>
      <c r="S535" s="208"/>
      <c r="T535" s="208"/>
      <c r="U535" s="208"/>
      <c r="V535" s="208"/>
      <c r="W535" s="208"/>
      <c r="X535" s="208"/>
      <c r="Y535" s="208"/>
      <c r="Z535" s="208"/>
      <c r="AA535" s="208"/>
      <c r="AB535" s="208"/>
      <c r="AC535" s="208"/>
      <c r="AD535" s="208"/>
      <c r="AE535" s="208"/>
      <c r="AF535" s="208"/>
      <c r="AG535" s="208"/>
      <c r="AH535" s="208"/>
      <c r="AI535" s="208"/>
      <c r="AJ535" s="208"/>
      <c r="AK535" s="208"/>
      <c r="AL535" s="208"/>
      <c r="AM535" s="208"/>
      <c r="AN535" s="208"/>
      <c r="AO535" s="208"/>
      <c r="AP535" s="208"/>
      <c r="AQ535" s="208"/>
      <c r="AR535" s="208"/>
      <c r="AS535" s="208"/>
      <c r="AT535" s="208"/>
      <c r="AU535" s="208"/>
      <c r="AV535" s="208"/>
      <c r="AW535" s="208"/>
      <c r="AX535" s="208"/>
      <c r="AY535" s="208"/>
      <c r="AZ535" s="208"/>
      <c r="BA535" s="208"/>
      <c r="BB535" s="208"/>
      <c r="BC535" s="208"/>
      <c r="BD535" s="208"/>
      <c r="BE535" s="208"/>
    </row>
    <row r="536" spans="1:57" ht="12.6" customHeight="1" x14ac:dyDescent="0.25">
      <c r="A536" s="241" t="s">
        <v>1522</v>
      </c>
      <c r="B536" s="270"/>
      <c r="C536" s="249"/>
      <c r="D536" s="249"/>
      <c r="E536" s="250"/>
      <c r="F536" s="751">
        <f>SUM(F543-F542+F541-F540)</f>
        <v>0</v>
      </c>
      <c r="G536" s="751"/>
      <c r="H536" s="751"/>
      <c r="I536" s="751">
        <f>SUM(I543-I542+I541-I540)</f>
        <v>0</v>
      </c>
      <c r="J536" s="751"/>
      <c r="K536" s="751"/>
      <c r="L536" s="751"/>
      <c r="M536" s="751">
        <f>SUM(M543-M542+M541-M540)</f>
        <v>0</v>
      </c>
      <c r="N536" s="751"/>
      <c r="O536" s="751"/>
      <c r="P536" s="751"/>
      <c r="Q536" s="751">
        <f>SUM(Q543-Q542+Q541-Q540)</f>
        <v>0</v>
      </c>
      <c r="R536" s="751"/>
      <c r="S536" s="751"/>
      <c r="T536" s="751"/>
      <c r="U536" s="751">
        <f>SUM(U543-U542+U541-U540)</f>
        <v>0</v>
      </c>
      <c r="V536" s="751"/>
      <c r="W536" s="751"/>
      <c r="X536" s="751"/>
      <c r="Y536" s="751">
        <f>SUM(Y543-Y542+Y541-Y540)</f>
        <v>0</v>
      </c>
      <c r="Z536" s="751"/>
      <c r="AA536" s="751"/>
      <c r="AB536" s="751"/>
      <c r="AC536" s="751">
        <f>SUM(AC543-AC542+AC541-AC540)</f>
        <v>0</v>
      </c>
      <c r="AD536" s="751"/>
      <c r="AE536" s="751"/>
      <c r="AF536" s="751"/>
      <c r="AG536" s="751">
        <f>SUM(AG543-AG542+AG541-AG540)</f>
        <v>0</v>
      </c>
      <c r="AH536" s="751"/>
      <c r="AI536" s="751"/>
      <c r="AJ536" s="751"/>
      <c r="AK536" s="751">
        <f>SUM(AK543-AK542+AK541-AK540)</f>
        <v>0</v>
      </c>
      <c r="AL536" s="751"/>
      <c r="AM536" s="751"/>
      <c r="AN536" s="751"/>
      <c r="AO536" s="751">
        <f>SUM('HL KNIHA VYPOC'!H434)</f>
        <v>0</v>
      </c>
      <c r="AP536" s="751"/>
      <c r="AQ536" s="751"/>
      <c r="AR536" s="751"/>
      <c r="AS536" s="751">
        <f>SUM('HL KNIHA VYPOC'!H440)</f>
        <v>0</v>
      </c>
      <c r="AT536" s="751"/>
      <c r="AU536" s="751"/>
      <c r="AV536" s="751"/>
      <c r="AW536" s="751">
        <f>SUM(F536:AV539)</f>
        <v>0</v>
      </c>
      <c r="AX536" s="751"/>
      <c r="AY536" s="751"/>
      <c r="AZ536" s="751"/>
      <c r="BA536" s="791"/>
      <c r="BB536" s="791"/>
      <c r="BC536" s="791"/>
      <c r="BD536" s="791"/>
      <c r="BE536" s="791"/>
    </row>
    <row r="537" spans="1:57" ht="12.6" customHeight="1" x14ac:dyDescent="0.25">
      <c r="A537" s="243" t="s">
        <v>1523</v>
      </c>
      <c r="B537" s="260"/>
      <c r="C537" s="208"/>
      <c r="D537" s="208"/>
      <c r="E537" s="245"/>
      <c r="F537" s="751"/>
      <c r="G537" s="751"/>
      <c r="H537" s="751"/>
      <c r="I537" s="751"/>
      <c r="J537" s="751"/>
      <c r="K537" s="751"/>
      <c r="L537" s="751"/>
      <c r="M537" s="751"/>
      <c r="N537" s="751"/>
      <c r="O537" s="751"/>
      <c r="P537" s="751"/>
      <c r="Q537" s="751"/>
      <c r="R537" s="751"/>
      <c r="S537" s="751"/>
      <c r="T537" s="751"/>
      <c r="U537" s="751"/>
      <c r="V537" s="751"/>
      <c r="W537" s="751"/>
      <c r="X537" s="751"/>
      <c r="Y537" s="751"/>
      <c r="Z537" s="751"/>
      <c r="AA537" s="751"/>
      <c r="AB537" s="751"/>
      <c r="AC537" s="751"/>
      <c r="AD537" s="751"/>
      <c r="AE537" s="751"/>
      <c r="AF537" s="751"/>
      <c r="AG537" s="751"/>
      <c r="AH537" s="751"/>
      <c r="AI537" s="751"/>
      <c r="AJ537" s="751"/>
      <c r="AK537" s="751"/>
      <c r="AL537" s="751"/>
      <c r="AM537" s="751"/>
      <c r="AN537" s="751"/>
      <c r="AO537" s="751"/>
      <c r="AP537" s="751"/>
      <c r="AQ537" s="751"/>
      <c r="AR537" s="751"/>
      <c r="AS537" s="751"/>
      <c r="AT537" s="751"/>
      <c r="AU537" s="751"/>
      <c r="AV537" s="751"/>
      <c r="AW537" s="751"/>
      <c r="AX537" s="751"/>
      <c r="AY537" s="751"/>
      <c r="AZ537" s="751"/>
      <c r="BA537" s="791"/>
      <c r="BB537" s="791"/>
      <c r="BC537" s="791"/>
      <c r="BD537" s="791"/>
      <c r="BE537" s="791"/>
    </row>
    <row r="538" spans="1:57" ht="12.6" customHeight="1" x14ac:dyDescent="0.25">
      <c r="A538" s="243" t="s">
        <v>1524</v>
      </c>
      <c r="B538" s="260"/>
      <c r="C538" s="208"/>
      <c r="D538" s="208"/>
      <c r="E538" s="245"/>
      <c r="F538" s="751"/>
      <c r="G538" s="751"/>
      <c r="H538" s="751"/>
      <c r="I538" s="751"/>
      <c r="J538" s="751"/>
      <c r="K538" s="751"/>
      <c r="L538" s="751"/>
      <c r="M538" s="751"/>
      <c r="N538" s="751"/>
      <c r="O538" s="751"/>
      <c r="P538" s="751"/>
      <c r="Q538" s="751"/>
      <c r="R538" s="751"/>
      <c r="S538" s="751"/>
      <c r="T538" s="751"/>
      <c r="U538" s="751"/>
      <c r="V538" s="751"/>
      <c r="W538" s="751"/>
      <c r="X538" s="751"/>
      <c r="Y538" s="751"/>
      <c r="Z538" s="751"/>
      <c r="AA538" s="751"/>
      <c r="AB538" s="751"/>
      <c r="AC538" s="751"/>
      <c r="AD538" s="751"/>
      <c r="AE538" s="751"/>
      <c r="AF538" s="751"/>
      <c r="AG538" s="751"/>
      <c r="AH538" s="751"/>
      <c r="AI538" s="751"/>
      <c r="AJ538" s="751"/>
      <c r="AK538" s="751"/>
      <c r="AL538" s="751"/>
      <c r="AM538" s="751"/>
      <c r="AN538" s="751"/>
      <c r="AO538" s="751"/>
      <c r="AP538" s="751"/>
      <c r="AQ538" s="751"/>
      <c r="AR538" s="751"/>
      <c r="AS538" s="751"/>
      <c r="AT538" s="751"/>
      <c r="AU538" s="751"/>
      <c r="AV538" s="751"/>
      <c r="AW538" s="751"/>
      <c r="AX538" s="751"/>
      <c r="AY538" s="751"/>
      <c r="AZ538" s="751"/>
      <c r="BA538" s="791"/>
      <c r="BB538" s="791"/>
      <c r="BC538" s="791"/>
      <c r="BD538" s="791"/>
      <c r="BE538" s="791"/>
    </row>
    <row r="539" spans="1:57" ht="12.6" customHeight="1" x14ac:dyDescent="0.25">
      <c r="A539" s="243" t="s">
        <v>1525</v>
      </c>
      <c r="B539" s="260"/>
      <c r="C539" s="208"/>
      <c r="D539" s="208"/>
      <c r="E539" s="245"/>
      <c r="F539" s="751"/>
      <c r="G539" s="751"/>
      <c r="H539" s="751"/>
      <c r="I539" s="751"/>
      <c r="J539" s="751"/>
      <c r="K539" s="751"/>
      <c r="L539" s="751"/>
      <c r="M539" s="751"/>
      <c r="N539" s="751"/>
      <c r="O539" s="751"/>
      <c r="P539" s="751"/>
      <c r="Q539" s="751"/>
      <c r="R539" s="751"/>
      <c r="S539" s="751"/>
      <c r="T539" s="751"/>
      <c r="U539" s="751"/>
      <c r="V539" s="751"/>
      <c r="W539" s="751"/>
      <c r="X539" s="751"/>
      <c r="Y539" s="751"/>
      <c r="Z539" s="751"/>
      <c r="AA539" s="751"/>
      <c r="AB539" s="751"/>
      <c r="AC539" s="751"/>
      <c r="AD539" s="751"/>
      <c r="AE539" s="751"/>
      <c r="AF539" s="751"/>
      <c r="AG539" s="751"/>
      <c r="AH539" s="751"/>
      <c r="AI539" s="751"/>
      <c r="AJ539" s="751"/>
      <c r="AK539" s="751"/>
      <c r="AL539" s="751"/>
      <c r="AM539" s="751"/>
      <c r="AN539" s="751"/>
      <c r="AO539" s="751"/>
      <c r="AP539" s="751"/>
      <c r="AQ539" s="751"/>
      <c r="AR539" s="751"/>
      <c r="AS539" s="751"/>
      <c r="AT539" s="751"/>
      <c r="AU539" s="751"/>
      <c r="AV539" s="751"/>
      <c r="AW539" s="751"/>
      <c r="AX539" s="751"/>
      <c r="AY539" s="751"/>
      <c r="AZ539" s="751"/>
      <c r="BA539" s="791"/>
      <c r="BB539" s="791"/>
      <c r="BC539" s="791"/>
      <c r="BD539" s="791"/>
      <c r="BE539" s="791"/>
    </row>
    <row r="540" spans="1:57" ht="12.6" customHeight="1" x14ac:dyDescent="0.25">
      <c r="A540" s="253" t="s">
        <v>1474</v>
      </c>
      <c r="B540" s="259"/>
      <c r="C540" s="246"/>
      <c r="D540" s="246"/>
      <c r="E540" s="248"/>
      <c r="F540" s="751"/>
      <c r="G540" s="751"/>
      <c r="H540" s="751"/>
      <c r="I540" s="751"/>
      <c r="J540" s="751"/>
      <c r="K540" s="751"/>
      <c r="L540" s="751"/>
      <c r="M540" s="751"/>
      <c r="N540" s="751"/>
      <c r="O540" s="751"/>
      <c r="P540" s="751"/>
      <c r="Q540" s="751"/>
      <c r="R540" s="751"/>
      <c r="S540" s="751"/>
      <c r="T540" s="751"/>
      <c r="U540" s="751"/>
      <c r="V540" s="751"/>
      <c r="W540" s="751"/>
      <c r="X540" s="751"/>
      <c r="Y540" s="751"/>
      <c r="Z540" s="751"/>
      <c r="AA540" s="751"/>
      <c r="AB540" s="751"/>
      <c r="AC540" s="751"/>
      <c r="AD540" s="751"/>
      <c r="AE540" s="751"/>
      <c r="AF540" s="751"/>
      <c r="AG540" s="751"/>
      <c r="AH540" s="751"/>
      <c r="AI540" s="751"/>
      <c r="AJ540" s="751"/>
      <c r="AK540" s="751"/>
      <c r="AL540" s="751"/>
      <c r="AM540" s="751"/>
      <c r="AN540" s="751"/>
      <c r="AO540" s="751">
        <f>SUM('HL KNIHA VYPOC'!$I$33)</f>
        <v>0</v>
      </c>
      <c r="AP540" s="751"/>
      <c r="AQ540" s="751"/>
      <c r="AR540" s="751"/>
      <c r="AS540" s="751">
        <f>SUM('HL KNIHA VYPOC'!$I$39)</f>
        <v>0</v>
      </c>
      <c r="AT540" s="751"/>
      <c r="AU540" s="751"/>
      <c r="AV540" s="751"/>
      <c r="AW540" s="751">
        <f>SUM(F540:AV540)</f>
        <v>0</v>
      </c>
      <c r="AX540" s="751"/>
      <c r="AY540" s="751"/>
      <c r="AZ540" s="751"/>
      <c r="BA540" s="791"/>
      <c r="BB540" s="791"/>
      <c r="BC540" s="791"/>
      <c r="BD540" s="791"/>
      <c r="BE540" s="791"/>
    </row>
    <row r="541" spans="1:57" ht="12.6" customHeight="1" x14ac:dyDescent="0.25">
      <c r="A541" s="253" t="s">
        <v>1475</v>
      </c>
      <c r="B541" s="259"/>
      <c r="C541" s="246"/>
      <c r="D541" s="246"/>
      <c r="E541" s="248"/>
      <c r="F541" s="751"/>
      <c r="G541" s="751"/>
      <c r="H541" s="751"/>
      <c r="I541" s="751"/>
      <c r="J541" s="751"/>
      <c r="K541" s="751"/>
      <c r="L541" s="751"/>
      <c r="M541" s="751"/>
      <c r="N541" s="751"/>
      <c r="O541" s="751"/>
      <c r="P541" s="751"/>
      <c r="Q541" s="751"/>
      <c r="R541" s="751"/>
      <c r="S541" s="751"/>
      <c r="T541" s="751"/>
      <c r="U541" s="751"/>
      <c r="V541" s="751"/>
      <c r="W541" s="751"/>
      <c r="X541" s="751"/>
      <c r="Y541" s="751"/>
      <c r="Z541" s="751"/>
      <c r="AA541" s="751"/>
      <c r="AB541" s="751"/>
      <c r="AC541" s="751"/>
      <c r="AD541" s="751"/>
      <c r="AE541" s="751"/>
      <c r="AF541" s="751"/>
      <c r="AG541" s="751"/>
      <c r="AH541" s="751"/>
      <c r="AI541" s="751"/>
      <c r="AJ541" s="751"/>
      <c r="AK541" s="751"/>
      <c r="AL541" s="751"/>
      <c r="AM541" s="751"/>
      <c r="AN541" s="751"/>
      <c r="AO541" s="751">
        <f>SUM('HL KNIHA VYPOC'!$J$33)</f>
        <v>0</v>
      </c>
      <c r="AP541" s="751"/>
      <c r="AQ541" s="751"/>
      <c r="AR541" s="751"/>
      <c r="AS541" s="751">
        <f>SUM('HL KNIHA VYPOC'!$J$39)</f>
        <v>0</v>
      </c>
      <c r="AT541" s="751"/>
      <c r="AU541" s="751"/>
      <c r="AV541" s="751"/>
      <c r="AW541" s="751">
        <f>SUM(F541:AV541)</f>
        <v>0</v>
      </c>
      <c r="AX541" s="751"/>
      <c r="AY541" s="751"/>
      <c r="AZ541" s="751"/>
      <c r="BA541" s="791"/>
      <c r="BB541" s="791"/>
      <c r="BC541" s="791"/>
      <c r="BD541" s="791"/>
      <c r="BE541" s="791"/>
    </row>
    <row r="542" spans="1:57" ht="12.6" customHeight="1" x14ac:dyDescent="0.25">
      <c r="A542" s="253" t="s">
        <v>1476</v>
      </c>
      <c r="B542" s="259"/>
      <c r="C542" s="246"/>
      <c r="D542" s="246"/>
      <c r="E542" s="248"/>
      <c r="F542" s="757"/>
      <c r="G542" s="757"/>
      <c r="H542" s="757"/>
      <c r="I542" s="757"/>
      <c r="J542" s="757"/>
      <c r="K542" s="757"/>
      <c r="L542" s="757"/>
      <c r="M542" s="757"/>
      <c r="N542" s="757"/>
      <c r="O542" s="757"/>
      <c r="P542" s="757"/>
      <c r="Q542" s="757"/>
      <c r="R542" s="757"/>
      <c r="S542" s="757"/>
      <c r="T542" s="757"/>
      <c r="U542" s="757"/>
      <c r="V542" s="757"/>
      <c r="W542" s="757"/>
      <c r="X542" s="757"/>
      <c r="Y542" s="757"/>
      <c r="Z542" s="757"/>
      <c r="AA542" s="757"/>
      <c r="AB542" s="757"/>
      <c r="AC542" s="757"/>
      <c r="AD542" s="757"/>
      <c r="AE542" s="757"/>
      <c r="AF542" s="757"/>
      <c r="AG542" s="757"/>
      <c r="AH542" s="757"/>
      <c r="AI542" s="757"/>
      <c r="AJ542" s="757"/>
      <c r="AK542" s="757"/>
      <c r="AL542" s="757"/>
      <c r="AM542" s="757"/>
      <c r="AN542" s="757"/>
      <c r="AO542" s="757"/>
      <c r="AP542" s="757"/>
      <c r="AQ542" s="757"/>
      <c r="AR542" s="757"/>
      <c r="AS542" s="757"/>
      <c r="AT542" s="757"/>
      <c r="AU542" s="757"/>
      <c r="AV542" s="757"/>
      <c r="AW542" s="751">
        <f>SUM(F542:AV542)</f>
        <v>0</v>
      </c>
      <c r="AX542" s="751"/>
      <c r="AY542" s="751"/>
      <c r="AZ542" s="751"/>
      <c r="BA542" s="791"/>
      <c r="BB542" s="791"/>
      <c r="BC542" s="791"/>
      <c r="BD542" s="791"/>
      <c r="BE542" s="791"/>
    </row>
    <row r="543" spans="1:57" ht="12.6" customHeight="1" x14ac:dyDescent="0.25">
      <c r="A543" s="241" t="s">
        <v>1477</v>
      </c>
      <c r="B543" s="270"/>
      <c r="C543" s="249"/>
      <c r="D543" s="249"/>
      <c r="E543" s="250"/>
      <c r="F543" s="751">
        <f>SUM(ANALYTIKAVUJ!$D$5+ANALYTIKAVUJ!$D$9+'HL KNIHA VYPOC'!$K$42)</f>
        <v>0</v>
      </c>
      <c r="G543" s="751"/>
      <c r="H543" s="751"/>
      <c r="I543" s="751">
        <f>SUM(ANALYTIKAVUJ!$D$6)</f>
        <v>0</v>
      </c>
      <c r="J543" s="751"/>
      <c r="K543" s="751"/>
      <c r="L543" s="751"/>
      <c r="M543" s="751">
        <f>SUM(ANALYTIKAVUJ!$D$10)</f>
        <v>0</v>
      </c>
      <c r="N543" s="751"/>
      <c r="O543" s="751"/>
      <c r="P543" s="751"/>
      <c r="Q543" s="751">
        <f>SUM(ANALYTIKAVUJ!$D$13)</f>
        <v>0</v>
      </c>
      <c r="R543" s="751"/>
      <c r="S543" s="751"/>
      <c r="T543" s="751"/>
      <c r="U543" s="751">
        <f>SUM(ANALYTIKAVUJ!$D$14)</f>
        <v>0</v>
      </c>
      <c r="V543" s="751"/>
      <c r="W543" s="751"/>
      <c r="X543" s="751"/>
      <c r="Y543" s="751">
        <f>SUM(ANALYTIKAVUJ!$D$18)</f>
        <v>0</v>
      </c>
      <c r="Z543" s="751"/>
      <c r="AA543" s="751"/>
      <c r="AB543" s="751"/>
      <c r="AC543" s="751">
        <f>SUM(ANALYTIKAVUJ!$D$22+'HL KNIHA VYPOC'!$K$45)</f>
        <v>0</v>
      </c>
      <c r="AD543" s="751"/>
      <c r="AE543" s="751"/>
      <c r="AF543" s="751"/>
      <c r="AG543" s="751">
        <f>SUM(ANALYTIKAVUJ!$D$15+ANALYTIKAVUJ!$D$19+ANALYTIKAVUJ!$D$23)</f>
        <v>0</v>
      </c>
      <c r="AH543" s="751"/>
      <c r="AI543" s="751"/>
      <c r="AJ543" s="751"/>
      <c r="AK543" s="751">
        <f>SUM(ANALYTIKAVUJ!$D$108)</f>
        <v>0</v>
      </c>
      <c r="AL543" s="751"/>
      <c r="AM543" s="751"/>
      <c r="AN543" s="751"/>
      <c r="AO543" s="751">
        <f>SUM('HL KNIHA VYPOC'!$K$33)</f>
        <v>0</v>
      </c>
      <c r="AP543" s="751"/>
      <c r="AQ543" s="751"/>
      <c r="AR543" s="751"/>
      <c r="AS543" s="751">
        <f>SUM('HL KNIHA VYPOC'!$K$39)</f>
        <v>0</v>
      </c>
      <c r="AT543" s="751"/>
      <c r="AU543" s="751"/>
      <c r="AV543" s="751"/>
      <c r="AW543" s="751">
        <f>SUM(F543:AV545)</f>
        <v>0</v>
      </c>
      <c r="AX543" s="751"/>
      <c r="AY543" s="751"/>
      <c r="AZ543" s="751"/>
      <c r="BA543" s="791"/>
      <c r="BB543" s="791"/>
      <c r="BC543" s="791"/>
      <c r="BD543" s="791"/>
      <c r="BE543" s="791"/>
    </row>
    <row r="544" spans="1:57" ht="12.6" customHeight="1" x14ac:dyDescent="0.25">
      <c r="A544" s="243" t="s">
        <v>1524</v>
      </c>
      <c r="B544" s="260"/>
      <c r="C544" s="208"/>
      <c r="D544" s="208"/>
      <c r="E544" s="245"/>
      <c r="F544" s="751"/>
      <c r="G544" s="751"/>
      <c r="H544" s="751"/>
      <c r="I544" s="751"/>
      <c r="J544" s="751"/>
      <c r="K544" s="751"/>
      <c r="L544" s="751"/>
      <c r="M544" s="751"/>
      <c r="N544" s="751"/>
      <c r="O544" s="751"/>
      <c r="P544" s="751"/>
      <c r="Q544" s="751"/>
      <c r="R544" s="751"/>
      <c r="S544" s="751"/>
      <c r="T544" s="751"/>
      <c r="U544" s="751"/>
      <c r="V544" s="751"/>
      <c r="W544" s="751"/>
      <c r="X544" s="751"/>
      <c r="Y544" s="751"/>
      <c r="Z544" s="751"/>
      <c r="AA544" s="751"/>
      <c r="AB544" s="751"/>
      <c r="AC544" s="751"/>
      <c r="AD544" s="751"/>
      <c r="AE544" s="751"/>
      <c r="AF544" s="751"/>
      <c r="AG544" s="751"/>
      <c r="AH544" s="751"/>
      <c r="AI544" s="751"/>
      <c r="AJ544" s="751"/>
      <c r="AK544" s="751"/>
      <c r="AL544" s="751"/>
      <c r="AM544" s="751"/>
      <c r="AN544" s="751"/>
      <c r="AO544" s="751"/>
      <c r="AP544" s="751"/>
      <c r="AQ544" s="751"/>
      <c r="AR544" s="751"/>
      <c r="AS544" s="751"/>
      <c r="AT544" s="751"/>
      <c r="AU544" s="751"/>
      <c r="AV544" s="751"/>
      <c r="AW544" s="751"/>
      <c r="AX544" s="751"/>
      <c r="AY544" s="751"/>
      <c r="AZ544" s="751"/>
      <c r="BA544" s="791"/>
      <c r="BB544" s="791"/>
      <c r="BC544" s="791"/>
      <c r="BD544" s="791"/>
      <c r="BE544" s="791"/>
    </row>
    <row r="545" spans="1:57" ht="12.6" customHeight="1" x14ac:dyDescent="0.25">
      <c r="A545" s="251" t="s">
        <v>1525</v>
      </c>
      <c r="B545" s="261"/>
      <c r="C545" s="247"/>
      <c r="D545" s="247"/>
      <c r="E545" s="252"/>
      <c r="F545" s="751"/>
      <c r="G545" s="751"/>
      <c r="H545" s="751"/>
      <c r="I545" s="751"/>
      <c r="J545" s="751"/>
      <c r="K545" s="751"/>
      <c r="L545" s="751"/>
      <c r="M545" s="751"/>
      <c r="N545" s="751"/>
      <c r="O545" s="751"/>
      <c r="P545" s="751"/>
      <c r="Q545" s="751"/>
      <c r="R545" s="751"/>
      <c r="S545" s="751"/>
      <c r="T545" s="751"/>
      <c r="U545" s="751"/>
      <c r="V545" s="751"/>
      <c r="W545" s="751"/>
      <c r="X545" s="751"/>
      <c r="Y545" s="751"/>
      <c r="Z545" s="751"/>
      <c r="AA545" s="751"/>
      <c r="AB545" s="751"/>
      <c r="AC545" s="751"/>
      <c r="AD545" s="751"/>
      <c r="AE545" s="751"/>
      <c r="AF545" s="751"/>
      <c r="AG545" s="751"/>
      <c r="AH545" s="751"/>
      <c r="AI545" s="751"/>
      <c r="AJ545" s="751"/>
      <c r="AK545" s="751"/>
      <c r="AL545" s="751"/>
      <c r="AM545" s="751"/>
      <c r="AN545" s="751"/>
      <c r="AO545" s="751"/>
      <c r="AP545" s="751"/>
      <c r="AQ545" s="751"/>
      <c r="AR545" s="751"/>
      <c r="AS545" s="751"/>
      <c r="AT545" s="751"/>
      <c r="AU545" s="751"/>
      <c r="AV545" s="751"/>
      <c r="AW545" s="751"/>
      <c r="AX545" s="751"/>
      <c r="AY545" s="751"/>
      <c r="AZ545" s="751"/>
      <c r="BA545" s="791"/>
      <c r="BB545" s="791"/>
      <c r="BC545" s="791"/>
      <c r="BD545" s="791"/>
      <c r="BE545" s="791"/>
    </row>
    <row r="546" spans="1:57" ht="12.6" customHeight="1" x14ac:dyDescent="0.25">
      <c r="A546" s="208" t="s">
        <v>1479</v>
      </c>
      <c r="B546" s="208"/>
      <c r="C546" s="208"/>
      <c r="D546" s="208"/>
      <c r="E546" s="208"/>
      <c r="F546" s="262"/>
      <c r="G546" s="262"/>
      <c r="H546" s="262"/>
      <c r="I546" s="262"/>
      <c r="J546" s="262"/>
      <c r="K546" s="262"/>
      <c r="L546" s="262"/>
      <c r="M546" s="262"/>
      <c r="N546" s="262"/>
      <c r="O546" s="262"/>
      <c r="P546" s="262"/>
      <c r="Q546" s="262"/>
      <c r="R546" s="262"/>
      <c r="S546" s="262"/>
      <c r="T546" s="262"/>
      <c r="U546" s="262"/>
      <c r="V546" s="262"/>
      <c r="W546" s="262"/>
      <c r="X546" s="262"/>
      <c r="Y546" s="262"/>
      <c r="Z546" s="262"/>
      <c r="AA546" s="262"/>
      <c r="AB546" s="262"/>
      <c r="AC546" s="262"/>
      <c r="AD546" s="262"/>
      <c r="AE546" s="262"/>
      <c r="AF546" s="262"/>
      <c r="AG546" s="262"/>
      <c r="AH546" s="262"/>
      <c r="AI546" s="262"/>
      <c r="AJ546" s="262"/>
      <c r="AK546" s="262"/>
      <c r="AL546" s="262"/>
      <c r="AM546" s="262"/>
      <c r="AN546" s="262"/>
      <c r="AO546" s="262"/>
      <c r="AP546" s="262"/>
      <c r="AQ546" s="262"/>
      <c r="AR546" s="262"/>
      <c r="AS546" s="262"/>
      <c r="AT546" s="262"/>
      <c r="AU546" s="262"/>
      <c r="AV546" s="262"/>
      <c r="AW546" s="262"/>
      <c r="AX546" s="262"/>
      <c r="AY546" s="262"/>
      <c r="AZ546" s="262"/>
      <c r="BA546" s="213"/>
      <c r="BB546" s="213"/>
      <c r="BC546" s="213"/>
      <c r="BD546" s="213"/>
      <c r="BE546" s="283"/>
    </row>
    <row r="547" spans="1:57" ht="12.6" customHeight="1" x14ac:dyDescent="0.25">
      <c r="A547" s="241" t="s">
        <v>1522</v>
      </c>
      <c r="B547" s="249"/>
      <c r="C547" s="249"/>
      <c r="D547" s="249"/>
      <c r="E547" s="249"/>
      <c r="F547" s="751">
        <f>SUM(F554-F553+F552-F551)</f>
        <v>0</v>
      </c>
      <c r="G547" s="751"/>
      <c r="H547" s="751"/>
      <c r="I547" s="751">
        <f>SUM(I554-I553+I552-I551)</f>
        <v>0</v>
      </c>
      <c r="J547" s="751"/>
      <c r="K547" s="751"/>
      <c r="L547" s="751"/>
      <c r="M547" s="751">
        <f>SUM(M554-M553+M552-M551)</f>
        <v>0</v>
      </c>
      <c r="N547" s="751"/>
      <c r="O547" s="751"/>
      <c r="P547" s="751"/>
      <c r="Q547" s="751">
        <f>SUM(Q554-Q553+Q552-Q551)</f>
        <v>0</v>
      </c>
      <c r="R547" s="751"/>
      <c r="S547" s="751"/>
      <c r="T547" s="751"/>
      <c r="U547" s="751">
        <f>SUM(U554-U553+U552-U551)</f>
        <v>0</v>
      </c>
      <c r="V547" s="751"/>
      <c r="W547" s="751"/>
      <c r="X547" s="751"/>
      <c r="Y547" s="751">
        <f>SUM(Y554-Y553+Y552-Y551)</f>
        <v>0</v>
      </c>
      <c r="Z547" s="751"/>
      <c r="AA547" s="751"/>
      <c r="AB547" s="751"/>
      <c r="AC547" s="751">
        <f>SUM(AC554-AC553+AC552-AC551)</f>
        <v>0</v>
      </c>
      <c r="AD547" s="751"/>
      <c r="AE547" s="751"/>
      <c r="AF547" s="751"/>
      <c r="AG547" s="751">
        <f>SUM(AG554-AG553+AG552-AG551)</f>
        <v>0</v>
      </c>
      <c r="AH547" s="751"/>
      <c r="AI547" s="751"/>
      <c r="AJ547" s="751"/>
      <c r="AK547" s="751"/>
      <c r="AL547" s="751"/>
      <c r="AM547" s="751"/>
      <c r="AN547" s="751"/>
      <c r="AO547" s="751">
        <f>SUM(AO554-AO553+AO552-AO551)</f>
        <v>0</v>
      </c>
      <c r="AP547" s="751"/>
      <c r="AQ547" s="751"/>
      <c r="AR547" s="751"/>
      <c r="AS547" s="751">
        <f>SUM(AS554-AS553+AS552-AS551)</f>
        <v>0</v>
      </c>
      <c r="AT547" s="751"/>
      <c r="AU547" s="751"/>
      <c r="AV547" s="751"/>
      <c r="AW547" s="751">
        <f>SUM(F547:AV550)</f>
        <v>0</v>
      </c>
      <c r="AX547" s="751"/>
      <c r="AY547" s="751"/>
      <c r="AZ547" s="751"/>
      <c r="BA547" s="791"/>
      <c r="BB547" s="791"/>
      <c r="BC547" s="791"/>
      <c r="BD547" s="791"/>
      <c r="BE547" s="791"/>
    </row>
    <row r="548" spans="1:57" ht="12.6" customHeight="1" x14ac:dyDescent="0.25">
      <c r="A548" s="243" t="s">
        <v>1523</v>
      </c>
      <c r="B548" s="208"/>
      <c r="C548" s="208"/>
      <c r="D548" s="208"/>
      <c r="E548" s="208"/>
      <c r="F548" s="751"/>
      <c r="G548" s="751"/>
      <c r="H548" s="751"/>
      <c r="I548" s="751"/>
      <c r="J548" s="751"/>
      <c r="K548" s="751"/>
      <c r="L548" s="751"/>
      <c r="M548" s="751"/>
      <c r="N548" s="751"/>
      <c r="O548" s="751"/>
      <c r="P548" s="751"/>
      <c r="Q548" s="751"/>
      <c r="R548" s="751"/>
      <c r="S548" s="751"/>
      <c r="T548" s="751"/>
      <c r="U548" s="751"/>
      <c r="V548" s="751"/>
      <c r="W548" s="751"/>
      <c r="X548" s="751"/>
      <c r="Y548" s="751"/>
      <c r="Z548" s="751"/>
      <c r="AA548" s="751"/>
      <c r="AB548" s="751"/>
      <c r="AC548" s="751"/>
      <c r="AD548" s="751"/>
      <c r="AE548" s="751"/>
      <c r="AF548" s="751"/>
      <c r="AG548" s="751"/>
      <c r="AH548" s="751"/>
      <c r="AI548" s="751"/>
      <c r="AJ548" s="751"/>
      <c r="AK548" s="751"/>
      <c r="AL548" s="751"/>
      <c r="AM548" s="751"/>
      <c r="AN548" s="751"/>
      <c r="AO548" s="751"/>
      <c r="AP548" s="751"/>
      <c r="AQ548" s="751"/>
      <c r="AR548" s="751"/>
      <c r="AS548" s="751"/>
      <c r="AT548" s="751"/>
      <c r="AU548" s="751"/>
      <c r="AV548" s="751"/>
      <c r="AW548" s="751"/>
      <c r="AX548" s="751"/>
      <c r="AY548" s="751"/>
      <c r="AZ548" s="751"/>
      <c r="BA548" s="791"/>
      <c r="BB548" s="791"/>
      <c r="BC548" s="791"/>
      <c r="BD548" s="791"/>
      <c r="BE548" s="791"/>
    </row>
    <row r="549" spans="1:57" ht="12.6" customHeight="1" x14ac:dyDescent="0.25">
      <c r="A549" s="243" t="s">
        <v>1524</v>
      </c>
      <c r="B549" s="208"/>
      <c r="C549" s="208"/>
      <c r="D549" s="208"/>
      <c r="E549" s="208"/>
      <c r="F549" s="751"/>
      <c r="G549" s="751"/>
      <c r="H549" s="751"/>
      <c r="I549" s="751"/>
      <c r="J549" s="751"/>
      <c r="K549" s="751"/>
      <c r="L549" s="751"/>
      <c r="M549" s="751"/>
      <c r="N549" s="751"/>
      <c r="O549" s="751"/>
      <c r="P549" s="751"/>
      <c r="Q549" s="751"/>
      <c r="R549" s="751"/>
      <c r="S549" s="751"/>
      <c r="T549" s="751"/>
      <c r="U549" s="751"/>
      <c r="V549" s="751"/>
      <c r="W549" s="751"/>
      <c r="X549" s="751"/>
      <c r="Y549" s="751"/>
      <c r="Z549" s="751"/>
      <c r="AA549" s="751"/>
      <c r="AB549" s="751"/>
      <c r="AC549" s="751"/>
      <c r="AD549" s="751"/>
      <c r="AE549" s="751"/>
      <c r="AF549" s="751"/>
      <c r="AG549" s="751"/>
      <c r="AH549" s="751"/>
      <c r="AI549" s="751"/>
      <c r="AJ549" s="751"/>
      <c r="AK549" s="751"/>
      <c r="AL549" s="751"/>
      <c r="AM549" s="751"/>
      <c r="AN549" s="751"/>
      <c r="AO549" s="751"/>
      <c r="AP549" s="751"/>
      <c r="AQ549" s="751"/>
      <c r="AR549" s="751"/>
      <c r="AS549" s="751"/>
      <c r="AT549" s="751"/>
      <c r="AU549" s="751"/>
      <c r="AV549" s="751"/>
      <c r="AW549" s="751"/>
      <c r="AX549" s="751"/>
      <c r="AY549" s="751"/>
      <c r="AZ549" s="751"/>
      <c r="BA549" s="791"/>
      <c r="BB549" s="791"/>
      <c r="BC549" s="791"/>
      <c r="BD549" s="791"/>
      <c r="BE549" s="791"/>
    </row>
    <row r="550" spans="1:57" ht="12.6" customHeight="1" x14ac:dyDescent="0.25">
      <c r="A550" s="251" t="s">
        <v>1525</v>
      </c>
      <c r="B550" s="247"/>
      <c r="C550" s="247"/>
      <c r="D550" s="247"/>
      <c r="E550" s="247"/>
      <c r="F550" s="751"/>
      <c r="G550" s="751"/>
      <c r="H550" s="751"/>
      <c r="I550" s="751"/>
      <c r="J550" s="751"/>
      <c r="K550" s="751"/>
      <c r="L550" s="751"/>
      <c r="M550" s="751"/>
      <c r="N550" s="751"/>
      <c r="O550" s="751"/>
      <c r="P550" s="751"/>
      <c r="Q550" s="751"/>
      <c r="R550" s="751"/>
      <c r="S550" s="751"/>
      <c r="T550" s="751"/>
      <c r="U550" s="751"/>
      <c r="V550" s="751"/>
      <c r="W550" s="751"/>
      <c r="X550" s="751"/>
      <c r="Y550" s="751"/>
      <c r="Z550" s="751"/>
      <c r="AA550" s="751"/>
      <c r="AB550" s="751"/>
      <c r="AC550" s="751"/>
      <c r="AD550" s="751"/>
      <c r="AE550" s="751"/>
      <c r="AF550" s="751"/>
      <c r="AG550" s="751"/>
      <c r="AH550" s="751"/>
      <c r="AI550" s="751"/>
      <c r="AJ550" s="751"/>
      <c r="AK550" s="751"/>
      <c r="AL550" s="751"/>
      <c r="AM550" s="751"/>
      <c r="AN550" s="751"/>
      <c r="AO550" s="751"/>
      <c r="AP550" s="751"/>
      <c r="AQ550" s="751"/>
      <c r="AR550" s="751"/>
      <c r="AS550" s="751"/>
      <c r="AT550" s="751"/>
      <c r="AU550" s="751"/>
      <c r="AV550" s="751"/>
      <c r="AW550" s="751"/>
      <c r="AX550" s="751"/>
      <c r="AY550" s="751"/>
      <c r="AZ550" s="751"/>
      <c r="BA550" s="791"/>
      <c r="BB550" s="791"/>
      <c r="BC550" s="791"/>
      <c r="BD550" s="791"/>
      <c r="BE550" s="791"/>
    </row>
    <row r="551" spans="1:57" ht="12.6" customHeight="1" x14ac:dyDescent="0.25">
      <c r="A551" s="253" t="s">
        <v>1474</v>
      </c>
      <c r="B551" s="246"/>
      <c r="C551" s="246"/>
      <c r="D551" s="246"/>
      <c r="E551" s="246"/>
      <c r="F551" s="757"/>
      <c r="G551" s="757"/>
      <c r="H551" s="757"/>
      <c r="I551" s="757"/>
      <c r="J551" s="757"/>
      <c r="K551" s="757"/>
      <c r="L551" s="757"/>
      <c r="M551" s="757"/>
      <c r="N551" s="757"/>
      <c r="O551" s="757"/>
      <c r="P551" s="757"/>
      <c r="Q551" s="757"/>
      <c r="R551" s="757"/>
      <c r="S551" s="757"/>
      <c r="T551" s="757"/>
      <c r="U551" s="757"/>
      <c r="V551" s="757"/>
      <c r="W551" s="757"/>
      <c r="X551" s="757"/>
      <c r="Y551" s="757"/>
      <c r="Z551" s="757"/>
      <c r="AA551" s="757"/>
      <c r="AB551" s="757"/>
      <c r="AC551" s="757"/>
      <c r="AD551" s="757"/>
      <c r="AE551" s="757"/>
      <c r="AF551" s="757"/>
      <c r="AG551" s="757"/>
      <c r="AH551" s="757"/>
      <c r="AI551" s="757"/>
      <c r="AJ551" s="757"/>
      <c r="AK551" s="757"/>
      <c r="AL551" s="757"/>
      <c r="AM551" s="757"/>
      <c r="AN551" s="757"/>
      <c r="AO551" s="757"/>
      <c r="AP551" s="757"/>
      <c r="AQ551" s="757"/>
      <c r="AR551" s="757"/>
      <c r="AS551" s="757"/>
      <c r="AT551" s="757"/>
      <c r="AU551" s="757"/>
      <c r="AV551" s="757"/>
      <c r="AW551" s="751">
        <f>SUM(F551:AV551)</f>
        <v>0</v>
      </c>
      <c r="AX551" s="751"/>
      <c r="AY551" s="751"/>
      <c r="AZ551" s="751"/>
      <c r="BA551" s="791"/>
      <c r="BB551" s="791"/>
      <c r="BC551" s="791"/>
      <c r="BD551" s="791"/>
      <c r="BE551" s="791"/>
    </row>
    <row r="552" spans="1:57" ht="12.6" customHeight="1" x14ac:dyDescent="0.25">
      <c r="A552" s="253" t="s">
        <v>1475</v>
      </c>
      <c r="B552" s="259"/>
      <c r="C552" s="246"/>
      <c r="D552" s="246"/>
      <c r="E552" s="246"/>
      <c r="F552" s="757"/>
      <c r="G552" s="757"/>
      <c r="H552" s="757"/>
      <c r="I552" s="757"/>
      <c r="J552" s="757"/>
      <c r="K552" s="757"/>
      <c r="L552" s="757"/>
      <c r="M552" s="757"/>
      <c r="N552" s="757"/>
      <c r="O552" s="757"/>
      <c r="P552" s="757"/>
      <c r="Q552" s="757"/>
      <c r="R552" s="757"/>
      <c r="S552" s="757"/>
      <c r="T552" s="757"/>
      <c r="U552" s="757"/>
      <c r="V552" s="757"/>
      <c r="W552" s="757"/>
      <c r="X552" s="757"/>
      <c r="Y552" s="757"/>
      <c r="Z552" s="757"/>
      <c r="AA552" s="757"/>
      <c r="AB552" s="757"/>
      <c r="AC552" s="757"/>
      <c r="AD552" s="757"/>
      <c r="AE552" s="757"/>
      <c r="AF552" s="757"/>
      <c r="AG552" s="757"/>
      <c r="AH552" s="757"/>
      <c r="AI552" s="757"/>
      <c r="AJ552" s="757"/>
      <c r="AK552" s="757"/>
      <c r="AL552" s="757"/>
      <c r="AM552" s="757"/>
      <c r="AN552" s="757"/>
      <c r="AO552" s="757"/>
      <c r="AP552" s="757"/>
      <c r="AQ552" s="757"/>
      <c r="AR552" s="757"/>
      <c r="AS552" s="757"/>
      <c r="AT552" s="757"/>
      <c r="AU552" s="757"/>
      <c r="AV552" s="757"/>
      <c r="AW552" s="751">
        <f>SUM(F552:AV552)</f>
        <v>0</v>
      </c>
      <c r="AX552" s="751"/>
      <c r="AY552" s="751"/>
      <c r="AZ552" s="751"/>
      <c r="BA552" s="791"/>
      <c r="BB552" s="791"/>
      <c r="BC552" s="791"/>
      <c r="BD552" s="791"/>
      <c r="BE552" s="791"/>
    </row>
    <row r="553" spans="1:57" ht="12.6" customHeight="1" x14ac:dyDescent="0.25">
      <c r="A553" s="253" t="s">
        <v>1476</v>
      </c>
      <c r="B553" s="259"/>
      <c r="C553" s="246"/>
      <c r="D553" s="246"/>
      <c r="E553" s="246"/>
      <c r="F553" s="757"/>
      <c r="G553" s="757"/>
      <c r="H553" s="757"/>
      <c r="I553" s="757"/>
      <c r="J553" s="757"/>
      <c r="K553" s="757"/>
      <c r="L553" s="757"/>
      <c r="M553" s="757"/>
      <c r="N553" s="757"/>
      <c r="O553" s="757"/>
      <c r="P553" s="757"/>
      <c r="Q553" s="757"/>
      <c r="R553" s="757"/>
      <c r="S553" s="757"/>
      <c r="T553" s="757"/>
      <c r="U553" s="757"/>
      <c r="V553" s="757"/>
      <c r="W553" s="757"/>
      <c r="X553" s="757"/>
      <c r="Y553" s="757"/>
      <c r="Z553" s="757"/>
      <c r="AA553" s="757"/>
      <c r="AB553" s="757"/>
      <c r="AC553" s="757"/>
      <c r="AD553" s="757"/>
      <c r="AE553" s="757"/>
      <c r="AF553" s="757"/>
      <c r="AG553" s="757"/>
      <c r="AH553" s="757"/>
      <c r="AI553" s="757"/>
      <c r="AJ553" s="757"/>
      <c r="AK553" s="757"/>
      <c r="AL553" s="757"/>
      <c r="AM553" s="757"/>
      <c r="AN553" s="757"/>
      <c r="AO553" s="757"/>
      <c r="AP553" s="757"/>
      <c r="AQ553" s="757"/>
      <c r="AR553" s="757"/>
      <c r="AS553" s="757"/>
      <c r="AT553" s="757"/>
      <c r="AU553" s="757"/>
      <c r="AV553" s="757"/>
      <c r="AW553" s="751">
        <f>SUM(F553:AV553)</f>
        <v>0</v>
      </c>
      <c r="AX553" s="751"/>
      <c r="AY553" s="751"/>
      <c r="AZ553" s="751"/>
      <c r="BA553" s="791"/>
      <c r="BB553" s="791"/>
      <c r="BC553" s="791"/>
      <c r="BD553" s="791"/>
      <c r="BE553" s="791"/>
    </row>
    <row r="554" spans="1:57" ht="12.6" customHeight="1" x14ac:dyDescent="0.25">
      <c r="A554" s="243" t="s">
        <v>1477</v>
      </c>
      <c r="B554" s="208"/>
      <c r="C554" s="208"/>
      <c r="D554" s="208"/>
      <c r="E554" s="208"/>
      <c r="F554" s="751">
        <f>SUM(ANALYTIKAVUJ!$D$46)*-1</f>
        <v>0</v>
      </c>
      <c r="G554" s="751"/>
      <c r="H554" s="751"/>
      <c r="I554" s="751">
        <f>SUM(ANALYTIKAVUJ!$D$47)*-1</f>
        <v>0</v>
      </c>
      <c r="J554" s="751"/>
      <c r="K554" s="751"/>
      <c r="L554" s="751"/>
      <c r="M554" s="751">
        <f>SUM(ANALYTIKAVUJ!$D$48)*-1</f>
        <v>0</v>
      </c>
      <c r="N554" s="751"/>
      <c r="O554" s="751"/>
      <c r="P554" s="751"/>
      <c r="Q554" s="751">
        <f>SUM(ANALYTIKAVUJ!$D$49)*-1</f>
        <v>0</v>
      </c>
      <c r="R554" s="751"/>
      <c r="S554" s="751"/>
      <c r="T554" s="751"/>
      <c r="U554" s="751">
        <f>SUM(ANALYTIKAVUJ!$D$50)*-1</f>
        <v>0</v>
      </c>
      <c r="V554" s="751"/>
      <c r="W554" s="751"/>
      <c r="X554" s="751"/>
      <c r="Y554" s="751">
        <f>SUM(ANALYTIKAVUJ!$D$51)*-1</f>
        <v>0</v>
      </c>
      <c r="Z554" s="751"/>
      <c r="AA554" s="751"/>
      <c r="AB554" s="751"/>
      <c r="AC554" s="751">
        <f>SUM(ANALYTIKAVUJ!$D$52)*-1</f>
        <v>0</v>
      </c>
      <c r="AD554" s="751"/>
      <c r="AE554" s="751"/>
      <c r="AF554" s="751"/>
      <c r="AG554" s="751">
        <f>SUM(ANALYTIKAVUJ!$D$53)*-1</f>
        <v>0</v>
      </c>
      <c r="AH554" s="751"/>
      <c r="AI554" s="751"/>
      <c r="AJ554" s="751"/>
      <c r="AK554" s="751"/>
      <c r="AL554" s="751"/>
      <c r="AM554" s="751"/>
      <c r="AN554" s="751"/>
      <c r="AO554" s="751">
        <f>SUM(ANALYTIKAVUJ!$D$54)*-1</f>
        <v>0</v>
      </c>
      <c r="AP554" s="751"/>
      <c r="AQ554" s="751"/>
      <c r="AR554" s="751"/>
      <c r="AS554" s="751">
        <f>SUM(ANALYTIKAVUJ!$D$43)*-1</f>
        <v>0</v>
      </c>
      <c r="AT554" s="751"/>
      <c r="AU554" s="751"/>
      <c r="AV554" s="751"/>
      <c r="AW554" s="751">
        <f>SUM(F554:AV556)</f>
        <v>0</v>
      </c>
      <c r="AX554" s="751"/>
      <c r="AY554" s="751"/>
      <c r="AZ554" s="751"/>
      <c r="BA554" s="791"/>
      <c r="BB554" s="791"/>
      <c r="BC554" s="791"/>
      <c r="BD554" s="791"/>
      <c r="BE554" s="791"/>
    </row>
    <row r="555" spans="1:57" ht="12.6" customHeight="1" x14ac:dyDescent="0.25">
      <c r="A555" s="243" t="s">
        <v>1524</v>
      </c>
      <c r="B555" s="208"/>
      <c r="C555" s="208"/>
      <c r="D555" s="208"/>
      <c r="E555" s="208"/>
      <c r="F555" s="751"/>
      <c r="G555" s="751"/>
      <c r="H555" s="751"/>
      <c r="I555" s="751"/>
      <c r="J555" s="751"/>
      <c r="K555" s="751"/>
      <c r="L555" s="751"/>
      <c r="M555" s="751"/>
      <c r="N555" s="751"/>
      <c r="O555" s="751"/>
      <c r="P555" s="751"/>
      <c r="Q555" s="751"/>
      <c r="R555" s="751"/>
      <c r="S555" s="751"/>
      <c r="T555" s="751"/>
      <c r="U555" s="751"/>
      <c r="V555" s="751"/>
      <c r="W555" s="751"/>
      <c r="X555" s="751"/>
      <c r="Y555" s="751"/>
      <c r="Z555" s="751"/>
      <c r="AA555" s="751"/>
      <c r="AB555" s="751"/>
      <c r="AC555" s="751"/>
      <c r="AD555" s="751"/>
      <c r="AE555" s="751"/>
      <c r="AF555" s="751"/>
      <c r="AG555" s="751"/>
      <c r="AH555" s="751"/>
      <c r="AI555" s="751"/>
      <c r="AJ555" s="751"/>
      <c r="AK555" s="751"/>
      <c r="AL555" s="751"/>
      <c r="AM555" s="751"/>
      <c r="AN555" s="751"/>
      <c r="AO555" s="751"/>
      <c r="AP555" s="751"/>
      <c r="AQ555" s="751"/>
      <c r="AR555" s="751"/>
      <c r="AS555" s="751"/>
      <c r="AT555" s="751"/>
      <c r="AU555" s="751"/>
      <c r="AV555" s="751"/>
      <c r="AW555" s="751"/>
      <c r="AX555" s="751"/>
      <c r="AY555" s="751"/>
      <c r="AZ555" s="751"/>
      <c r="BA555" s="791"/>
      <c r="BB555" s="791"/>
      <c r="BC555" s="791"/>
      <c r="BD555" s="791"/>
      <c r="BE555" s="791"/>
    </row>
    <row r="556" spans="1:57" ht="12.6" customHeight="1" x14ac:dyDescent="0.25">
      <c r="A556" s="251" t="s">
        <v>1525</v>
      </c>
      <c r="B556" s="247"/>
      <c r="C556" s="247"/>
      <c r="D556" s="247"/>
      <c r="E556" s="247"/>
      <c r="F556" s="751"/>
      <c r="G556" s="751"/>
      <c r="H556" s="751"/>
      <c r="I556" s="751"/>
      <c r="J556" s="751"/>
      <c r="K556" s="751"/>
      <c r="L556" s="751"/>
      <c r="M556" s="751"/>
      <c r="N556" s="751"/>
      <c r="O556" s="751"/>
      <c r="P556" s="751"/>
      <c r="Q556" s="751"/>
      <c r="R556" s="751"/>
      <c r="S556" s="751"/>
      <c r="T556" s="751"/>
      <c r="U556" s="751"/>
      <c r="V556" s="751"/>
      <c r="W556" s="751"/>
      <c r="X556" s="751"/>
      <c r="Y556" s="751"/>
      <c r="Z556" s="751"/>
      <c r="AA556" s="751"/>
      <c r="AB556" s="751"/>
      <c r="AC556" s="751"/>
      <c r="AD556" s="751"/>
      <c r="AE556" s="751"/>
      <c r="AF556" s="751"/>
      <c r="AG556" s="751"/>
      <c r="AH556" s="751"/>
      <c r="AI556" s="751"/>
      <c r="AJ556" s="751"/>
      <c r="AK556" s="751"/>
      <c r="AL556" s="751"/>
      <c r="AM556" s="751"/>
      <c r="AN556" s="751"/>
      <c r="AO556" s="751"/>
      <c r="AP556" s="751"/>
      <c r="AQ556" s="751"/>
      <c r="AR556" s="751"/>
      <c r="AS556" s="751"/>
      <c r="AT556" s="751"/>
      <c r="AU556" s="751"/>
      <c r="AV556" s="751"/>
      <c r="AW556" s="751"/>
      <c r="AX556" s="751"/>
      <c r="AY556" s="751"/>
      <c r="AZ556" s="751"/>
      <c r="BA556" s="791"/>
      <c r="BB556" s="791"/>
      <c r="BC556" s="791"/>
      <c r="BD556" s="791"/>
      <c r="BE556" s="791"/>
    </row>
    <row r="557" spans="1:57" ht="12.6" customHeight="1" x14ac:dyDescent="0.25">
      <c r="A557" s="246" t="s">
        <v>1547</v>
      </c>
      <c r="B557" s="246"/>
      <c r="C557" s="246"/>
      <c r="D557" s="246"/>
      <c r="E557" s="246"/>
      <c r="F557" s="254"/>
      <c r="G557" s="254"/>
      <c r="H557" s="254"/>
      <c r="I557" s="254"/>
      <c r="J557" s="254"/>
      <c r="K557" s="254"/>
      <c r="L557" s="254"/>
      <c r="M557" s="254"/>
      <c r="N557" s="254"/>
      <c r="O557" s="254"/>
      <c r="P557" s="254"/>
      <c r="Q557" s="254"/>
      <c r="R557" s="254"/>
      <c r="S557" s="254"/>
      <c r="T557" s="254"/>
      <c r="U557" s="254"/>
      <c r="V557" s="254"/>
      <c r="W557" s="254"/>
      <c r="X557" s="254"/>
      <c r="Y557" s="254"/>
      <c r="Z557" s="254"/>
      <c r="AA557" s="254"/>
      <c r="AB557" s="254"/>
      <c r="AC557" s="254"/>
      <c r="AD557" s="254"/>
      <c r="AE557" s="254"/>
      <c r="AF557" s="254"/>
      <c r="AG557" s="254"/>
      <c r="AH557" s="254"/>
      <c r="AI557" s="254"/>
      <c r="AJ557" s="254"/>
      <c r="AK557" s="254"/>
      <c r="AL557" s="254"/>
      <c r="AM557" s="254"/>
      <c r="AN557" s="254"/>
      <c r="AO557" s="254"/>
      <c r="AP557" s="254"/>
      <c r="AQ557" s="254"/>
      <c r="AR557" s="254"/>
      <c r="AS557" s="254"/>
      <c r="AT557" s="254"/>
      <c r="AU557" s="254"/>
      <c r="AV557" s="254"/>
      <c r="AW557" s="254"/>
      <c r="AX557" s="254"/>
      <c r="AY557" s="254"/>
      <c r="AZ557" s="254"/>
      <c r="BA557" s="283"/>
      <c r="BB557" s="283"/>
      <c r="BC557" s="283"/>
      <c r="BD557" s="283"/>
      <c r="BE557" s="283"/>
    </row>
    <row r="558" spans="1:57" ht="12.6" customHeight="1" x14ac:dyDescent="0.25">
      <c r="A558" s="241" t="s">
        <v>1522</v>
      </c>
      <c r="B558" s="249"/>
      <c r="C558" s="249"/>
      <c r="D558" s="249"/>
      <c r="E558" s="249"/>
      <c r="F558" s="751">
        <f>SUM(F536-F547)</f>
        <v>0</v>
      </c>
      <c r="G558" s="751"/>
      <c r="H558" s="751"/>
      <c r="I558" s="751">
        <f>SUM(I536-I547)</f>
        <v>0</v>
      </c>
      <c r="J558" s="751"/>
      <c r="K558" s="751"/>
      <c r="L558" s="751"/>
      <c r="M558" s="751">
        <f>SUM(M536-M547)</f>
        <v>0</v>
      </c>
      <c r="N558" s="751"/>
      <c r="O558" s="751"/>
      <c r="P558" s="751"/>
      <c r="Q558" s="751">
        <f>SUM(Q536-Q547)</f>
        <v>0</v>
      </c>
      <c r="R558" s="751"/>
      <c r="S558" s="751"/>
      <c r="T558" s="751"/>
      <c r="U558" s="751">
        <f>SUM(U536-U547)</f>
        <v>0</v>
      </c>
      <c r="V558" s="751"/>
      <c r="W558" s="751"/>
      <c r="X558" s="751"/>
      <c r="Y558" s="751">
        <f>SUM(Y536-Y547)</f>
        <v>0</v>
      </c>
      <c r="Z558" s="751"/>
      <c r="AA558" s="751"/>
      <c r="AB558" s="751"/>
      <c r="AC558" s="751">
        <f>SUM(AC536-AC547)</f>
        <v>0</v>
      </c>
      <c r="AD558" s="751"/>
      <c r="AE558" s="751"/>
      <c r="AF558" s="751"/>
      <c r="AG558" s="751">
        <f>SUM(AG536-AG547)</f>
        <v>0</v>
      </c>
      <c r="AH558" s="751"/>
      <c r="AI558" s="751"/>
      <c r="AJ558" s="751"/>
      <c r="AK558" s="751">
        <f>SUM(AK536-AK547)</f>
        <v>0</v>
      </c>
      <c r="AL558" s="751"/>
      <c r="AM558" s="751"/>
      <c r="AN558" s="751"/>
      <c r="AO558" s="751">
        <f>SUM(AO536-AO547)</f>
        <v>0</v>
      </c>
      <c r="AP558" s="751"/>
      <c r="AQ558" s="751"/>
      <c r="AR558" s="751"/>
      <c r="AS558" s="751">
        <f>SUM(AS536-AS547)</f>
        <v>0</v>
      </c>
      <c r="AT558" s="751"/>
      <c r="AU558" s="751"/>
      <c r="AV558" s="751"/>
      <c r="AW558" s="751">
        <f>SUM(F558:AV561)</f>
        <v>0</v>
      </c>
      <c r="AX558" s="751"/>
      <c r="AY558" s="751"/>
      <c r="AZ558" s="751"/>
      <c r="BA558" s="792"/>
      <c r="BB558" s="792"/>
      <c r="BC558" s="792"/>
      <c r="BD558" s="792"/>
      <c r="BE558" s="792"/>
    </row>
    <row r="559" spans="1:57" ht="12.6" customHeight="1" x14ac:dyDescent="0.25">
      <c r="A559" s="243" t="s">
        <v>1523</v>
      </c>
      <c r="B559" s="208"/>
      <c r="C559" s="208"/>
      <c r="D559" s="208"/>
      <c r="E559" s="208"/>
      <c r="F559" s="751"/>
      <c r="G559" s="751"/>
      <c r="H559" s="751"/>
      <c r="I559" s="751"/>
      <c r="J559" s="751"/>
      <c r="K559" s="751"/>
      <c r="L559" s="751"/>
      <c r="M559" s="751"/>
      <c r="N559" s="751"/>
      <c r="O559" s="751"/>
      <c r="P559" s="751"/>
      <c r="Q559" s="751"/>
      <c r="R559" s="751"/>
      <c r="S559" s="751"/>
      <c r="T559" s="751"/>
      <c r="U559" s="751"/>
      <c r="V559" s="751"/>
      <c r="W559" s="751"/>
      <c r="X559" s="751"/>
      <c r="Y559" s="751"/>
      <c r="Z559" s="751"/>
      <c r="AA559" s="751"/>
      <c r="AB559" s="751"/>
      <c r="AC559" s="751"/>
      <c r="AD559" s="751"/>
      <c r="AE559" s="751"/>
      <c r="AF559" s="751"/>
      <c r="AG559" s="751"/>
      <c r="AH559" s="751"/>
      <c r="AI559" s="751"/>
      <c r="AJ559" s="751"/>
      <c r="AK559" s="751"/>
      <c r="AL559" s="751"/>
      <c r="AM559" s="751"/>
      <c r="AN559" s="751"/>
      <c r="AO559" s="751"/>
      <c r="AP559" s="751"/>
      <c r="AQ559" s="751"/>
      <c r="AR559" s="751"/>
      <c r="AS559" s="751"/>
      <c r="AT559" s="751"/>
      <c r="AU559" s="751"/>
      <c r="AV559" s="751"/>
      <c r="AW559" s="751"/>
      <c r="AX559" s="751"/>
      <c r="AY559" s="751"/>
      <c r="AZ559" s="751"/>
      <c r="BA559" s="792"/>
      <c r="BB559" s="792"/>
      <c r="BC559" s="792"/>
      <c r="BD559" s="792"/>
      <c r="BE559" s="792"/>
    </row>
    <row r="560" spans="1:57" ht="12.6" customHeight="1" x14ac:dyDescent="0.25">
      <c r="A560" s="243" t="s">
        <v>1524</v>
      </c>
      <c r="B560" s="208"/>
      <c r="C560" s="208"/>
      <c r="D560" s="208"/>
      <c r="E560" s="208"/>
      <c r="F560" s="751"/>
      <c r="G560" s="751"/>
      <c r="H560" s="751"/>
      <c r="I560" s="751"/>
      <c r="J560" s="751"/>
      <c r="K560" s="751"/>
      <c r="L560" s="751"/>
      <c r="M560" s="751"/>
      <c r="N560" s="751"/>
      <c r="O560" s="751"/>
      <c r="P560" s="751"/>
      <c r="Q560" s="751"/>
      <c r="R560" s="751"/>
      <c r="S560" s="751"/>
      <c r="T560" s="751"/>
      <c r="U560" s="751"/>
      <c r="V560" s="751"/>
      <c r="W560" s="751"/>
      <c r="X560" s="751"/>
      <c r="Y560" s="751"/>
      <c r="Z560" s="751"/>
      <c r="AA560" s="751"/>
      <c r="AB560" s="751"/>
      <c r="AC560" s="751"/>
      <c r="AD560" s="751"/>
      <c r="AE560" s="751"/>
      <c r="AF560" s="751"/>
      <c r="AG560" s="751"/>
      <c r="AH560" s="751"/>
      <c r="AI560" s="751"/>
      <c r="AJ560" s="751"/>
      <c r="AK560" s="751"/>
      <c r="AL560" s="751"/>
      <c r="AM560" s="751"/>
      <c r="AN560" s="751"/>
      <c r="AO560" s="751"/>
      <c r="AP560" s="751"/>
      <c r="AQ560" s="751"/>
      <c r="AR560" s="751"/>
      <c r="AS560" s="751"/>
      <c r="AT560" s="751"/>
      <c r="AU560" s="751"/>
      <c r="AV560" s="751"/>
      <c r="AW560" s="751"/>
      <c r="AX560" s="751"/>
      <c r="AY560" s="751"/>
      <c r="AZ560" s="751"/>
      <c r="BA560" s="792"/>
      <c r="BB560" s="792"/>
      <c r="BC560" s="792"/>
      <c r="BD560" s="792"/>
      <c r="BE560" s="792"/>
    </row>
    <row r="561" spans="1:57" ht="12.6" customHeight="1" x14ac:dyDescent="0.25">
      <c r="A561" s="243" t="s">
        <v>1525</v>
      </c>
      <c r="B561" s="208"/>
      <c r="C561" s="208"/>
      <c r="D561" s="208"/>
      <c r="E561" s="208"/>
      <c r="F561" s="751"/>
      <c r="G561" s="751"/>
      <c r="H561" s="751"/>
      <c r="I561" s="751"/>
      <c r="J561" s="751"/>
      <c r="K561" s="751"/>
      <c r="L561" s="751"/>
      <c r="M561" s="751"/>
      <c r="N561" s="751"/>
      <c r="O561" s="751"/>
      <c r="P561" s="751"/>
      <c r="Q561" s="751"/>
      <c r="R561" s="751"/>
      <c r="S561" s="751"/>
      <c r="T561" s="751"/>
      <c r="U561" s="751"/>
      <c r="V561" s="751"/>
      <c r="W561" s="751"/>
      <c r="X561" s="751"/>
      <c r="Y561" s="751"/>
      <c r="Z561" s="751"/>
      <c r="AA561" s="751"/>
      <c r="AB561" s="751"/>
      <c r="AC561" s="751"/>
      <c r="AD561" s="751"/>
      <c r="AE561" s="751"/>
      <c r="AF561" s="751"/>
      <c r="AG561" s="751"/>
      <c r="AH561" s="751"/>
      <c r="AI561" s="751"/>
      <c r="AJ561" s="751"/>
      <c r="AK561" s="751"/>
      <c r="AL561" s="751"/>
      <c r="AM561" s="751"/>
      <c r="AN561" s="751"/>
      <c r="AO561" s="751"/>
      <c r="AP561" s="751"/>
      <c r="AQ561" s="751"/>
      <c r="AR561" s="751"/>
      <c r="AS561" s="751"/>
      <c r="AT561" s="751"/>
      <c r="AU561" s="751"/>
      <c r="AV561" s="751"/>
      <c r="AW561" s="751"/>
      <c r="AX561" s="751"/>
      <c r="AY561" s="751"/>
      <c r="AZ561" s="751"/>
      <c r="BA561" s="792"/>
      <c r="BB561" s="792"/>
      <c r="BC561" s="792"/>
      <c r="BD561" s="792"/>
      <c r="BE561" s="792"/>
    </row>
    <row r="562" spans="1:57" ht="12.6" customHeight="1" x14ac:dyDescent="0.25">
      <c r="A562" s="241" t="s">
        <v>1477</v>
      </c>
      <c r="B562" s="249"/>
      <c r="C562" s="249"/>
      <c r="D562" s="249"/>
      <c r="E562" s="249"/>
      <c r="F562" s="751">
        <f>SUM(F543-F554)</f>
        <v>0</v>
      </c>
      <c r="G562" s="751"/>
      <c r="H562" s="751"/>
      <c r="I562" s="751">
        <f>SUM(I543-I554)</f>
        <v>0</v>
      </c>
      <c r="J562" s="751"/>
      <c r="K562" s="751"/>
      <c r="L562" s="751"/>
      <c r="M562" s="751">
        <f>SUM(M543-M554)</f>
        <v>0</v>
      </c>
      <c r="N562" s="751"/>
      <c r="O562" s="751"/>
      <c r="P562" s="751"/>
      <c r="Q562" s="751">
        <f>SUM(Q543-Q554)</f>
        <v>0</v>
      </c>
      <c r="R562" s="751"/>
      <c r="S562" s="751"/>
      <c r="T562" s="751"/>
      <c r="U562" s="751">
        <f>SUM(U543-U554)</f>
        <v>0</v>
      </c>
      <c r="V562" s="751"/>
      <c r="W562" s="751"/>
      <c r="X562" s="751"/>
      <c r="Y562" s="751">
        <f>SUM(Y543-Y554)</f>
        <v>0</v>
      </c>
      <c r="Z562" s="751"/>
      <c r="AA562" s="751"/>
      <c r="AB562" s="751"/>
      <c r="AC562" s="751">
        <f>SUM(AC543-AC554)</f>
        <v>0</v>
      </c>
      <c r="AD562" s="751"/>
      <c r="AE562" s="751"/>
      <c r="AF562" s="751"/>
      <c r="AG562" s="751">
        <f>SUM(AG543-AG554)</f>
        <v>0</v>
      </c>
      <c r="AH562" s="751"/>
      <c r="AI562" s="751"/>
      <c r="AJ562" s="751"/>
      <c r="AK562" s="751">
        <f>SUM(AK543-AK554)</f>
        <v>0</v>
      </c>
      <c r="AL562" s="751"/>
      <c r="AM562" s="751"/>
      <c r="AN562" s="751"/>
      <c r="AO562" s="751">
        <f>SUM(AO543-AO554)</f>
        <v>0</v>
      </c>
      <c r="AP562" s="751"/>
      <c r="AQ562" s="751"/>
      <c r="AR562" s="751"/>
      <c r="AS562" s="751">
        <f>SUM(AS543-AS554)</f>
        <v>0</v>
      </c>
      <c r="AT562" s="751"/>
      <c r="AU562" s="751"/>
      <c r="AV562" s="751"/>
      <c r="AW562" s="770">
        <f>SUM(F562:AV564)</f>
        <v>0</v>
      </c>
      <c r="AX562" s="770"/>
      <c r="AY562" s="770"/>
      <c r="AZ562" s="770"/>
      <c r="BA562" s="792"/>
      <c r="BB562" s="792"/>
      <c r="BC562" s="792"/>
      <c r="BD562" s="792"/>
      <c r="BE562" s="792"/>
    </row>
    <row r="563" spans="1:57" ht="12.6" customHeight="1" x14ac:dyDescent="0.25">
      <c r="A563" s="243" t="s">
        <v>1524</v>
      </c>
      <c r="B563" s="208"/>
      <c r="C563" s="208"/>
      <c r="D563" s="208"/>
      <c r="E563" s="208"/>
      <c r="F563" s="751"/>
      <c r="G563" s="751"/>
      <c r="H563" s="751"/>
      <c r="I563" s="751"/>
      <c r="J563" s="751"/>
      <c r="K563" s="751"/>
      <c r="L563" s="751"/>
      <c r="M563" s="751"/>
      <c r="N563" s="751"/>
      <c r="O563" s="751"/>
      <c r="P563" s="751"/>
      <c r="Q563" s="751"/>
      <c r="R563" s="751"/>
      <c r="S563" s="751"/>
      <c r="T563" s="751"/>
      <c r="U563" s="751"/>
      <c r="V563" s="751"/>
      <c r="W563" s="751"/>
      <c r="X563" s="751"/>
      <c r="Y563" s="751"/>
      <c r="Z563" s="751"/>
      <c r="AA563" s="751"/>
      <c r="AB563" s="751"/>
      <c r="AC563" s="751"/>
      <c r="AD563" s="751"/>
      <c r="AE563" s="751"/>
      <c r="AF563" s="751"/>
      <c r="AG563" s="751"/>
      <c r="AH563" s="751"/>
      <c r="AI563" s="751"/>
      <c r="AJ563" s="751"/>
      <c r="AK563" s="751"/>
      <c r="AL563" s="751"/>
      <c r="AM563" s="751"/>
      <c r="AN563" s="751"/>
      <c r="AO563" s="751"/>
      <c r="AP563" s="751"/>
      <c r="AQ563" s="751"/>
      <c r="AR563" s="751"/>
      <c r="AS563" s="751"/>
      <c r="AT563" s="751"/>
      <c r="AU563" s="751"/>
      <c r="AV563" s="751"/>
      <c r="AW563" s="770"/>
      <c r="AX563" s="770"/>
      <c r="AY563" s="770"/>
      <c r="AZ563" s="770"/>
      <c r="BA563" s="792"/>
      <c r="BB563" s="792"/>
      <c r="BC563" s="792"/>
      <c r="BD563" s="792"/>
      <c r="BE563" s="792"/>
    </row>
    <row r="564" spans="1:57" ht="12.6" customHeight="1" x14ac:dyDescent="0.25">
      <c r="A564" s="251" t="s">
        <v>1525</v>
      </c>
      <c r="B564" s="247"/>
      <c r="C564" s="247"/>
      <c r="D564" s="247"/>
      <c r="E564" s="247"/>
      <c r="F564" s="751"/>
      <c r="G564" s="751"/>
      <c r="H564" s="751"/>
      <c r="I564" s="751"/>
      <c r="J564" s="751"/>
      <c r="K564" s="751"/>
      <c r="L564" s="751"/>
      <c r="M564" s="751"/>
      <c r="N564" s="751"/>
      <c r="O564" s="751"/>
      <c r="P564" s="751"/>
      <c r="Q564" s="751"/>
      <c r="R564" s="751"/>
      <c r="S564" s="751"/>
      <c r="T564" s="751"/>
      <c r="U564" s="751"/>
      <c r="V564" s="751"/>
      <c r="W564" s="751"/>
      <c r="X564" s="751"/>
      <c r="Y564" s="751"/>
      <c r="Z564" s="751"/>
      <c r="AA564" s="751"/>
      <c r="AB564" s="751"/>
      <c r="AC564" s="751"/>
      <c r="AD564" s="751"/>
      <c r="AE564" s="751"/>
      <c r="AF564" s="751"/>
      <c r="AG564" s="751"/>
      <c r="AH564" s="751"/>
      <c r="AI564" s="751"/>
      <c r="AJ564" s="751"/>
      <c r="AK564" s="751"/>
      <c r="AL564" s="751"/>
      <c r="AM564" s="751"/>
      <c r="AN564" s="751"/>
      <c r="AO564" s="751"/>
      <c r="AP564" s="751"/>
      <c r="AQ564" s="751"/>
      <c r="AR564" s="751"/>
      <c r="AS564" s="751"/>
      <c r="AT564" s="751"/>
      <c r="AU564" s="751"/>
      <c r="AV564" s="751"/>
      <c r="AW564" s="770"/>
      <c r="AX564" s="770"/>
      <c r="AY564" s="770"/>
      <c r="AZ564" s="770"/>
      <c r="BA564" s="792"/>
      <c r="BB564" s="792"/>
      <c r="BC564" s="792"/>
      <c r="BD564" s="792"/>
      <c r="BE564" s="792"/>
    </row>
    <row r="565" spans="1:57" ht="12.6" customHeight="1" x14ac:dyDescent="0.25">
      <c r="A565" s="244" t="s">
        <v>1344</v>
      </c>
      <c r="B565" s="208"/>
      <c r="C565" s="208"/>
      <c r="D565" s="208"/>
      <c r="E565" s="293"/>
      <c r="F565" s="208"/>
      <c r="G565" s="208"/>
      <c r="H565" s="213"/>
      <c r="I565" s="213"/>
      <c r="J565" s="213"/>
      <c r="K565" s="213"/>
      <c r="L565" s="213"/>
      <c r="M565" s="213"/>
      <c r="N565" s="213"/>
      <c r="O565" s="213"/>
      <c r="P565" s="213"/>
      <c r="Q565" s="213"/>
      <c r="R565" s="213"/>
      <c r="S565" s="213"/>
      <c r="T565" s="213"/>
      <c r="U565" s="213"/>
      <c r="V565" s="213"/>
      <c r="W565" s="213"/>
      <c r="X565" s="213"/>
      <c r="Y565" s="213"/>
      <c r="Z565" s="213"/>
      <c r="AA565" s="213"/>
      <c r="AB565" s="213"/>
      <c r="AC565" s="213"/>
      <c r="AD565" s="213"/>
      <c r="AE565" s="213"/>
      <c r="AF565" s="213"/>
      <c r="AG565" s="213"/>
      <c r="AH565" s="213"/>
      <c r="AI565" s="213"/>
      <c r="AJ565" s="213"/>
      <c r="AK565" s="213"/>
      <c r="AL565" s="213"/>
      <c r="AM565" s="213"/>
      <c r="AN565" s="213"/>
      <c r="AO565" s="213"/>
      <c r="AP565" s="213"/>
      <c r="AQ565" s="213"/>
      <c r="AR565" s="213"/>
      <c r="AS565" s="213"/>
      <c r="AT565" s="213"/>
      <c r="AU565" s="213"/>
      <c r="AV565" s="213"/>
      <c r="AW565" s="213"/>
      <c r="AX565" s="213"/>
      <c r="AY565" s="213"/>
      <c r="AZ565" s="213"/>
      <c r="BA565" s="213"/>
      <c r="BB565" s="213"/>
    </row>
    <row r="566" spans="1:57" ht="15" customHeight="1" x14ac:dyDescent="0.25">
      <c r="A566" s="763"/>
      <c r="B566" s="763"/>
      <c r="C566" s="763"/>
      <c r="D566" s="763"/>
      <c r="E566" s="763"/>
      <c r="F566" s="763"/>
      <c r="G566" s="763"/>
      <c r="H566" s="763"/>
      <c r="I566" s="763"/>
      <c r="J566" s="763"/>
      <c r="K566" s="763"/>
      <c r="L566" s="763"/>
      <c r="M566" s="763"/>
      <c r="N566" s="763"/>
      <c r="O566" s="763"/>
      <c r="P566" s="763"/>
      <c r="Q566" s="763"/>
      <c r="R566" s="763"/>
      <c r="S566" s="763"/>
      <c r="T566" s="763"/>
      <c r="U566" s="763"/>
      <c r="V566" s="763"/>
      <c r="W566" s="763"/>
      <c r="X566" s="763"/>
      <c r="Y566" s="763"/>
      <c r="Z566" s="763"/>
      <c r="AA566" s="763"/>
      <c r="AB566" s="763"/>
      <c r="AC566" s="763"/>
      <c r="AD566" s="763"/>
      <c r="AE566" s="763"/>
      <c r="AF566" s="763"/>
      <c r="AG566" s="763"/>
      <c r="AH566" s="763"/>
      <c r="AI566" s="763"/>
      <c r="AJ566" s="763"/>
      <c r="AK566" s="763"/>
      <c r="AL566" s="763"/>
      <c r="AM566" s="763"/>
      <c r="AN566" s="763"/>
      <c r="AO566" s="763"/>
      <c r="AP566" s="763"/>
      <c r="AQ566" s="763"/>
      <c r="AR566" s="763"/>
      <c r="AS566" s="763"/>
      <c r="AT566" s="763"/>
      <c r="AU566" s="763"/>
      <c r="AV566" s="763"/>
      <c r="AW566" s="763"/>
      <c r="AX566" s="763"/>
      <c r="AY566" s="265"/>
      <c r="AZ566" s="265"/>
      <c r="BA566" s="265"/>
      <c r="BB566" s="265"/>
    </row>
    <row r="567" spans="1:57" ht="15" customHeight="1" x14ac:dyDescent="0.25">
      <c r="A567" s="763"/>
      <c r="B567" s="763"/>
      <c r="C567" s="763"/>
      <c r="D567" s="763"/>
      <c r="E567" s="763"/>
      <c r="F567" s="763"/>
      <c r="G567" s="763"/>
      <c r="H567" s="763"/>
      <c r="I567" s="763"/>
      <c r="J567" s="763"/>
      <c r="K567" s="763"/>
      <c r="L567" s="763"/>
      <c r="M567" s="763"/>
      <c r="N567" s="763"/>
      <c r="O567" s="763"/>
      <c r="P567" s="763"/>
      <c r="Q567" s="763"/>
      <c r="R567" s="763"/>
      <c r="S567" s="763"/>
      <c r="T567" s="763"/>
      <c r="U567" s="763"/>
      <c r="V567" s="763"/>
      <c r="W567" s="763"/>
      <c r="X567" s="763"/>
      <c r="Y567" s="763"/>
      <c r="Z567" s="763"/>
      <c r="AA567" s="763"/>
      <c r="AB567" s="763"/>
      <c r="AC567" s="763"/>
      <c r="AD567" s="763"/>
      <c r="AE567" s="763"/>
      <c r="AF567" s="763"/>
      <c r="AG567" s="763"/>
      <c r="AH567" s="763"/>
      <c r="AI567" s="763"/>
      <c r="AJ567" s="763"/>
      <c r="AK567" s="763"/>
      <c r="AL567" s="763"/>
      <c r="AM567" s="763"/>
      <c r="AN567" s="763"/>
      <c r="AO567" s="763"/>
      <c r="AP567" s="763"/>
      <c r="AQ567" s="763"/>
      <c r="AR567" s="763"/>
      <c r="AS567" s="763"/>
      <c r="AT567" s="763"/>
      <c r="AU567" s="763"/>
      <c r="AV567" s="763"/>
      <c r="AW567" s="763"/>
      <c r="AX567" s="763"/>
      <c r="AY567" s="265"/>
      <c r="AZ567" s="265"/>
      <c r="BA567" s="265"/>
      <c r="BB567" s="265"/>
    </row>
    <row r="568" spans="1:57" ht="12.6" customHeight="1" x14ac:dyDescent="0.25">
      <c r="A568" s="227" t="s">
        <v>1555</v>
      </c>
    </row>
    <row r="569" spans="1:57" ht="12.6" customHeight="1" x14ac:dyDescent="0.25">
      <c r="A569" s="764" t="s">
        <v>1556</v>
      </c>
      <c r="B569" s="764"/>
      <c r="C569" s="764"/>
      <c r="D569" s="764"/>
      <c r="E569" s="764"/>
      <c r="F569" s="764"/>
      <c r="G569" s="764"/>
      <c r="H569" s="764"/>
      <c r="I569" s="764"/>
      <c r="J569" s="764"/>
      <c r="K569" s="764"/>
      <c r="L569" s="764"/>
      <c r="M569" s="764"/>
      <c r="N569" s="764"/>
      <c r="O569" s="764"/>
      <c r="P569" s="764"/>
      <c r="Q569" s="764"/>
      <c r="R569" s="764"/>
      <c r="S569" s="764"/>
      <c r="T569" s="764"/>
      <c r="U569" s="764"/>
      <c r="V569" s="764"/>
      <c r="W569" s="764"/>
      <c r="X569" s="764"/>
      <c r="Y569" s="764"/>
      <c r="Z569" s="764"/>
      <c r="AA569" s="764"/>
      <c r="AB569" s="764"/>
      <c r="AC569" s="764"/>
      <c r="AD569" s="764"/>
      <c r="AE569" s="764"/>
      <c r="AF569" s="764"/>
      <c r="AG569" s="764"/>
      <c r="AH569" s="768" t="s">
        <v>1485</v>
      </c>
      <c r="AI569" s="768"/>
      <c r="AJ569" s="768"/>
      <c r="AK569" s="768"/>
      <c r="AL569" s="768"/>
      <c r="AM569" s="768"/>
      <c r="AN569" s="768"/>
      <c r="AO569" s="768"/>
      <c r="AP569" s="768"/>
      <c r="AQ569" s="768"/>
      <c r="AR569" s="768"/>
      <c r="AS569" s="768"/>
      <c r="AT569" s="768"/>
      <c r="AU569" s="768"/>
      <c r="AV569" s="768"/>
      <c r="AW569" s="768"/>
      <c r="AX569" s="768"/>
      <c r="AY569" s="768"/>
      <c r="AZ569" s="768"/>
      <c r="BA569" s="768"/>
      <c r="BB569" s="768"/>
    </row>
    <row r="570" spans="1:57" ht="12.6" customHeight="1" x14ac:dyDescent="0.25">
      <c r="A570" s="281"/>
      <c r="B570" s="208"/>
      <c r="C570" s="208"/>
      <c r="D570" s="208"/>
      <c r="E570" s="208"/>
      <c r="F570" s="208"/>
      <c r="G570" s="208"/>
      <c r="H570" s="208"/>
      <c r="I570" s="208"/>
      <c r="J570" s="208"/>
      <c r="K570" s="208"/>
      <c r="L570" s="208"/>
      <c r="M570" s="208"/>
      <c r="N570" s="208"/>
      <c r="O570" s="208"/>
      <c r="P570" s="208"/>
      <c r="Q570" s="208"/>
      <c r="R570" s="208"/>
      <c r="S570" s="208"/>
      <c r="T570" s="208"/>
      <c r="U570" s="208"/>
      <c r="V570" s="208"/>
      <c r="W570" s="208"/>
      <c r="X570" s="208"/>
      <c r="Y570" s="208"/>
      <c r="Z570" s="208"/>
      <c r="AA570" s="208"/>
      <c r="AB570" s="208"/>
      <c r="AC570" s="208"/>
      <c r="AD570" s="208"/>
      <c r="AE570" s="208"/>
      <c r="AF570" s="208"/>
      <c r="AG570" s="208"/>
      <c r="AH570" s="745" t="s">
        <v>1486</v>
      </c>
      <c r="AI570" s="745"/>
      <c r="AJ570" s="745"/>
      <c r="AK570" s="745"/>
      <c r="AL570" s="745"/>
      <c r="AM570" s="745"/>
      <c r="AN570" s="745"/>
      <c r="AO570" s="745"/>
      <c r="AP570" s="745"/>
      <c r="AQ570" s="745"/>
      <c r="AR570" s="745"/>
      <c r="AS570" s="745"/>
      <c r="AT570" s="745"/>
      <c r="AU570" s="745"/>
      <c r="AV570" s="745"/>
      <c r="AW570" s="745"/>
      <c r="AX570" s="745"/>
      <c r="AY570" s="745"/>
      <c r="AZ570" s="745"/>
      <c r="BA570" s="745"/>
      <c r="BB570" s="745"/>
    </row>
    <row r="571" spans="1:57" ht="12.6" customHeight="1" x14ac:dyDescent="0.25">
      <c r="A571" s="253" t="s">
        <v>1557</v>
      </c>
      <c r="B571" s="246"/>
      <c r="C571" s="246"/>
      <c r="D571" s="246"/>
      <c r="E571" s="246"/>
      <c r="F571" s="246"/>
      <c r="G571" s="246"/>
      <c r="H571" s="246"/>
      <c r="I571" s="246"/>
      <c r="J571" s="246"/>
      <c r="K571" s="246"/>
      <c r="L571" s="246"/>
      <c r="M571" s="246"/>
      <c r="N571" s="246"/>
      <c r="O571" s="246"/>
      <c r="P571" s="246"/>
      <c r="Q571" s="246"/>
      <c r="R571" s="246"/>
      <c r="S571" s="246"/>
      <c r="T571" s="246"/>
      <c r="U571" s="246"/>
      <c r="V571" s="246"/>
      <c r="W571" s="246"/>
      <c r="X571" s="246"/>
      <c r="Y571" s="246"/>
      <c r="Z571" s="246"/>
      <c r="AA571" s="246"/>
      <c r="AB571" s="246"/>
      <c r="AC571" s="246"/>
      <c r="AD571" s="246"/>
      <c r="AE571" s="246"/>
      <c r="AF571" s="246"/>
      <c r="AG571" s="246"/>
      <c r="AH571" s="709"/>
      <c r="AI571" s="709"/>
      <c r="AJ571" s="709"/>
      <c r="AK571" s="709"/>
      <c r="AL571" s="709"/>
      <c r="AM571" s="709"/>
      <c r="AN571" s="709"/>
      <c r="AO571" s="709"/>
      <c r="AP571" s="709"/>
      <c r="AQ571" s="709"/>
      <c r="AR571" s="709"/>
      <c r="AS571" s="709"/>
      <c r="AT571" s="709"/>
      <c r="AU571" s="709"/>
      <c r="AV571" s="709"/>
      <c r="AW571" s="709"/>
      <c r="AX571" s="709"/>
      <c r="AY571" s="709"/>
      <c r="AZ571" s="709"/>
      <c r="BA571" s="709"/>
      <c r="BB571" s="709"/>
    </row>
    <row r="572" spans="1:57" ht="28.5" customHeight="1" x14ac:dyDescent="0.25">
      <c r="A572" s="767" t="s">
        <v>1558</v>
      </c>
      <c r="B572" s="767"/>
      <c r="C572" s="767"/>
      <c r="D572" s="767"/>
      <c r="E572" s="767"/>
      <c r="F572" s="767"/>
      <c r="G572" s="767"/>
      <c r="H572" s="767"/>
      <c r="I572" s="767"/>
      <c r="J572" s="767"/>
      <c r="K572" s="767"/>
      <c r="L572" s="767"/>
      <c r="M572" s="767"/>
      <c r="N572" s="767"/>
      <c r="O572" s="767"/>
      <c r="P572" s="767"/>
      <c r="Q572" s="767"/>
      <c r="R572" s="767"/>
      <c r="S572" s="767"/>
      <c r="T572" s="767"/>
      <c r="U572" s="767"/>
      <c r="V572" s="767"/>
      <c r="W572" s="767"/>
      <c r="X572" s="767"/>
      <c r="Y572" s="767"/>
      <c r="Z572" s="767"/>
      <c r="AA572" s="767"/>
      <c r="AB572" s="767"/>
      <c r="AC572" s="767"/>
      <c r="AD572" s="767"/>
      <c r="AE572" s="767"/>
      <c r="AF572" s="767"/>
      <c r="AG572" s="767"/>
      <c r="AH572" s="709"/>
      <c r="AI572" s="709"/>
      <c r="AJ572" s="709"/>
      <c r="AK572" s="709"/>
      <c r="AL572" s="709"/>
      <c r="AM572" s="709"/>
      <c r="AN572" s="709"/>
      <c r="AO572" s="709"/>
      <c r="AP572" s="709"/>
      <c r="AQ572" s="709"/>
      <c r="AR572" s="709"/>
      <c r="AS572" s="709"/>
      <c r="AT572" s="709"/>
      <c r="AU572" s="709"/>
      <c r="AV572" s="709"/>
      <c r="AW572" s="709"/>
      <c r="AX572" s="709"/>
      <c r="AY572" s="709"/>
      <c r="AZ572" s="709"/>
      <c r="BA572" s="709"/>
      <c r="BB572" s="709"/>
    </row>
    <row r="573" spans="1:57" ht="12.6" customHeight="1" x14ac:dyDescent="0.25">
      <c r="A573" s="227" t="s">
        <v>1344</v>
      </c>
    </row>
    <row r="574" spans="1:57" ht="15" customHeight="1" x14ac:dyDescent="0.25">
      <c r="A574" s="763"/>
      <c r="B574" s="763"/>
      <c r="C574" s="763"/>
      <c r="D574" s="763"/>
      <c r="E574" s="763"/>
      <c r="F574" s="763"/>
      <c r="G574" s="763"/>
      <c r="H574" s="763"/>
      <c r="I574" s="763"/>
      <c r="J574" s="763"/>
      <c r="K574" s="763"/>
      <c r="L574" s="763"/>
      <c r="M574" s="763"/>
      <c r="N574" s="763"/>
      <c r="O574" s="763"/>
      <c r="P574" s="763"/>
      <c r="Q574" s="763"/>
      <c r="R574" s="763"/>
      <c r="S574" s="763"/>
      <c r="T574" s="763"/>
      <c r="U574" s="763"/>
      <c r="V574" s="763"/>
      <c r="W574" s="763"/>
      <c r="X574" s="763"/>
      <c r="Y574" s="763"/>
      <c r="Z574" s="763"/>
      <c r="AA574" s="763"/>
      <c r="AB574" s="763"/>
      <c r="AC574" s="763"/>
      <c r="AD574" s="763"/>
      <c r="AE574" s="763"/>
      <c r="AF574" s="763"/>
      <c r="AG574" s="763"/>
      <c r="AH574" s="763"/>
      <c r="AI574" s="763"/>
      <c r="AJ574" s="763"/>
      <c r="AK574" s="763"/>
      <c r="AL574" s="763"/>
      <c r="AM574" s="763"/>
      <c r="AN574" s="763"/>
      <c r="AO574" s="763"/>
      <c r="AP574" s="763"/>
      <c r="AQ574" s="763"/>
      <c r="AR574" s="763"/>
      <c r="AS574" s="763"/>
      <c r="AT574" s="763"/>
      <c r="AU574" s="763"/>
      <c r="AV574" s="763"/>
      <c r="AW574" s="763"/>
      <c r="AX574" s="763"/>
      <c r="AY574" s="265"/>
      <c r="AZ574" s="265"/>
      <c r="BA574" s="265"/>
      <c r="BB574" s="265"/>
    </row>
    <row r="575" spans="1:57" ht="15" customHeight="1" x14ac:dyDescent="0.25">
      <c r="A575" s="763"/>
      <c r="B575" s="763"/>
      <c r="C575" s="763"/>
      <c r="D575" s="763"/>
      <c r="E575" s="763"/>
      <c r="F575" s="763"/>
      <c r="G575" s="763"/>
      <c r="H575" s="763"/>
      <c r="I575" s="763"/>
      <c r="J575" s="763"/>
      <c r="K575" s="763"/>
      <c r="L575" s="763"/>
      <c r="M575" s="763"/>
      <c r="N575" s="763"/>
      <c r="O575" s="763"/>
      <c r="P575" s="763"/>
      <c r="Q575" s="763"/>
      <c r="R575" s="763"/>
      <c r="S575" s="763"/>
      <c r="T575" s="763"/>
      <c r="U575" s="763"/>
      <c r="V575" s="763"/>
      <c r="W575" s="763"/>
      <c r="X575" s="763"/>
      <c r="Y575" s="763"/>
      <c r="Z575" s="763"/>
      <c r="AA575" s="763"/>
      <c r="AB575" s="763"/>
      <c r="AC575" s="763"/>
      <c r="AD575" s="763"/>
      <c r="AE575" s="763"/>
      <c r="AF575" s="763"/>
      <c r="AG575" s="763"/>
      <c r="AH575" s="763"/>
      <c r="AI575" s="763"/>
      <c r="AJ575" s="763"/>
      <c r="AK575" s="763"/>
      <c r="AL575" s="763"/>
      <c r="AM575" s="763"/>
      <c r="AN575" s="763"/>
      <c r="AO575" s="763"/>
      <c r="AP575" s="763"/>
      <c r="AQ575" s="763"/>
      <c r="AR575" s="763"/>
      <c r="AS575" s="763"/>
      <c r="AT575" s="763"/>
      <c r="AU575" s="763"/>
      <c r="AV575" s="763"/>
      <c r="AW575" s="763"/>
      <c r="AX575" s="763"/>
      <c r="AY575" s="265"/>
      <c r="AZ575" s="265"/>
      <c r="BA575" s="265"/>
      <c r="BB575" s="265"/>
    </row>
    <row r="576" spans="1:57" s="208" customFormat="1" ht="7.5" customHeight="1" x14ac:dyDescent="0.25"/>
    <row r="577" spans="1:54" ht="12.6" customHeight="1" x14ac:dyDescent="0.25">
      <c r="A577" s="227" t="s">
        <v>1559</v>
      </c>
    </row>
    <row r="578" spans="1:54" ht="12.6" customHeight="1" x14ac:dyDescent="0.25">
      <c r="A578" s="764"/>
      <c r="B578" s="764"/>
      <c r="C578" s="764"/>
      <c r="D578" s="764"/>
      <c r="E578" s="764"/>
      <c r="F578" s="764"/>
      <c r="G578" s="764"/>
      <c r="H578" s="764"/>
      <c r="I578" s="764"/>
      <c r="J578" s="764"/>
      <c r="K578" s="707" t="s">
        <v>1288</v>
      </c>
      <c r="L578" s="707"/>
      <c r="M578" s="707"/>
      <c r="N578" s="707"/>
      <c r="O578" s="707"/>
      <c r="P578" s="707"/>
      <c r="Q578" s="707"/>
      <c r="R578" s="707"/>
      <c r="S578" s="707"/>
      <c r="T578" s="707"/>
      <c r="U578" s="707"/>
      <c r="V578" s="707"/>
      <c r="W578" s="707"/>
      <c r="X578" s="707"/>
      <c r="Y578" s="707"/>
      <c r="Z578" s="707"/>
      <c r="AA578" s="707"/>
      <c r="AB578" s="707"/>
      <c r="AC578" s="707"/>
      <c r="AD578" s="707"/>
      <c r="AE578" s="707"/>
      <c r="AF578" s="707"/>
      <c r="AG578" s="707"/>
      <c r="AH578" s="707"/>
      <c r="AI578" s="707"/>
      <c r="AJ578" s="707"/>
      <c r="AK578" s="707"/>
      <c r="AL578" s="707"/>
      <c r="AM578" s="707"/>
      <c r="AN578" s="707"/>
      <c r="AO578" s="707"/>
      <c r="AP578" s="707"/>
      <c r="AQ578" s="707"/>
      <c r="AR578" s="707"/>
      <c r="AS578" s="707"/>
      <c r="AT578" s="707"/>
      <c r="AU578" s="707"/>
      <c r="AV578" s="707"/>
      <c r="AW578" s="707"/>
      <c r="AX578" s="707"/>
      <c r="AY578" s="707"/>
      <c r="AZ578" s="707"/>
      <c r="BA578" s="707"/>
      <c r="BB578" s="707"/>
    </row>
    <row r="579" spans="1:54" ht="12.6" customHeight="1" x14ac:dyDescent="0.25">
      <c r="A579" s="747" t="s">
        <v>1560</v>
      </c>
      <c r="B579" s="747"/>
      <c r="C579" s="747"/>
      <c r="D579" s="747"/>
      <c r="E579" s="747"/>
      <c r="F579" s="747"/>
      <c r="G579" s="747"/>
      <c r="H579" s="747"/>
      <c r="I579" s="747"/>
      <c r="J579" s="747"/>
      <c r="K579" s="768"/>
      <c r="L579" s="768"/>
      <c r="M579" s="768"/>
      <c r="N579" s="768"/>
      <c r="O579" s="768"/>
      <c r="P579" s="768"/>
      <c r="Q579" s="768"/>
      <c r="R579" s="768"/>
      <c r="S579" s="768"/>
      <c r="T579" s="768"/>
      <c r="U579" s="768"/>
      <c r="V579" s="768"/>
      <c r="W579" s="768"/>
      <c r="X579" s="768" t="s">
        <v>1561</v>
      </c>
      <c r="Y579" s="768"/>
      <c r="Z579" s="768"/>
      <c r="AA579" s="768"/>
      <c r="AB579" s="768"/>
      <c r="AC579" s="768"/>
      <c r="AD579" s="768"/>
      <c r="AE579" s="768"/>
      <c r="AF579" s="768"/>
      <c r="AG579" s="768"/>
      <c r="AH579" s="768"/>
      <c r="AI579" s="768"/>
      <c r="AJ579" s="768"/>
      <c r="AK579" s="768"/>
      <c r="AL579" s="768"/>
      <c r="AM579" s="768"/>
      <c r="AN579" s="768"/>
      <c r="AO579" s="768"/>
      <c r="AP579" s="768"/>
      <c r="AQ579" s="768"/>
      <c r="AR579" s="768"/>
      <c r="AS579" s="768"/>
      <c r="AT579" s="768"/>
      <c r="AU579" s="768"/>
      <c r="AV579" s="768"/>
      <c r="AW579" s="768"/>
      <c r="AX579" s="768"/>
      <c r="AY579" s="768"/>
      <c r="AZ579" s="768"/>
      <c r="BA579" s="768"/>
      <c r="BB579" s="768"/>
    </row>
    <row r="580" spans="1:54" ht="12.6" customHeight="1" x14ac:dyDescent="0.25">
      <c r="A580" s="747" t="s">
        <v>1562</v>
      </c>
      <c r="B580" s="747"/>
      <c r="C580" s="747"/>
      <c r="D580" s="747"/>
      <c r="E580" s="747"/>
      <c r="F580" s="747"/>
      <c r="G580" s="747"/>
      <c r="H580" s="747"/>
      <c r="I580" s="747"/>
      <c r="J580" s="747"/>
      <c r="K580" s="745" t="s">
        <v>1563</v>
      </c>
      <c r="L580" s="745"/>
      <c r="M580" s="745"/>
      <c r="N580" s="745"/>
      <c r="O580" s="745"/>
      <c r="P580" s="745" t="s">
        <v>1563</v>
      </c>
      <c r="Q580" s="745"/>
      <c r="R580" s="745"/>
      <c r="S580" s="745"/>
      <c r="T580" s="745"/>
      <c r="U580" s="745"/>
      <c r="V580" s="745"/>
      <c r="W580" s="745"/>
      <c r="X580" s="745" t="s">
        <v>1564</v>
      </c>
      <c r="Y580" s="745"/>
      <c r="Z580" s="745"/>
      <c r="AA580" s="745"/>
      <c r="AB580" s="745"/>
      <c r="AC580" s="745"/>
      <c r="AD580" s="745"/>
      <c r="AE580" s="745"/>
      <c r="AF580" s="745"/>
      <c r="AG580" s="745" t="s">
        <v>1565</v>
      </c>
      <c r="AH580" s="745"/>
      <c r="AI580" s="745"/>
      <c r="AJ580" s="745"/>
      <c r="AK580" s="745"/>
      <c r="AL580" s="745"/>
      <c r="AM580" s="745"/>
      <c r="AN580" s="745"/>
      <c r="AO580" s="745"/>
      <c r="AP580" s="745" t="s">
        <v>1566</v>
      </c>
      <c r="AQ580" s="745"/>
      <c r="AR580" s="745"/>
      <c r="AS580" s="745"/>
      <c r="AT580" s="745"/>
      <c r="AU580" s="745"/>
      <c r="AV580" s="745"/>
      <c r="AW580" s="745"/>
      <c r="AX580" s="745"/>
      <c r="AY580" s="745"/>
      <c r="AZ580" s="745"/>
      <c r="BA580" s="745"/>
      <c r="BB580" s="745"/>
    </row>
    <row r="581" spans="1:54" ht="12.6" customHeight="1" x14ac:dyDescent="0.25">
      <c r="A581" s="747" t="s">
        <v>1567</v>
      </c>
      <c r="B581" s="747"/>
      <c r="C581" s="747"/>
      <c r="D581" s="747"/>
      <c r="E581" s="747"/>
      <c r="F581" s="747"/>
      <c r="G581" s="747"/>
      <c r="H581" s="747"/>
      <c r="I581" s="747"/>
      <c r="J581" s="747"/>
      <c r="K581" s="745" t="s">
        <v>1568</v>
      </c>
      <c r="L581" s="745"/>
      <c r="M581" s="745"/>
      <c r="N581" s="745"/>
      <c r="O581" s="745"/>
      <c r="P581" s="745" t="s">
        <v>1569</v>
      </c>
      <c r="Q581" s="745"/>
      <c r="R581" s="745"/>
      <c r="S581" s="745"/>
      <c r="T581" s="745"/>
      <c r="U581" s="745"/>
      <c r="V581" s="745"/>
      <c r="W581" s="745"/>
      <c r="X581" s="745" t="s">
        <v>1570</v>
      </c>
      <c r="Y581" s="745"/>
      <c r="Z581" s="745"/>
      <c r="AA581" s="745"/>
      <c r="AB581" s="745"/>
      <c r="AC581" s="745"/>
      <c r="AD581" s="745"/>
      <c r="AE581" s="745"/>
      <c r="AF581" s="745"/>
      <c r="AG581" s="745" t="s">
        <v>1571</v>
      </c>
      <c r="AH581" s="745"/>
      <c r="AI581" s="745"/>
      <c r="AJ581" s="745"/>
      <c r="AK581" s="745"/>
      <c r="AL581" s="745"/>
      <c r="AM581" s="745"/>
      <c r="AN581" s="745"/>
      <c r="AO581" s="745"/>
      <c r="AP581" s="745" t="s">
        <v>1572</v>
      </c>
      <c r="AQ581" s="745"/>
      <c r="AR581" s="745"/>
      <c r="AS581" s="745"/>
      <c r="AT581" s="745"/>
      <c r="AU581" s="745"/>
      <c r="AV581" s="745"/>
      <c r="AW581" s="745"/>
      <c r="AX581" s="745"/>
      <c r="AY581" s="745"/>
      <c r="AZ581" s="745"/>
      <c r="BA581" s="745"/>
      <c r="BB581" s="745"/>
    </row>
    <row r="582" spans="1:54" ht="12.6" customHeight="1" x14ac:dyDescent="0.25">
      <c r="A582" s="747" t="s">
        <v>1573</v>
      </c>
      <c r="B582" s="747"/>
      <c r="C582" s="747"/>
      <c r="D582" s="747"/>
      <c r="E582" s="747"/>
      <c r="F582" s="747"/>
      <c r="G582" s="747"/>
      <c r="H582" s="747"/>
      <c r="I582" s="747"/>
      <c r="J582" s="747"/>
      <c r="K582" s="745" t="s">
        <v>1322</v>
      </c>
      <c r="L582" s="745"/>
      <c r="M582" s="745"/>
      <c r="N582" s="745"/>
      <c r="O582" s="745"/>
      <c r="P582" s="745" t="s">
        <v>1574</v>
      </c>
      <c r="Q582" s="745"/>
      <c r="R582" s="745"/>
      <c r="S582" s="745"/>
      <c r="T582" s="745"/>
      <c r="U582" s="745"/>
      <c r="V582" s="745"/>
      <c r="W582" s="745"/>
      <c r="X582" s="745" t="s">
        <v>1567</v>
      </c>
      <c r="Y582" s="745"/>
      <c r="Z582" s="745"/>
      <c r="AA582" s="745"/>
      <c r="AB582" s="745"/>
      <c r="AC582" s="745"/>
      <c r="AD582" s="745"/>
      <c r="AE582" s="745"/>
      <c r="AF582" s="745"/>
      <c r="AG582" s="745" t="s">
        <v>1567</v>
      </c>
      <c r="AH582" s="745"/>
      <c r="AI582" s="745"/>
      <c r="AJ582" s="745"/>
      <c r="AK582" s="745"/>
      <c r="AL582" s="745"/>
      <c r="AM582" s="745"/>
      <c r="AN582" s="745"/>
      <c r="AO582" s="745"/>
      <c r="AP582" s="745" t="s">
        <v>1575</v>
      </c>
      <c r="AQ582" s="745"/>
      <c r="AR582" s="745"/>
      <c r="AS582" s="745"/>
      <c r="AT582" s="745"/>
      <c r="AU582" s="745"/>
      <c r="AV582" s="745"/>
      <c r="AW582" s="745"/>
      <c r="AX582" s="745"/>
      <c r="AY582" s="745"/>
      <c r="AZ582" s="745"/>
      <c r="BA582" s="745"/>
      <c r="BB582" s="745"/>
    </row>
    <row r="583" spans="1:54" ht="12.6" customHeight="1" x14ac:dyDescent="0.25">
      <c r="A583" s="747"/>
      <c r="B583" s="747"/>
      <c r="C583" s="747"/>
      <c r="D583" s="747"/>
      <c r="E583" s="747"/>
      <c r="F583" s="747"/>
      <c r="G583" s="747"/>
      <c r="H583" s="747"/>
      <c r="I583" s="747"/>
      <c r="J583" s="747"/>
      <c r="K583" s="745"/>
      <c r="L583" s="745"/>
      <c r="M583" s="745"/>
      <c r="N583" s="745"/>
      <c r="O583" s="745"/>
      <c r="P583" s="745" t="s">
        <v>1322</v>
      </c>
      <c r="Q583" s="745"/>
      <c r="R583" s="745"/>
      <c r="S583" s="745"/>
      <c r="T583" s="745"/>
      <c r="U583" s="745"/>
      <c r="V583" s="745"/>
      <c r="W583" s="745"/>
      <c r="X583" s="745" t="s">
        <v>1573</v>
      </c>
      <c r="Y583" s="745"/>
      <c r="Z583" s="745"/>
      <c r="AA583" s="745"/>
      <c r="AB583" s="745"/>
      <c r="AC583" s="745"/>
      <c r="AD583" s="745"/>
      <c r="AE583" s="745"/>
      <c r="AF583" s="745"/>
      <c r="AG583" s="745" t="s">
        <v>1573</v>
      </c>
      <c r="AH583" s="745"/>
      <c r="AI583" s="745"/>
      <c r="AJ583" s="745"/>
      <c r="AK583" s="745"/>
      <c r="AL583" s="745"/>
      <c r="AM583" s="745"/>
      <c r="AN583" s="745"/>
      <c r="AO583" s="745"/>
      <c r="AP583" s="745"/>
      <c r="AQ583" s="745"/>
      <c r="AR583" s="745"/>
      <c r="AS583" s="745"/>
      <c r="AT583" s="745"/>
      <c r="AU583" s="745"/>
      <c r="AV583" s="745"/>
      <c r="AW583" s="745"/>
      <c r="AX583" s="745"/>
      <c r="AY583" s="745"/>
      <c r="AZ583" s="745"/>
      <c r="BA583" s="745"/>
      <c r="BB583" s="745"/>
    </row>
    <row r="584" spans="1:54" ht="12.6" customHeight="1" x14ac:dyDescent="0.25">
      <c r="A584" s="749" t="s">
        <v>1323</v>
      </c>
      <c r="B584" s="749"/>
      <c r="C584" s="749"/>
      <c r="D584" s="749"/>
      <c r="E584" s="749"/>
      <c r="F584" s="749"/>
      <c r="G584" s="749"/>
      <c r="H584" s="749"/>
      <c r="I584" s="749"/>
      <c r="J584" s="749"/>
      <c r="K584" s="750" t="s">
        <v>1324</v>
      </c>
      <c r="L584" s="750"/>
      <c r="M584" s="750"/>
      <c r="N584" s="750"/>
      <c r="O584" s="750"/>
      <c r="P584" s="750" t="s">
        <v>1325</v>
      </c>
      <c r="Q584" s="750"/>
      <c r="R584" s="750"/>
      <c r="S584" s="750"/>
      <c r="T584" s="750"/>
      <c r="U584" s="750"/>
      <c r="V584" s="750"/>
      <c r="W584" s="750"/>
      <c r="X584" s="750" t="s">
        <v>1326</v>
      </c>
      <c r="Y584" s="750"/>
      <c r="Z584" s="750"/>
      <c r="AA584" s="750"/>
      <c r="AB584" s="750"/>
      <c r="AC584" s="750"/>
      <c r="AD584" s="750"/>
      <c r="AE584" s="750"/>
      <c r="AF584" s="750"/>
      <c r="AG584" s="750" t="s">
        <v>1327</v>
      </c>
      <c r="AH584" s="750"/>
      <c r="AI584" s="750"/>
      <c r="AJ584" s="750"/>
      <c r="AK584" s="750"/>
      <c r="AL584" s="750"/>
      <c r="AM584" s="750"/>
      <c r="AN584" s="750"/>
      <c r="AO584" s="750"/>
      <c r="AP584" s="750" t="s">
        <v>1333</v>
      </c>
      <c r="AQ584" s="750"/>
      <c r="AR584" s="750"/>
      <c r="AS584" s="750"/>
      <c r="AT584" s="750"/>
      <c r="AU584" s="750"/>
      <c r="AV584" s="750"/>
      <c r="AW584" s="750"/>
      <c r="AX584" s="750"/>
      <c r="AY584" s="750"/>
      <c r="AZ584" s="750"/>
      <c r="BA584" s="750"/>
      <c r="BB584" s="750"/>
    </row>
    <row r="585" spans="1:54" ht="12.6" customHeight="1" x14ac:dyDescent="0.25">
      <c r="A585" s="29" t="s">
        <v>1576</v>
      </c>
      <c r="AP585" s="793">
        <f>SUVAHAVUJ!$N$24+SUVAHAVUJ!I25</f>
        <v>0</v>
      </c>
      <c r="AQ585" s="793"/>
      <c r="AR585" s="793"/>
      <c r="AS585" s="793"/>
      <c r="AT585" s="793"/>
      <c r="AU585" s="793"/>
      <c r="AV585" s="793"/>
      <c r="AW585" s="793"/>
      <c r="AX585" s="793"/>
      <c r="AY585" s="793"/>
      <c r="AZ585" s="793"/>
      <c r="BA585" s="793"/>
      <c r="BB585" s="793"/>
    </row>
    <row r="586" spans="1:54" ht="12.6" customHeight="1" x14ac:dyDescent="0.25">
      <c r="A586" s="708"/>
      <c r="B586" s="708"/>
      <c r="C586" s="708"/>
      <c r="D586" s="708"/>
      <c r="E586" s="708"/>
      <c r="F586" s="708"/>
      <c r="G586" s="708"/>
      <c r="H586" s="708"/>
      <c r="I586" s="708"/>
      <c r="J586" s="708"/>
      <c r="K586" s="709"/>
      <c r="L586" s="709"/>
      <c r="M586" s="709"/>
      <c r="N586" s="709"/>
      <c r="O586" s="709"/>
      <c r="P586" s="709"/>
      <c r="Q586" s="709"/>
      <c r="R586" s="709"/>
      <c r="S586" s="709"/>
      <c r="T586" s="709"/>
      <c r="U586" s="709"/>
      <c r="V586" s="709"/>
      <c r="W586" s="709"/>
      <c r="X586" s="709"/>
      <c r="Y586" s="709"/>
      <c r="Z586" s="709"/>
      <c r="AA586" s="709"/>
      <c r="AB586" s="709"/>
      <c r="AC586" s="709"/>
      <c r="AD586" s="709"/>
      <c r="AE586" s="709"/>
      <c r="AF586" s="709"/>
      <c r="AG586" s="709"/>
      <c r="AH586" s="709"/>
      <c r="AI586" s="709"/>
      <c r="AJ586" s="709"/>
      <c r="AK586" s="709"/>
      <c r="AL586" s="709"/>
      <c r="AM586" s="709"/>
      <c r="AN586" s="709"/>
      <c r="AO586" s="709"/>
      <c r="AP586" s="709"/>
      <c r="AQ586" s="709"/>
      <c r="AR586" s="709"/>
      <c r="AS586" s="709"/>
      <c r="AT586" s="709"/>
      <c r="AU586" s="709"/>
      <c r="AV586" s="709"/>
      <c r="AW586" s="709"/>
      <c r="AX586" s="709"/>
      <c r="AY586" s="709"/>
      <c r="AZ586" s="709"/>
      <c r="BA586" s="709"/>
      <c r="BB586" s="709"/>
    </row>
    <row r="587" spans="1:54" ht="12.6" customHeight="1" x14ac:dyDescent="0.25">
      <c r="A587" s="708"/>
      <c r="B587" s="708"/>
      <c r="C587" s="708"/>
      <c r="D587" s="708"/>
      <c r="E587" s="708"/>
      <c r="F587" s="708"/>
      <c r="G587" s="708"/>
      <c r="H587" s="708"/>
      <c r="I587" s="708"/>
      <c r="J587" s="708"/>
      <c r="K587" s="709"/>
      <c r="L587" s="709"/>
      <c r="M587" s="709"/>
      <c r="N587" s="709"/>
      <c r="O587" s="709"/>
      <c r="P587" s="709"/>
      <c r="Q587" s="709"/>
      <c r="R587" s="709"/>
      <c r="S587" s="709"/>
      <c r="T587" s="709"/>
      <c r="U587" s="709"/>
      <c r="V587" s="709"/>
      <c r="W587" s="709"/>
      <c r="X587" s="709"/>
      <c r="Y587" s="709"/>
      <c r="Z587" s="709"/>
      <c r="AA587" s="709"/>
      <c r="AB587" s="709"/>
      <c r="AC587" s="709"/>
      <c r="AD587" s="709"/>
      <c r="AE587" s="709"/>
      <c r="AF587" s="709"/>
      <c r="AG587" s="709"/>
      <c r="AH587" s="709"/>
      <c r="AI587" s="709"/>
      <c r="AJ587" s="709"/>
      <c r="AK587" s="709"/>
      <c r="AL587" s="709"/>
      <c r="AM587" s="709"/>
      <c r="AN587" s="709"/>
      <c r="AO587" s="709"/>
      <c r="AP587" s="709"/>
      <c r="AQ587" s="709"/>
      <c r="AR587" s="709"/>
      <c r="AS587" s="709"/>
      <c r="AT587" s="709"/>
      <c r="AU587" s="709"/>
      <c r="AV587" s="709"/>
      <c r="AW587" s="709"/>
      <c r="AX587" s="709"/>
      <c r="AY587" s="709"/>
      <c r="AZ587" s="709"/>
      <c r="BA587" s="709"/>
      <c r="BB587" s="709"/>
    </row>
    <row r="588" spans="1:54" ht="12.6" customHeight="1" x14ac:dyDescent="0.25">
      <c r="A588" s="708"/>
      <c r="B588" s="708"/>
      <c r="C588" s="708"/>
      <c r="D588" s="708"/>
      <c r="E588" s="708"/>
      <c r="F588" s="708"/>
      <c r="G588" s="708"/>
      <c r="H588" s="708"/>
      <c r="I588" s="708"/>
      <c r="J588" s="708"/>
      <c r="K588" s="709"/>
      <c r="L588" s="709"/>
      <c r="M588" s="709"/>
      <c r="N588" s="709"/>
      <c r="O588" s="709"/>
      <c r="P588" s="709"/>
      <c r="Q588" s="709"/>
      <c r="R588" s="709"/>
      <c r="S588" s="709"/>
      <c r="T588" s="709"/>
      <c r="U588" s="709"/>
      <c r="V588" s="709"/>
      <c r="W588" s="709"/>
      <c r="X588" s="709"/>
      <c r="Y588" s="709"/>
      <c r="Z588" s="709"/>
      <c r="AA588" s="709"/>
      <c r="AB588" s="709"/>
      <c r="AC588" s="709"/>
      <c r="AD588" s="709"/>
      <c r="AE588" s="709"/>
      <c r="AF588" s="709"/>
      <c r="AG588" s="709"/>
      <c r="AH588" s="709"/>
      <c r="AI588" s="709"/>
      <c r="AJ588" s="709"/>
      <c r="AK588" s="709"/>
      <c r="AL588" s="709"/>
      <c r="AM588" s="709"/>
      <c r="AN588" s="709"/>
      <c r="AO588" s="709"/>
      <c r="AP588" s="709"/>
      <c r="AQ588" s="709"/>
      <c r="AR588" s="709"/>
      <c r="AS588" s="709"/>
      <c r="AT588" s="709"/>
      <c r="AU588" s="709"/>
      <c r="AV588" s="709"/>
      <c r="AW588" s="709"/>
      <c r="AX588" s="709"/>
      <c r="AY588" s="709"/>
      <c r="AZ588" s="709"/>
      <c r="BA588" s="709"/>
      <c r="BB588" s="709"/>
    </row>
    <row r="589" spans="1:54" ht="12.6" customHeight="1" x14ac:dyDescent="0.25">
      <c r="A589" s="29" t="s">
        <v>1577</v>
      </c>
      <c r="K589" s="294"/>
      <c r="L589" s="294"/>
      <c r="M589" s="294"/>
      <c r="N589" s="294"/>
      <c r="O589" s="294"/>
      <c r="P589" s="294"/>
      <c r="Q589" s="294"/>
      <c r="R589" s="294"/>
      <c r="S589" s="294"/>
      <c r="T589" s="294"/>
      <c r="U589" s="294"/>
      <c r="V589" s="294"/>
      <c r="W589" s="294"/>
      <c r="X589" s="294"/>
      <c r="Y589" s="294"/>
      <c r="Z589" s="294"/>
      <c r="AA589" s="294"/>
      <c r="AB589" s="294"/>
      <c r="AC589" s="294"/>
      <c r="AD589" s="294"/>
      <c r="AE589" s="294"/>
      <c r="AF589" s="294"/>
      <c r="AG589" s="294"/>
      <c r="AH589" s="294"/>
      <c r="AI589" s="294"/>
      <c r="AJ589" s="294"/>
      <c r="AK589" s="294"/>
      <c r="AL589" s="294"/>
      <c r="AM589" s="294"/>
      <c r="AN589" s="294"/>
      <c r="AO589" s="294"/>
      <c r="AP589" s="793">
        <f>SUM(AP600-AP585-AP593-AP597)</f>
        <v>0</v>
      </c>
      <c r="AQ589" s="793"/>
      <c r="AR589" s="793"/>
      <c r="AS589" s="793"/>
      <c r="AT589" s="793"/>
      <c r="AU589" s="793"/>
      <c r="AV589" s="793"/>
      <c r="AW589" s="793"/>
      <c r="AX589" s="793"/>
      <c r="AY589" s="793"/>
      <c r="AZ589" s="793"/>
      <c r="BA589" s="793"/>
      <c r="BB589" s="793"/>
    </row>
    <row r="590" spans="1:54" ht="12.6" customHeight="1" x14ac:dyDescent="0.25">
      <c r="A590" s="708"/>
      <c r="B590" s="708"/>
      <c r="C590" s="708"/>
      <c r="D590" s="708"/>
      <c r="E590" s="708"/>
      <c r="F590" s="708"/>
      <c r="G590" s="708"/>
      <c r="H590" s="708"/>
      <c r="I590" s="708"/>
      <c r="J590" s="708"/>
      <c r="K590" s="709"/>
      <c r="L590" s="709"/>
      <c r="M590" s="709"/>
      <c r="N590" s="709"/>
      <c r="O590" s="709"/>
      <c r="P590" s="709"/>
      <c r="Q590" s="709"/>
      <c r="R590" s="709"/>
      <c r="S590" s="709"/>
      <c r="T590" s="709"/>
      <c r="U590" s="709"/>
      <c r="V590" s="709"/>
      <c r="W590" s="709"/>
      <c r="X590" s="709"/>
      <c r="Y590" s="709"/>
      <c r="Z590" s="709"/>
      <c r="AA590" s="709"/>
      <c r="AB590" s="709"/>
      <c r="AC590" s="709"/>
      <c r="AD590" s="709"/>
      <c r="AE590" s="709"/>
      <c r="AF590" s="709"/>
      <c r="AG590" s="709"/>
      <c r="AH590" s="709"/>
      <c r="AI590" s="709"/>
      <c r="AJ590" s="709"/>
      <c r="AK590" s="709"/>
      <c r="AL590" s="709"/>
      <c r="AM590" s="709"/>
      <c r="AN590" s="709"/>
      <c r="AO590" s="709"/>
      <c r="AP590" s="709"/>
      <c r="AQ590" s="709"/>
      <c r="AR590" s="709"/>
      <c r="AS590" s="709"/>
      <c r="AT590" s="709"/>
      <c r="AU590" s="709"/>
      <c r="AV590" s="709"/>
      <c r="AW590" s="709"/>
      <c r="AX590" s="709"/>
      <c r="AY590" s="709"/>
      <c r="AZ590" s="709"/>
      <c r="BA590" s="709"/>
      <c r="BB590" s="709"/>
    </row>
    <row r="591" spans="1:54" ht="12.6" customHeight="1" x14ac:dyDescent="0.25">
      <c r="A591" s="708"/>
      <c r="B591" s="708"/>
      <c r="C591" s="708"/>
      <c r="D591" s="708"/>
      <c r="E591" s="708"/>
      <c r="F591" s="708"/>
      <c r="G591" s="708"/>
      <c r="H591" s="708"/>
      <c r="I591" s="708"/>
      <c r="J591" s="708"/>
      <c r="K591" s="709"/>
      <c r="L591" s="709"/>
      <c r="M591" s="709"/>
      <c r="N591" s="709"/>
      <c r="O591" s="709"/>
      <c r="P591" s="709"/>
      <c r="Q591" s="709"/>
      <c r="R591" s="709"/>
      <c r="S591" s="709"/>
      <c r="T591" s="709"/>
      <c r="U591" s="709"/>
      <c r="V591" s="709"/>
      <c r="W591" s="709"/>
      <c r="X591" s="709"/>
      <c r="Y591" s="709"/>
      <c r="Z591" s="709"/>
      <c r="AA591" s="709"/>
      <c r="AB591" s="709"/>
      <c r="AC591" s="709"/>
      <c r="AD591" s="709"/>
      <c r="AE591" s="709"/>
      <c r="AF591" s="709"/>
      <c r="AG591" s="709"/>
      <c r="AH591" s="709"/>
      <c r="AI591" s="709"/>
      <c r="AJ591" s="709"/>
      <c r="AK591" s="709"/>
      <c r="AL591" s="709"/>
      <c r="AM591" s="709"/>
      <c r="AN591" s="709"/>
      <c r="AO591" s="709"/>
      <c r="AP591" s="709"/>
      <c r="AQ591" s="709"/>
      <c r="AR591" s="709"/>
      <c r="AS591" s="709"/>
      <c r="AT591" s="709"/>
      <c r="AU591" s="709"/>
      <c r="AV591" s="709"/>
      <c r="AW591" s="709"/>
      <c r="AX591" s="709"/>
      <c r="AY591" s="709"/>
      <c r="AZ591" s="709"/>
      <c r="BA591" s="709"/>
      <c r="BB591" s="709"/>
    </row>
    <row r="592" spans="1:54" ht="12.6" customHeight="1" x14ac:dyDescent="0.25">
      <c r="A592" s="708"/>
      <c r="B592" s="708"/>
      <c r="C592" s="708"/>
      <c r="D592" s="708"/>
      <c r="E592" s="708"/>
      <c r="F592" s="708"/>
      <c r="G592" s="708"/>
      <c r="H592" s="708"/>
      <c r="I592" s="708"/>
      <c r="J592" s="708"/>
      <c r="K592" s="709"/>
      <c r="L592" s="709"/>
      <c r="M592" s="709"/>
      <c r="N592" s="709"/>
      <c r="O592" s="709"/>
      <c r="P592" s="709"/>
      <c r="Q592" s="709"/>
      <c r="R592" s="709"/>
      <c r="S592" s="709"/>
      <c r="T592" s="709"/>
      <c r="U592" s="709"/>
      <c r="V592" s="709"/>
      <c r="W592" s="709"/>
      <c r="X592" s="709"/>
      <c r="Y592" s="709"/>
      <c r="Z592" s="709"/>
      <c r="AA592" s="709"/>
      <c r="AB592" s="709"/>
      <c r="AC592" s="709"/>
      <c r="AD592" s="709"/>
      <c r="AE592" s="709"/>
      <c r="AF592" s="709"/>
      <c r="AG592" s="709"/>
      <c r="AH592" s="709"/>
      <c r="AI592" s="709"/>
      <c r="AJ592" s="709"/>
      <c r="AK592" s="709"/>
      <c r="AL592" s="709"/>
      <c r="AM592" s="709"/>
      <c r="AN592" s="709"/>
      <c r="AO592" s="709"/>
      <c r="AP592" s="709"/>
      <c r="AQ592" s="709"/>
      <c r="AR592" s="709"/>
      <c r="AS592" s="709"/>
      <c r="AT592" s="709"/>
      <c r="AU592" s="709"/>
      <c r="AV592" s="709"/>
      <c r="AW592" s="709"/>
      <c r="AX592" s="709"/>
      <c r="AY592" s="709"/>
      <c r="AZ592" s="709"/>
      <c r="BA592" s="709"/>
      <c r="BB592" s="709"/>
    </row>
    <row r="593" spans="1:54" ht="12.6" customHeight="1" x14ac:dyDescent="0.25">
      <c r="A593" s="29" t="s">
        <v>1550</v>
      </c>
      <c r="K593" s="294"/>
      <c r="L593" s="294"/>
      <c r="M593" s="294"/>
      <c r="N593" s="294"/>
      <c r="O593" s="294"/>
      <c r="P593" s="294"/>
      <c r="Q593" s="294"/>
      <c r="R593" s="294"/>
      <c r="S593" s="294"/>
      <c r="T593" s="294"/>
      <c r="U593" s="294"/>
      <c r="V593" s="294"/>
      <c r="W593" s="294"/>
      <c r="X593" s="294"/>
      <c r="Y593" s="294"/>
      <c r="Z593" s="294"/>
      <c r="AA593" s="294"/>
      <c r="AB593" s="294"/>
      <c r="AC593" s="294"/>
      <c r="AD593" s="294"/>
      <c r="AE593" s="294"/>
      <c r="AF593" s="294"/>
      <c r="AG593" s="294"/>
      <c r="AH593" s="294"/>
      <c r="AI593" s="294"/>
      <c r="AJ593" s="294"/>
      <c r="AK593" s="294"/>
      <c r="AL593" s="294"/>
      <c r="AM593" s="294"/>
      <c r="AN593" s="294"/>
      <c r="AO593" s="294"/>
      <c r="AP593" s="793">
        <f>SUM(SUVAHAVUJ!N26+SUVAHAVUJ!N30)</f>
        <v>0</v>
      </c>
      <c r="AQ593" s="793"/>
      <c r="AR593" s="793"/>
      <c r="AS593" s="793"/>
      <c r="AT593" s="793"/>
      <c r="AU593" s="793"/>
      <c r="AV593" s="793"/>
      <c r="AW593" s="793"/>
      <c r="AX593" s="793"/>
      <c r="AY593" s="793"/>
      <c r="AZ593" s="793"/>
      <c r="BA593" s="793"/>
      <c r="BB593" s="793"/>
    </row>
    <row r="594" spans="1:54" ht="12.6" customHeight="1" x14ac:dyDescent="0.25">
      <c r="A594" s="708"/>
      <c r="B594" s="708"/>
      <c r="C594" s="708"/>
      <c r="D594" s="708"/>
      <c r="E594" s="708"/>
      <c r="F594" s="708"/>
      <c r="G594" s="708"/>
      <c r="H594" s="708"/>
      <c r="I594" s="708"/>
      <c r="J594" s="708"/>
      <c r="K594" s="709"/>
      <c r="L594" s="709"/>
      <c r="M594" s="709"/>
      <c r="N594" s="709"/>
      <c r="O594" s="709"/>
      <c r="P594" s="709"/>
      <c r="Q594" s="709"/>
      <c r="R594" s="709"/>
      <c r="S594" s="709"/>
      <c r="T594" s="709"/>
      <c r="U594" s="709"/>
      <c r="V594" s="709"/>
      <c r="W594" s="709"/>
      <c r="X594" s="709"/>
      <c r="Y594" s="709"/>
      <c r="Z594" s="709"/>
      <c r="AA594" s="709"/>
      <c r="AB594" s="709"/>
      <c r="AC594" s="709"/>
      <c r="AD594" s="709"/>
      <c r="AE594" s="709"/>
      <c r="AF594" s="709"/>
      <c r="AG594" s="709"/>
      <c r="AH594" s="709"/>
      <c r="AI594" s="709"/>
      <c r="AJ594" s="709"/>
      <c r="AK594" s="709"/>
      <c r="AL594" s="709"/>
      <c r="AM594" s="709"/>
      <c r="AN594" s="709"/>
      <c r="AO594" s="709"/>
      <c r="AP594" s="709"/>
      <c r="AQ594" s="709"/>
      <c r="AR594" s="709"/>
      <c r="AS594" s="709"/>
      <c r="AT594" s="709"/>
      <c r="AU594" s="709"/>
      <c r="AV594" s="709"/>
      <c r="AW594" s="709"/>
      <c r="AX594" s="709"/>
      <c r="AY594" s="709"/>
      <c r="AZ594" s="709"/>
      <c r="BA594" s="709"/>
      <c r="BB594" s="709"/>
    </row>
    <row r="595" spans="1:54" ht="12.6" customHeight="1" x14ac:dyDescent="0.25">
      <c r="A595" s="708"/>
      <c r="B595" s="708"/>
      <c r="C595" s="708"/>
      <c r="D595" s="708"/>
      <c r="E595" s="708"/>
      <c r="F595" s="708"/>
      <c r="G595" s="708"/>
      <c r="H595" s="708"/>
      <c r="I595" s="708"/>
      <c r="J595" s="708"/>
      <c r="K595" s="709"/>
      <c r="L595" s="709"/>
      <c r="M595" s="709"/>
      <c r="N595" s="709"/>
      <c r="O595" s="709"/>
      <c r="P595" s="709"/>
      <c r="Q595" s="709"/>
      <c r="R595" s="709"/>
      <c r="S595" s="709"/>
      <c r="T595" s="709"/>
      <c r="U595" s="709"/>
      <c r="V595" s="709"/>
      <c r="W595" s="709"/>
      <c r="X595" s="709"/>
      <c r="Y595" s="709"/>
      <c r="Z595" s="709"/>
      <c r="AA595" s="709"/>
      <c r="AB595" s="709"/>
      <c r="AC595" s="709"/>
      <c r="AD595" s="709"/>
      <c r="AE595" s="709"/>
      <c r="AF595" s="709"/>
      <c r="AG595" s="709"/>
      <c r="AH595" s="709"/>
      <c r="AI595" s="709"/>
      <c r="AJ595" s="709"/>
      <c r="AK595" s="709"/>
      <c r="AL595" s="709"/>
      <c r="AM595" s="709"/>
      <c r="AN595" s="709"/>
      <c r="AO595" s="709"/>
      <c r="AP595" s="709"/>
      <c r="AQ595" s="709"/>
      <c r="AR595" s="709"/>
      <c r="AS595" s="709"/>
      <c r="AT595" s="709"/>
      <c r="AU595" s="709"/>
      <c r="AV595" s="709"/>
      <c r="AW595" s="709"/>
      <c r="AX595" s="709"/>
      <c r="AY595" s="709"/>
      <c r="AZ595" s="709"/>
      <c r="BA595" s="709"/>
      <c r="BB595" s="709"/>
    </row>
    <row r="596" spans="1:54" ht="12.6" customHeight="1" x14ac:dyDescent="0.25">
      <c r="A596" s="708"/>
      <c r="B596" s="708"/>
      <c r="C596" s="708"/>
      <c r="D596" s="708"/>
      <c r="E596" s="708"/>
      <c r="F596" s="708"/>
      <c r="G596" s="708"/>
      <c r="H596" s="708"/>
      <c r="I596" s="708"/>
      <c r="J596" s="708"/>
      <c r="K596" s="709"/>
      <c r="L596" s="709"/>
      <c r="M596" s="709"/>
      <c r="N596" s="709"/>
      <c r="O596" s="709"/>
      <c r="P596" s="709"/>
      <c r="Q596" s="709"/>
      <c r="R596" s="709"/>
      <c r="S596" s="709"/>
      <c r="T596" s="709"/>
      <c r="U596" s="709"/>
      <c r="V596" s="709"/>
      <c r="W596" s="709"/>
      <c r="X596" s="709"/>
      <c r="Y596" s="709"/>
      <c r="Z596" s="709"/>
      <c r="AA596" s="709"/>
      <c r="AB596" s="709"/>
      <c r="AC596" s="709"/>
      <c r="AD596" s="709"/>
      <c r="AE596" s="709"/>
      <c r="AF596" s="709"/>
      <c r="AG596" s="709"/>
      <c r="AH596" s="709"/>
      <c r="AI596" s="709"/>
      <c r="AJ596" s="709"/>
      <c r="AK596" s="709"/>
      <c r="AL596" s="709"/>
      <c r="AM596" s="709"/>
      <c r="AN596" s="709"/>
      <c r="AO596" s="709"/>
      <c r="AP596" s="709"/>
      <c r="AQ596" s="709"/>
      <c r="AR596" s="709"/>
      <c r="AS596" s="709"/>
      <c r="AT596" s="709"/>
      <c r="AU596" s="709"/>
      <c r="AV596" s="709"/>
      <c r="AW596" s="709"/>
      <c r="AX596" s="709"/>
      <c r="AY596" s="709"/>
      <c r="AZ596" s="709"/>
      <c r="BA596" s="709"/>
      <c r="BB596" s="709"/>
    </row>
    <row r="597" spans="1:54" ht="12.6" customHeight="1" x14ac:dyDescent="0.25">
      <c r="A597" s="29" t="s">
        <v>1578</v>
      </c>
      <c r="K597" s="294"/>
      <c r="L597" s="294"/>
      <c r="M597" s="294"/>
      <c r="N597" s="294"/>
      <c r="O597" s="294"/>
      <c r="P597" s="294"/>
      <c r="Q597" s="294"/>
      <c r="R597" s="294"/>
      <c r="S597" s="294"/>
      <c r="T597" s="294"/>
      <c r="U597" s="294"/>
      <c r="V597" s="294"/>
      <c r="W597" s="294"/>
      <c r="X597" s="294"/>
      <c r="Y597" s="294"/>
      <c r="Z597" s="294"/>
      <c r="AA597" s="294"/>
      <c r="AB597" s="294"/>
      <c r="AC597" s="294"/>
      <c r="AD597" s="294"/>
      <c r="AE597" s="294"/>
      <c r="AF597" s="294"/>
      <c r="AG597" s="294"/>
      <c r="AH597" s="294"/>
      <c r="AI597" s="294"/>
      <c r="AJ597" s="294"/>
      <c r="AK597" s="294"/>
      <c r="AL597" s="294"/>
      <c r="AM597" s="294"/>
      <c r="AN597" s="294"/>
      <c r="AO597" s="294"/>
      <c r="AP597" s="793">
        <f>SUVAHAVUJ!$N$33</f>
        <v>0</v>
      </c>
      <c r="AQ597" s="793"/>
      <c r="AR597" s="793"/>
      <c r="AS597" s="793"/>
      <c r="AT597" s="793"/>
      <c r="AU597" s="793"/>
      <c r="AV597" s="793"/>
      <c r="AW597" s="793"/>
      <c r="AX597" s="793"/>
      <c r="AY597" s="793"/>
      <c r="AZ597" s="793"/>
      <c r="BA597" s="793"/>
      <c r="BB597" s="793"/>
    </row>
    <row r="598" spans="1:54" ht="12.6" customHeight="1" x14ac:dyDescent="0.25">
      <c r="A598" s="708"/>
      <c r="B598" s="708"/>
      <c r="C598" s="708"/>
      <c r="D598" s="708"/>
      <c r="E598" s="708"/>
      <c r="F598" s="708"/>
      <c r="G598" s="708"/>
      <c r="H598" s="708"/>
      <c r="I598" s="708"/>
      <c r="J598" s="708"/>
      <c r="K598" s="709"/>
      <c r="L598" s="709"/>
      <c r="M598" s="709"/>
      <c r="N598" s="709"/>
      <c r="O598" s="709"/>
      <c r="P598" s="709"/>
      <c r="Q598" s="709"/>
      <c r="R598" s="709"/>
      <c r="S598" s="709"/>
      <c r="T598" s="709"/>
      <c r="U598" s="709"/>
      <c r="V598" s="709"/>
      <c r="W598" s="709"/>
      <c r="X598" s="709"/>
      <c r="Y598" s="709"/>
      <c r="Z598" s="709"/>
      <c r="AA598" s="709"/>
      <c r="AB598" s="709"/>
      <c r="AC598" s="709"/>
      <c r="AD598" s="709"/>
      <c r="AE598" s="709"/>
      <c r="AF598" s="709"/>
      <c r="AG598" s="709"/>
      <c r="AH598" s="709"/>
      <c r="AI598" s="709"/>
      <c r="AJ598" s="709"/>
      <c r="AK598" s="709"/>
      <c r="AL598" s="709"/>
      <c r="AM598" s="709"/>
      <c r="AN598" s="709"/>
      <c r="AO598" s="709"/>
      <c r="AP598" s="709"/>
      <c r="AQ598" s="709"/>
      <c r="AR598" s="709"/>
      <c r="AS598" s="709"/>
      <c r="AT598" s="709"/>
      <c r="AU598" s="709"/>
      <c r="AV598" s="709"/>
      <c r="AW598" s="709"/>
      <c r="AX598" s="709"/>
      <c r="AY598" s="709"/>
      <c r="AZ598" s="709"/>
      <c r="BA598" s="709"/>
      <c r="BB598" s="709"/>
    </row>
    <row r="599" spans="1:54" ht="12.6" customHeight="1" x14ac:dyDescent="0.25">
      <c r="A599" s="708"/>
      <c r="B599" s="708"/>
      <c r="C599" s="708"/>
      <c r="D599" s="708"/>
      <c r="E599" s="708"/>
      <c r="F599" s="708"/>
      <c r="G599" s="708"/>
      <c r="H599" s="708"/>
      <c r="I599" s="708"/>
      <c r="J599" s="708"/>
      <c r="K599" s="709"/>
      <c r="L599" s="709"/>
      <c r="M599" s="709"/>
      <c r="N599" s="709"/>
      <c r="O599" s="709"/>
      <c r="P599" s="709"/>
      <c r="Q599" s="709"/>
      <c r="R599" s="709"/>
      <c r="S599" s="709"/>
      <c r="T599" s="709"/>
      <c r="U599" s="709"/>
      <c r="V599" s="709"/>
      <c r="W599" s="709"/>
      <c r="X599" s="709"/>
      <c r="Y599" s="709"/>
      <c r="Z599" s="709"/>
      <c r="AA599" s="709"/>
      <c r="AB599" s="709"/>
      <c r="AC599" s="709"/>
      <c r="AD599" s="709"/>
      <c r="AE599" s="709"/>
      <c r="AF599" s="709"/>
      <c r="AG599" s="709"/>
      <c r="AH599" s="709"/>
      <c r="AI599" s="709"/>
      <c r="AJ599" s="709"/>
      <c r="AK599" s="709"/>
      <c r="AL599" s="709"/>
      <c r="AM599" s="709"/>
      <c r="AN599" s="709"/>
      <c r="AO599" s="709"/>
      <c r="AP599" s="709"/>
      <c r="AQ599" s="709"/>
      <c r="AR599" s="709"/>
      <c r="AS599" s="709"/>
      <c r="AT599" s="709"/>
      <c r="AU599" s="709"/>
      <c r="AV599" s="709"/>
      <c r="AW599" s="709"/>
      <c r="AX599" s="709"/>
      <c r="AY599" s="709"/>
      <c r="AZ599" s="709"/>
      <c r="BA599" s="709"/>
      <c r="BB599" s="709"/>
    </row>
    <row r="600" spans="1:54" ht="12.6" customHeight="1" x14ac:dyDescent="0.25">
      <c r="A600" s="707" t="s">
        <v>1579</v>
      </c>
      <c r="B600" s="707"/>
      <c r="C600" s="707"/>
      <c r="D600" s="707"/>
      <c r="E600" s="707"/>
      <c r="F600" s="707"/>
      <c r="G600" s="707"/>
      <c r="H600" s="707"/>
      <c r="I600" s="707"/>
      <c r="J600" s="707"/>
      <c r="K600" s="707" t="s">
        <v>30</v>
      </c>
      <c r="L600" s="707"/>
      <c r="M600" s="707"/>
      <c r="N600" s="707"/>
      <c r="O600" s="707"/>
      <c r="P600" s="707" t="s">
        <v>30</v>
      </c>
      <c r="Q600" s="707"/>
      <c r="R600" s="707"/>
      <c r="S600" s="707"/>
      <c r="T600" s="707"/>
      <c r="U600" s="707"/>
      <c r="V600" s="707"/>
      <c r="W600" s="707"/>
      <c r="X600" s="707" t="s">
        <v>30</v>
      </c>
      <c r="Y600" s="707"/>
      <c r="Z600" s="707"/>
      <c r="AA600" s="707"/>
      <c r="AB600" s="707"/>
      <c r="AC600" s="707"/>
      <c r="AD600" s="707"/>
      <c r="AE600" s="707"/>
      <c r="AF600" s="707"/>
      <c r="AG600" s="707" t="s">
        <v>30</v>
      </c>
      <c r="AH600" s="707"/>
      <c r="AI600" s="707"/>
      <c r="AJ600" s="707"/>
      <c r="AK600" s="707"/>
      <c r="AL600" s="707"/>
      <c r="AM600" s="707"/>
      <c r="AN600" s="707"/>
      <c r="AO600" s="707"/>
      <c r="AP600" s="794">
        <f>SUVAHAVUJ!$N$23</f>
        <v>0</v>
      </c>
      <c r="AQ600" s="794"/>
      <c r="AR600" s="794"/>
      <c r="AS600" s="794"/>
      <c r="AT600" s="794"/>
      <c r="AU600" s="794"/>
      <c r="AV600" s="794"/>
      <c r="AW600" s="794"/>
      <c r="AX600" s="794"/>
      <c r="AY600" s="794"/>
      <c r="AZ600" s="794"/>
      <c r="BA600" s="794"/>
      <c r="BB600" s="794"/>
    </row>
    <row r="601" spans="1:54" ht="12.6" customHeight="1" x14ac:dyDescent="0.25">
      <c r="A601" s="227" t="s">
        <v>1344</v>
      </c>
    </row>
    <row r="602" spans="1:54" ht="15" customHeight="1" x14ac:dyDescent="0.25">
      <c r="A602" s="763"/>
      <c r="B602" s="763"/>
      <c r="C602" s="763"/>
      <c r="D602" s="763"/>
      <c r="E602" s="763"/>
      <c r="F602" s="763"/>
      <c r="G602" s="763"/>
      <c r="H602" s="763"/>
      <c r="I602" s="763"/>
      <c r="J602" s="763"/>
      <c r="K602" s="763"/>
      <c r="L602" s="763"/>
      <c r="M602" s="763"/>
      <c r="N602" s="763"/>
      <c r="O602" s="763"/>
      <c r="P602" s="763"/>
      <c r="Q602" s="763"/>
      <c r="R602" s="763"/>
      <c r="S602" s="763"/>
      <c r="T602" s="763"/>
      <c r="U602" s="763"/>
      <c r="V602" s="763"/>
      <c r="W602" s="763"/>
      <c r="X602" s="763"/>
      <c r="Y602" s="763"/>
      <c r="Z602" s="763"/>
      <c r="AA602" s="763"/>
      <c r="AB602" s="763"/>
      <c r="AC602" s="763"/>
      <c r="AD602" s="763"/>
      <c r="AE602" s="763"/>
      <c r="AF602" s="763"/>
      <c r="AG602" s="763"/>
      <c r="AH602" s="763"/>
      <c r="AI602" s="763"/>
      <c r="AJ602" s="763"/>
      <c r="AK602" s="763"/>
      <c r="AL602" s="763"/>
      <c r="AM602" s="763"/>
      <c r="AN602" s="763"/>
      <c r="AO602" s="763"/>
      <c r="AP602" s="763"/>
      <c r="AQ602" s="763"/>
      <c r="AR602" s="763"/>
      <c r="AS602" s="763"/>
      <c r="AT602" s="763"/>
      <c r="AU602" s="763"/>
      <c r="AV602" s="763"/>
      <c r="AW602" s="763"/>
      <c r="AX602" s="763"/>
      <c r="AY602" s="265"/>
      <c r="AZ602" s="265"/>
      <c r="BA602" s="265"/>
      <c r="BB602" s="265"/>
    </row>
    <row r="603" spans="1:54" ht="15" customHeight="1" x14ac:dyDescent="0.25">
      <c r="A603" s="763"/>
      <c r="B603" s="763"/>
      <c r="C603" s="763"/>
      <c r="D603" s="763"/>
      <c r="E603" s="763"/>
      <c r="F603" s="763"/>
      <c r="G603" s="763"/>
      <c r="H603" s="763"/>
      <c r="I603" s="763"/>
      <c r="J603" s="763"/>
      <c r="K603" s="763"/>
      <c r="L603" s="763"/>
      <c r="M603" s="763"/>
      <c r="N603" s="763"/>
      <c r="O603" s="763"/>
      <c r="P603" s="763"/>
      <c r="Q603" s="763"/>
      <c r="R603" s="763"/>
      <c r="S603" s="763"/>
      <c r="T603" s="763"/>
      <c r="U603" s="763"/>
      <c r="V603" s="763"/>
      <c r="W603" s="763"/>
      <c r="X603" s="763"/>
      <c r="Y603" s="763"/>
      <c r="Z603" s="763"/>
      <c r="AA603" s="763"/>
      <c r="AB603" s="763"/>
      <c r="AC603" s="763"/>
      <c r="AD603" s="763"/>
      <c r="AE603" s="763"/>
      <c r="AF603" s="763"/>
      <c r="AG603" s="763"/>
      <c r="AH603" s="763"/>
      <c r="AI603" s="763"/>
      <c r="AJ603" s="763"/>
      <c r="AK603" s="763"/>
      <c r="AL603" s="763"/>
      <c r="AM603" s="763"/>
      <c r="AN603" s="763"/>
      <c r="AO603" s="763"/>
      <c r="AP603" s="763"/>
      <c r="AQ603" s="763"/>
      <c r="AR603" s="763"/>
      <c r="AS603" s="763"/>
      <c r="AT603" s="763"/>
      <c r="AU603" s="763"/>
      <c r="AV603" s="763"/>
      <c r="AW603" s="763"/>
      <c r="AX603" s="763"/>
      <c r="AY603" s="265"/>
      <c r="AZ603" s="265"/>
      <c r="BA603" s="265"/>
      <c r="BB603" s="265"/>
    </row>
    <row r="604" spans="1:54" ht="12.6" customHeight="1" x14ac:dyDescent="0.25">
      <c r="A604" s="227" t="s">
        <v>1580</v>
      </c>
    </row>
    <row r="605" spans="1:54" s="208" customFormat="1" ht="12.6" customHeight="1" x14ac:dyDescent="0.25">
      <c r="A605" s="768"/>
      <c r="B605" s="768"/>
      <c r="C605" s="768"/>
      <c r="D605" s="768"/>
      <c r="E605" s="768"/>
      <c r="F605" s="768"/>
      <c r="G605" s="768"/>
      <c r="H605" s="768"/>
      <c r="I605" s="768"/>
      <c r="J605" s="768"/>
      <c r="K605" s="768"/>
      <c r="L605" s="768"/>
      <c r="M605" s="768"/>
      <c r="N605" s="768"/>
      <c r="O605" s="768"/>
      <c r="P605" s="768" t="s">
        <v>1581</v>
      </c>
      <c r="Q605" s="768"/>
      <c r="R605" s="768"/>
      <c r="S605" s="768"/>
      <c r="T605" s="768"/>
      <c r="U605" s="768"/>
      <c r="V605" s="768"/>
      <c r="W605" s="768"/>
      <c r="X605" s="768"/>
      <c r="Y605" s="768"/>
      <c r="Z605" s="768"/>
      <c r="AA605" s="768"/>
      <c r="AB605" s="768"/>
      <c r="AC605" s="768"/>
      <c r="AD605" s="768"/>
      <c r="AE605" s="768"/>
      <c r="AF605" s="768"/>
      <c r="AG605" s="768"/>
      <c r="AH605" s="768"/>
      <c r="AI605" s="768"/>
      <c r="AJ605" s="768"/>
      <c r="AK605" s="768" t="s">
        <v>1582</v>
      </c>
      <c r="AL605" s="768"/>
      <c r="AM605" s="768"/>
      <c r="AN605" s="768"/>
      <c r="AO605" s="768"/>
      <c r="AP605" s="768"/>
      <c r="AQ605" s="768"/>
      <c r="AR605" s="768" t="s">
        <v>1522</v>
      </c>
      <c r="AS605" s="768"/>
      <c r="AT605" s="768"/>
      <c r="AU605" s="768"/>
      <c r="AV605" s="768"/>
      <c r="AW605" s="768"/>
      <c r="AX605" s="768"/>
      <c r="AY605" s="768"/>
      <c r="AZ605" s="768"/>
      <c r="BA605" s="768"/>
      <c r="BB605" s="768"/>
    </row>
    <row r="606" spans="1:54" ht="12.6" customHeight="1" x14ac:dyDescent="0.25">
      <c r="A606" s="745"/>
      <c r="B606" s="745"/>
      <c r="C606" s="745"/>
      <c r="D606" s="745"/>
      <c r="E606" s="745"/>
      <c r="F606" s="745"/>
      <c r="G606" s="745"/>
      <c r="H606" s="745"/>
      <c r="I606" s="745"/>
      <c r="J606" s="745"/>
      <c r="K606" s="745"/>
      <c r="L606" s="745"/>
      <c r="M606" s="745"/>
      <c r="N606" s="745"/>
      <c r="O606" s="745"/>
      <c r="P606" s="745" t="s">
        <v>1583</v>
      </c>
      <c r="Q606" s="745"/>
      <c r="R606" s="745"/>
      <c r="S606" s="745"/>
      <c r="T606" s="745"/>
      <c r="U606" s="745"/>
      <c r="V606" s="745"/>
      <c r="W606" s="745" t="s">
        <v>1584</v>
      </c>
      <c r="X606" s="745"/>
      <c r="Y606" s="745"/>
      <c r="Z606" s="745"/>
      <c r="AA606" s="745"/>
      <c r="AB606" s="745"/>
      <c r="AC606" s="745"/>
      <c r="AD606" s="745" t="s">
        <v>1585</v>
      </c>
      <c r="AE606" s="745"/>
      <c r="AF606" s="745"/>
      <c r="AG606" s="745"/>
      <c r="AH606" s="745"/>
      <c r="AI606" s="745"/>
      <c r="AJ606" s="745"/>
      <c r="AK606" s="745" t="s">
        <v>1586</v>
      </c>
      <c r="AL606" s="745"/>
      <c r="AM606" s="745"/>
      <c r="AN606" s="745"/>
      <c r="AO606" s="745"/>
      <c r="AP606" s="745"/>
      <c r="AQ606" s="745"/>
      <c r="AR606" s="745" t="s">
        <v>1587</v>
      </c>
      <c r="AS606" s="745"/>
      <c r="AT606" s="745"/>
      <c r="AU606" s="745"/>
      <c r="AV606" s="745"/>
      <c r="AW606" s="745"/>
      <c r="AX606" s="745"/>
      <c r="AY606" s="745"/>
      <c r="AZ606" s="745"/>
      <c r="BA606" s="745"/>
      <c r="BB606" s="745"/>
    </row>
    <row r="607" spans="1:54" ht="12.6" customHeight="1" x14ac:dyDescent="0.25">
      <c r="A607" s="745" t="s">
        <v>1588</v>
      </c>
      <c r="B607" s="745"/>
      <c r="C607" s="745"/>
      <c r="D607" s="745"/>
      <c r="E607" s="745"/>
      <c r="F607" s="745"/>
      <c r="G607" s="745"/>
      <c r="H607" s="745"/>
      <c r="I607" s="745"/>
      <c r="J607" s="745"/>
      <c r="K607" s="745"/>
      <c r="L607" s="745" t="s">
        <v>1589</v>
      </c>
      <c r="M607" s="745"/>
      <c r="N607" s="745"/>
      <c r="O607" s="745"/>
      <c r="P607" s="745" t="s">
        <v>1524</v>
      </c>
      <c r="Q607" s="745"/>
      <c r="R607" s="745"/>
      <c r="S607" s="745"/>
      <c r="T607" s="745"/>
      <c r="U607" s="745"/>
      <c r="V607" s="745"/>
      <c r="W607" s="745" t="s">
        <v>1590</v>
      </c>
      <c r="X607" s="745"/>
      <c r="Y607" s="745"/>
      <c r="Z607" s="745"/>
      <c r="AA607" s="745"/>
      <c r="AB607" s="745"/>
      <c r="AC607" s="745"/>
      <c r="AD607" s="745" t="s">
        <v>1590</v>
      </c>
      <c r="AE607" s="745"/>
      <c r="AF607" s="745"/>
      <c r="AG607" s="745"/>
      <c r="AH607" s="745"/>
      <c r="AI607" s="745"/>
      <c r="AJ607" s="745"/>
      <c r="AK607" s="745" t="s">
        <v>1591</v>
      </c>
      <c r="AL607" s="745"/>
      <c r="AM607" s="745"/>
      <c r="AN607" s="745"/>
      <c r="AO607" s="745"/>
      <c r="AP607" s="745"/>
      <c r="AQ607" s="745"/>
      <c r="AR607" s="745" t="s">
        <v>1524</v>
      </c>
      <c r="AS607" s="745"/>
      <c r="AT607" s="745"/>
      <c r="AU607" s="745"/>
      <c r="AV607" s="745"/>
      <c r="AW607" s="745"/>
      <c r="AX607" s="745"/>
      <c r="AY607" s="745"/>
      <c r="AZ607" s="745"/>
      <c r="BA607" s="745"/>
      <c r="BB607" s="745"/>
    </row>
    <row r="608" spans="1:54" ht="12.6" customHeight="1" x14ac:dyDescent="0.25">
      <c r="A608" s="745" t="s">
        <v>1592</v>
      </c>
      <c r="B608" s="745"/>
      <c r="C608" s="745"/>
      <c r="D608" s="745"/>
      <c r="E608" s="745"/>
      <c r="F608" s="745"/>
      <c r="G608" s="745"/>
      <c r="H608" s="745"/>
      <c r="I608" s="745"/>
      <c r="J608" s="745"/>
      <c r="K608" s="745"/>
      <c r="L608" s="745" t="s">
        <v>1593</v>
      </c>
      <c r="M608" s="745"/>
      <c r="N608" s="745"/>
      <c r="O608" s="745"/>
      <c r="P608" s="745" t="s">
        <v>1525</v>
      </c>
      <c r="Q608" s="745"/>
      <c r="R608" s="745"/>
      <c r="S608" s="745"/>
      <c r="T608" s="745"/>
      <c r="U608" s="745"/>
      <c r="V608" s="745"/>
      <c r="W608" s="745"/>
      <c r="X608" s="745"/>
      <c r="Y608" s="745"/>
      <c r="Z608" s="745"/>
      <c r="AA608" s="745"/>
      <c r="AB608" s="745"/>
      <c r="AC608" s="745"/>
      <c r="AD608" s="745"/>
      <c r="AE608" s="745"/>
      <c r="AF608" s="745"/>
      <c r="AG608" s="745"/>
      <c r="AH608" s="745"/>
      <c r="AI608" s="745"/>
      <c r="AJ608" s="745"/>
      <c r="AK608" s="745" t="s">
        <v>1594</v>
      </c>
      <c r="AL608" s="745"/>
      <c r="AM608" s="745"/>
      <c r="AN608" s="745"/>
      <c r="AO608" s="745"/>
      <c r="AP608" s="745"/>
      <c r="AQ608" s="745"/>
      <c r="AR608" s="745" t="s">
        <v>1525</v>
      </c>
      <c r="AS608" s="745"/>
      <c r="AT608" s="745"/>
      <c r="AU608" s="745"/>
      <c r="AV608" s="745"/>
      <c r="AW608" s="745"/>
      <c r="AX608" s="745"/>
      <c r="AY608" s="745"/>
      <c r="AZ608" s="745"/>
      <c r="BA608" s="745"/>
      <c r="BB608" s="745"/>
    </row>
    <row r="609" spans="1:54" ht="12.6" customHeight="1" x14ac:dyDescent="0.25">
      <c r="A609" s="745"/>
      <c r="B609" s="745"/>
      <c r="C609" s="745"/>
      <c r="D609" s="745"/>
      <c r="E609" s="745"/>
      <c r="F609" s="745"/>
      <c r="G609" s="745"/>
      <c r="H609" s="745"/>
      <c r="I609" s="745"/>
      <c r="J609" s="745"/>
      <c r="K609" s="745"/>
      <c r="L609" s="745"/>
      <c r="M609" s="745"/>
      <c r="N609" s="745"/>
      <c r="O609" s="745"/>
      <c r="P609" s="745"/>
      <c r="Q609" s="745"/>
      <c r="R609" s="745"/>
      <c r="S609" s="745"/>
      <c r="T609" s="745"/>
      <c r="U609" s="745"/>
      <c r="V609" s="745"/>
      <c r="W609" s="745"/>
      <c r="X609" s="745"/>
      <c r="Y609" s="745"/>
      <c r="Z609" s="745"/>
      <c r="AA609" s="745"/>
      <c r="AB609" s="745"/>
      <c r="AC609" s="745"/>
      <c r="AD609" s="745"/>
      <c r="AE609" s="745"/>
      <c r="AF609" s="745"/>
      <c r="AG609" s="745"/>
      <c r="AH609" s="745"/>
      <c r="AI609" s="745"/>
      <c r="AJ609" s="745"/>
      <c r="AK609" s="745" t="s">
        <v>1595</v>
      </c>
      <c r="AL609" s="745"/>
      <c r="AM609" s="745"/>
      <c r="AN609" s="745"/>
      <c r="AO609" s="745"/>
      <c r="AP609" s="745"/>
      <c r="AQ609" s="745"/>
      <c r="AR609" s="745"/>
      <c r="AS609" s="745"/>
      <c r="AT609" s="745"/>
      <c r="AU609" s="745"/>
      <c r="AV609" s="745"/>
      <c r="AW609" s="745"/>
      <c r="AX609" s="745"/>
      <c r="AY609" s="745"/>
      <c r="AZ609" s="745"/>
      <c r="BA609" s="745"/>
      <c r="BB609" s="745"/>
    </row>
    <row r="610" spans="1:54" ht="12.6" customHeight="1" x14ac:dyDescent="0.25">
      <c r="A610" s="750" t="s">
        <v>1323</v>
      </c>
      <c r="B610" s="750"/>
      <c r="C610" s="750"/>
      <c r="D610" s="750"/>
      <c r="E610" s="750"/>
      <c r="F610" s="750"/>
      <c r="G610" s="750"/>
      <c r="H610" s="750"/>
      <c r="I610" s="750"/>
      <c r="J610" s="750"/>
      <c r="K610" s="750"/>
      <c r="L610" s="750" t="s">
        <v>1324</v>
      </c>
      <c r="M610" s="750"/>
      <c r="N610" s="750"/>
      <c r="O610" s="750"/>
      <c r="P610" s="750" t="s">
        <v>1325</v>
      </c>
      <c r="Q610" s="750"/>
      <c r="R610" s="750"/>
      <c r="S610" s="750"/>
      <c r="T610" s="750"/>
      <c r="U610" s="750"/>
      <c r="V610" s="750"/>
      <c r="W610" s="750" t="s">
        <v>1326</v>
      </c>
      <c r="X610" s="750"/>
      <c r="Y610" s="750"/>
      <c r="Z610" s="750"/>
      <c r="AA610" s="750"/>
      <c r="AB610" s="750"/>
      <c r="AC610" s="750"/>
      <c r="AD610" s="750" t="s">
        <v>1327</v>
      </c>
      <c r="AE610" s="750"/>
      <c r="AF610" s="750"/>
      <c r="AG610" s="750"/>
      <c r="AH610" s="750"/>
      <c r="AI610" s="750"/>
      <c r="AJ610" s="750"/>
      <c r="AK610" s="750" t="s">
        <v>1333</v>
      </c>
      <c r="AL610" s="750"/>
      <c r="AM610" s="750"/>
      <c r="AN610" s="750"/>
      <c r="AO610" s="750"/>
      <c r="AP610" s="750"/>
      <c r="AQ610" s="750"/>
      <c r="AR610" s="750" t="s">
        <v>1468</v>
      </c>
      <c r="AS610" s="750"/>
      <c r="AT610" s="750"/>
      <c r="AU610" s="750"/>
      <c r="AV610" s="750"/>
      <c r="AW610" s="750"/>
      <c r="AX610" s="750"/>
      <c r="AY610" s="750"/>
      <c r="AZ610" s="750"/>
      <c r="BA610" s="750"/>
      <c r="BB610" s="750"/>
    </row>
    <row r="611" spans="1:54" ht="12.6" customHeight="1" x14ac:dyDescent="0.25">
      <c r="A611" s="710" t="s">
        <v>1596</v>
      </c>
      <c r="B611" s="710"/>
      <c r="C611" s="710"/>
      <c r="D611" s="710"/>
      <c r="E611" s="710"/>
      <c r="F611" s="710"/>
      <c r="G611" s="710"/>
      <c r="H611" s="710"/>
      <c r="I611" s="710"/>
      <c r="J611" s="710"/>
      <c r="K611" s="710"/>
      <c r="L611" s="708"/>
      <c r="M611" s="708"/>
      <c r="N611" s="708"/>
      <c r="O611" s="708"/>
      <c r="P611" s="709"/>
      <c r="Q611" s="709"/>
      <c r="R611" s="709"/>
      <c r="S611" s="709"/>
      <c r="T611" s="709"/>
      <c r="U611" s="709"/>
      <c r="V611" s="709"/>
      <c r="W611" s="709"/>
      <c r="X611" s="709"/>
      <c r="Y611" s="709"/>
      <c r="Z611" s="709"/>
      <c r="AA611" s="709"/>
      <c r="AB611" s="709"/>
      <c r="AC611" s="709"/>
      <c r="AD611" s="709"/>
      <c r="AE611" s="709"/>
      <c r="AF611" s="709"/>
      <c r="AG611" s="709"/>
      <c r="AH611" s="709"/>
      <c r="AI611" s="709"/>
      <c r="AJ611" s="709"/>
      <c r="AK611" s="709"/>
      <c r="AL611" s="709"/>
      <c r="AM611" s="709"/>
      <c r="AN611" s="709"/>
      <c r="AO611" s="709"/>
      <c r="AP611" s="709"/>
      <c r="AQ611" s="709"/>
      <c r="AR611" s="709"/>
      <c r="AS611" s="709"/>
      <c r="AT611" s="709"/>
      <c r="AU611" s="709"/>
      <c r="AV611" s="709"/>
      <c r="AW611" s="709"/>
      <c r="AX611" s="709"/>
      <c r="AY611" s="709"/>
      <c r="AZ611" s="709"/>
      <c r="BA611" s="709"/>
      <c r="BB611" s="709"/>
    </row>
    <row r="612" spans="1:54" ht="12.6" customHeight="1" x14ac:dyDescent="0.25">
      <c r="A612" s="711" t="s">
        <v>1597</v>
      </c>
      <c r="B612" s="711"/>
      <c r="C612" s="711"/>
      <c r="D612" s="711"/>
      <c r="E612" s="711"/>
      <c r="F612" s="711"/>
      <c r="G612" s="711"/>
      <c r="H612" s="711"/>
      <c r="I612" s="711"/>
      <c r="J612" s="711"/>
      <c r="K612" s="711"/>
      <c r="L612" s="708"/>
      <c r="M612" s="708"/>
      <c r="N612" s="708"/>
      <c r="O612" s="708"/>
      <c r="P612" s="709"/>
      <c r="Q612" s="709"/>
      <c r="R612" s="709"/>
      <c r="S612" s="709"/>
      <c r="T612" s="709"/>
      <c r="U612" s="709"/>
      <c r="V612" s="709"/>
      <c r="W612" s="709"/>
      <c r="X612" s="709"/>
      <c r="Y612" s="709"/>
      <c r="Z612" s="709"/>
      <c r="AA612" s="709"/>
      <c r="AB612" s="709"/>
      <c r="AC612" s="709"/>
      <c r="AD612" s="709"/>
      <c r="AE612" s="709"/>
      <c r="AF612" s="709"/>
      <c r="AG612" s="709"/>
      <c r="AH612" s="709"/>
      <c r="AI612" s="709"/>
      <c r="AJ612" s="709"/>
      <c r="AK612" s="709"/>
      <c r="AL612" s="709"/>
      <c r="AM612" s="709"/>
      <c r="AN612" s="709"/>
      <c r="AO612" s="709"/>
      <c r="AP612" s="709"/>
      <c r="AQ612" s="709"/>
      <c r="AR612" s="709"/>
      <c r="AS612" s="709"/>
      <c r="AT612" s="709"/>
      <c r="AU612" s="709"/>
      <c r="AV612" s="709"/>
      <c r="AW612" s="709"/>
      <c r="AX612" s="709"/>
      <c r="AY612" s="709"/>
      <c r="AZ612" s="709"/>
      <c r="BA612" s="709"/>
      <c r="BB612" s="709"/>
    </row>
    <row r="613" spans="1:54" ht="12.6" customHeight="1" x14ac:dyDescent="0.25">
      <c r="A613" s="710" t="s">
        <v>1598</v>
      </c>
      <c r="B613" s="710"/>
      <c r="C613" s="710"/>
      <c r="D613" s="710"/>
      <c r="E613" s="710"/>
      <c r="F613" s="710"/>
      <c r="G613" s="710"/>
      <c r="H613" s="710"/>
      <c r="I613" s="710"/>
      <c r="J613" s="710"/>
      <c r="K613" s="710"/>
      <c r="L613" s="708"/>
      <c r="M613" s="708"/>
      <c r="N613" s="708"/>
      <c r="O613" s="708"/>
      <c r="P613" s="709"/>
      <c r="Q613" s="709"/>
      <c r="R613" s="709"/>
      <c r="S613" s="709"/>
      <c r="T613" s="709"/>
      <c r="U613" s="709"/>
      <c r="V613" s="709"/>
      <c r="W613" s="709"/>
      <c r="X613" s="709"/>
      <c r="Y613" s="709"/>
      <c r="Z613" s="709"/>
      <c r="AA613" s="709"/>
      <c r="AB613" s="709"/>
      <c r="AC613" s="709"/>
      <c r="AD613" s="709"/>
      <c r="AE613" s="709"/>
      <c r="AF613" s="709"/>
      <c r="AG613" s="709"/>
      <c r="AH613" s="709"/>
      <c r="AI613" s="709"/>
      <c r="AJ613" s="709"/>
      <c r="AK613" s="709"/>
      <c r="AL613" s="709"/>
      <c r="AM613" s="709"/>
      <c r="AN613" s="709"/>
      <c r="AO613" s="709"/>
      <c r="AP613" s="709"/>
      <c r="AQ613" s="709"/>
      <c r="AR613" s="709"/>
      <c r="AS613" s="709"/>
      <c r="AT613" s="709"/>
      <c r="AU613" s="709"/>
      <c r="AV613" s="709"/>
      <c r="AW613" s="709"/>
      <c r="AX613" s="709"/>
      <c r="AY613" s="709"/>
      <c r="AZ613" s="709"/>
      <c r="BA613" s="709"/>
      <c r="BB613" s="709"/>
    </row>
    <row r="614" spans="1:54" ht="12.6" customHeight="1" x14ac:dyDescent="0.25">
      <c r="A614" s="795" t="s">
        <v>1599</v>
      </c>
      <c r="B614" s="795"/>
      <c r="C614" s="795"/>
      <c r="D614" s="795"/>
      <c r="E614" s="795"/>
      <c r="F614" s="795"/>
      <c r="G614" s="795"/>
      <c r="H614" s="795"/>
      <c r="I614" s="795"/>
      <c r="J614" s="795"/>
      <c r="K614" s="795"/>
      <c r="L614" s="708"/>
      <c r="M614" s="708"/>
      <c r="N614" s="708"/>
      <c r="O614" s="708"/>
      <c r="P614" s="709"/>
      <c r="Q614" s="709"/>
      <c r="R614" s="709"/>
      <c r="S614" s="709"/>
      <c r="T614" s="709"/>
      <c r="U614" s="709"/>
      <c r="V614" s="709"/>
      <c r="W614" s="709"/>
      <c r="X614" s="709"/>
      <c r="Y614" s="709"/>
      <c r="Z614" s="709"/>
      <c r="AA614" s="709"/>
      <c r="AB614" s="709"/>
      <c r="AC614" s="709"/>
      <c r="AD614" s="709"/>
      <c r="AE614" s="709"/>
      <c r="AF614" s="709"/>
      <c r="AG614" s="709"/>
      <c r="AH614" s="709"/>
      <c r="AI614" s="709"/>
      <c r="AJ614" s="709"/>
      <c r="AK614" s="709"/>
      <c r="AL614" s="709"/>
      <c r="AM614" s="709"/>
      <c r="AN614" s="709"/>
      <c r="AO614" s="709"/>
      <c r="AP614" s="709"/>
      <c r="AQ614" s="709"/>
      <c r="AR614" s="709"/>
      <c r="AS614" s="709"/>
      <c r="AT614" s="709"/>
      <c r="AU614" s="709"/>
      <c r="AV614" s="709"/>
      <c r="AW614" s="709"/>
      <c r="AX614" s="709"/>
      <c r="AY614" s="709"/>
      <c r="AZ614" s="709"/>
      <c r="BA614" s="709"/>
      <c r="BB614" s="709"/>
    </row>
    <row r="615" spans="1:54" ht="12.6" customHeight="1" x14ac:dyDescent="0.25">
      <c r="A615" s="711" t="s">
        <v>1600</v>
      </c>
      <c r="B615" s="711"/>
      <c r="C615" s="711"/>
      <c r="D615" s="711"/>
      <c r="E615" s="711"/>
      <c r="F615" s="711"/>
      <c r="G615" s="711"/>
      <c r="H615" s="711"/>
      <c r="I615" s="711"/>
      <c r="J615" s="711"/>
      <c r="K615" s="711"/>
      <c r="L615" s="708"/>
      <c r="M615" s="708"/>
      <c r="N615" s="708"/>
      <c r="O615" s="708"/>
      <c r="P615" s="709"/>
      <c r="Q615" s="709"/>
      <c r="R615" s="709"/>
      <c r="S615" s="709"/>
      <c r="T615" s="709"/>
      <c r="U615" s="709"/>
      <c r="V615" s="709"/>
      <c r="W615" s="709"/>
      <c r="X615" s="709"/>
      <c r="Y615" s="709"/>
      <c r="Z615" s="709"/>
      <c r="AA615" s="709"/>
      <c r="AB615" s="709"/>
      <c r="AC615" s="709"/>
      <c r="AD615" s="709"/>
      <c r="AE615" s="709"/>
      <c r="AF615" s="709"/>
      <c r="AG615" s="709"/>
      <c r="AH615" s="709"/>
      <c r="AI615" s="709"/>
      <c r="AJ615" s="709"/>
      <c r="AK615" s="709"/>
      <c r="AL615" s="709"/>
      <c r="AM615" s="709"/>
      <c r="AN615" s="709"/>
      <c r="AO615" s="709"/>
      <c r="AP615" s="709"/>
      <c r="AQ615" s="709"/>
      <c r="AR615" s="709"/>
      <c r="AS615" s="709"/>
      <c r="AT615" s="709"/>
      <c r="AU615" s="709"/>
      <c r="AV615" s="709"/>
      <c r="AW615" s="709"/>
      <c r="AX615" s="709"/>
      <c r="AY615" s="709"/>
      <c r="AZ615" s="709"/>
      <c r="BA615" s="709"/>
      <c r="BB615" s="709"/>
    </row>
    <row r="616" spans="1:54" ht="12.6" customHeight="1" x14ac:dyDescent="0.25">
      <c r="A616" s="710" t="s">
        <v>1601</v>
      </c>
      <c r="B616" s="710"/>
      <c r="C616" s="710"/>
      <c r="D616" s="710"/>
      <c r="E616" s="710"/>
      <c r="F616" s="710"/>
      <c r="G616" s="710"/>
      <c r="H616" s="710"/>
      <c r="I616" s="710"/>
      <c r="J616" s="710"/>
      <c r="K616" s="710"/>
      <c r="L616" s="708"/>
      <c r="M616" s="708"/>
      <c r="N616" s="708"/>
      <c r="O616" s="708"/>
      <c r="P616" s="709"/>
      <c r="Q616" s="709"/>
      <c r="R616" s="709"/>
      <c r="S616" s="709"/>
      <c r="T616" s="709"/>
      <c r="U616" s="709"/>
      <c r="V616" s="709"/>
      <c r="W616" s="709"/>
      <c r="X616" s="709"/>
      <c r="Y616" s="709"/>
      <c r="Z616" s="709"/>
      <c r="AA616" s="709"/>
      <c r="AB616" s="709"/>
      <c r="AC616" s="709"/>
      <c r="AD616" s="709"/>
      <c r="AE616" s="709"/>
      <c r="AF616" s="709"/>
      <c r="AG616" s="709"/>
      <c r="AH616" s="709"/>
      <c r="AI616" s="709"/>
      <c r="AJ616" s="709"/>
      <c r="AK616" s="709"/>
      <c r="AL616" s="709"/>
      <c r="AM616" s="709"/>
      <c r="AN616" s="709"/>
      <c r="AO616" s="709"/>
      <c r="AP616" s="709"/>
      <c r="AQ616" s="709"/>
      <c r="AR616" s="709"/>
      <c r="AS616" s="709"/>
      <c r="AT616" s="709"/>
      <c r="AU616" s="709"/>
      <c r="AV616" s="709"/>
      <c r="AW616" s="709"/>
      <c r="AX616" s="709"/>
      <c r="AY616" s="709"/>
      <c r="AZ616" s="709"/>
      <c r="BA616" s="709"/>
      <c r="BB616" s="709"/>
    </row>
    <row r="617" spans="1:54" ht="12.6" customHeight="1" x14ac:dyDescent="0.25">
      <c r="A617" s="711" t="s">
        <v>1602</v>
      </c>
      <c r="B617" s="711"/>
      <c r="C617" s="711"/>
      <c r="D617" s="711"/>
      <c r="E617" s="711"/>
      <c r="F617" s="711"/>
      <c r="G617" s="711"/>
      <c r="H617" s="711"/>
      <c r="I617" s="711"/>
      <c r="J617" s="711"/>
      <c r="K617" s="711"/>
      <c r="L617" s="708"/>
      <c r="M617" s="708"/>
      <c r="N617" s="708"/>
      <c r="O617" s="708"/>
      <c r="P617" s="709"/>
      <c r="Q617" s="709"/>
      <c r="R617" s="709"/>
      <c r="S617" s="709"/>
      <c r="T617" s="709"/>
      <c r="U617" s="709"/>
      <c r="V617" s="709"/>
      <c r="W617" s="709"/>
      <c r="X617" s="709"/>
      <c r="Y617" s="709"/>
      <c r="Z617" s="709"/>
      <c r="AA617" s="709"/>
      <c r="AB617" s="709"/>
      <c r="AC617" s="709"/>
      <c r="AD617" s="709"/>
      <c r="AE617" s="709"/>
      <c r="AF617" s="709"/>
      <c r="AG617" s="709"/>
      <c r="AH617" s="709"/>
      <c r="AI617" s="709"/>
      <c r="AJ617" s="709"/>
      <c r="AK617" s="709"/>
      <c r="AL617" s="709"/>
      <c r="AM617" s="709"/>
      <c r="AN617" s="709"/>
      <c r="AO617" s="709"/>
      <c r="AP617" s="709"/>
      <c r="AQ617" s="709"/>
      <c r="AR617" s="709"/>
      <c r="AS617" s="709"/>
      <c r="AT617" s="709"/>
      <c r="AU617" s="709"/>
      <c r="AV617" s="709"/>
      <c r="AW617" s="709"/>
      <c r="AX617" s="709"/>
      <c r="AY617" s="709"/>
      <c r="AZ617" s="709"/>
      <c r="BA617" s="709"/>
      <c r="BB617" s="709"/>
    </row>
    <row r="618" spans="1:54" ht="12.6" customHeight="1" x14ac:dyDescent="0.25">
      <c r="A618" s="710" t="s">
        <v>1603</v>
      </c>
      <c r="B618" s="710"/>
      <c r="C618" s="710"/>
      <c r="D618" s="710"/>
      <c r="E618" s="710"/>
      <c r="F618" s="710"/>
      <c r="G618" s="710"/>
      <c r="H618" s="710"/>
      <c r="I618" s="710"/>
      <c r="J618" s="710"/>
      <c r="K618" s="710"/>
      <c r="L618" s="708"/>
      <c r="M618" s="708"/>
      <c r="N618" s="708"/>
      <c r="O618" s="708"/>
      <c r="P618" s="709"/>
      <c r="Q618" s="709"/>
      <c r="R618" s="709"/>
      <c r="S618" s="709"/>
      <c r="T618" s="709"/>
      <c r="U618" s="709"/>
      <c r="V618" s="709"/>
      <c r="W618" s="709"/>
      <c r="X618" s="709"/>
      <c r="Y618" s="709"/>
      <c r="Z618" s="709"/>
      <c r="AA618" s="709"/>
      <c r="AB618" s="709"/>
      <c r="AC618" s="709"/>
      <c r="AD618" s="709"/>
      <c r="AE618" s="709"/>
      <c r="AF618" s="709"/>
      <c r="AG618" s="709"/>
      <c r="AH618" s="709"/>
      <c r="AI618" s="709"/>
      <c r="AJ618" s="709"/>
      <c r="AK618" s="709"/>
      <c r="AL618" s="709"/>
      <c r="AM618" s="709"/>
      <c r="AN618" s="709"/>
      <c r="AO618" s="709"/>
      <c r="AP618" s="709"/>
      <c r="AQ618" s="709"/>
      <c r="AR618" s="709"/>
      <c r="AS618" s="709"/>
      <c r="AT618" s="709"/>
      <c r="AU618" s="709"/>
      <c r="AV618" s="709"/>
      <c r="AW618" s="709"/>
      <c r="AX618" s="709"/>
      <c r="AY618" s="709"/>
      <c r="AZ618" s="709"/>
      <c r="BA618" s="709"/>
      <c r="BB618" s="709"/>
    </row>
    <row r="619" spans="1:54" ht="12.6" customHeight="1" x14ac:dyDescent="0.25">
      <c r="A619" s="711" t="s">
        <v>1604</v>
      </c>
      <c r="B619" s="711"/>
      <c r="C619" s="711"/>
      <c r="D619" s="711"/>
      <c r="E619" s="711"/>
      <c r="F619" s="711"/>
      <c r="G619" s="711"/>
      <c r="H619" s="711"/>
      <c r="I619" s="711"/>
      <c r="J619" s="711"/>
      <c r="K619" s="711"/>
      <c r="L619" s="708"/>
      <c r="M619" s="708"/>
      <c r="N619" s="708"/>
      <c r="O619" s="708"/>
      <c r="P619" s="709"/>
      <c r="Q619" s="709"/>
      <c r="R619" s="709"/>
      <c r="S619" s="709"/>
      <c r="T619" s="709"/>
      <c r="U619" s="709"/>
      <c r="V619" s="709"/>
      <c r="W619" s="709"/>
      <c r="X619" s="709"/>
      <c r="Y619" s="709"/>
      <c r="Z619" s="709"/>
      <c r="AA619" s="709"/>
      <c r="AB619" s="709"/>
      <c r="AC619" s="709"/>
      <c r="AD619" s="709"/>
      <c r="AE619" s="709"/>
      <c r="AF619" s="709"/>
      <c r="AG619" s="709"/>
      <c r="AH619" s="709"/>
      <c r="AI619" s="709"/>
      <c r="AJ619" s="709"/>
      <c r="AK619" s="709"/>
      <c r="AL619" s="709"/>
      <c r="AM619" s="709"/>
      <c r="AN619" s="709"/>
      <c r="AO619" s="709"/>
      <c r="AP619" s="709"/>
      <c r="AQ619" s="709"/>
      <c r="AR619" s="709"/>
      <c r="AS619" s="709"/>
      <c r="AT619" s="709"/>
      <c r="AU619" s="709"/>
      <c r="AV619" s="709"/>
      <c r="AW619" s="709"/>
      <c r="AX619" s="709"/>
      <c r="AY619" s="709"/>
      <c r="AZ619" s="709"/>
      <c r="BA619" s="709"/>
      <c r="BB619" s="709"/>
    </row>
    <row r="620" spans="1:54" ht="12.6" customHeight="1" x14ac:dyDescent="0.25">
      <c r="A620" s="796" t="s">
        <v>1605</v>
      </c>
      <c r="B620" s="796"/>
      <c r="C620" s="796"/>
      <c r="D620" s="796"/>
      <c r="E620" s="796"/>
      <c r="F620" s="796"/>
      <c r="G620" s="796"/>
      <c r="H620" s="796"/>
      <c r="I620" s="796"/>
      <c r="J620" s="796"/>
      <c r="K620" s="796"/>
      <c r="L620" s="706" t="s">
        <v>30</v>
      </c>
      <c r="M620" s="706"/>
      <c r="N620" s="706"/>
      <c r="O620" s="706"/>
      <c r="P620" s="709"/>
      <c r="Q620" s="709"/>
      <c r="R620" s="709"/>
      <c r="S620" s="709"/>
      <c r="T620" s="709"/>
      <c r="U620" s="709"/>
      <c r="V620" s="709"/>
      <c r="W620" s="709"/>
      <c r="X620" s="709"/>
      <c r="Y620" s="709"/>
      <c r="Z620" s="709"/>
      <c r="AA620" s="709"/>
      <c r="AB620" s="709"/>
      <c r="AC620" s="709"/>
      <c r="AD620" s="709"/>
      <c r="AE620" s="709"/>
      <c r="AF620" s="709"/>
      <c r="AG620" s="709"/>
      <c r="AH620" s="709"/>
      <c r="AI620" s="709"/>
      <c r="AJ620" s="709"/>
      <c r="AK620" s="709"/>
      <c r="AL620" s="709"/>
      <c r="AM620" s="709"/>
      <c r="AN620" s="709"/>
      <c r="AO620" s="709"/>
      <c r="AP620" s="709"/>
      <c r="AQ620" s="709"/>
      <c r="AR620" s="709"/>
      <c r="AS620" s="709"/>
      <c r="AT620" s="709"/>
      <c r="AU620" s="709"/>
      <c r="AV620" s="709"/>
      <c r="AW620" s="709"/>
      <c r="AX620" s="709"/>
      <c r="AY620" s="709"/>
      <c r="AZ620" s="709"/>
      <c r="BA620" s="709"/>
      <c r="BB620" s="709"/>
    </row>
    <row r="621" spans="1:54" ht="12.6" customHeight="1" x14ac:dyDescent="0.25">
      <c r="A621" s="797" t="s">
        <v>1606</v>
      </c>
      <c r="B621" s="797"/>
      <c r="C621" s="797"/>
      <c r="D621" s="797"/>
      <c r="E621" s="797"/>
      <c r="F621" s="797"/>
      <c r="G621" s="797"/>
      <c r="H621" s="797"/>
      <c r="I621" s="797"/>
      <c r="J621" s="797"/>
      <c r="K621" s="797"/>
      <c r="L621" s="706"/>
      <c r="M621" s="706"/>
      <c r="N621" s="706"/>
      <c r="O621" s="706"/>
      <c r="P621" s="709"/>
      <c r="Q621" s="709"/>
      <c r="R621" s="709"/>
      <c r="S621" s="709"/>
      <c r="T621" s="709"/>
      <c r="U621" s="709"/>
      <c r="V621" s="709"/>
      <c r="W621" s="709"/>
      <c r="X621" s="709"/>
      <c r="Y621" s="709"/>
      <c r="Z621" s="709"/>
      <c r="AA621" s="709"/>
      <c r="AB621" s="709"/>
      <c r="AC621" s="709"/>
      <c r="AD621" s="709"/>
      <c r="AE621" s="709"/>
      <c r="AF621" s="709"/>
      <c r="AG621" s="709"/>
      <c r="AH621" s="709"/>
      <c r="AI621" s="709"/>
      <c r="AJ621" s="709"/>
      <c r="AK621" s="709"/>
      <c r="AL621" s="709"/>
      <c r="AM621" s="709"/>
      <c r="AN621" s="709"/>
      <c r="AO621" s="709"/>
      <c r="AP621" s="709"/>
      <c r="AQ621" s="709"/>
      <c r="AR621" s="709"/>
      <c r="AS621" s="709"/>
      <c r="AT621" s="709"/>
      <c r="AU621" s="709"/>
      <c r="AV621" s="709"/>
      <c r="AW621" s="709"/>
      <c r="AX621" s="709"/>
      <c r="AY621" s="709"/>
      <c r="AZ621" s="709"/>
      <c r="BA621" s="709"/>
      <c r="BB621" s="709"/>
    </row>
    <row r="622" spans="1:54" ht="12.6" customHeight="1" x14ac:dyDescent="0.25">
      <c r="A622" s="227" t="s">
        <v>1344</v>
      </c>
    </row>
    <row r="623" spans="1:54" ht="15" customHeight="1" x14ac:dyDescent="0.25">
      <c r="A623" s="763"/>
      <c r="B623" s="763"/>
      <c r="C623" s="763"/>
      <c r="D623" s="763"/>
      <c r="E623" s="763"/>
      <c r="F623" s="763"/>
      <c r="G623" s="763"/>
      <c r="H623" s="763"/>
      <c r="I623" s="763"/>
      <c r="J623" s="763"/>
      <c r="K623" s="763"/>
      <c r="L623" s="763"/>
      <c r="M623" s="763"/>
      <c r="N623" s="763"/>
      <c r="O623" s="763"/>
      <c r="P623" s="763"/>
      <c r="Q623" s="763"/>
      <c r="R623" s="763"/>
      <c r="S623" s="763"/>
      <c r="T623" s="763"/>
      <c r="U623" s="763"/>
      <c r="V623" s="763"/>
      <c r="W623" s="763"/>
      <c r="X623" s="763"/>
      <c r="Y623" s="763"/>
      <c r="Z623" s="763"/>
      <c r="AA623" s="763"/>
      <c r="AB623" s="763"/>
      <c r="AC623" s="763"/>
      <c r="AD623" s="763"/>
      <c r="AE623" s="763"/>
      <c r="AF623" s="763"/>
      <c r="AG623" s="763"/>
      <c r="AH623" s="763"/>
      <c r="AI623" s="763"/>
      <c r="AJ623" s="763"/>
      <c r="AK623" s="763"/>
      <c r="AL623" s="763"/>
      <c r="AM623" s="763"/>
      <c r="AN623" s="763"/>
      <c r="AO623" s="763"/>
      <c r="AP623" s="763"/>
      <c r="AQ623" s="763"/>
      <c r="AR623" s="763"/>
      <c r="AS623" s="763"/>
      <c r="AT623" s="763"/>
      <c r="AU623" s="763"/>
      <c r="AV623" s="763"/>
      <c r="AW623" s="763"/>
      <c r="AX623" s="763"/>
      <c r="AY623" s="265"/>
      <c r="AZ623" s="265"/>
      <c r="BA623" s="265"/>
      <c r="BB623" s="265"/>
    </row>
    <row r="624" spans="1:54" ht="15" customHeight="1" x14ac:dyDescent="0.25">
      <c r="A624" s="763"/>
      <c r="B624" s="763"/>
      <c r="C624" s="763"/>
      <c r="D624" s="763"/>
      <c r="E624" s="763"/>
      <c r="F624" s="763"/>
      <c r="G624" s="763"/>
      <c r="H624" s="763"/>
      <c r="I624" s="763"/>
      <c r="J624" s="763"/>
      <c r="K624" s="763"/>
      <c r="L624" s="763"/>
      <c r="M624" s="763"/>
      <c r="N624" s="763"/>
      <c r="O624" s="763"/>
      <c r="P624" s="763"/>
      <c r="Q624" s="763"/>
      <c r="R624" s="763"/>
      <c r="S624" s="763"/>
      <c r="T624" s="763"/>
      <c r="U624" s="763"/>
      <c r="V624" s="763"/>
      <c r="W624" s="763"/>
      <c r="X624" s="763"/>
      <c r="Y624" s="763"/>
      <c r="Z624" s="763"/>
      <c r="AA624" s="763"/>
      <c r="AB624" s="763"/>
      <c r="AC624" s="763"/>
      <c r="AD624" s="763"/>
      <c r="AE624" s="763"/>
      <c r="AF624" s="763"/>
      <c r="AG624" s="763"/>
      <c r="AH624" s="763"/>
      <c r="AI624" s="763"/>
      <c r="AJ624" s="763"/>
      <c r="AK624" s="763"/>
      <c r="AL624" s="763"/>
      <c r="AM624" s="763"/>
      <c r="AN624" s="763"/>
      <c r="AO624" s="763"/>
      <c r="AP624" s="763"/>
      <c r="AQ624" s="763"/>
      <c r="AR624" s="763"/>
      <c r="AS624" s="763"/>
      <c r="AT624" s="763"/>
      <c r="AU624" s="763"/>
      <c r="AV624" s="763"/>
      <c r="AW624" s="763"/>
      <c r="AX624" s="763"/>
      <c r="AY624" s="265"/>
      <c r="AZ624" s="265"/>
      <c r="BA624" s="265"/>
      <c r="BB624" s="265"/>
    </row>
    <row r="625" spans="1:54" ht="12.6" customHeight="1" x14ac:dyDescent="0.25">
      <c r="A625" s="227" t="s">
        <v>1607</v>
      </c>
    </row>
    <row r="626" spans="1:54" ht="12.6" customHeight="1" x14ac:dyDescent="0.25">
      <c r="A626" s="241"/>
      <c r="B626" s="242"/>
      <c r="C626" s="242"/>
      <c r="D626" s="242"/>
      <c r="E626" s="242"/>
      <c r="F626" s="242"/>
      <c r="G626" s="242"/>
      <c r="H626" s="242"/>
      <c r="I626" s="242"/>
      <c r="J626" s="242"/>
      <c r="K626" s="242"/>
      <c r="L626" s="242"/>
      <c r="M626" s="268"/>
      <c r="N626" s="241"/>
      <c r="O626" s="242"/>
      <c r="P626" s="242"/>
      <c r="Q626" s="242"/>
      <c r="R626" s="242"/>
      <c r="S626" s="268"/>
      <c r="T626" s="241"/>
      <c r="U626" s="242"/>
      <c r="V626" s="242"/>
      <c r="W626" s="242"/>
      <c r="X626" s="242"/>
      <c r="Y626" s="242"/>
      <c r="Z626" s="268"/>
      <c r="AA626" s="241"/>
      <c r="AB626" s="242"/>
      <c r="AC626" s="242"/>
      <c r="AD626" s="242"/>
      <c r="AE626" s="242"/>
      <c r="AF626" s="242"/>
      <c r="AG626" s="268"/>
      <c r="AH626" s="768" t="s">
        <v>1582</v>
      </c>
      <c r="AI626" s="768"/>
      <c r="AJ626" s="768"/>
      <c r="AK626" s="768"/>
      <c r="AL626" s="768"/>
      <c r="AM626" s="768"/>
      <c r="AN626" s="768"/>
      <c r="AO626" s="768"/>
      <c r="AP626" s="768"/>
      <c r="AQ626" s="241"/>
      <c r="AR626" s="242"/>
      <c r="AS626" s="242"/>
      <c r="AT626" s="242"/>
      <c r="AU626" s="242"/>
      <c r="AV626" s="242"/>
      <c r="AW626" s="242"/>
      <c r="AX626" s="242"/>
      <c r="AY626" s="242"/>
      <c r="AZ626" s="242"/>
      <c r="BA626" s="242"/>
      <c r="BB626" s="268"/>
    </row>
    <row r="627" spans="1:54" ht="12.6" customHeight="1" x14ac:dyDescent="0.25">
      <c r="A627" s="243"/>
      <c r="B627" s="244"/>
      <c r="C627" s="244"/>
      <c r="D627" s="244"/>
      <c r="E627" s="244"/>
      <c r="F627" s="244"/>
      <c r="G627" s="244"/>
      <c r="H627" s="244"/>
      <c r="I627" s="244"/>
      <c r="J627" s="244"/>
      <c r="K627" s="244"/>
      <c r="L627" s="244"/>
      <c r="M627" s="269"/>
      <c r="N627" s="745" t="s">
        <v>1522</v>
      </c>
      <c r="O627" s="745"/>
      <c r="P627" s="745"/>
      <c r="Q627" s="745"/>
      <c r="R627" s="745"/>
      <c r="S627" s="745"/>
      <c r="T627" s="243"/>
      <c r="U627" s="244"/>
      <c r="V627" s="244"/>
      <c r="W627" s="244"/>
      <c r="X627" s="244"/>
      <c r="Y627" s="244"/>
      <c r="Z627" s="269"/>
      <c r="AA627" s="243"/>
      <c r="AB627" s="244"/>
      <c r="AC627" s="244"/>
      <c r="AD627" s="244"/>
      <c r="AE627" s="244"/>
      <c r="AF627" s="244"/>
      <c r="AG627" s="269"/>
      <c r="AH627" s="745" t="s">
        <v>1608</v>
      </c>
      <c r="AI627" s="745"/>
      <c r="AJ627" s="745"/>
      <c r="AK627" s="745"/>
      <c r="AL627" s="745"/>
      <c r="AM627" s="745"/>
      <c r="AN627" s="745"/>
      <c r="AO627" s="745"/>
      <c r="AP627" s="745"/>
      <c r="AQ627" s="745" t="s">
        <v>1522</v>
      </c>
      <c r="AR627" s="745"/>
      <c r="AS627" s="745"/>
      <c r="AT627" s="745"/>
      <c r="AU627" s="745"/>
      <c r="AV627" s="745"/>
      <c r="AW627" s="745"/>
      <c r="AX627" s="745"/>
      <c r="AY627" s="745"/>
      <c r="AZ627" s="745"/>
      <c r="BA627" s="745"/>
      <c r="BB627" s="745"/>
    </row>
    <row r="628" spans="1:54" ht="12.6" customHeight="1" x14ac:dyDescent="0.25">
      <c r="A628" s="745" t="s">
        <v>1609</v>
      </c>
      <c r="B628" s="745"/>
      <c r="C628" s="745"/>
      <c r="D628" s="745"/>
      <c r="E628" s="745"/>
      <c r="F628" s="745"/>
      <c r="G628" s="745"/>
      <c r="H628" s="745"/>
      <c r="I628" s="745"/>
      <c r="J628" s="745"/>
      <c r="K628" s="745"/>
      <c r="L628" s="745"/>
      <c r="M628" s="745"/>
      <c r="N628" s="745" t="s">
        <v>1523</v>
      </c>
      <c r="O628" s="745"/>
      <c r="P628" s="745"/>
      <c r="Q628" s="745"/>
      <c r="R628" s="745"/>
      <c r="S628" s="745"/>
      <c r="T628" s="745" t="s">
        <v>1584</v>
      </c>
      <c r="U628" s="745"/>
      <c r="V628" s="745"/>
      <c r="W628" s="745"/>
      <c r="X628" s="745"/>
      <c r="Y628" s="745"/>
      <c r="Z628" s="745"/>
      <c r="AA628" s="745" t="s">
        <v>1585</v>
      </c>
      <c r="AB628" s="745"/>
      <c r="AC628" s="745"/>
      <c r="AD628" s="745"/>
      <c r="AE628" s="745"/>
      <c r="AF628" s="745"/>
      <c r="AG628" s="745"/>
      <c r="AH628" s="745" t="s">
        <v>1610</v>
      </c>
      <c r="AI628" s="745"/>
      <c r="AJ628" s="745"/>
      <c r="AK628" s="745"/>
      <c r="AL628" s="745"/>
      <c r="AM628" s="745"/>
      <c r="AN628" s="745"/>
      <c r="AO628" s="745"/>
      <c r="AP628" s="745"/>
      <c r="AQ628" s="745" t="s">
        <v>1587</v>
      </c>
      <c r="AR628" s="745"/>
      <c r="AS628" s="745"/>
      <c r="AT628" s="745"/>
      <c r="AU628" s="745"/>
      <c r="AV628" s="745"/>
      <c r="AW628" s="745"/>
      <c r="AX628" s="745"/>
      <c r="AY628" s="745"/>
      <c r="AZ628" s="745"/>
      <c r="BA628" s="745"/>
      <c r="BB628" s="745"/>
    </row>
    <row r="629" spans="1:54" ht="12.6" customHeight="1" x14ac:dyDescent="0.25">
      <c r="A629" s="243"/>
      <c r="B629" s="244"/>
      <c r="C629" s="244"/>
      <c r="D629" s="244"/>
      <c r="E629" s="244"/>
      <c r="F629" s="244"/>
      <c r="G629" s="244"/>
      <c r="H629" s="244"/>
      <c r="I629" s="244"/>
      <c r="J629" s="244"/>
      <c r="K629" s="244"/>
      <c r="L629" s="244"/>
      <c r="M629" s="269"/>
      <c r="N629" s="745" t="s">
        <v>1524</v>
      </c>
      <c r="O629" s="745"/>
      <c r="P629" s="745"/>
      <c r="Q629" s="745"/>
      <c r="R629" s="745"/>
      <c r="S629" s="745"/>
      <c r="T629" s="745" t="s">
        <v>1590</v>
      </c>
      <c r="U629" s="745"/>
      <c r="V629" s="745"/>
      <c r="W629" s="745"/>
      <c r="X629" s="745"/>
      <c r="Y629" s="745"/>
      <c r="Z629" s="745"/>
      <c r="AA629" s="745" t="s">
        <v>1590</v>
      </c>
      <c r="AB629" s="745"/>
      <c r="AC629" s="745"/>
      <c r="AD629" s="745"/>
      <c r="AE629" s="745"/>
      <c r="AF629" s="745"/>
      <c r="AG629" s="745"/>
      <c r="AH629" s="745" t="s">
        <v>1611</v>
      </c>
      <c r="AI629" s="745"/>
      <c r="AJ629" s="745"/>
      <c r="AK629" s="745"/>
      <c r="AL629" s="745"/>
      <c r="AM629" s="745"/>
      <c r="AN629" s="745"/>
      <c r="AO629" s="745"/>
      <c r="AP629" s="745"/>
      <c r="AQ629" s="745" t="s">
        <v>1524</v>
      </c>
      <c r="AR629" s="745"/>
      <c r="AS629" s="745"/>
      <c r="AT629" s="745"/>
      <c r="AU629" s="745"/>
      <c r="AV629" s="745"/>
      <c r="AW629" s="745"/>
      <c r="AX629" s="745"/>
      <c r="AY629" s="745"/>
      <c r="AZ629" s="745"/>
      <c r="BA629" s="745"/>
      <c r="BB629" s="745"/>
    </row>
    <row r="630" spans="1:54" ht="12.6" customHeight="1" x14ac:dyDescent="0.25">
      <c r="A630" s="243"/>
      <c r="B630" s="244"/>
      <c r="C630" s="244"/>
      <c r="D630" s="244"/>
      <c r="E630" s="244"/>
      <c r="F630" s="244"/>
      <c r="G630" s="244"/>
      <c r="H630" s="244"/>
      <c r="I630" s="244"/>
      <c r="J630" s="244"/>
      <c r="K630" s="244"/>
      <c r="L630" s="244"/>
      <c r="M630" s="269"/>
      <c r="N630" s="745" t="s">
        <v>1525</v>
      </c>
      <c r="O630" s="745"/>
      <c r="P630" s="745"/>
      <c r="Q630" s="745"/>
      <c r="R630" s="745"/>
      <c r="S630" s="745"/>
      <c r="T630" s="243"/>
      <c r="U630" s="244"/>
      <c r="V630" s="244"/>
      <c r="W630" s="244"/>
      <c r="X630" s="244"/>
      <c r="Y630" s="244"/>
      <c r="Z630" s="269"/>
      <c r="AA630" s="243"/>
      <c r="AB630" s="244"/>
      <c r="AC630" s="244"/>
      <c r="AD630" s="244"/>
      <c r="AE630" s="244"/>
      <c r="AF630" s="244"/>
      <c r="AG630" s="269"/>
      <c r="AH630" s="745" t="s">
        <v>1595</v>
      </c>
      <c r="AI630" s="745"/>
      <c r="AJ630" s="745"/>
      <c r="AK630" s="745"/>
      <c r="AL630" s="745"/>
      <c r="AM630" s="745"/>
      <c r="AN630" s="745"/>
      <c r="AO630" s="745"/>
      <c r="AP630" s="745"/>
      <c r="AQ630" s="745" t="s">
        <v>1525</v>
      </c>
      <c r="AR630" s="745"/>
      <c r="AS630" s="745"/>
      <c r="AT630" s="745"/>
      <c r="AU630" s="745"/>
      <c r="AV630" s="745"/>
      <c r="AW630" s="745"/>
      <c r="AX630" s="745"/>
      <c r="AY630" s="745"/>
      <c r="AZ630" s="745"/>
      <c r="BA630" s="745"/>
      <c r="BB630" s="745"/>
    </row>
    <row r="631" spans="1:54" ht="12.6" customHeight="1" x14ac:dyDescent="0.25">
      <c r="A631" s="750" t="s">
        <v>1323</v>
      </c>
      <c r="B631" s="750"/>
      <c r="C631" s="750"/>
      <c r="D631" s="750"/>
      <c r="E631" s="750"/>
      <c r="F631" s="750"/>
      <c r="G631" s="750"/>
      <c r="H631" s="750"/>
      <c r="I631" s="750"/>
      <c r="J631" s="750"/>
      <c r="K631" s="750"/>
      <c r="L631" s="750"/>
      <c r="M631" s="750"/>
      <c r="N631" s="750" t="s">
        <v>1324</v>
      </c>
      <c r="O631" s="750"/>
      <c r="P631" s="750"/>
      <c r="Q631" s="750"/>
      <c r="R631" s="750"/>
      <c r="S631" s="750"/>
      <c r="T631" s="750" t="s">
        <v>1325</v>
      </c>
      <c r="U631" s="750"/>
      <c r="V631" s="750"/>
      <c r="W631" s="750"/>
      <c r="X631" s="750"/>
      <c r="Y631" s="750"/>
      <c r="Z631" s="750"/>
      <c r="AA631" s="750" t="s">
        <v>1326</v>
      </c>
      <c r="AB631" s="750"/>
      <c r="AC631" s="750"/>
      <c r="AD631" s="750"/>
      <c r="AE631" s="750"/>
      <c r="AF631" s="750"/>
      <c r="AG631" s="750"/>
      <c r="AH631" s="750" t="s">
        <v>1327</v>
      </c>
      <c r="AI631" s="750"/>
      <c r="AJ631" s="750"/>
      <c r="AK631" s="750"/>
      <c r="AL631" s="750"/>
      <c r="AM631" s="750"/>
      <c r="AN631" s="750"/>
      <c r="AO631" s="750"/>
      <c r="AP631" s="750"/>
      <c r="AQ631" s="750" t="s">
        <v>1333</v>
      </c>
      <c r="AR631" s="750"/>
      <c r="AS631" s="750"/>
      <c r="AT631" s="750"/>
      <c r="AU631" s="750"/>
      <c r="AV631" s="750"/>
      <c r="AW631" s="750"/>
      <c r="AX631" s="750"/>
      <c r="AY631" s="750"/>
      <c r="AZ631" s="750"/>
      <c r="BA631" s="750"/>
      <c r="BB631" s="750"/>
    </row>
    <row r="632" spans="1:54" ht="12.6" customHeight="1" x14ac:dyDescent="0.25">
      <c r="A632" s="798"/>
      <c r="B632" s="798"/>
      <c r="C632" s="798"/>
      <c r="D632" s="798"/>
      <c r="E632" s="798"/>
      <c r="F632" s="798"/>
      <c r="G632" s="798"/>
      <c r="H632" s="798"/>
      <c r="I632" s="798"/>
      <c r="J632" s="798"/>
      <c r="K632" s="798"/>
      <c r="L632" s="798"/>
      <c r="M632" s="798"/>
      <c r="N632" s="799">
        <f>SUM(N650)</f>
        <v>0</v>
      </c>
      <c r="O632" s="799"/>
      <c r="P632" s="799"/>
      <c r="Q632" s="799"/>
      <c r="R632" s="799"/>
      <c r="S632" s="799"/>
      <c r="T632" s="799"/>
      <c r="U632" s="799"/>
      <c r="V632" s="799"/>
      <c r="W632" s="799"/>
      <c r="X632" s="799"/>
      <c r="Y632" s="799"/>
      <c r="Z632" s="799"/>
      <c r="AA632" s="799"/>
      <c r="AB632" s="799"/>
      <c r="AC632" s="799"/>
      <c r="AD632" s="799"/>
      <c r="AE632" s="799"/>
      <c r="AF632" s="799"/>
      <c r="AG632" s="799"/>
      <c r="AH632" s="799"/>
      <c r="AI632" s="799"/>
      <c r="AJ632" s="799"/>
      <c r="AK632" s="799"/>
      <c r="AL632" s="799"/>
      <c r="AM632" s="799"/>
      <c r="AN632" s="799"/>
      <c r="AO632" s="799"/>
      <c r="AP632" s="799"/>
      <c r="AQ632" s="799">
        <f>SUM(AQ650)</f>
        <v>0</v>
      </c>
      <c r="AR632" s="799"/>
      <c r="AS632" s="799"/>
      <c r="AT632" s="799"/>
      <c r="AU632" s="799"/>
      <c r="AV632" s="799"/>
      <c r="AW632" s="799"/>
      <c r="AX632" s="799"/>
      <c r="AY632" s="799"/>
      <c r="AZ632" s="799"/>
      <c r="BA632" s="799"/>
      <c r="BB632" s="799"/>
    </row>
    <row r="633" spans="1:54" ht="12.6" customHeight="1" x14ac:dyDescent="0.25">
      <c r="A633" s="798" t="s">
        <v>1612</v>
      </c>
      <c r="B633" s="798"/>
      <c r="C633" s="798"/>
      <c r="D633" s="798"/>
      <c r="E633" s="798"/>
      <c r="F633" s="798"/>
      <c r="G633" s="798"/>
      <c r="H633" s="798"/>
      <c r="I633" s="798"/>
      <c r="J633" s="798"/>
      <c r="K633" s="798"/>
      <c r="L633" s="798"/>
      <c r="M633" s="798"/>
      <c r="N633" s="800"/>
      <c r="O633" s="800"/>
      <c r="P633" s="800"/>
      <c r="Q633" s="800"/>
      <c r="R633" s="800"/>
      <c r="S633" s="800"/>
      <c r="T633" s="800"/>
      <c r="U633" s="800"/>
      <c r="V633" s="800"/>
      <c r="W633" s="800"/>
      <c r="X633" s="800"/>
      <c r="Y633" s="800"/>
      <c r="Z633" s="800"/>
      <c r="AA633" s="800"/>
      <c r="AB633" s="800"/>
      <c r="AC633" s="800"/>
      <c r="AD633" s="800"/>
      <c r="AE633" s="800"/>
      <c r="AF633" s="800"/>
      <c r="AG633" s="800"/>
      <c r="AH633" s="800"/>
      <c r="AI633" s="800"/>
      <c r="AJ633" s="800"/>
      <c r="AK633" s="800"/>
      <c r="AL633" s="800"/>
      <c r="AM633" s="800"/>
      <c r="AN633" s="800"/>
      <c r="AO633" s="800"/>
      <c r="AP633" s="800"/>
      <c r="AQ633" s="800"/>
      <c r="AR633" s="800"/>
      <c r="AS633" s="800"/>
      <c r="AT633" s="800"/>
      <c r="AU633" s="800"/>
      <c r="AV633" s="800"/>
      <c r="AW633" s="800"/>
      <c r="AX633" s="800"/>
      <c r="AY633" s="800"/>
      <c r="AZ633" s="800"/>
      <c r="BA633" s="800"/>
      <c r="BB633" s="800"/>
    </row>
    <row r="634" spans="1:54" ht="12.6" customHeight="1" x14ac:dyDescent="0.25">
      <c r="A634" s="767" t="s">
        <v>1613</v>
      </c>
      <c r="B634" s="767"/>
      <c r="C634" s="767"/>
      <c r="D634" s="767"/>
      <c r="E634" s="767"/>
      <c r="F634" s="767"/>
      <c r="G634" s="767"/>
      <c r="H634" s="767"/>
      <c r="I634" s="767"/>
      <c r="J634" s="767"/>
      <c r="K634" s="767"/>
      <c r="L634" s="767"/>
      <c r="M634" s="767"/>
      <c r="N634" s="801"/>
      <c r="O634" s="801"/>
      <c r="P634" s="801"/>
      <c r="Q634" s="801"/>
      <c r="R634" s="801"/>
      <c r="S634" s="801"/>
      <c r="T634" s="801"/>
      <c r="U634" s="801"/>
      <c r="V634" s="801"/>
      <c r="W634" s="801"/>
      <c r="X634" s="801"/>
      <c r="Y634" s="801"/>
      <c r="Z634" s="801"/>
      <c r="AA634" s="801"/>
      <c r="AB634" s="801"/>
      <c r="AC634" s="801"/>
      <c r="AD634" s="801"/>
      <c r="AE634" s="801"/>
      <c r="AF634" s="801"/>
      <c r="AG634" s="801"/>
      <c r="AH634" s="801"/>
      <c r="AI634" s="801"/>
      <c r="AJ634" s="801"/>
      <c r="AK634" s="801"/>
      <c r="AL634" s="801"/>
      <c r="AM634" s="801"/>
      <c r="AN634" s="801"/>
      <c r="AO634" s="801"/>
      <c r="AP634" s="801"/>
      <c r="AQ634" s="801"/>
      <c r="AR634" s="801"/>
      <c r="AS634" s="801"/>
      <c r="AT634" s="801"/>
      <c r="AU634" s="801"/>
      <c r="AV634" s="801"/>
      <c r="AW634" s="801"/>
      <c r="AX634" s="801"/>
      <c r="AY634" s="801"/>
      <c r="AZ634" s="801"/>
      <c r="BA634" s="801"/>
      <c r="BB634" s="801"/>
    </row>
    <row r="635" spans="1:54" ht="14.25" customHeight="1" x14ac:dyDescent="0.25">
      <c r="A635" s="767"/>
      <c r="B635" s="767"/>
      <c r="C635" s="767"/>
      <c r="D635" s="767"/>
      <c r="E635" s="767"/>
      <c r="F635" s="767"/>
      <c r="G635" s="767"/>
      <c r="H635" s="767"/>
      <c r="I635" s="767"/>
      <c r="J635" s="767"/>
      <c r="K635" s="767"/>
      <c r="L635" s="767"/>
      <c r="M635" s="767"/>
      <c r="N635" s="801"/>
      <c r="O635" s="801"/>
      <c r="P635" s="801"/>
      <c r="Q635" s="801"/>
      <c r="R635" s="801"/>
      <c r="S635" s="801"/>
      <c r="T635" s="801"/>
      <c r="U635" s="801"/>
      <c r="V635" s="801"/>
      <c r="W635" s="801"/>
      <c r="X635" s="801"/>
      <c r="Y635" s="801"/>
      <c r="Z635" s="801"/>
      <c r="AA635" s="801"/>
      <c r="AB635" s="801"/>
      <c r="AC635" s="801"/>
      <c r="AD635" s="801"/>
      <c r="AE635" s="801"/>
      <c r="AF635" s="801"/>
      <c r="AG635" s="801"/>
      <c r="AH635" s="801"/>
      <c r="AI635" s="801"/>
      <c r="AJ635" s="801"/>
      <c r="AK635" s="801"/>
      <c r="AL635" s="801"/>
      <c r="AM635" s="801"/>
      <c r="AN635" s="801"/>
      <c r="AO635" s="801"/>
      <c r="AP635" s="801"/>
      <c r="AQ635" s="801"/>
      <c r="AR635" s="801"/>
      <c r="AS635" s="801"/>
      <c r="AT635" s="801"/>
      <c r="AU635" s="801"/>
      <c r="AV635" s="801"/>
      <c r="AW635" s="801"/>
      <c r="AX635" s="801"/>
      <c r="AY635" s="801"/>
      <c r="AZ635" s="801"/>
      <c r="BA635" s="801"/>
      <c r="BB635" s="801"/>
    </row>
    <row r="636" spans="1:54" ht="32.25" customHeight="1" x14ac:dyDescent="0.25">
      <c r="A636" s="802" t="s">
        <v>1614</v>
      </c>
      <c r="B636" s="802"/>
      <c r="C636" s="802"/>
      <c r="D636" s="802"/>
      <c r="E636" s="802"/>
      <c r="F636" s="802"/>
      <c r="G636" s="802"/>
      <c r="H636" s="802"/>
      <c r="I636" s="802"/>
      <c r="J636" s="802"/>
      <c r="K636" s="802"/>
      <c r="L636" s="802"/>
      <c r="M636" s="802"/>
      <c r="N636" s="801"/>
      <c r="O636" s="801"/>
      <c r="P636" s="801"/>
      <c r="Q636" s="801"/>
      <c r="R636" s="801"/>
      <c r="S636" s="801"/>
      <c r="T636" s="801"/>
      <c r="U636" s="801"/>
      <c r="V636" s="801"/>
      <c r="W636" s="801"/>
      <c r="X636" s="801"/>
      <c r="Y636" s="801"/>
      <c r="Z636" s="801"/>
      <c r="AA636" s="801"/>
      <c r="AB636" s="801"/>
      <c r="AC636" s="801"/>
      <c r="AD636" s="801"/>
      <c r="AE636" s="801"/>
      <c r="AF636" s="801"/>
      <c r="AG636" s="801"/>
      <c r="AH636" s="801"/>
      <c r="AI636" s="801"/>
      <c r="AJ636" s="801"/>
      <c r="AK636" s="801"/>
      <c r="AL636" s="801"/>
      <c r="AM636" s="801"/>
      <c r="AN636" s="801"/>
      <c r="AO636" s="801"/>
      <c r="AP636" s="801"/>
      <c r="AQ636" s="801"/>
      <c r="AR636" s="801"/>
      <c r="AS636" s="801"/>
      <c r="AT636" s="801"/>
      <c r="AU636" s="801"/>
      <c r="AV636" s="801"/>
      <c r="AW636" s="801"/>
      <c r="AX636" s="801"/>
      <c r="AY636" s="801"/>
      <c r="AZ636" s="801"/>
      <c r="BA636" s="801"/>
      <c r="BB636" s="801"/>
    </row>
    <row r="637" spans="1:54" ht="25.5" customHeight="1" x14ac:dyDescent="0.25">
      <c r="A637" s="803" t="s">
        <v>1615</v>
      </c>
      <c r="B637" s="803"/>
      <c r="C637" s="803"/>
      <c r="D637" s="803"/>
      <c r="E637" s="803"/>
      <c r="F637" s="803"/>
      <c r="G637" s="803"/>
      <c r="H637" s="803"/>
      <c r="I637" s="803"/>
      <c r="J637" s="803"/>
      <c r="K637" s="803"/>
      <c r="L637" s="803"/>
      <c r="M637" s="803"/>
      <c r="N637" s="804">
        <f>SUM(N651)</f>
        <v>0</v>
      </c>
      <c r="O637" s="804"/>
      <c r="P637" s="804"/>
      <c r="Q637" s="804"/>
      <c r="R637" s="804"/>
      <c r="S637" s="804"/>
      <c r="T637" s="804"/>
      <c r="U637" s="804"/>
      <c r="V637" s="804"/>
      <c r="W637" s="804"/>
      <c r="X637" s="804"/>
      <c r="Y637" s="804"/>
      <c r="Z637" s="804"/>
      <c r="AA637" s="804"/>
      <c r="AB637" s="804"/>
      <c r="AC637" s="804"/>
      <c r="AD637" s="804"/>
      <c r="AE637" s="804"/>
      <c r="AF637" s="804"/>
      <c r="AG637" s="804"/>
      <c r="AH637" s="804"/>
      <c r="AI637" s="804"/>
      <c r="AJ637" s="804"/>
      <c r="AK637" s="804"/>
      <c r="AL637" s="804"/>
      <c r="AM637" s="804"/>
      <c r="AN637" s="804"/>
      <c r="AO637" s="804"/>
      <c r="AP637" s="804"/>
      <c r="AQ637" s="804">
        <f>SUM(AQ651)</f>
        <v>0</v>
      </c>
      <c r="AR637" s="804"/>
      <c r="AS637" s="804"/>
      <c r="AT637" s="804"/>
      <c r="AU637" s="804"/>
      <c r="AV637" s="804"/>
      <c r="AW637" s="804"/>
      <c r="AX637" s="804"/>
      <c r="AY637" s="804"/>
      <c r="AZ637" s="804"/>
      <c r="BA637" s="804"/>
      <c r="BB637" s="804"/>
    </row>
    <row r="638" spans="1:54" ht="12.6" customHeight="1" x14ac:dyDescent="0.25">
      <c r="A638" s="805" t="s">
        <v>1616</v>
      </c>
      <c r="B638" s="805"/>
      <c r="C638" s="805"/>
      <c r="D638" s="805"/>
      <c r="E638" s="805"/>
      <c r="F638" s="805"/>
      <c r="G638" s="805"/>
      <c r="H638" s="805"/>
      <c r="I638" s="805"/>
      <c r="J638" s="805"/>
      <c r="K638" s="805"/>
      <c r="L638" s="805"/>
      <c r="M638" s="805"/>
      <c r="N638" s="794">
        <f>SUM(N632:S637)</f>
        <v>0</v>
      </c>
      <c r="O638" s="794"/>
      <c r="P638" s="794"/>
      <c r="Q638" s="794"/>
      <c r="R638" s="794"/>
      <c r="S638" s="794"/>
      <c r="T638" s="794">
        <v>0</v>
      </c>
      <c r="U638" s="794"/>
      <c r="V638" s="794"/>
      <c r="W638" s="794"/>
      <c r="X638" s="794"/>
      <c r="Y638" s="794"/>
      <c r="Z638" s="794"/>
      <c r="AA638" s="794">
        <v>0</v>
      </c>
      <c r="AB638" s="794"/>
      <c r="AC638" s="794"/>
      <c r="AD638" s="794"/>
      <c r="AE638" s="794"/>
      <c r="AF638" s="794"/>
      <c r="AG638" s="794"/>
      <c r="AH638" s="794">
        <v>0</v>
      </c>
      <c r="AI638" s="794"/>
      <c r="AJ638" s="794"/>
      <c r="AK638" s="794"/>
      <c r="AL638" s="794"/>
      <c r="AM638" s="794"/>
      <c r="AN638" s="794"/>
      <c r="AO638" s="794"/>
      <c r="AP638" s="794"/>
      <c r="AQ638" s="794">
        <v>0</v>
      </c>
      <c r="AR638" s="794"/>
      <c r="AS638" s="794"/>
      <c r="AT638" s="794"/>
      <c r="AU638" s="794"/>
      <c r="AV638" s="794"/>
      <c r="AW638" s="794"/>
      <c r="AX638" s="794"/>
      <c r="AY638" s="794"/>
      <c r="AZ638" s="794"/>
      <c r="BA638" s="794"/>
      <c r="BB638" s="794"/>
    </row>
    <row r="639" spans="1:54" s="208" customFormat="1" ht="12" customHeight="1" x14ac:dyDescent="0.25"/>
    <row r="640" spans="1:54" ht="12.6" customHeight="1" x14ac:dyDescent="0.25">
      <c r="A640" s="241"/>
      <c r="B640" s="242"/>
      <c r="C640" s="242"/>
      <c r="D640" s="242"/>
      <c r="E640" s="242"/>
      <c r="F640" s="242"/>
      <c r="G640" s="242"/>
      <c r="H640" s="242"/>
      <c r="I640" s="242"/>
      <c r="J640" s="242"/>
      <c r="K640" s="242"/>
      <c r="L640" s="242"/>
      <c r="M640" s="268"/>
      <c r="N640" s="241"/>
      <c r="O640" s="242"/>
      <c r="P640" s="242"/>
      <c r="Q640" s="242"/>
      <c r="R640" s="242"/>
      <c r="S640" s="268"/>
      <c r="T640" s="241"/>
      <c r="U640" s="242"/>
      <c r="V640" s="242"/>
      <c r="W640" s="242"/>
      <c r="X640" s="242"/>
      <c r="Y640" s="242"/>
      <c r="Z640" s="268"/>
      <c r="AA640" s="241"/>
      <c r="AB640" s="242"/>
      <c r="AC640" s="242"/>
      <c r="AD640" s="242"/>
      <c r="AE640" s="242"/>
      <c r="AF640" s="242"/>
      <c r="AG640" s="268"/>
      <c r="AH640" s="768" t="s">
        <v>1582</v>
      </c>
      <c r="AI640" s="768"/>
      <c r="AJ640" s="768"/>
      <c r="AK640" s="768"/>
      <c r="AL640" s="768"/>
      <c r="AM640" s="768"/>
      <c r="AN640" s="768"/>
      <c r="AO640" s="768"/>
      <c r="AP640" s="768"/>
      <c r="AQ640" s="241"/>
      <c r="AR640" s="242"/>
      <c r="AS640" s="242"/>
      <c r="AT640" s="242"/>
      <c r="AU640" s="242"/>
      <c r="AV640" s="242"/>
      <c r="AW640" s="242"/>
      <c r="AX640" s="242"/>
      <c r="AY640" s="242"/>
      <c r="AZ640" s="242"/>
      <c r="BA640" s="242"/>
      <c r="BB640" s="268"/>
    </row>
    <row r="641" spans="1:54" ht="12.6" customHeight="1" x14ac:dyDescent="0.25">
      <c r="A641" s="243"/>
      <c r="B641" s="244"/>
      <c r="C641" s="244"/>
      <c r="D641" s="244"/>
      <c r="E641" s="244"/>
      <c r="F641" s="244"/>
      <c r="G641" s="244"/>
      <c r="H641" s="244"/>
      <c r="I641" s="244"/>
      <c r="J641" s="244"/>
      <c r="K641" s="244"/>
      <c r="L641" s="244"/>
      <c r="M641" s="269"/>
      <c r="N641" s="745" t="s">
        <v>1522</v>
      </c>
      <c r="O641" s="745"/>
      <c r="P641" s="745"/>
      <c r="Q641" s="745"/>
      <c r="R641" s="745"/>
      <c r="S641" s="745"/>
      <c r="T641" s="243"/>
      <c r="U641" s="244"/>
      <c r="V641" s="244"/>
      <c r="W641" s="244"/>
      <c r="X641" s="244"/>
      <c r="Y641" s="244"/>
      <c r="Z641" s="269"/>
      <c r="AA641" s="243"/>
      <c r="AB641" s="244"/>
      <c r="AC641" s="244"/>
      <c r="AD641" s="244"/>
      <c r="AE641" s="244"/>
      <c r="AF641" s="244"/>
      <c r="AG641" s="269"/>
      <c r="AH641" s="745" t="s">
        <v>1608</v>
      </c>
      <c r="AI641" s="745"/>
      <c r="AJ641" s="745"/>
      <c r="AK641" s="745"/>
      <c r="AL641" s="745"/>
      <c r="AM641" s="745"/>
      <c r="AN641" s="745"/>
      <c r="AO641" s="745"/>
      <c r="AP641" s="745"/>
      <c r="AQ641" s="745" t="s">
        <v>1522</v>
      </c>
      <c r="AR641" s="745"/>
      <c r="AS641" s="745"/>
      <c r="AT641" s="745"/>
      <c r="AU641" s="745"/>
      <c r="AV641" s="745"/>
      <c r="AW641" s="745"/>
      <c r="AX641" s="745"/>
      <c r="AY641" s="745"/>
      <c r="AZ641" s="745"/>
      <c r="BA641" s="745"/>
      <c r="BB641" s="745"/>
    </row>
    <row r="642" spans="1:54" ht="12.6" customHeight="1" x14ac:dyDescent="0.25">
      <c r="A642" s="745" t="s">
        <v>1609</v>
      </c>
      <c r="B642" s="745"/>
      <c r="C642" s="745"/>
      <c r="D642" s="745"/>
      <c r="E642" s="745"/>
      <c r="F642" s="745"/>
      <c r="G642" s="745"/>
      <c r="H642" s="745"/>
      <c r="I642" s="745"/>
      <c r="J642" s="745"/>
      <c r="K642" s="745"/>
      <c r="L642" s="745"/>
      <c r="M642" s="745"/>
      <c r="N642" s="745" t="s">
        <v>1523</v>
      </c>
      <c r="O642" s="745"/>
      <c r="P642" s="745"/>
      <c r="Q642" s="745"/>
      <c r="R642" s="745"/>
      <c r="S642" s="745"/>
      <c r="T642" s="745" t="s">
        <v>1584</v>
      </c>
      <c r="U642" s="745"/>
      <c r="V642" s="745"/>
      <c r="W642" s="745"/>
      <c r="X642" s="745"/>
      <c r="Y642" s="745"/>
      <c r="Z642" s="745"/>
      <c r="AA642" s="745" t="s">
        <v>1585</v>
      </c>
      <c r="AB642" s="745"/>
      <c r="AC642" s="745"/>
      <c r="AD642" s="745"/>
      <c r="AE642" s="745"/>
      <c r="AF642" s="745"/>
      <c r="AG642" s="745"/>
      <c r="AH642" s="745" t="s">
        <v>1610</v>
      </c>
      <c r="AI642" s="745"/>
      <c r="AJ642" s="745"/>
      <c r="AK642" s="745"/>
      <c r="AL642" s="745"/>
      <c r="AM642" s="745"/>
      <c r="AN642" s="745"/>
      <c r="AO642" s="745"/>
      <c r="AP642" s="745"/>
      <c r="AQ642" s="745" t="s">
        <v>1587</v>
      </c>
      <c r="AR642" s="745"/>
      <c r="AS642" s="745"/>
      <c r="AT642" s="745"/>
      <c r="AU642" s="745"/>
      <c r="AV642" s="745"/>
      <c r="AW642" s="745"/>
      <c r="AX642" s="745"/>
      <c r="AY642" s="745"/>
      <c r="AZ642" s="745"/>
      <c r="BA642" s="745"/>
      <c r="BB642" s="745"/>
    </row>
    <row r="643" spans="1:54" ht="12.6" customHeight="1" x14ac:dyDescent="0.25">
      <c r="A643" s="243"/>
      <c r="B643" s="244"/>
      <c r="C643" s="244"/>
      <c r="D643" s="244"/>
      <c r="E643" s="244"/>
      <c r="F643" s="244"/>
      <c r="G643" s="244"/>
      <c r="H643" s="244"/>
      <c r="I643" s="244"/>
      <c r="J643" s="244"/>
      <c r="K643" s="244"/>
      <c r="L643" s="244"/>
      <c r="M643" s="269"/>
      <c r="N643" s="745" t="s">
        <v>1524</v>
      </c>
      <c r="O643" s="745"/>
      <c r="P643" s="745"/>
      <c r="Q643" s="745"/>
      <c r="R643" s="745"/>
      <c r="S643" s="745"/>
      <c r="T643" s="745" t="s">
        <v>1590</v>
      </c>
      <c r="U643" s="745"/>
      <c r="V643" s="745"/>
      <c r="W643" s="745"/>
      <c r="X643" s="745"/>
      <c r="Y643" s="745"/>
      <c r="Z643" s="745"/>
      <c r="AA643" s="745" t="s">
        <v>1590</v>
      </c>
      <c r="AB643" s="745"/>
      <c r="AC643" s="745"/>
      <c r="AD643" s="745"/>
      <c r="AE643" s="745"/>
      <c r="AF643" s="745"/>
      <c r="AG643" s="745"/>
      <c r="AH643" s="745" t="s">
        <v>1611</v>
      </c>
      <c r="AI643" s="745"/>
      <c r="AJ643" s="745"/>
      <c r="AK643" s="745"/>
      <c r="AL643" s="745"/>
      <c r="AM643" s="745"/>
      <c r="AN643" s="745"/>
      <c r="AO643" s="745"/>
      <c r="AP643" s="745"/>
      <c r="AQ643" s="745" t="s">
        <v>1524</v>
      </c>
      <c r="AR643" s="745"/>
      <c r="AS643" s="745"/>
      <c r="AT643" s="745"/>
      <c r="AU643" s="745"/>
      <c r="AV643" s="745"/>
      <c r="AW643" s="745"/>
      <c r="AX643" s="745"/>
      <c r="AY643" s="745"/>
      <c r="AZ643" s="745"/>
      <c r="BA643" s="745"/>
      <c r="BB643" s="745"/>
    </row>
    <row r="644" spans="1:54" ht="12.6" customHeight="1" x14ac:dyDescent="0.25">
      <c r="A644" s="243"/>
      <c r="B644" s="244"/>
      <c r="C644" s="244"/>
      <c r="D644" s="244"/>
      <c r="E644" s="244"/>
      <c r="F644" s="244"/>
      <c r="G644" s="244"/>
      <c r="H644" s="244"/>
      <c r="I644" s="244"/>
      <c r="J644" s="244"/>
      <c r="K644" s="244"/>
      <c r="L644" s="244"/>
      <c r="M644" s="269"/>
      <c r="N644" s="745" t="s">
        <v>1525</v>
      </c>
      <c r="O644" s="745"/>
      <c r="P644" s="745"/>
      <c r="Q644" s="745"/>
      <c r="R644" s="745"/>
      <c r="S644" s="745"/>
      <c r="T644" s="243"/>
      <c r="U644" s="244"/>
      <c r="V644" s="244"/>
      <c r="W644" s="244"/>
      <c r="X644" s="244"/>
      <c r="Y644" s="244"/>
      <c r="Z644" s="269"/>
      <c r="AA644" s="243"/>
      <c r="AB644" s="244"/>
      <c r="AC644" s="244"/>
      <c r="AD644" s="244"/>
      <c r="AE644" s="244"/>
      <c r="AF644" s="244"/>
      <c r="AG644" s="269"/>
      <c r="AH644" s="745" t="s">
        <v>1595</v>
      </c>
      <c r="AI644" s="745"/>
      <c r="AJ644" s="745"/>
      <c r="AK644" s="745"/>
      <c r="AL644" s="745"/>
      <c r="AM644" s="745"/>
      <c r="AN644" s="745"/>
      <c r="AO644" s="745"/>
      <c r="AP644" s="745"/>
      <c r="AQ644" s="745" t="s">
        <v>1525</v>
      </c>
      <c r="AR644" s="745"/>
      <c r="AS644" s="745"/>
      <c r="AT644" s="745"/>
      <c r="AU644" s="745"/>
      <c r="AV644" s="745"/>
      <c r="AW644" s="745"/>
      <c r="AX644" s="745"/>
      <c r="AY644" s="745"/>
      <c r="AZ644" s="745"/>
      <c r="BA644" s="745"/>
      <c r="BB644" s="745"/>
    </row>
    <row r="645" spans="1:54" ht="12.6" customHeight="1" x14ac:dyDescent="0.25">
      <c r="A645" s="750" t="s">
        <v>1323</v>
      </c>
      <c r="B645" s="750"/>
      <c r="C645" s="750"/>
      <c r="D645" s="750"/>
      <c r="E645" s="750"/>
      <c r="F645" s="750"/>
      <c r="G645" s="750"/>
      <c r="H645" s="750"/>
      <c r="I645" s="750"/>
      <c r="J645" s="750"/>
      <c r="K645" s="750"/>
      <c r="L645" s="750"/>
      <c r="M645" s="750"/>
      <c r="N645" s="750" t="s">
        <v>1324</v>
      </c>
      <c r="O645" s="750"/>
      <c r="P645" s="750"/>
      <c r="Q645" s="750"/>
      <c r="R645" s="750"/>
      <c r="S645" s="750"/>
      <c r="T645" s="750" t="s">
        <v>1325</v>
      </c>
      <c r="U645" s="750"/>
      <c r="V645" s="750"/>
      <c r="W645" s="750"/>
      <c r="X645" s="750"/>
      <c r="Y645" s="750"/>
      <c r="Z645" s="750"/>
      <c r="AA645" s="750" t="s">
        <v>1326</v>
      </c>
      <c r="AB645" s="750"/>
      <c r="AC645" s="750"/>
      <c r="AD645" s="750"/>
      <c r="AE645" s="750"/>
      <c r="AF645" s="750"/>
      <c r="AG645" s="750"/>
      <c r="AH645" s="750" t="s">
        <v>1327</v>
      </c>
      <c r="AI645" s="750"/>
      <c r="AJ645" s="750"/>
      <c r="AK645" s="750"/>
      <c r="AL645" s="750"/>
      <c r="AM645" s="750"/>
      <c r="AN645" s="750"/>
      <c r="AO645" s="750"/>
      <c r="AP645" s="750"/>
      <c r="AQ645" s="750" t="s">
        <v>1333</v>
      </c>
      <c r="AR645" s="750"/>
      <c r="AS645" s="750"/>
      <c r="AT645" s="750"/>
      <c r="AU645" s="750"/>
      <c r="AV645" s="750"/>
      <c r="AW645" s="750"/>
      <c r="AX645" s="750"/>
      <c r="AY645" s="750"/>
      <c r="AZ645" s="750"/>
      <c r="BA645" s="750"/>
      <c r="BB645" s="750"/>
    </row>
    <row r="646" spans="1:54" ht="12.6" customHeight="1" x14ac:dyDescent="0.25">
      <c r="A646" s="798" t="s">
        <v>1617</v>
      </c>
      <c r="B646" s="798"/>
      <c r="C646" s="798"/>
      <c r="D646" s="798"/>
      <c r="E646" s="798"/>
      <c r="F646" s="798"/>
      <c r="G646" s="798"/>
      <c r="H646" s="798"/>
      <c r="I646" s="798"/>
      <c r="J646" s="798"/>
      <c r="K646" s="798"/>
      <c r="L646" s="798"/>
      <c r="M646" s="798"/>
      <c r="N646" s="799">
        <f>SUVAHAVUJ!$X$27</f>
        <v>0</v>
      </c>
      <c r="O646" s="799"/>
      <c r="P646" s="799"/>
      <c r="Q646" s="799"/>
      <c r="R646" s="799"/>
      <c r="S646" s="799"/>
      <c r="T646" s="800"/>
      <c r="U646" s="800"/>
      <c r="V646" s="800"/>
      <c r="W646" s="800"/>
      <c r="X646" s="800"/>
      <c r="Y646" s="800"/>
      <c r="Z646" s="800"/>
      <c r="AA646" s="800"/>
      <c r="AB646" s="800"/>
      <c r="AC646" s="800"/>
      <c r="AD646" s="800"/>
      <c r="AE646" s="800"/>
      <c r="AF646" s="800"/>
      <c r="AG646" s="800"/>
      <c r="AH646" s="800"/>
      <c r="AI646" s="800"/>
      <c r="AJ646" s="800"/>
      <c r="AK646" s="800"/>
      <c r="AL646" s="800"/>
      <c r="AM646" s="800"/>
      <c r="AN646" s="800"/>
      <c r="AO646" s="800"/>
      <c r="AP646" s="800"/>
      <c r="AQ646" s="799">
        <f>SUVAHAVUJ!$N$27</f>
        <v>0</v>
      </c>
      <c r="AR646" s="799"/>
      <c r="AS646" s="799"/>
      <c r="AT646" s="799"/>
      <c r="AU646" s="799"/>
      <c r="AV646" s="799"/>
      <c r="AW646" s="799"/>
      <c r="AX646" s="799"/>
      <c r="AY646" s="799"/>
      <c r="AZ646" s="799"/>
      <c r="BA646" s="799"/>
      <c r="BB646" s="799"/>
    </row>
    <row r="647" spans="1:54" ht="12.6" customHeight="1" x14ac:dyDescent="0.25">
      <c r="A647" s="767" t="s">
        <v>1551</v>
      </c>
      <c r="B647" s="767"/>
      <c r="C647" s="767"/>
      <c r="D647" s="767"/>
      <c r="E647" s="767"/>
      <c r="F647" s="767"/>
      <c r="G647" s="767"/>
      <c r="H647" s="767"/>
      <c r="I647" s="767"/>
      <c r="J647" s="767"/>
      <c r="K647" s="767"/>
      <c r="L647" s="767"/>
      <c r="M647" s="767"/>
      <c r="N647" s="804">
        <f>SUVAHAVUJ!$X$28</f>
        <v>0</v>
      </c>
      <c r="O647" s="804"/>
      <c r="P647" s="804"/>
      <c r="Q647" s="804"/>
      <c r="R647" s="804"/>
      <c r="S647" s="804"/>
      <c r="T647" s="801"/>
      <c r="U647" s="801"/>
      <c r="V647" s="801"/>
      <c r="W647" s="801"/>
      <c r="X647" s="801"/>
      <c r="Y647" s="801"/>
      <c r="Z647" s="801"/>
      <c r="AA647" s="801"/>
      <c r="AB647" s="801"/>
      <c r="AC647" s="801"/>
      <c r="AD647" s="801"/>
      <c r="AE647" s="801"/>
      <c r="AF647" s="801"/>
      <c r="AG647" s="801"/>
      <c r="AH647" s="801"/>
      <c r="AI647" s="801"/>
      <c r="AJ647" s="801"/>
      <c r="AK647" s="801"/>
      <c r="AL647" s="801"/>
      <c r="AM647" s="801"/>
      <c r="AN647" s="801"/>
      <c r="AO647" s="801"/>
      <c r="AP647" s="801"/>
      <c r="AQ647" s="804">
        <f>SUVAHAVUJ!$N$28</f>
        <v>0</v>
      </c>
      <c r="AR647" s="804"/>
      <c r="AS647" s="804"/>
      <c r="AT647" s="804"/>
      <c r="AU647" s="804"/>
      <c r="AV647" s="804"/>
      <c r="AW647" s="804"/>
      <c r="AX647" s="804"/>
      <c r="AY647" s="804"/>
      <c r="AZ647" s="804"/>
      <c r="BA647" s="804"/>
      <c r="BB647" s="804"/>
    </row>
    <row r="648" spans="1:54" ht="14.25" customHeight="1" x14ac:dyDescent="0.25">
      <c r="A648" s="767"/>
      <c r="B648" s="767"/>
      <c r="C648" s="767"/>
      <c r="D648" s="767"/>
      <c r="E648" s="767"/>
      <c r="F648" s="767"/>
      <c r="G648" s="767"/>
      <c r="H648" s="767"/>
      <c r="I648" s="767"/>
      <c r="J648" s="767"/>
      <c r="K648" s="767"/>
      <c r="L648" s="767"/>
      <c r="M648" s="767"/>
      <c r="N648" s="804"/>
      <c r="O648" s="804"/>
      <c r="P648" s="804"/>
      <c r="Q648" s="804"/>
      <c r="R648" s="804"/>
      <c r="S648" s="804"/>
      <c r="T648" s="801"/>
      <c r="U648" s="801"/>
      <c r="V648" s="801"/>
      <c r="W648" s="801"/>
      <c r="X648" s="801"/>
      <c r="Y648" s="801"/>
      <c r="Z648" s="801"/>
      <c r="AA648" s="801"/>
      <c r="AB648" s="801"/>
      <c r="AC648" s="801"/>
      <c r="AD648" s="801"/>
      <c r="AE648" s="801"/>
      <c r="AF648" s="801"/>
      <c r="AG648" s="801"/>
      <c r="AH648" s="801"/>
      <c r="AI648" s="801"/>
      <c r="AJ648" s="801"/>
      <c r="AK648" s="801"/>
      <c r="AL648" s="801"/>
      <c r="AM648" s="801"/>
      <c r="AN648" s="801"/>
      <c r="AO648" s="801"/>
      <c r="AP648" s="801"/>
      <c r="AQ648" s="804"/>
      <c r="AR648" s="804"/>
      <c r="AS648" s="804"/>
      <c r="AT648" s="804"/>
      <c r="AU648" s="804"/>
      <c r="AV648" s="804"/>
      <c r="AW648" s="804"/>
      <c r="AX648" s="804"/>
      <c r="AY648" s="804"/>
      <c r="AZ648" s="804"/>
      <c r="BA648" s="804"/>
      <c r="BB648" s="804"/>
    </row>
    <row r="649" spans="1:54" ht="12.6" customHeight="1" x14ac:dyDescent="0.25">
      <c r="A649" s="806" t="s">
        <v>1537</v>
      </c>
      <c r="B649" s="806"/>
      <c r="C649" s="806"/>
      <c r="D649" s="806"/>
      <c r="E649" s="806"/>
      <c r="F649" s="806"/>
      <c r="G649" s="806"/>
      <c r="H649" s="806"/>
      <c r="I649" s="806"/>
      <c r="J649" s="806"/>
      <c r="K649" s="806"/>
      <c r="L649" s="806"/>
      <c r="M649" s="806"/>
      <c r="N649" s="804">
        <f>SUVAHAVUJ!$X$29</f>
        <v>0</v>
      </c>
      <c r="O649" s="804"/>
      <c r="P649" s="804"/>
      <c r="Q649" s="804"/>
      <c r="R649" s="804"/>
      <c r="S649" s="804"/>
      <c r="T649" s="801"/>
      <c r="U649" s="801"/>
      <c r="V649" s="801"/>
      <c r="W649" s="801"/>
      <c r="X649" s="801"/>
      <c r="Y649" s="801"/>
      <c r="Z649" s="801"/>
      <c r="AA649" s="801"/>
      <c r="AB649" s="801"/>
      <c r="AC649" s="801"/>
      <c r="AD649" s="801"/>
      <c r="AE649" s="801"/>
      <c r="AF649" s="801"/>
      <c r="AG649" s="801"/>
      <c r="AH649" s="801"/>
      <c r="AI649" s="801"/>
      <c r="AJ649" s="801"/>
      <c r="AK649" s="801"/>
      <c r="AL649" s="801"/>
      <c r="AM649" s="801"/>
      <c r="AN649" s="801"/>
      <c r="AO649" s="801"/>
      <c r="AP649" s="801"/>
      <c r="AQ649" s="804">
        <f>SUVAHAVUJ!$N$29</f>
        <v>0</v>
      </c>
      <c r="AR649" s="804"/>
      <c r="AS649" s="804"/>
      <c r="AT649" s="804"/>
      <c r="AU649" s="804"/>
      <c r="AV649" s="804"/>
      <c r="AW649" s="804"/>
      <c r="AX649" s="804"/>
      <c r="AY649" s="804"/>
      <c r="AZ649" s="804"/>
      <c r="BA649" s="804"/>
      <c r="BB649" s="804"/>
    </row>
    <row r="650" spans="1:54" ht="25.5" customHeight="1" x14ac:dyDescent="0.25">
      <c r="A650" s="803" t="s">
        <v>1618</v>
      </c>
      <c r="B650" s="803"/>
      <c r="C650" s="803"/>
      <c r="D650" s="803"/>
      <c r="E650" s="803"/>
      <c r="F650" s="803"/>
      <c r="G650" s="803"/>
      <c r="H650" s="803"/>
      <c r="I650" s="803"/>
      <c r="J650" s="803"/>
      <c r="K650" s="803"/>
      <c r="L650" s="803"/>
      <c r="M650" s="803"/>
      <c r="N650" s="804">
        <f>SUVAHAVUJ!$X$32</f>
        <v>0</v>
      </c>
      <c r="O650" s="804"/>
      <c r="P650" s="804"/>
      <c r="Q650" s="804"/>
      <c r="R650" s="804"/>
      <c r="S650" s="804"/>
      <c r="T650" s="801"/>
      <c r="U650" s="801"/>
      <c r="V650" s="801"/>
      <c r="W650" s="801"/>
      <c r="X650" s="801"/>
      <c r="Y650" s="801"/>
      <c r="Z650" s="801"/>
      <c r="AA650" s="801"/>
      <c r="AB650" s="801"/>
      <c r="AC650" s="801"/>
      <c r="AD650" s="801"/>
      <c r="AE650" s="801"/>
      <c r="AF650" s="801"/>
      <c r="AG650" s="801"/>
      <c r="AH650" s="801"/>
      <c r="AI650" s="801"/>
      <c r="AJ650" s="801"/>
      <c r="AK650" s="801"/>
      <c r="AL650" s="801"/>
      <c r="AM650" s="801"/>
      <c r="AN650" s="801"/>
      <c r="AO650" s="801"/>
      <c r="AP650" s="801"/>
      <c r="AQ650" s="804">
        <f>SUVAHAVUJ!$N$32</f>
        <v>0</v>
      </c>
      <c r="AR650" s="804"/>
      <c r="AS650" s="804"/>
      <c r="AT650" s="804"/>
      <c r="AU650" s="804"/>
      <c r="AV650" s="804"/>
      <c r="AW650" s="804"/>
      <c r="AX650" s="804"/>
      <c r="AY650" s="804"/>
      <c r="AZ650" s="804"/>
      <c r="BA650" s="804"/>
      <c r="BB650" s="804"/>
    </row>
    <row r="651" spans="1:54" ht="12.6" customHeight="1" x14ac:dyDescent="0.25">
      <c r="A651" s="767" t="s">
        <v>1552</v>
      </c>
      <c r="B651" s="767"/>
      <c r="C651" s="767"/>
      <c r="D651" s="767"/>
      <c r="E651" s="767"/>
      <c r="F651" s="767"/>
      <c r="G651" s="767"/>
      <c r="H651" s="767"/>
      <c r="I651" s="767"/>
      <c r="J651" s="767"/>
      <c r="K651" s="767"/>
      <c r="L651" s="767"/>
      <c r="M651" s="767"/>
      <c r="N651" s="804">
        <f>SUVAHAVUJ!$X$31</f>
        <v>0</v>
      </c>
      <c r="O651" s="804"/>
      <c r="P651" s="804"/>
      <c r="Q651" s="804"/>
      <c r="R651" s="804"/>
      <c r="S651" s="804"/>
      <c r="T651" s="801"/>
      <c r="U651" s="801"/>
      <c r="V651" s="801"/>
      <c r="W651" s="801"/>
      <c r="X651" s="801"/>
      <c r="Y651" s="801"/>
      <c r="Z651" s="801"/>
      <c r="AA651" s="801"/>
      <c r="AB651" s="801"/>
      <c r="AC651" s="801"/>
      <c r="AD651" s="801"/>
      <c r="AE651" s="801"/>
      <c r="AF651" s="801"/>
      <c r="AG651" s="801"/>
      <c r="AH651" s="801"/>
      <c r="AI651" s="801"/>
      <c r="AJ651" s="801"/>
      <c r="AK651" s="801"/>
      <c r="AL651" s="801"/>
      <c r="AM651" s="801"/>
      <c r="AN651" s="801"/>
      <c r="AO651" s="801"/>
      <c r="AP651" s="801"/>
      <c r="AQ651" s="804">
        <f>SUVAHAVUJ!$N$31</f>
        <v>0</v>
      </c>
      <c r="AR651" s="804"/>
      <c r="AS651" s="804"/>
      <c r="AT651" s="804"/>
      <c r="AU651" s="804"/>
      <c r="AV651" s="804"/>
      <c r="AW651" s="804"/>
      <c r="AX651" s="804"/>
      <c r="AY651" s="804"/>
      <c r="AZ651" s="804"/>
      <c r="BA651" s="804"/>
      <c r="BB651" s="804"/>
    </row>
    <row r="652" spans="1:54" ht="39" customHeight="1" x14ac:dyDescent="0.25">
      <c r="A652" s="767"/>
      <c r="B652" s="767"/>
      <c r="C652" s="767"/>
      <c r="D652" s="767"/>
      <c r="E652" s="767"/>
      <c r="F652" s="767"/>
      <c r="G652" s="767"/>
      <c r="H652" s="767"/>
      <c r="I652" s="767"/>
      <c r="J652" s="767"/>
      <c r="K652" s="767"/>
      <c r="L652" s="767"/>
      <c r="M652" s="767"/>
      <c r="N652" s="804"/>
      <c r="O652" s="804"/>
      <c r="P652" s="804"/>
      <c r="Q652" s="804"/>
      <c r="R652" s="804"/>
      <c r="S652" s="804"/>
      <c r="T652" s="801"/>
      <c r="U652" s="801"/>
      <c r="V652" s="801"/>
      <c r="W652" s="801"/>
      <c r="X652" s="801"/>
      <c r="Y652" s="801"/>
      <c r="Z652" s="801"/>
      <c r="AA652" s="801"/>
      <c r="AB652" s="801"/>
      <c r="AC652" s="801"/>
      <c r="AD652" s="801"/>
      <c r="AE652" s="801"/>
      <c r="AF652" s="801"/>
      <c r="AG652" s="801"/>
      <c r="AH652" s="801"/>
      <c r="AI652" s="801"/>
      <c r="AJ652" s="801"/>
      <c r="AK652" s="801"/>
      <c r="AL652" s="801"/>
      <c r="AM652" s="801"/>
      <c r="AN652" s="801"/>
      <c r="AO652" s="801"/>
      <c r="AP652" s="801"/>
      <c r="AQ652" s="804"/>
      <c r="AR652" s="804"/>
      <c r="AS652" s="804"/>
      <c r="AT652" s="804"/>
      <c r="AU652" s="804"/>
      <c r="AV652" s="804"/>
      <c r="AW652" s="804"/>
      <c r="AX652" s="804"/>
      <c r="AY652" s="804"/>
      <c r="AZ652" s="804"/>
      <c r="BA652" s="804"/>
      <c r="BB652" s="804"/>
    </row>
    <row r="653" spans="1:54" ht="12.6" customHeight="1" x14ac:dyDescent="0.25">
      <c r="A653" s="805" t="s">
        <v>1616</v>
      </c>
      <c r="B653" s="805"/>
      <c r="C653" s="805"/>
      <c r="D653" s="805"/>
      <c r="E653" s="805"/>
      <c r="F653" s="805"/>
      <c r="G653" s="805"/>
      <c r="H653" s="805"/>
      <c r="I653" s="805"/>
      <c r="J653" s="805"/>
      <c r="K653" s="805"/>
      <c r="L653" s="805"/>
      <c r="M653" s="805"/>
      <c r="N653" s="804">
        <f>SUM(N646:S652)</f>
        <v>0</v>
      </c>
      <c r="O653" s="804"/>
      <c r="P653" s="804"/>
      <c r="Q653" s="804"/>
      <c r="R653" s="804"/>
      <c r="S653" s="804"/>
      <c r="T653" s="804">
        <f>SUM(T646:Z652)</f>
        <v>0</v>
      </c>
      <c r="U653" s="804"/>
      <c r="V653" s="804"/>
      <c r="W653" s="804"/>
      <c r="X653" s="804"/>
      <c r="Y653" s="804"/>
      <c r="Z653" s="804"/>
      <c r="AA653" s="804">
        <f>SUM(AA646:AG652)</f>
        <v>0</v>
      </c>
      <c r="AB653" s="804"/>
      <c r="AC653" s="804"/>
      <c r="AD653" s="804"/>
      <c r="AE653" s="804"/>
      <c r="AF653" s="804"/>
      <c r="AG653" s="804"/>
      <c r="AH653" s="804">
        <f>SUM(AH646:AP652)</f>
        <v>0</v>
      </c>
      <c r="AI653" s="804"/>
      <c r="AJ653" s="804"/>
      <c r="AK653" s="804"/>
      <c r="AL653" s="804"/>
      <c r="AM653" s="804"/>
      <c r="AN653" s="804"/>
      <c r="AO653" s="804"/>
      <c r="AP653" s="804"/>
      <c r="AQ653" s="804">
        <f>SUM(AQ646:BB652)</f>
        <v>0</v>
      </c>
      <c r="AR653" s="804"/>
      <c r="AS653" s="804"/>
      <c r="AT653" s="804"/>
      <c r="AU653" s="804"/>
      <c r="AV653" s="804"/>
      <c r="AW653" s="804"/>
      <c r="AX653" s="804"/>
      <c r="AY653" s="804"/>
      <c r="AZ653" s="804"/>
      <c r="BA653" s="804"/>
      <c r="BB653" s="804"/>
    </row>
    <row r="654" spans="1:54" ht="12.6" customHeight="1" x14ac:dyDescent="0.25">
      <c r="A654" s="227" t="s">
        <v>1344</v>
      </c>
    </row>
    <row r="655" spans="1:54" ht="15" customHeight="1" x14ac:dyDescent="0.25">
      <c r="A655" s="763"/>
      <c r="B655" s="763"/>
      <c r="C655" s="763"/>
      <c r="D655" s="763"/>
      <c r="E655" s="763"/>
      <c r="F655" s="763"/>
      <c r="G655" s="763"/>
      <c r="H655" s="763"/>
      <c r="I655" s="763"/>
      <c r="J655" s="763"/>
      <c r="K655" s="763"/>
      <c r="L655" s="763"/>
      <c r="M655" s="763"/>
      <c r="N655" s="763"/>
      <c r="O655" s="763"/>
      <c r="P655" s="763"/>
      <c r="Q655" s="763"/>
      <c r="R655" s="763"/>
      <c r="S655" s="763"/>
      <c r="T655" s="763"/>
      <c r="U655" s="763"/>
      <c r="V655" s="763"/>
      <c r="W655" s="763"/>
      <c r="X655" s="763"/>
      <c r="Y655" s="763"/>
      <c r="Z655" s="763"/>
      <c r="AA655" s="763"/>
      <c r="AB655" s="763"/>
      <c r="AC655" s="763"/>
      <c r="AD655" s="763"/>
      <c r="AE655" s="763"/>
      <c r="AF655" s="763"/>
      <c r="AG655" s="763"/>
      <c r="AH655" s="763"/>
      <c r="AI655" s="763"/>
      <c r="AJ655" s="763"/>
      <c r="AK655" s="763"/>
      <c r="AL655" s="763"/>
      <c r="AM655" s="763"/>
      <c r="AN655" s="763"/>
      <c r="AO655" s="763"/>
      <c r="AP655" s="763"/>
      <c r="AQ655" s="763"/>
      <c r="AR655" s="763"/>
      <c r="AS655" s="763"/>
      <c r="AT655" s="763"/>
      <c r="AU655" s="763"/>
      <c r="AV655" s="763"/>
      <c r="AW655" s="763"/>
      <c r="AX655" s="763"/>
      <c r="AY655" s="265"/>
      <c r="AZ655" s="265"/>
      <c r="BA655" s="265"/>
      <c r="BB655" s="265"/>
    </row>
    <row r="656" spans="1:54" ht="15" customHeight="1" x14ac:dyDescent="0.25">
      <c r="A656" s="763"/>
      <c r="B656" s="763"/>
      <c r="C656" s="763"/>
      <c r="D656" s="763"/>
      <c r="E656" s="763"/>
      <c r="F656" s="763"/>
      <c r="G656" s="763"/>
      <c r="H656" s="763"/>
      <c r="I656" s="763"/>
      <c r="J656" s="763"/>
      <c r="K656" s="763"/>
      <c r="L656" s="763"/>
      <c r="M656" s="763"/>
      <c r="N656" s="763"/>
      <c r="O656" s="763"/>
      <c r="P656" s="763"/>
      <c r="Q656" s="763"/>
      <c r="R656" s="763"/>
      <c r="S656" s="763"/>
      <c r="T656" s="763"/>
      <c r="U656" s="763"/>
      <c r="V656" s="763"/>
      <c r="W656" s="763"/>
      <c r="X656" s="763"/>
      <c r="Y656" s="763"/>
      <c r="Z656" s="763"/>
      <c r="AA656" s="763"/>
      <c r="AB656" s="763"/>
      <c r="AC656" s="763"/>
      <c r="AD656" s="763"/>
      <c r="AE656" s="763"/>
      <c r="AF656" s="763"/>
      <c r="AG656" s="763"/>
      <c r="AH656" s="763"/>
      <c r="AI656" s="763"/>
      <c r="AJ656" s="763"/>
      <c r="AK656" s="763"/>
      <c r="AL656" s="763"/>
      <c r="AM656" s="763"/>
      <c r="AN656" s="763"/>
      <c r="AO656" s="763"/>
      <c r="AP656" s="763"/>
      <c r="AQ656" s="763"/>
      <c r="AR656" s="763"/>
      <c r="AS656" s="763"/>
      <c r="AT656" s="763"/>
      <c r="AU656" s="763"/>
      <c r="AV656" s="763"/>
      <c r="AW656" s="763"/>
      <c r="AX656" s="763"/>
      <c r="AY656" s="265"/>
      <c r="AZ656" s="265"/>
      <c r="BA656" s="265"/>
      <c r="BB656" s="265"/>
    </row>
    <row r="657" spans="1:54" ht="12.6" customHeight="1" x14ac:dyDescent="0.25">
      <c r="A657" s="227" t="s">
        <v>1619</v>
      </c>
    </row>
    <row r="658" spans="1:54" ht="12.6" customHeight="1" x14ac:dyDescent="0.25">
      <c r="A658" s="29" t="s">
        <v>1316</v>
      </c>
    </row>
    <row r="659" spans="1:54" ht="12.6" customHeight="1" x14ac:dyDescent="0.25">
      <c r="A659" s="241"/>
      <c r="B659" s="242"/>
      <c r="C659" s="242"/>
      <c r="D659" s="242"/>
      <c r="E659" s="242"/>
      <c r="F659" s="242"/>
      <c r="G659" s="242"/>
      <c r="H659" s="242"/>
      <c r="I659" s="242"/>
      <c r="J659" s="242"/>
      <c r="K659" s="242"/>
      <c r="L659" s="242"/>
      <c r="M659" s="268"/>
      <c r="N659" s="807" t="s">
        <v>1288</v>
      </c>
      <c r="O659" s="807"/>
      <c r="P659" s="807"/>
      <c r="Q659" s="807"/>
      <c r="R659" s="807"/>
      <c r="S659" s="807"/>
      <c r="T659" s="807"/>
      <c r="U659" s="807"/>
      <c r="V659" s="807"/>
      <c r="W659" s="807"/>
      <c r="X659" s="807"/>
      <c r="Y659" s="807"/>
      <c r="Z659" s="807"/>
      <c r="AA659" s="807"/>
      <c r="AB659" s="807"/>
      <c r="AC659" s="807"/>
      <c r="AD659" s="807"/>
      <c r="AE659" s="807"/>
      <c r="AF659" s="807"/>
      <c r="AG659" s="807"/>
      <c r="AH659" s="807"/>
      <c r="AI659" s="807"/>
      <c r="AJ659" s="807"/>
      <c r="AK659" s="807"/>
      <c r="AL659" s="807"/>
      <c r="AM659" s="807"/>
      <c r="AN659" s="807"/>
      <c r="AO659" s="807"/>
      <c r="AP659" s="807"/>
      <c r="AQ659" s="807"/>
      <c r="AR659" s="807"/>
      <c r="AS659" s="807"/>
      <c r="AT659" s="807"/>
      <c r="AU659" s="807"/>
      <c r="AV659" s="807"/>
      <c r="AW659" s="807"/>
      <c r="AX659" s="807"/>
      <c r="AY659" s="807"/>
      <c r="AZ659" s="807"/>
      <c r="BA659" s="807"/>
      <c r="BB659" s="807"/>
    </row>
    <row r="660" spans="1:54" ht="12.6" customHeight="1" x14ac:dyDescent="0.25">
      <c r="A660" s="243"/>
      <c r="B660" s="244"/>
      <c r="C660" s="244"/>
      <c r="D660" s="244"/>
      <c r="E660" s="244"/>
      <c r="F660" s="244"/>
      <c r="G660" s="244"/>
      <c r="H660" s="244"/>
      <c r="I660" s="244"/>
      <c r="J660" s="244"/>
      <c r="K660" s="244"/>
      <c r="L660" s="244"/>
      <c r="M660" s="269"/>
      <c r="N660" s="241"/>
      <c r="O660" s="242"/>
      <c r="P660" s="242"/>
      <c r="Q660" s="242"/>
      <c r="R660" s="242"/>
      <c r="S660" s="268"/>
      <c r="T660" s="241"/>
      <c r="U660" s="242"/>
      <c r="V660" s="242"/>
      <c r="W660" s="242"/>
      <c r="X660" s="242"/>
      <c r="Y660" s="242"/>
      <c r="Z660" s="268"/>
      <c r="AA660" s="241"/>
      <c r="AB660" s="242"/>
      <c r="AC660" s="242"/>
      <c r="AD660" s="242"/>
      <c r="AE660" s="242"/>
      <c r="AF660" s="242"/>
      <c r="AG660" s="268"/>
      <c r="AH660" s="768" t="s">
        <v>1620</v>
      </c>
      <c r="AI660" s="768"/>
      <c r="AJ660" s="768"/>
      <c r="AK660" s="768"/>
      <c r="AL660" s="768"/>
      <c r="AM660" s="768"/>
      <c r="AN660" s="768"/>
      <c r="AO660" s="768"/>
      <c r="AP660" s="768"/>
      <c r="AQ660" s="241"/>
      <c r="AR660" s="242"/>
      <c r="AS660" s="242"/>
      <c r="AT660" s="242"/>
      <c r="AU660" s="242"/>
      <c r="AV660" s="242"/>
      <c r="AW660" s="242"/>
      <c r="AX660" s="242"/>
      <c r="AY660" s="242"/>
      <c r="AZ660" s="242"/>
      <c r="BA660" s="242"/>
      <c r="BB660" s="268"/>
    </row>
    <row r="661" spans="1:54" ht="12.6" customHeight="1" x14ac:dyDescent="0.25">
      <c r="A661" s="243"/>
      <c r="B661" s="244"/>
      <c r="C661" s="244"/>
      <c r="D661" s="244"/>
      <c r="E661" s="244"/>
      <c r="F661" s="244"/>
      <c r="G661" s="244"/>
      <c r="H661" s="244"/>
      <c r="I661" s="244"/>
      <c r="J661" s="244"/>
      <c r="K661" s="244"/>
      <c r="L661" s="244"/>
      <c r="M661" s="269"/>
      <c r="N661" s="745" t="s">
        <v>1621</v>
      </c>
      <c r="O661" s="745"/>
      <c r="P661" s="745"/>
      <c r="Q661" s="745"/>
      <c r="R661" s="745"/>
      <c r="S661" s="745"/>
      <c r="T661" s="243"/>
      <c r="U661" s="244"/>
      <c r="V661" s="244"/>
      <c r="W661" s="244"/>
      <c r="X661" s="244"/>
      <c r="Y661" s="244"/>
      <c r="Z661" s="269"/>
      <c r="AA661" s="243" t="s">
        <v>1620</v>
      </c>
      <c r="AB661" s="244"/>
      <c r="AC661" s="244"/>
      <c r="AD661" s="244"/>
      <c r="AE661" s="244"/>
      <c r="AF661" s="244"/>
      <c r="AG661" s="269"/>
      <c r="AH661" s="745" t="s">
        <v>1622</v>
      </c>
      <c r="AI661" s="745"/>
      <c r="AJ661" s="745"/>
      <c r="AK661" s="745"/>
      <c r="AL661" s="745"/>
      <c r="AM661" s="745"/>
      <c r="AN661" s="745"/>
      <c r="AO661" s="745"/>
      <c r="AP661" s="745"/>
      <c r="AQ661" s="745" t="s">
        <v>1621</v>
      </c>
      <c r="AR661" s="745"/>
      <c r="AS661" s="745"/>
      <c r="AT661" s="745"/>
      <c r="AU661" s="745"/>
      <c r="AV661" s="745"/>
      <c r="AW661" s="745"/>
      <c r="AX661" s="745"/>
      <c r="AY661" s="745"/>
      <c r="AZ661" s="745"/>
      <c r="BA661" s="745"/>
      <c r="BB661" s="745"/>
    </row>
    <row r="662" spans="1:54" ht="12.6" customHeight="1" x14ac:dyDescent="0.25">
      <c r="A662" s="745" t="s">
        <v>1623</v>
      </c>
      <c r="B662" s="745"/>
      <c r="C662" s="745"/>
      <c r="D662" s="745"/>
      <c r="E662" s="745"/>
      <c r="F662" s="745"/>
      <c r="G662" s="745"/>
      <c r="H662" s="745"/>
      <c r="I662" s="745"/>
      <c r="J662" s="745"/>
      <c r="K662" s="745"/>
      <c r="L662" s="745"/>
      <c r="M662" s="745"/>
      <c r="N662" s="745" t="s">
        <v>1523</v>
      </c>
      <c r="O662" s="745"/>
      <c r="P662" s="745"/>
      <c r="Q662" s="745"/>
      <c r="R662" s="745"/>
      <c r="S662" s="745"/>
      <c r="T662" s="745" t="s">
        <v>1624</v>
      </c>
      <c r="U662" s="745"/>
      <c r="V662" s="745"/>
      <c r="W662" s="745"/>
      <c r="X662" s="745"/>
      <c r="Y662" s="745"/>
      <c r="Z662" s="745"/>
      <c r="AA662" s="745" t="s">
        <v>1625</v>
      </c>
      <c r="AB662" s="745"/>
      <c r="AC662" s="745"/>
      <c r="AD662" s="745"/>
      <c r="AE662" s="745"/>
      <c r="AF662" s="745"/>
      <c r="AG662" s="745"/>
      <c r="AH662" s="745" t="s">
        <v>1626</v>
      </c>
      <c r="AI662" s="745"/>
      <c r="AJ662" s="745"/>
      <c r="AK662" s="745"/>
      <c r="AL662" s="745"/>
      <c r="AM662" s="745"/>
      <c r="AN662" s="745"/>
      <c r="AO662" s="745"/>
      <c r="AP662" s="745"/>
      <c r="AQ662" s="745" t="s">
        <v>1587</v>
      </c>
      <c r="AR662" s="745"/>
      <c r="AS662" s="745"/>
      <c r="AT662" s="745"/>
      <c r="AU662" s="745"/>
      <c r="AV662" s="745"/>
      <c r="AW662" s="745"/>
      <c r="AX662" s="745"/>
      <c r="AY662" s="745"/>
      <c r="AZ662" s="745"/>
      <c r="BA662" s="745"/>
      <c r="BB662" s="745"/>
    </row>
    <row r="663" spans="1:54" ht="12.6" customHeight="1" x14ac:dyDescent="0.25">
      <c r="A663" s="243"/>
      <c r="B663" s="244"/>
      <c r="C663" s="244"/>
      <c r="D663" s="244"/>
      <c r="E663" s="244"/>
      <c r="F663" s="244"/>
      <c r="G663" s="244"/>
      <c r="H663" s="244"/>
      <c r="I663" s="244"/>
      <c r="J663" s="244"/>
      <c r="K663" s="244"/>
      <c r="L663" s="244"/>
      <c r="M663" s="269"/>
      <c r="N663" s="745" t="s">
        <v>1524</v>
      </c>
      <c r="O663" s="745"/>
      <c r="P663" s="745"/>
      <c r="Q663" s="745"/>
      <c r="R663" s="745"/>
      <c r="S663" s="745"/>
      <c r="T663" s="745" t="s">
        <v>1627</v>
      </c>
      <c r="U663" s="745"/>
      <c r="V663" s="745"/>
      <c r="W663" s="745"/>
      <c r="X663" s="745"/>
      <c r="Y663" s="745"/>
      <c r="Z663" s="745"/>
      <c r="AA663" s="745" t="s">
        <v>1628</v>
      </c>
      <c r="AB663" s="745"/>
      <c r="AC663" s="745"/>
      <c r="AD663" s="745"/>
      <c r="AE663" s="745"/>
      <c r="AF663" s="745"/>
      <c r="AG663" s="745"/>
      <c r="AH663" s="745" t="s">
        <v>1629</v>
      </c>
      <c r="AI663" s="745"/>
      <c r="AJ663" s="745"/>
      <c r="AK663" s="745"/>
      <c r="AL663" s="745"/>
      <c r="AM663" s="745"/>
      <c r="AN663" s="745"/>
      <c r="AO663" s="745"/>
      <c r="AP663" s="745"/>
      <c r="AQ663" s="745" t="s">
        <v>1524</v>
      </c>
      <c r="AR663" s="745"/>
      <c r="AS663" s="745"/>
      <c r="AT663" s="745"/>
      <c r="AU663" s="745"/>
      <c r="AV663" s="745"/>
      <c r="AW663" s="745"/>
      <c r="AX663" s="745"/>
      <c r="AY663" s="745"/>
      <c r="AZ663" s="745"/>
      <c r="BA663" s="745"/>
      <c r="BB663" s="745"/>
    </row>
    <row r="664" spans="1:54" ht="12.6" customHeight="1" x14ac:dyDescent="0.25">
      <c r="A664" s="243"/>
      <c r="B664" s="244"/>
      <c r="C664" s="244"/>
      <c r="D664" s="244"/>
      <c r="E664" s="244"/>
      <c r="F664" s="244"/>
      <c r="G664" s="244"/>
      <c r="H664" s="244"/>
      <c r="I664" s="244"/>
      <c r="J664" s="244"/>
      <c r="K664" s="244"/>
      <c r="L664" s="244"/>
      <c r="M664" s="269"/>
      <c r="N664" s="745" t="s">
        <v>1525</v>
      </c>
      <c r="O664" s="745"/>
      <c r="P664" s="745"/>
      <c r="Q664" s="745"/>
      <c r="R664" s="745"/>
      <c r="S664" s="745"/>
      <c r="T664" s="243"/>
      <c r="U664" s="244"/>
      <c r="V664" s="244"/>
      <c r="W664" s="244"/>
      <c r="X664" s="244"/>
      <c r="Y664" s="244"/>
      <c r="Z664" s="269"/>
      <c r="AA664" s="243"/>
      <c r="AB664" s="244"/>
      <c r="AC664" s="244"/>
      <c r="AD664" s="244"/>
      <c r="AE664" s="244"/>
      <c r="AF664" s="244"/>
      <c r="AG664" s="269"/>
      <c r="AH664" s="745" t="s">
        <v>1630</v>
      </c>
      <c r="AI664" s="745"/>
      <c r="AJ664" s="745"/>
      <c r="AK664" s="745"/>
      <c r="AL664" s="745"/>
      <c r="AM664" s="745"/>
      <c r="AN664" s="745"/>
      <c r="AO664" s="745"/>
      <c r="AP664" s="745"/>
      <c r="AQ664" s="745" t="s">
        <v>1525</v>
      </c>
      <c r="AR664" s="745"/>
      <c r="AS664" s="745"/>
      <c r="AT664" s="745"/>
      <c r="AU664" s="745"/>
      <c r="AV664" s="745"/>
      <c r="AW664" s="745"/>
      <c r="AX664" s="745"/>
      <c r="AY664" s="745"/>
      <c r="AZ664" s="745"/>
      <c r="BA664" s="745"/>
      <c r="BB664" s="745"/>
    </row>
    <row r="665" spans="1:54" ht="12.6" customHeight="1" x14ac:dyDescent="0.25">
      <c r="A665" s="750" t="s">
        <v>1323</v>
      </c>
      <c r="B665" s="750"/>
      <c r="C665" s="750"/>
      <c r="D665" s="750"/>
      <c r="E665" s="750"/>
      <c r="F665" s="750"/>
      <c r="G665" s="750"/>
      <c r="H665" s="750"/>
      <c r="I665" s="750"/>
      <c r="J665" s="750"/>
      <c r="K665" s="750"/>
      <c r="L665" s="750"/>
      <c r="M665" s="750"/>
      <c r="N665" s="750" t="s">
        <v>1324</v>
      </c>
      <c r="O665" s="750"/>
      <c r="P665" s="750"/>
      <c r="Q665" s="750"/>
      <c r="R665" s="750"/>
      <c r="S665" s="750"/>
      <c r="T665" s="750" t="s">
        <v>1325</v>
      </c>
      <c r="U665" s="750"/>
      <c r="V665" s="750"/>
      <c r="W665" s="750"/>
      <c r="X665" s="750"/>
      <c r="Y665" s="750"/>
      <c r="Z665" s="750"/>
      <c r="AA665" s="750" t="s">
        <v>1326</v>
      </c>
      <c r="AB665" s="750"/>
      <c r="AC665" s="750"/>
      <c r="AD665" s="750"/>
      <c r="AE665" s="750"/>
      <c r="AF665" s="750"/>
      <c r="AG665" s="750"/>
      <c r="AH665" s="750" t="s">
        <v>1327</v>
      </c>
      <c r="AI665" s="750"/>
      <c r="AJ665" s="750"/>
      <c r="AK665" s="750"/>
      <c r="AL665" s="750"/>
      <c r="AM665" s="750"/>
      <c r="AN665" s="750"/>
      <c r="AO665" s="750"/>
      <c r="AP665" s="750"/>
      <c r="AQ665" s="750" t="s">
        <v>1333</v>
      </c>
      <c r="AR665" s="750"/>
      <c r="AS665" s="750"/>
      <c r="AT665" s="750"/>
      <c r="AU665" s="750"/>
      <c r="AV665" s="750"/>
      <c r="AW665" s="750"/>
      <c r="AX665" s="750"/>
      <c r="AY665" s="750"/>
      <c r="AZ665" s="750"/>
      <c r="BA665" s="750"/>
      <c r="BB665" s="750"/>
    </row>
    <row r="666" spans="1:54" ht="12.6" customHeight="1" x14ac:dyDescent="0.25">
      <c r="A666" s="711" t="s">
        <v>1631</v>
      </c>
      <c r="B666" s="711"/>
      <c r="C666" s="711"/>
      <c r="D666" s="711"/>
      <c r="E666" s="711"/>
      <c r="F666" s="711"/>
      <c r="G666" s="711"/>
      <c r="H666" s="711"/>
      <c r="I666" s="711"/>
      <c r="J666" s="711"/>
      <c r="K666" s="711"/>
      <c r="L666" s="711"/>
      <c r="M666" s="711"/>
      <c r="N666" s="808"/>
      <c r="O666" s="808"/>
      <c r="P666" s="808"/>
      <c r="Q666" s="808"/>
      <c r="R666" s="808"/>
      <c r="S666" s="808"/>
      <c r="T666" s="800"/>
      <c r="U666" s="800"/>
      <c r="V666" s="800"/>
      <c r="W666" s="800"/>
      <c r="X666" s="800"/>
      <c r="Y666" s="800"/>
      <c r="Z666" s="800"/>
      <c r="AA666" s="800"/>
      <c r="AB666" s="800"/>
      <c r="AC666" s="800"/>
      <c r="AD666" s="800"/>
      <c r="AE666" s="800"/>
      <c r="AF666" s="800"/>
      <c r="AG666" s="800"/>
      <c r="AH666" s="800"/>
      <c r="AI666" s="800"/>
      <c r="AJ666" s="800"/>
      <c r="AK666" s="800"/>
      <c r="AL666" s="800"/>
      <c r="AM666" s="800"/>
      <c r="AN666" s="800"/>
      <c r="AO666" s="800"/>
      <c r="AP666" s="800"/>
      <c r="AQ666" s="800"/>
      <c r="AR666" s="800"/>
      <c r="AS666" s="800"/>
      <c r="AT666" s="800"/>
      <c r="AU666" s="800"/>
      <c r="AV666" s="800"/>
      <c r="AW666" s="800"/>
      <c r="AX666" s="800"/>
      <c r="AY666" s="800"/>
      <c r="AZ666" s="800"/>
      <c r="BA666" s="800"/>
      <c r="BB666" s="800"/>
    </row>
    <row r="667" spans="1:54" ht="12.6" customHeight="1" x14ac:dyDescent="0.25">
      <c r="A667" s="710" t="s">
        <v>1632</v>
      </c>
      <c r="B667" s="710"/>
      <c r="C667" s="710"/>
      <c r="D667" s="710"/>
      <c r="E667" s="710"/>
      <c r="F667" s="710"/>
      <c r="G667" s="710"/>
      <c r="H667" s="710"/>
      <c r="I667" s="710"/>
      <c r="J667" s="710"/>
      <c r="K667" s="710"/>
      <c r="L667" s="710"/>
      <c r="M667" s="710"/>
      <c r="N667" s="809"/>
      <c r="O667" s="809"/>
      <c r="P667" s="809"/>
      <c r="Q667" s="809"/>
      <c r="R667" s="809"/>
      <c r="S667" s="809"/>
      <c r="T667" s="801"/>
      <c r="U667" s="801"/>
      <c r="V667" s="801"/>
      <c r="W667" s="801"/>
      <c r="X667" s="801"/>
      <c r="Y667" s="801"/>
      <c r="Z667" s="801"/>
      <c r="AA667" s="801"/>
      <c r="AB667" s="801"/>
      <c r="AC667" s="801"/>
      <c r="AD667" s="801"/>
      <c r="AE667" s="801"/>
      <c r="AF667" s="801"/>
      <c r="AG667" s="801"/>
      <c r="AH667" s="801"/>
      <c r="AI667" s="801"/>
      <c r="AJ667" s="801"/>
      <c r="AK667" s="801"/>
      <c r="AL667" s="801"/>
      <c r="AM667" s="801"/>
      <c r="AN667" s="801"/>
      <c r="AO667" s="801"/>
      <c r="AP667" s="801"/>
      <c r="AQ667" s="801"/>
      <c r="AR667" s="801"/>
      <c r="AS667" s="801"/>
      <c r="AT667" s="801"/>
      <c r="AU667" s="801"/>
      <c r="AV667" s="801"/>
      <c r="AW667" s="801"/>
      <c r="AX667" s="801"/>
      <c r="AY667" s="801"/>
      <c r="AZ667" s="801"/>
      <c r="BA667" s="801"/>
      <c r="BB667" s="801"/>
    </row>
    <row r="668" spans="1:54" ht="12.6" customHeight="1" x14ac:dyDescent="0.25">
      <c r="A668" s="711" t="s">
        <v>1633</v>
      </c>
      <c r="B668" s="711"/>
      <c r="C668" s="711"/>
      <c r="D668" s="711"/>
      <c r="E668" s="711"/>
      <c r="F668" s="711"/>
      <c r="G668" s="711"/>
      <c r="H668" s="711"/>
      <c r="I668" s="711"/>
      <c r="J668" s="711"/>
      <c r="K668" s="711"/>
      <c r="L668" s="711"/>
      <c r="M668" s="711"/>
      <c r="N668" s="809"/>
      <c r="O668" s="809"/>
      <c r="P668" s="809"/>
      <c r="Q668" s="809"/>
      <c r="R668" s="809"/>
      <c r="S668" s="809"/>
      <c r="T668" s="801"/>
      <c r="U668" s="801"/>
      <c r="V668" s="801"/>
      <c r="W668" s="801"/>
      <c r="X668" s="801"/>
      <c r="Y668" s="801"/>
      <c r="Z668" s="801"/>
      <c r="AA668" s="801"/>
      <c r="AB668" s="801"/>
      <c r="AC668" s="801"/>
      <c r="AD668" s="801"/>
      <c r="AE668" s="801"/>
      <c r="AF668" s="801"/>
      <c r="AG668" s="801"/>
      <c r="AH668" s="801"/>
      <c r="AI668" s="801"/>
      <c r="AJ668" s="801"/>
      <c r="AK668" s="801"/>
      <c r="AL668" s="801"/>
      <c r="AM668" s="801"/>
      <c r="AN668" s="801"/>
      <c r="AO668" s="801"/>
      <c r="AP668" s="801"/>
      <c r="AQ668" s="801"/>
      <c r="AR668" s="801"/>
      <c r="AS668" s="801"/>
      <c r="AT668" s="801"/>
      <c r="AU668" s="801"/>
      <c r="AV668" s="801"/>
      <c r="AW668" s="801"/>
      <c r="AX668" s="801"/>
      <c r="AY668" s="801"/>
      <c r="AZ668" s="801"/>
      <c r="BA668" s="801"/>
      <c r="BB668" s="801"/>
    </row>
    <row r="669" spans="1:54" ht="12.6" customHeight="1" x14ac:dyDescent="0.25">
      <c r="A669" s="708" t="s">
        <v>1634</v>
      </c>
      <c r="B669" s="708"/>
      <c r="C669" s="708"/>
      <c r="D669" s="708"/>
      <c r="E669" s="708"/>
      <c r="F669" s="708"/>
      <c r="G669" s="708"/>
      <c r="H669" s="708"/>
      <c r="I669" s="708"/>
      <c r="J669" s="708"/>
      <c r="K669" s="708"/>
      <c r="L669" s="708"/>
      <c r="M669" s="708"/>
      <c r="N669" s="809"/>
      <c r="O669" s="809"/>
      <c r="P669" s="809"/>
      <c r="Q669" s="809"/>
      <c r="R669" s="809"/>
      <c r="S669" s="809"/>
      <c r="T669" s="801"/>
      <c r="U669" s="801"/>
      <c r="V669" s="801"/>
      <c r="W669" s="801"/>
      <c r="X669" s="801"/>
      <c r="Y669" s="801"/>
      <c r="Z669" s="801"/>
      <c r="AA669" s="801"/>
      <c r="AB669" s="801"/>
      <c r="AC669" s="801"/>
      <c r="AD669" s="801"/>
      <c r="AE669" s="801"/>
      <c r="AF669" s="801"/>
      <c r="AG669" s="801"/>
      <c r="AH669" s="801"/>
      <c r="AI669" s="801"/>
      <c r="AJ669" s="801"/>
      <c r="AK669" s="801"/>
      <c r="AL669" s="801"/>
      <c r="AM669" s="801"/>
      <c r="AN669" s="801"/>
      <c r="AO669" s="801"/>
      <c r="AP669" s="801"/>
      <c r="AQ669" s="801"/>
      <c r="AR669" s="801"/>
      <c r="AS669" s="801"/>
      <c r="AT669" s="801"/>
      <c r="AU669" s="801"/>
      <c r="AV669" s="801"/>
      <c r="AW669" s="801"/>
      <c r="AX669" s="801"/>
      <c r="AY669" s="801"/>
      <c r="AZ669" s="801"/>
      <c r="BA669" s="801"/>
      <c r="BB669" s="801"/>
    </row>
    <row r="670" spans="1:54" ht="12.6" customHeight="1" x14ac:dyDescent="0.25">
      <c r="A670" s="708" t="s">
        <v>1635</v>
      </c>
      <c r="B670" s="708"/>
      <c r="C670" s="708"/>
      <c r="D670" s="708"/>
      <c r="E670" s="708"/>
      <c r="F670" s="708"/>
      <c r="G670" s="708"/>
      <c r="H670" s="708"/>
      <c r="I670" s="708"/>
      <c r="J670" s="708"/>
      <c r="K670" s="708"/>
      <c r="L670" s="708"/>
      <c r="M670" s="708"/>
      <c r="N670" s="809"/>
      <c r="O670" s="809"/>
      <c r="P670" s="809"/>
      <c r="Q670" s="809"/>
      <c r="R670" s="809"/>
      <c r="S670" s="809"/>
      <c r="T670" s="801"/>
      <c r="U670" s="801"/>
      <c r="V670" s="801"/>
      <c r="W670" s="801"/>
      <c r="X670" s="801"/>
      <c r="Y670" s="801"/>
      <c r="Z670" s="801"/>
      <c r="AA670" s="801"/>
      <c r="AB670" s="801"/>
      <c r="AC670" s="801"/>
      <c r="AD670" s="801"/>
      <c r="AE670" s="801"/>
      <c r="AF670" s="801"/>
      <c r="AG670" s="801"/>
      <c r="AH670" s="801"/>
      <c r="AI670" s="801"/>
      <c r="AJ670" s="801"/>
      <c r="AK670" s="801"/>
      <c r="AL670" s="801"/>
      <c r="AM670" s="801"/>
      <c r="AN670" s="801"/>
      <c r="AO670" s="801"/>
      <c r="AP670" s="801"/>
      <c r="AQ670" s="801"/>
      <c r="AR670" s="801"/>
      <c r="AS670" s="801"/>
      <c r="AT670" s="801"/>
      <c r="AU670" s="801"/>
      <c r="AV670" s="801"/>
      <c r="AW670" s="801"/>
      <c r="AX670" s="801"/>
      <c r="AY670" s="801"/>
      <c r="AZ670" s="801"/>
      <c r="BA670" s="801"/>
      <c r="BB670" s="801"/>
    </row>
    <row r="671" spans="1:54" ht="12.6" customHeight="1" x14ac:dyDescent="0.25">
      <c r="A671" s="708" t="s">
        <v>1636</v>
      </c>
      <c r="B671" s="708"/>
      <c r="C671" s="708"/>
      <c r="D671" s="708"/>
      <c r="E671" s="708"/>
      <c r="F671" s="708"/>
      <c r="G671" s="708"/>
      <c r="H671" s="708"/>
      <c r="I671" s="708"/>
      <c r="J671" s="708"/>
      <c r="K671" s="708"/>
      <c r="L671" s="708"/>
      <c r="M671" s="708"/>
      <c r="N671" s="809"/>
      <c r="O671" s="809"/>
      <c r="P671" s="809"/>
      <c r="Q671" s="809"/>
      <c r="R671" s="809"/>
      <c r="S671" s="809"/>
      <c r="T671" s="801"/>
      <c r="U671" s="801"/>
      <c r="V671" s="801"/>
      <c r="W671" s="801"/>
      <c r="X671" s="801"/>
      <c r="Y671" s="801"/>
      <c r="Z671" s="801"/>
      <c r="AA671" s="801"/>
      <c r="AB671" s="801"/>
      <c r="AC671" s="801"/>
      <c r="AD671" s="801"/>
      <c r="AE671" s="801"/>
      <c r="AF671" s="801"/>
      <c r="AG671" s="801"/>
      <c r="AH671" s="801"/>
      <c r="AI671" s="801"/>
      <c r="AJ671" s="801"/>
      <c r="AK671" s="801"/>
      <c r="AL671" s="801"/>
      <c r="AM671" s="801"/>
      <c r="AN671" s="801"/>
      <c r="AO671" s="801"/>
      <c r="AP671" s="801"/>
      <c r="AQ671" s="801"/>
      <c r="AR671" s="801"/>
      <c r="AS671" s="801"/>
      <c r="AT671" s="801"/>
      <c r="AU671" s="801"/>
      <c r="AV671" s="801"/>
      <c r="AW671" s="801"/>
      <c r="AX671" s="801"/>
      <c r="AY671" s="801"/>
      <c r="AZ671" s="801"/>
      <c r="BA671" s="801"/>
      <c r="BB671" s="801"/>
    </row>
    <row r="672" spans="1:54" ht="12.6" customHeight="1" x14ac:dyDescent="0.25">
      <c r="A672" s="708" t="s">
        <v>1637</v>
      </c>
      <c r="B672" s="708"/>
      <c r="C672" s="708"/>
      <c r="D672" s="708"/>
      <c r="E672" s="708"/>
      <c r="F672" s="708"/>
      <c r="G672" s="708"/>
      <c r="H672" s="708"/>
      <c r="I672" s="708"/>
      <c r="J672" s="708"/>
      <c r="K672" s="708"/>
      <c r="L672" s="708"/>
      <c r="M672" s="708"/>
      <c r="N672" s="809"/>
      <c r="O672" s="809"/>
      <c r="P672" s="809"/>
      <c r="Q672" s="809"/>
      <c r="R672" s="809"/>
      <c r="S672" s="809"/>
      <c r="T672" s="801"/>
      <c r="U672" s="801"/>
      <c r="V672" s="801"/>
      <c r="W672" s="801"/>
      <c r="X672" s="801"/>
      <c r="Y672" s="801"/>
      <c r="Z672" s="801"/>
      <c r="AA672" s="801"/>
      <c r="AB672" s="801"/>
      <c r="AC672" s="801"/>
      <c r="AD672" s="801"/>
      <c r="AE672" s="801"/>
      <c r="AF672" s="801"/>
      <c r="AG672" s="801"/>
      <c r="AH672" s="801"/>
      <c r="AI672" s="801"/>
      <c r="AJ672" s="801"/>
      <c r="AK672" s="801"/>
      <c r="AL672" s="801"/>
      <c r="AM672" s="801"/>
      <c r="AN672" s="801"/>
      <c r="AO672" s="801"/>
      <c r="AP672" s="801"/>
      <c r="AQ672" s="801"/>
      <c r="AR672" s="801"/>
      <c r="AS672" s="801"/>
      <c r="AT672" s="801"/>
      <c r="AU672" s="801"/>
      <c r="AV672" s="801"/>
      <c r="AW672" s="801"/>
      <c r="AX672" s="801"/>
      <c r="AY672" s="801"/>
      <c r="AZ672" s="801"/>
      <c r="BA672" s="801"/>
      <c r="BB672" s="801"/>
    </row>
    <row r="673" spans="1:54" ht="12.6" customHeight="1" x14ac:dyDescent="0.25">
      <c r="A673" s="710" t="s">
        <v>1638</v>
      </c>
      <c r="B673" s="710"/>
      <c r="C673" s="710"/>
      <c r="D673" s="710"/>
      <c r="E673" s="710"/>
      <c r="F673" s="710"/>
      <c r="G673" s="710"/>
      <c r="H673" s="710"/>
      <c r="I673" s="710"/>
      <c r="J673" s="710"/>
      <c r="K673" s="710"/>
      <c r="L673" s="710"/>
      <c r="M673" s="710"/>
      <c r="N673" s="809"/>
      <c r="O673" s="809"/>
      <c r="P673" s="809"/>
      <c r="Q673" s="809"/>
      <c r="R673" s="809"/>
      <c r="S673" s="809"/>
      <c r="T673" s="801"/>
      <c r="U673" s="801"/>
      <c r="V673" s="801"/>
      <c r="W673" s="801"/>
      <c r="X673" s="801"/>
      <c r="Y673" s="801"/>
      <c r="Z673" s="801"/>
      <c r="AA673" s="801"/>
      <c r="AB673" s="801"/>
      <c r="AC673" s="801"/>
      <c r="AD673" s="801"/>
      <c r="AE673" s="801"/>
      <c r="AF673" s="801"/>
      <c r="AG673" s="801"/>
      <c r="AH673" s="801"/>
      <c r="AI673" s="801"/>
      <c r="AJ673" s="801"/>
      <c r="AK673" s="801"/>
      <c r="AL673" s="801"/>
      <c r="AM673" s="801"/>
      <c r="AN673" s="801"/>
      <c r="AO673" s="801"/>
      <c r="AP673" s="801"/>
      <c r="AQ673" s="801"/>
      <c r="AR673" s="801"/>
      <c r="AS673" s="801"/>
      <c r="AT673" s="801"/>
      <c r="AU673" s="801"/>
      <c r="AV673" s="801"/>
      <c r="AW673" s="801"/>
      <c r="AX673" s="801"/>
      <c r="AY673" s="801"/>
      <c r="AZ673" s="801"/>
      <c r="BA673" s="801"/>
      <c r="BB673" s="801"/>
    </row>
    <row r="674" spans="1:54" ht="12.6" customHeight="1" x14ac:dyDescent="0.25">
      <c r="A674" s="711" t="s">
        <v>1639</v>
      </c>
      <c r="B674" s="711"/>
      <c r="C674" s="711"/>
      <c r="D674" s="711"/>
      <c r="E674" s="711"/>
      <c r="F674" s="711"/>
      <c r="G674" s="711"/>
      <c r="H674" s="711"/>
      <c r="I674" s="711"/>
      <c r="J674" s="711"/>
      <c r="K674" s="711"/>
      <c r="L674" s="711"/>
      <c r="M674" s="711"/>
      <c r="N674" s="809"/>
      <c r="O674" s="809"/>
      <c r="P674" s="809"/>
      <c r="Q674" s="809"/>
      <c r="R674" s="809"/>
      <c r="S674" s="809"/>
      <c r="T674" s="801"/>
      <c r="U674" s="801"/>
      <c r="V674" s="801"/>
      <c r="W674" s="801"/>
      <c r="X674" s="801"/>
      <c r="Y674" s="801"/>
      <c r="Z674" s="801"/>
      <c r="AA674" s="801"/>
      <c r="AB674" s="801"/>
      <c r="AC674" s="801"/>
      <c r="AD674" s="801"/>
      <c r="AE674" s="801"/>
      <c r="AF674" s="801"/>
      <c r="AG674" s="801"/>
      <c r="AH674" s="801"/>
      <c r="AI674" s="801"/>
      <c r="AJ674" s="801"/>
      <c r="AK674" s="801"/>
      <c r="AL674" s="801"/>
      <c r="AM674" s="801"/>
      <c r="AN674" s="801"/>
      <c r="AO674" s="801"/>
      <c r="AP674" s="801"/>
      <c r="AQ674" s="801"/>
      <c r="AR674" s="801"/>
      <c r="AS674" s="801"/>
      <c r="AT674" s="801"/>
      <c r="AU674" s="801"/>
      <c r="AV674" s="801"/>
      <c r="AW674" s="801"/>
      <c r="AX674" s="801"/>
      <c r="AY674" s="801"/>
      <c r="AZ674" s="801"/>
      <c r="BA674" s="801"/>
      <c r="BB674" s="801"/>
    </row>
    <row r="675" spans="1:54" ht="12.6" customHeight="1" x14ac:dyDescent="0.25">
      <c r="A675" s="708" t="s">
        <v>1640</v>
      </c>
      <c r="B675" s="708"/>
      <c r="C675" s="708"/>
      <c r="D675" s="708"/>
      <c r="E675" s="708"/>
      <c r="F675" s="708"/>
      <c r="G675" s="708"/>
      <c r="H675" s="708"/>
      <c r="I675" s="708"/>
      <c r="J675" s="708"/>
      <c r="K675" s="708"/>
      <c r="L675" s="708"/>
      <c r="M675" s="708"/>
      <c r="N675" s="809"/>
      <c r="O675" s="809"/>
      <c r="P675" s="809"/>
      <c r="Q675" s="809"/>
      <c r="R675" s="809"/>
      <c r="S675" s="809"/>
      <c r="T675" s="801"/>
      <c r="U675" s="801"/>
      <c r="V675" s="801"/>
      <c r="W675" s="801"/>
      <c r="X675" s="801"/>
      <c r="Y675" s="801"/>
      <c r="Z675" s="801"/>
      <c r="AA675" s="801"/>
      <c r="AB675" s="801"/>
      <c r="AC675" s="801"/>
      <c r="AD675" s="801"/>
      <c r="AE675" s="801"/>
      <c r="AF675" s="801"/>
      <c r="AG675" s="801"/>
      <c r="AH675" s="801"/>
      <c r="AI675" s="801"/>
      <c r="AJ675" s="801"/>
      <c r="AK675" s="801"/>
      <c r="AL675" s="801"/>
      <c r="AM675" s="801"/>
      <c r="AN675" s="801"/>
      <c r="AO675" s="801"/>
      <c r="AP675" s="801"/>
      <c r="AQ675" s="801"/>
      <c r="AR675" s="801"/>
      <c r="AS675" s="801"/>
      <c r="AT675" s="801"/>
      <c r="AU675" s="801"/>
      <c r="AV675" s="801"/>
      <c r="AW675" s="801"/>
      <c r="AX675" s="801"/>
      <c r="AY675" s="801"/>
      <c r="AZ675" s="801"/>
      <c r="BA675" s="801"/>
      <c r="BB675" s="801"/>
    </row>
    <row r="676" spans="1:54" ht="12.6" customHeight="1" x14ac:dyDescent="0.25">
      <c r="A676" s="295"/>
      <c r="B676" s="295"/>
      <c r="C676" s="295"/>
      <c r="D676" s="295"/>
      <c r="E676" s="295"/>
      <c r="F676" s="295"/>
      <c r="G676" s="295"/>
      <c r="H676" s="295"/>
      <c r="I676" s="295"/>
      <c r="J676" s="295"/>
      <c r="K676" s="295"/>
      <c r="L676" s="295"/>
      <c r="M676" s="295"/>
      <c r="N676" s="264"/>
      <c r="O676" s="264"/>
      <c r="P676" s="264"/>
      <c r="Q676" s="264"/>
      <c r="R676" s="264"/>
      <c r="S676" s="264"/>
      <c r="T676" s="264"/>
      <c r="U676" s="264"/>
      <c r="V676" s="264"/>
      <c r="W676" s="264"/>
      <c r="X676" s="264"/>
      <c r="Y676" s="264"/>
      <c r="Z676" s="264"/>
      <c r="AA676" s="264"/>
      <c r="AB676" s="264"/>
      <c r="AC676" s="264"/>
      <c r="AD676" s="264"/>
      <c r="AE676" s="264"/>
      <c r="AF676" s="264"/>
      <c r="AG676" s="264"/>
      <c r="AH676" s="264"/>
      <c r="AI676" s="264"/>
      <c r="AJ676" s="264"/>
      <c r="AK676" s="264"/>
      <c r="AL676" s="264"/>
      <c r="AM676" s="264"/>
      <c r="AN676" s="264"/>
      <c r="AO676" s="264"/>
      <c r="AP676" s="264"/>
      <c r="AQ676" s="264"/>
      <c r="AR676" s="264"/>
      <c r="AS676" s="264"/>
      <c r="AT676" s="264"/>
      <c r="AU676" s="264"/>
      <c r="AV676" s="264"/>
      <c r="AW676" s="264"/>
      <c r="AX676" s="264"/>
      <c r="AY676" s="264"/>
      <c r="AZ676" s="264"/>
      <c r="BA676" s="264"/>
      <c r="BB676" s="264"/>
    </row>
    <row r="677" spans="1:54" ht="12.6" customHeight="1" x14ac:dyDescent="0.25">
      <c r="A677" s="29" t="s">
        <v>1329</v>
      </c>
    </row>
    <row r="678" spans="1:54" ht="12.6" customHeight="1" x14ac:dyDescent="0.25">
      <c r="A678" s="706" t="s">
        <v>1637</v>
      </c>
      <c r="B678" s="706"/>
      <c r="C678" s="706"/>
      <c r="D678" s="706"/>
      <c r="E678" s="706"/>
      <c r="F678" s="706"/>
      <c r="G678" s="706"/>
      <c r="H678" s="706"/>
      <c r="I678" s="706"/>
      <c r="J678" s="706"/>
      <c r="K678" s="706"/>
      <c r="L678" s="706"/>
      <c r="M678" s="706"/>
      <c r="N678" s="706"/>
      <c r="O678" s="706"/>
      <c r="P678" s="706"/>
      <c r="Q678" s="706"/>
      <c r="R678" s="706"/>
      <c r="S678" s="706"/>
      <c r="T678" s="706"/>
      <c r="U678" s="706"/>
      <c r="V678" s="706"/>
      <c r="W678" s="706"/>
      <c r="X678" s="706"/>
      <c r="Y678" s="706"/>
      <c r="Z678" s="706"/>
      <c r="AA678" s="706"/>
      <c r="AB678" s="706"/>
      <c r="AC678" s="706"/>
      <c r="AD678" s="706"/>
      <c r="AE678" s="706"/>
      <c r="AF678" s="706"/>
      <c r="AG678" s="706"/>
      <c r="AH678" s="706"/>
      <c r="AI678" s="706"/>
      <c r="AJ678" s="706"/>
      <c r="AK678" s="706"/>
      <c r="AL678" s="707" t="s">
        <v>1641</v>
      </c>
      <c r="AM678" s="707"/>
      <c r="AN678" s="707"/>
      <c r="AO678" s="707"/>
      <c r="AP678" s="707"/>
      <c r="AQ678" s="707"/>
      <c r="AR678" s="707"/>
      <c r="AS678" s="707"/>
      <c r="AT678" s="707"/>
      <c r="AU678" s="707"/>
      <c r="AV678" s="707"/>
      <c r="AW678" s="707"/>
      <c r="AX678" s="707"/>
      <c r="AY678" s="707"/>
      <c r="AZ678" s="707"/>
      <c r="BA678" s="707"/>
      <c r="BB678" s="707"/>
    </row>
    <row r="679" spans="1:54" s="227" customFormat="1" ht="12.6" customHeight="1" x14ac:dyDescent="0.25">
      <c r="A679" s="810" t="s">
        <v>1642</v>
      </c>
      <c r="B679" s="810"/>
      <c r="C679" s="810"/>
      <c r="D679" s="810"/>
      <c r="E679" s="810"/>
      <c r="F679" s="810"/>
      <c r="G679" s="810"/>
      <c r="H679" s="810"/>
      <c r="I679" s="810"/>
      <c r="J679" s="810"/>
      <c r="K679" s="810"/>
      <c r="L679" s="810"/>
      <c r="M679" s="810"/>
      <c r="N679" s="810"/>
      <c r="O679" s="810"/>
      <c r="P679" s="810"/>
      <c r="Q679" s="810"/>
      <c r="R679" s="810"/>
      <c r="S679" s="810"/>
      <c r="T679" s="810"/>
      <c r="U679" s="810"/>
      <c r="V679" s="810"/>
      <c r="W679" s="810"/>
      <c r="X679" s="810"/>
      <c r="Y679" s="810"/>
      <c r="Z679" s="810"/>
      <c r="AA679" s="810"/>
      <c r="AB679" s="810"/>
      <c r="AC679" s="810"/>
      <c r="AD679" s="810"/>
      <c r="AE679" s="810"/>
      <c r="AF679" s="810"/>
      <c r="AG679" s="810"/>
      <c r="AH679" s="810"/>
      <c r="AI679" s="810"/>
      <c r="AJ679" s="810"/>
      <c r="AK679" s="810"/>
      <c r="AL679" s="811"/>
      <c r="AM679" s="811"/>
      <c r="AN679" s="811"/>
      <c r="AO679" s="811"/>
      <c r="AP679" s="811"/>
      <c r="AQ679" s="811"/>
      <c r="AR679" s="811"/>
      <c r="AS679" s="811"/>
      <c r="AT679" s="811"/>
      <c r="AU679" s="811"/>
      <c r="AV679" s="811"/>
      <c r="AW679" s="811"/>
      <c r="AX679" s="811"/>
      <c r="AY679" s="811"/>
      <c r="AZ679" s="811"/>
      <c r="BA679" s="811"/>
      <c r="BB679" s="811"/>
    </row>
    <row r="680" spans="1:54" ht="12.6" customHeight="1" x14ac:dyDescent="0.25">
      <c r="A680" s="812" t="s">
        <v>1643</v>
      </c>
      <c r="B680" s="812"/>
      <c r="C680" s="812"/>
      <c r="D680" s="812"/>
      <c r="E680" s="812"/>
      <c r="F680" s="812"/>
      <c r="G680" s="812"/>
      <c r="H680" s="812"/>
      <c r="I680" s="812"/>
      <c r="J680" s="812"/>
      <c r="K680" s="812"/>
      <c r="L680" s="812"/>
      <c r="M680" s="812"/>
      <c r="N680" s="812"/>
      <c r="O680" s="812"/>
      <c r="P680" s="812"/>
      <c r="Q680" s="812"/>
      <c r="R680" s="812"/>
      <c r="S680" s="812"/>
      <c r="T680" s="812"/>
      <c r="U680" s="812"/>
      <c r="V680" s="812"/>
      <c r="W680" s="812"/>
      <c r="X680" s="812"/>
      <c r="Y680" s="812"/>
      <c r="Z680" s="812"/>
      <c r="AA680" s="812"/>
      <c r="AB680" s="812"/>
      <c r="AC680" s="812"/>
      <c r="AD680" s="812"/>
      <c r="AE680" s="812"/>
      <c r="AF680" s="812"/>
      <c r="AG680" s="812"/>
      <c r="AH680" s="812"/>
      <c r="AI680" s="812"/>
      <c r="AJ680" s="812"/>
      <c r="AK680" s="812"/>
      <c r="AL680" s="811"/>
      <c r="AM680" s="811"/>
      <c r="AN680" s="811"/>
      <c r="AO680" s="811"/>
      <c r="AP680" s="811"/>
      <c r="AQ680" s="811"/>
      <c r="AR680" s="811"/>
      <c r="AS680" s="811"/>
      <c r="AT680" s="811"/>
      <c r="AU680" s="811"/>
      <c r="AV680" s="811"/>
      <c r="AW680" s="811"/>
      <c r="AX680" s="811"/>
      <c r="AY680" s="811"/>
      <c r="AZ680" s="811"/>
      <c r="BA680" s="811"/>
      <c r="BB680" s="811"/>
    </row>
    <row r="681" spans="1:54" ht="12.6" customHeight="1" x14ac:dyDescent="0.25">
      <c r="A681" s="227" t="s">
        <v>1482</v>
      </c>
    </row>
    <row r="682" spans="1:54" ht="15" customHeight="1" x14ac:dyDescent="0.25">
      <c r="A682" s="763"/>
      <c r="B682" s="763"/>
      <c r="C682" s="763"/>
      <c r="D682" s="763"/>
      <c r="E682" s="763"/>
      <c r="F682" s="763"/>
      <c r="G682" s="763"/>
      <c r="H682" s="763"/>
      <c r="I682" s="763"/>
      <c r="J682" s="763"/>
      <c r="K682" s="763"/>
      <c r="L682" s="763"/>
      <c r="M682" s="763"/>
      <c r="N682" s="763"/>
      <c r="O682" s="763"/>
      <c r="P682" s="763"/>
      <c r="Q682" s="763"/>
      <c r="R682" s="763"/>
      <c r="S682" s="763"/>
      <c r="T682" s="763"/>
      <c r="U682" s="763"/>
      <c r="V682" s="763"/>
      <c r="W682" s="763"/>
      <c r="X682" s="763"/>
      <c r="Y682" s="763"/>
      <c r="Z682" s="763"/>
      <c r="AA682" s="763"/>
      <c r="AB682" s="763"/>
      <c r="AC682" s="763"/>
      <c r="AD682" s="763"/>
      <c r="AE682" s="763"/>
      <c r="AF682" s="763"/>
      <c r="AG682" s="763"/>
      <c r="AH682" s="763"/>
      <c r="AI682" s="763"/>
      <c r="AJ682" s="763"/>
      <c r="AK682" s="763"/>
      <c r="AL682" s="763"/>
      <c r="AM682" s="763"/>
      <c r="AN682" s="763"/>
      <c r="AO682" s="763"/>
      <c r="AP682" s="763"/>
      <c r="AQ682" s="763"/>
      <c r="AR682" s="763"/>
      <c r="AS682" s="763"/>
      <c r="AT682" s="763"/>
      <c r="AU682" s="763"/>
      <c r="AV682" s="763"/>
      <c r="AW682" s="763"/>
      <c r="AX682" s="763"/>
      <c r="AY682" s="265"/>
      <c r="AZ682" s="265"/>
      <c r="BA682" s="265"/>
      <c r="BB682" s="265"/>
    </row>
    <row r="683" spans="1:54" ht="15" customHeight="1" x14ac:dyDescent="0.25">
      <c r="A683" s="763"/>
      <c r="B683" s="763"/>
      <c r="C683" s="763"/>
      <c r="D683" s="763"/>
      <c r="E683" s="763"/>
      <c r="F683" s="763"/>
      <c r="G683" s="763"/>
      <c r="H683" s="763"/>
      <c r="I683" s="763"/>
      <c r="J683" s="763"/>
      <c r="K683" s="763"/>
      <c r="L683" s="763"/>
      <c r="M683" s="763"/>
      <c r="N683" s="763"/>
      <c r="O683" s="763"/>
      <c r="P683" s="763"/>
      <c r="Q683" s="763"/>
      <c r="R683" s="763"/>
      <c r="S683" s="763"/>
      <c r="T683" s="763"/>
      <c r="U683" s="763"/>
      <c r="V683" s="763"/>
      <c r="W683" s="763"/>
      <c r="X683" s="763"/>
      <c r="Y683" s="763"/>
      <c r="Z683" s="763"/>
      <c r="AA683" s="763"/>
      <c r="AB683" s="763"/>
      <c r="AC683" s="763"/>
      <c r="AD683" s="763"/>
      <c r="AE683" s="763"/>
      <c r="AF683" s="763"/>
      <c r="AG683" s="763"/>
      <c r="AH683" s="763"/>
      <c r="AI683" s="763"/>
      <c r="AJ683" s="763"/>
      <c r="AK683" s="763"/>
      <c r="AL683" s="763"/>
      <c r="AM683" s="763"/>
      <c r="AN683" s="763"/>
      <c r="AO683" s="763"/>
      <c r="AP683" s="763"/>
      <c r="AQ683" s="763"/>
      <c r="AR683" s="763"/>
      <c r="AS683" s="763"/>
      <c r="AT683" s="763"/>
      <c r="AU683" s="763"/>
      <c r="AV683" s="763"/>
      <c r="AW683" s="763"/>
      <c r="AX683" s="763"/>
      <c r="AY683" s="265"/>
      <c r="AZ683" s="265"/>
      <c r="BA683" s="265"/>
      <c r="BB683" s="265"/>
    </row>
    <row r="684" spans="1:54" s="208" customFormat="1" ht="12.6" customHeight="1" x14ac:dyDescent="0.25"/>
    <row r="685" spans="1:54" s="208" customFormat="1" ht="12.6" customHeight="1" x14ac:dyDescent="0.25"/>
    <row r="686" spans="1:54" s="208" customFormat="1" ht="12.6" customHeight="1" x14ac:dyDescent="0.25"/>
    <row r="687" spans="1:54" s="208" customFormat="1" ht="12.6" customHeight="1" x14ac:dyDescent="0.25"/>
    <row r="688" spans="1:54" s="208" customFormat="1" ht="12.6" customHeight="1" x14ac:dyDescent="0.25"/>
    <row r="689" spans="1:53" s="208" customFormat="1" ht="12.6" customHeight="1" x14ac:dyDescent="0.25"/>
    <row r="690" spans="1:53" s="208" customFormat="1" ht="12.6" customHeight="1" x14ac:dyDescent="0.25"/>
    <row r="691" spans="1:53" s="208" customFormat="1" ht="12.6" customHeight="1" x14ac:dyDescent="0.25"/>
    <row r="692" spans="1:53" s="208" customFormat="1" ht="12.6" customHeight="1" x14ac:dyDescent="0.25"/>
    <row r="693" spans="1:53" s="208" customFormat="1" ht="12.6" customHeight="1" x14ac:dyDescent="0.25"/>
    <row r="694" spans="1:53" s="208" customFormat="1" ht="12.6" customHeight="1" x14ac:dyDescent="0.25"/>
    <row r="695" spans="1:53" s="208" customFormat="1" ht="12.6" customHeight="1" x14ac:dyDescent="0.25"/>
    <row r="696" spans="1:53" s="208" customFormat="1" ht="12.6" customHeight="1" x14ac:dyDescent="0.25"/>
    <row r="697" spans="1:53" s="208" customFormat="1" ht="12.6" customHeight="1" x14ac:dyDescent="0.25"/>
    <row r="698" spans="1:53" s="208" customFormat="1" ht="12.6" customHeight="1" x14ac:dyDescent="0.25"/>
    <row r="699" spans="1:53" s="208" customFormat="1" ht="12.6" customHeight="1" x14ac:dyDescent="0.25"/>
    <row r="700" spans="1:53" s="208" customFormat="1" ht="12.6" customHeight="1" x14ac:dyDescent="0.25"/>
    <row r="701" spans="1:53" s="208" customFormat="1" ht="12.6" customHeight="1" x14ac:dyDescent="0.25"/>
    <row r="702" spans="1:53" s="208" customFormat="1" ht="12.6" customHeight="1" x14ac:dyDescent="0.25"/>
    <row r="703" spans="1:53" s="208" customFormat="1" ht="12.6" customHeight="1" x14ac:dyDescent="0.25"/>
    <row r="704" spans="1:53" ht="27.75" customHeight="1" x14ac:dyDescent="0.25">
      <c r="A704" s="813" t="s">
        <v>1644</v>
      </c>
      <c r="B704" s="813"/>
      <c r="C704" s="813"/>
      <c r="D704" s="813"/>
      <c r="E704" s="813"/>
      <c r="F704" s="813"/>
      <c r="G704" s="813"/>
      <c r="H704" s="813"/>
      <c r="I704" s="813"/>
      <c r="J704" s="813"/>
      <c r="K704" s="813"/>
      <c r="L704" s="813"/>
      <c r="M704" s="813"/>
      <c r="N704" s="813"/>
      <c r="O704" s="813"/>
      <c r="P704" s="813"/>
      <c r="Q704" s="813"/>
      <c r="R704" s="813"/>
      <c r="S704" s="813"/>
      <c r="T704" s="813"/>
      <c r="U704" s="813"/>
      <c r="V704" s="813"/>
      <c r="W704" s="813"/>
      <c r="X704" s="813"/>
      <c r="Y704" s="813"/>
      <c r="Z704" s="813"/>
      <c r="AA704" s="813"/>
      <c r="AB704" s="813"/>
      <c r="AC704" s="813"/>
      <c r="AD704" s="813"/>
      <c r="AE704" s="813"/>
      <c r="AF704" s="813"/>
      <c r="AG704" s="813"/>
      <c r="AH704" s="813"/>
      <c r="AI704" s="813"/>
      <c r="AJ704" s="813"/>
      <c r="AK704" s="813"/>
      <c r="AL704" s="813"/>
      <c r="AM704" s="813"/>
      <c r="AN704" s="813"/>
      <c r="AO704" s="813"/>
      <c r="AP704" s="813"/>
      <c r="AQ704" s="813"/>
      <c r="AR704" s="813"/>
      <c r="AS704" s="813"/>
      <c r="AT704" s="813"/>
      <c r="AU704" s="813"/>
      <c r="AV704" s="813"/>
      <c r="AW704" s="813"/>
      <c r="AX704" s="813"/>
      <c r="AY704" s="813"/>
      <c r="AZ704" s="813"/>
      <c r="BA704" s="813"/>
    </row>
    <row r="705" spans="1:54" ht="12.6" customHeight="1" x14ac:dyDescent="0.25">
      <c r="A705" s="814" t="s">
        <v>1623</v>
      </c>
      <c r="B705" s="814"/>
      <c r="C705" s="814"/>
      <c r="D705" s="814"/>
      <c r="E705" s="814"/>
      <c r="F705" s="814"/>
      <c r="G705" s="814"/>
      <c r="H705" s="814"/>
      <c r="I705" s="814"/>
      <c r="J705" s="814"/>
      <c r="K705" s="814"/>
      <c r="L705" s="814"/>
      <c r="M705" s="814"/>
      <c r="N705" s="814"/>
      <c r="O705" s="814"/>
      <c r="P705" s="814"/>
      <c r="Q705" s="814"/>
      <c r="R705" s="814"/>
      <c r="S705" s="814"/>
      <c r="T705" s="814"/>
      <c r="U705" s="814"/>
      <c r="V705" s="814"/>
      <c r="W705" s="814"/>
      <c r="X705" s="814"/>
      <c r="Y705" s="814"/>
      <c r="Z705" s="814"/>
      <c r="AA705" s="814"/>
      <c r="AB705" s="814"/>
      <c r="AC705" s="814"/>
      <c r="AD705" s="814"/>
      <c r="AE705" s="814"/>
      <c r="AF705" s="814"/>
      <c r="AG705" s="814"/>
      <c r="AH705" s="814"/>
      <c r="AI705" s="814"/>
      <c r="AJ705" s="814"/>
      <c r="AK705" s="814"/>
      <c r="AL705" s="768" t="s">
        <v>1645</v>
      </c>
      <c r="AM705" s="768"/>
      <c r="AN705" s="768"/>
      <c r="AO705" s="768"/>
      <c r="AP705" s="768"/>
      <c r="AQ705" s="768"/>
      <c r="AR705" s="768"/>
      <c r="AS705" s="768"/>
      <c r="AT705" s="768"/>
      <c r="AU705" s="768"/>
      <c r="AV705" s="768"/>
      <c r="AW705" s="768"/>
      <c r="AX705" s="768"/>
      <c r="AY705" s="768"/>
      <c r="AZ705" s="768"/>
      <c r="BA705" s="768"/>
      <c r="BB705" s="768"/>
    </row>
    <row r="706" spans="1:54" ht="12.6" customHeight="1" x14ac:dyDescent="0.25">
      <c r="A706" s="814"/>
      <c r="B706" s="814"/>
      <c r="C706" s="814"/>
      <c r="D706" s="814"/>
      <c r="E706" s="814"/>
      <c r="F706" s="814"/>
      <c r="G706" s="814"/>
      <c r="H706" s="814"/>
      <c r="I706" s="814"/>
      <c r="J706" s="814"/>
      <c r="K706" s="814"/>
      <c r="L706" s="814"/>
      <c r="M706" s="814"/>
      <c r="N706" s="814"/>
      <c r="O706" s="814"/>
      <c r="P706" s="814"/>
      <c r="Q706" s="814"/>
      <c r="R706" s="814"/>
      <c r="S706" s="814"/>
      <c r="T706" s="814"/>
      <c r="U706" s="814"/>
      <c r="V706" s="814"/>
      <c r="W706" s="814"/>
      <c r="X706" s="814"/>
      <c r="Y706" s="814"/>
      <c r="Z706" s="814"/>
      <c r="AA706" s="814"/>
      <c r="AB706" s="814"/>
      <c r="AC706" s="814"/>
      <c r="AD706" s="814"/>
      <c r="AE706" s="814"/>
      <c r="AF706" s="814"/>
      <c r="AG706" s="814"/>
      <c r="AH706" s="814"/>
      <c r="AI706" s="814"/>
      <c r="AJ706" s="814"/>
      <c r="AK706" s="814"/>
      <c r="AL706" s="750" t="s">
        <v>1290</v>
      </c>
      <c r="AM706" s="750"/>
      <c r="AN706" s="750"/>
      <c r="AO706" s="750"/>
      <c r="AP706" s="750"/>
      <c r="AQ706" s="750"/>
      <c r="AR706" s="750"/>
      <c r="AS706" s="750"/>
      <c r="AT706" s="750"/>
      <c r="AU706" s="750"/>
      <c r="AV706" s="750"/>
      <c r="AW706" s="750"/>
      <c r="AX706" s="750"/>
      <c r="AY706" s="750"/>
      <c r="AZ706" s="750"/>
      <c r="BA706" s="750"/>
      <c r="BB706" s="750"/>
    </row>
    <row r="707" spans="1:54" ht="12.6" customHeight="1" x14ac:dyDescent="0.25">
      <c r="A707" s="815" t="s">
        <v>1646</v>
      </c>
      <c r="B707" s="815"/>
      <c r="C707" s="815"/>
      <c r="D707" s="815"/>
      <c r="E707" s="815"/>
      <c r="F707" s="815"/>
      <c r="G707" s="815"/>
      <c r="H707" s="815"/>
      <c r="I707" s="815"/>
      <c r="J707" s="815"/>
      <c r="K707" s="815"/>
      <c r="L707" s="815"/>
      <c r="M707" s="815"/>
      <c r="N707" s="815"/>
      <c r="O707" s="815"/>
      <c r="P707" s="815"/>
      <c r="Q707" s="815"/>
      <c r="R707" s="815"/>
      <c r="S707" s="815"/>
      <c r="T707" s="815"/>
      <c r="U707" s="815"/>
      <c r="V707" s="815"/>
      <c r="W707" s="815"/>
      <c r="X707" s="815"/>
      <c r="Y707" s="815"/>
      <c r="Z707" s="815"/>
      <c r="AA707" s="815"/>
      <c r="AB707" s="815"/>
      <c r="AC707" s="815"/>
      <c r="AD707" s="815"/>
      <c r="AE707" s="815"/>
      <c r="AF707" s="815"/>
      <c r="AG707" s="815"/>
      <c r="AH707" s="815"/>
      <c r="AI707" s="815"/>
      <c r="AJ707" s="815"/>
      <c r="AK707" s="815"/>
      <c r="AL707" s="800"/>
      <c r="AM707" s="800"/>
      <c r="AN707" s="800"/>
      <c r="AO707" s="800"/>
      <c r="AP707" s="800"/>
      <c r="AQ707" s="800"/>
      <c r="AR707" s="800"/>
      <c r="AS707" s="800"/>
      <c r="AT707" s="800"/>
      <c r="AU707" s="800"/>
      <c r="AV707" s="800"/>
      <c r="AW707" s="800"/>
      <c r="AX707" s="800"/>
      <c r="AY707" s="800"/>
      <c r="AZ707" s="800"/>
      <c r="BA707" s="800"/>
      <c r="BB707" s="800"/>
    </row>
    <row r="708" spans="1:54" ht="12.6" customHeight="1" x14ac:dyDescent="0.25">
      <c r="A708" s="815" t="s">
        <v>1647</v>
      </c>
      <c r="B708" s="815"/>
      <c r="C708" s="815"/>
      <c r="D708" s="815"/>
      <c r="E708" s="815"/>
      <c r="F708" s="815"/>
      <c r="G708" s="815"/>
      <c r="H708" s="815"/>
      <c r="I708" s="815"/>
      <c r="J708" s="815"/>
      <c r="K708" s="815"/>
      <c r="L708" s="815"/>
      <c r="M708" s="815"/>
      <c r="N708" s="815"/>
      <c r="O708" s="815"/>
      <c r="P708" s="815"/>
      <c r="Q708" s="815"/>
      <c r="R708" s="815"/>
      <c r="S708" s="815"/>
      <c r="T708" s="815"/>
      <c r="U708" s="815"/>
      <c r="V708" s="815"/>
      <c r="W708" s="815"/>
      <c r="X708" s="815"/>
      <c r="Y708" s="815"/>
      <c r="Z708" s="815"/>
      <c r="AA708" s="815"/>
      <c r="AB708" s="815"/>
      <c r="AC708" s="815"/>
      <c r="AD708" s="815"/>
      <c r="AE708" s="815"/>
      <c r="AF708" s="815"/>
      <c r="AG708" s="815"/>
      <c r="AH708" s="815"/>
      <c r="AI708" s="815"/>
      <c r="AJ708" s="815"/>
      <c r="AK708" s="815"/>
      <c r="AL708" s="800"/>
      <c r="AM708" s="800"/>
      <c r="AN708" s="800"/>
      <c r="AO708" s="800"/>
      <c r="AP708" s="800"/>
      <c r="AQ708" s="800"/>
      <c r="AR708" s="800"/>
      <c r="AS708" s="800"/>
      <c r="AT708" s="800"/>
      <c r="AU708" s="800"/>
      <c r="AV708" s="800"/>
      <c r="AW708" s="800"/>
      <c r="AX708" s="800"/>
      <c r="AY708" s="800"/>
      <c r="AZ708" s="800"/>
      <c r="BA708" s="800"/>
      <c r="BB708" s="800"/>
    </row>
    <row r="709" spans="1:54" ht="12.6" customHeight="1" x14ac:dyDescent="0.25">
      <c r="A709" s="227" t="s">
        <v>1344</v>
      </c>
    </row>
    <row r="710" spans="1:54" ht="15" customHeight="1" x14ac:dyDescent="0.25">
      <c r="A710" s="763"/>
      <c r="B710" s="763"/>
      <c r="C710" s="763"/>
      <c r="D710" s="763"/>
      <c r="E710" s="763"/>
      <c r="F710" s="763"/>
      <c r="G710" s="763"/>
      <c r="H710" s="763"/>
      <c r="I710" s="763"/>
      <c r="J710" s="763"/>
      <c r="K710" s="763"/>
      <c r="L710" s="763"/>
      <c r="M710" s="763"/>
      <c r="N710" s="763"/>
      <c r="O710" s="763"/>
      <c r="P710" s="763"/>
      <c r="Q710" s="763"/>
      <c r="R710" s="763"/>
      <c r="S710" s="763"/>
      <c r="T710" s="763"/>
      <c r="U710" s="763"/>
      <c r="V710" s="763"/>
      <c r="W710" s="763"/>
      <c r="X710" s="763"/>
      <c r="Y710" s="763"/>
      <c r="Z710" s="763"/>
      <c r="AA710" s="763"/>
      <c r="AB710" s="763"/>
      <c r="AC710" s="763"/>
      <c r="AD710" s="763"/>
      <c r="AE710" s="763"/>
      <c r="AF710" s="763"/>
      <c r="AG710" s="763"/>
      <c r="AH710" s="763"/>
      <c r="AI710" s="763"/>
      <c r="AJ710" s="763"/>
      <c r="AK710" s="763"/>
      <c r="AL710" s="763"/>
      <c r="AM710" s="763"/>
      <c r="AN710" s="763"/>
      <c r="AO710" s="763"/>
      <c r="AP710" s="763"/>
      <c r="AQ710" s="763"/>
      <c r="AR710" s="763"/>
      <c r="AS710" s="763"/>
      <c r="AT710" s="763"/>
      <c r="AU710" s="763"/>
      <c r="AV710" s="763"/>
      <c r="AW710" s="763"/>
      <c r="AX710" s="763"/>
      <c r="AY710" s="265"/>
      <c r="AZ710" s="265"/>
      <c r="BA710" s="265"/>
      <c r="BB710" s="265"/>
    </row>
    <row r="711" spans="1:54" ht="15" customHeight="1" x14ac:dyDescent="0.25">
      <c r="A711" s="763"/>
      <c r="B711" s="763"/>
      <c r="C711" s="763"/>
      <c r="D711" s="763"/>
      <c r="E711" s="763"/>
      <c r="F711" s="763"/>
      <c r="G711" s="763"/>
      <c r="H711" s="763"/>
      <c r="I711" s="763"/>
      <c r="J711" s="763"/>
      <c r="K711" s="763"/>
      <c r="L711" s="763"/>
      <c r="M711" s="763"/>
      <c r="N711" s="763"/>
      <c r="O711" s="763"/>
      <c r="P711" s="763"/>
      <c r="Q711" s="763"/>
      <c r="R711" s="763"/>
      <c r="S711" s="763"/>
      <c r="T711" s="763"/>
      <c r="U711" s="763"/>
      <c r="V711" s="763"/>
      <c r="W711" s="763"/>
      <c r="X711" s="763"/>
      <c r="Y711" s="763"/>
      <c r="Z711" s="763"/>
      <c r="AA711" s="763"/>
      <c r="AB711" s="763"/>
      <c r="AC711" s="763"/>
      <c r="AD711" s="763"/>
      <c r="AE711" s="763"/>
      <c r="AF711" s="763"/>
      <c r="AG711" s="763"/>
      <c r="AH711" s="763"/>
      <c r="AI711" s="763"/>
      <c r="AJ711" s="763"/>
      <c r="AK711" s="763"/>
      <c r="AL711" s="763"/>
      <c r="AM711" s="763"/>
      <c r="AN711" s="763"/>
      <c r="AO711" s="763"/>
      <c r="AP711" s="763"/>
      <c r="AQ711" s="763"/>
      <c r="AR711" s="763"/>
      <c r="AS711" s="763"/>
      <c r="AT711" s="763"/>
      <c r="AU711" s="763"/>
      <c r="AV711" s="763"/>
      <c r="AW711" s="763"/>
      <c r="AX711" s="763"/>
      <c r="AY711" s="265"/>
      <c r="AZ711" s="265"/>
      <c r="BA711" s="265"/>
      <c r="BB711" s="265"/>
    </row>
    <row r="712" spans="1:54" s="297" customFormat="1" ht="17.25" customHeight="1" x14ac:dyDescent="0.25">
      <c r="A712" s="296" t="s">
        <v>1648</v>
      </c>
      <c r="B712" s="296"/>
      <c r="C712" s="296"/>
      <c r="D712" s="296"/>
      <c r="E712" s="296"/>
      <c r="F712" s="296"/>
      <c r="G712" s="296"/>
      <c r="H712" s="296"/>
      <c r="I712" s="296"/>
      <c r="J712" s="296"/>
      <c r="K712" s="296"/>
      <c r="L712" s="296"/>
      <c r="M712" s="296"/>
      <c r="N712" s="296"/>
      <c r="O712" s="296"/>
      <c r="P712" s="296"/>
      <c r="Q712" s="296"/>
      <c r="R712" s="296"/>
      <c r="S712" s="296"/>
      <c r="T712" s="296"/>
      <c r="U712" s="296"/>
      <c r="V712" s="296"/>
      <c r="W712" s="296"/>
      <c r="X712" s="296"/>
      <c r="Y712" s="296"/>
      <c r="Z712" s="296"/>
      <c r="AA712" s="296"/>
      <c r="AB712" s="296"/>
      <c r="AC712" s="296"/>
      <c r="AD712" s="296"/>
      <c r="AE712" s="296"/>
      <c r="AF712" s="296"/>
      <c r="AG712" s="296"/>
      <c r="AH712" s="296"/>
      <c r="AI712" s="296"/>
      <c r="AJ712" s="296"/>
      <c r="AK712" s="296"/>
      <c r="AL712" s="296"/>
      <c r="AM712" s="296"/>
      <c r="AN712" s="296"/>
      <c r="AO712" s="296"/>
      <c r="AP712" s="296"/>
      <c r="AQ712" s="296"/>
      <c r="AR712" s="296"/>
      <c r="AS712" s="296"/>
      <c r="AT712" s="296"/>
      <c r="AU712" s="296"/>
      <c r="AV712" s="296"/>
      <c r="AW712" s="296"/>
      <c r="AX712" s="296"/>
      <c r="AY712" s="296"/>
      <c r="AZ712" s="296"/>
      <c r="BA712" s="296"/>
      <c r="BB712" s="296"/>
    </row>
    <row r="713" spans="1:54" ht="12.6" customHeight="1" x14ac:dyDescent="0.25">
      <c r="A713" s="29" t="s">
        <v>1316</v>
      </c>
    </row>
    <row r="714" spans="1:54" ht="11.1" customHeight="1" x14ac:dyDescent="0.25">
      <c r="A714" s="768"/>
      <c r="B714" s="768"/>
      <c r="C714" s="768"/>
      <c r="D714" s="768"/>
      <c r="E714" s="768"/>
      <c r="F714" s="768"/>
      <c r="G714" s="768"/>
      <c r="H714" s="768"/>
      <c r="I714" s="768"/>
      <c r="J714" s="768"/>
      <c r="K714" s="768"/>
      <c r="L714" s="768"/>
      <c r="M714" s="768"/>
      <c r="N714" s="768"/>
      <c r="O714" s="768"/>
      <c r="P714" s="768"/>
      <c r="Q714" s="768"/>
      <c r="R714" s="768"/>
      <c r="S714" s="768"/>
      <c r="T714" s="768"/>
      <c r="U714" s="768"/>
      <c r="V714" s="768"/>
      <c r="W714" s="768"/>
      <c r="X714" s="768"/>
      <c r="Y714" s="768"/>
      <c r="Z714" s="768"/>
      <c r="AA714" s="768"/>
      <c r="AB714" s="768"/>
      <c r="AC714" s="768"/>
      <c r="AD714" s="768"/>
      <c r="AE714" s="768"/>
      <c r="AF714" s="768"/>
      <c r="AG714" s="768"/>
      <c r="AH714" s="768"/>
      <c r="AI714" s="768"/>
      <c r="AJ714" s="768"/>
      <c r="AK714" s="768"/>
      <c r="AL714" s="768" t="s">
        <v>1649</v>
      </c>
      <c r="AM714" s="768"/>
      <c r="AN714" s="768"/>
      <c r="AO714" s="768"/>
      <c r="AP714" s="768"/>
      <c r="AQ714" s="768"/>
      <c r="AR714" s="768"/>
      <c r="AS714" s="768"/>
      <c r="AT714" s="768"/>
      <c r="AU714" s="768"/>
      <c r="AV714" s="768"/>
      <c r="AW714" s="768"/>
      <c r="AX714" s="768"/>
      <c r="AY714" s="768"/>
      <c r="AZ714" s="768"/>
      <c r="BA714" s="768"/>
      <c r="BB714" s="768"/>
    </row>
    <row r="715" spans="1:54" ht="11.1" customHeight="1" x14ac:dyDescent="0.25">
      <c r="A715" s="745"/>
      <c r="B715" s="745"/>
      <c r="C715" s="745"/>
      <c r="D715" s="745"/>
      <c r="E715" s="745"/>
      <c r="F715" s="745"/>
      <c r="G715" s="745"/>
      <c r="H715" s="745"/>
      <c r="I715" s="745"/>
      <c r="J715" s="745"/>
      <c r="K715" s="745"/>
      <c r="L715" s="745"/>
      <c r="M715" s="745"/>
      <c r="N715" s="745"/>
      <c r="O715" s="745"/>
      <c r="P715" s="745"/>
      <c r="Q715" s="745"/>
      <c r="R715" s="745"/>
      <c r="S715" s="745"/>
      <c r="T715" s="745"/>
      <c r="U715" s="745"/>
      <c r="V715" s="745"/>
      <c r="W715" s="745"/>
      <c r="X715" s="745"/>
      <c r="Y715" s="745"/>
      <c r="Z715" s="745"/>
      <c r="AA715" s="745" t="s">
        <v>1650</v>
      </c>
      <c r="AB715" s="745"/>
      <c r="AC715" s="745"/>
      <c r="AD715" s="745"/>
      <c r="AE715" s="745"/>
      <c r="AF715" s="745"/>
      <c r="AG715" s="745"/>
      <c r="AH715" s="745"/>
      <c r="AI715" s="745"/>
      <c r="AJ715" s="745"/>
      <c r="AK715" s="745"/>
      <c r="AL715" s="745" t="s">
        <v>1651</v>
      </c>
      <c r="AM715" s="745"/>
      <c r="AN715" s="745"/>
      <c r="AO715" s="745"/>
      <c r="AP715" s="745"/>
      <c r="AQ715" s="745"/>
      <c r="AR715" s="745"/>
      <c r="AS715" s="745"/>
      <c r="AT715" s="745"/>
      <c r="AU715" s="745"/>
      <c r="AV715" s="745"/>
      <c r="AW715" s="745"/>
      <c r="AX715" s="745"/>
      <c r="AY715" s="745"/>
      <c r="AZ715" s="745"/>
      <c r="BA715" s="745"/>
      <c r="BB715" s="745"/>
    </row>
    <row r="716" spans="1:54" ht="11.1" customHeight="1" x14ac:dyDescent="0.25">
      <c r="A716" s="745" t="s">
        <v>1287</v>
      </c>
      <c r="B716" s="745"/>
      <c r="C716" s="745"/>
      <c r="D716" s="745"/>
      <c r="E716" s="745"/>
      <c r="F716" s="745"/>
      <c r="G716" s="745"/>
      <c r="H716" s="745"/>
      <c r="I716" s="745"/>
      <c r="J716" s="745"/>
      <c r="K716" s="745"/>
      <c r="L716" s="745"/>
      <c r="M716" s="745"/>
      <c r="N716" s="745"/>
      <c r="O716" s="745"/>
      <c r="P716" s="745" t="s">
        <v>1652</v>
      </c>
      <c r="Q716" s="745"/>
      <c r="R716" s="745"/>
      <c r="S716" s="745"/>
      <c r="T716" s="745"/>
      <c r="U716" s="745"/>
      <c r="V716" s="745"/>
      <c r="W716" s="745"/>
      <c r="X716" s="745"/>
      <c r="Y716" s="745"/>
      <c r="Z716" s="745"/>
      <c r="AA716" s="745" t="s">
        <v>1653</v>
      </c>
      <c r="AB716" s="745"/>
      <c r="AC716" s="745"/>
      <c r="AD716" s="745"/>
      <c r="AE716" s="745"/>
      <c r="AF716" s="745"/>
      <c r="AG716" s="745"/>
      <c r="AH716" s="745"/>
      <c r="AI716" s="745"/>
      <c r="AJ716" s="745"/>
      <c r="AK716" s="745"/>
      <c r="AL716" s="745" t="s">
        <v>1654</v>
      </c>
      <c r="AM716" s="745"/>
      <c r="AN716" s="745"/>
      <c r="AO716" s="745"/>
      <c r="AP716" s="745"/>
      <c r="AQ716" s="745"/>
      <c r="AR716" s="745"/>
      <c r="AS716" s="745"/>
      <c r="AT716" s="745"/>
      <c r="AU716" s="745"/>
      <c r="AV716" s="745"/>
      <c r="AW716" s="745"/>
      <c r="AX716" s="745"/>
      <c r="AY716" s="745"/>
      <c r="AZ716" s="745"/>
      <c r="BA716" s="745"/>
      <c r="BB716" s="745"/>
    </row>
    <row r="717" spans="1:54" ht="11.1" customHeight="1" x14ac:dyDescent="0.25">
      <c r="A717" s="745"/>
      <c r="B717" s="745"/>
      <c r="C717" s="745"/>
      <c r="D717" s="745"/>
      <c r="E717" s="745"/>
      <c r="F717" s="745"/>
      <c r="G717" s="745"/>
      <c r="H717" s="745"/>
      <c r="I717" s="745"/>
      <c r="J717" s="745"/>
      <c r="K717" s="745"/>
      <c r="L717" s="745"/>
      <c r="M717" s="745"/>
      <c r="N717" s="745"/>
      <c r="O717" s="745"/>
      <c r="P717" s="745" t="s">
        <v>1290</v>
      </c>
      <c r="Q717" s="745"/>
      <c r="R717" s="745"/>
      <c r="S717" s="745"/>
      <c r="T717" s="745"/>
      <c r="U717" s="745"/>
      <c r="V717" s="745"/>
      <c r="W717" s="745"/>
      <c r="X717" s="745"/>
      <c r="Y717" s="745"/>
      <c r="Z717" s="745"/>
      <c r="AA717" s="745" t="s">
        <v>1290</v>
      </c>
      <c r="AB717" s="745"/>
      <c r="AC717" s="745"/>
      <c r="AD717" s="745"/>
      <c r="AE717" s="745"/>
      <c r="AF717" s="745"/>
      <c r="AG717" s="745"/>
      <c r="AH717" s="745"/>
      <c r="AI717" s="745"/>
      <c r="AJ717" s="745"/>
      <c r="AK717" s="745"/>
      <c r="AL717" s="745" t="s">
        <v>1473</v>
      </c>
      <c r="AM717" s="745"/>
      <c r="AN717" s="745"/>
      <c r="AO717" s="745"/>
      <c r="AP717" s="745"/>
      <c r="AQ717" s="745"/>
      <c r="AR717" s="745"/>
      <c r="AS717" s="745"/>
      <c r="AT717" s="745"/>
      <c r="AU717" s="745"/>
      <c r="AV717" s="745"/>
      <c r="AW717" s="745"/>
      <c r="AX717" s="745"/>
      <c r="AY717" s="745"/>
      <c r="AZ717" s="745"/>
      <c r="BA717" s="745"/>
      <c r="BB717" s="745"/>
    </row>
    <row r="718" spans="1:54" ht="11.1" customHeight="1" x14ac:dyDescent="0.25">
      <c r="A718" s="750" t="s">
        <v>1323</v>
      </c>
      <c r="B718" s="750"/>
      <c r="C718" s="750"/>
      <c r="D718" s="750"/>
      <c r="E718" s="750"/>
      <c r="F718" s="750"/>
      <c r="G718" s="750"/>
      <c r="H718" s="750"/>
      <c r="I718" s="750"/>
      <c r="J718" s="750"/>
      <c r="K718" s="750"/>
      <c r="L718" s="750"/>
      <c r="M718" s="750"/>
      <c r="N718" s="750"/>
      <c r="O718" s="750"/>
      <c r="P718" s="750" t="s">
        <v>1324</v>
      </c>
      <c r="Q718" s="750"/>
      <c r="R718" s="750"/>
      <c r="S718" s="750"/>
      <c r="T718" s="750"/>
      <c r="U718" s="750"/>
      <c r="V718" s="750"/>
      <c r="W718" s="750"/>
      <c r="X718" s="750"/>
      <c r="Y718" s="750"/>
      <c r="Z718" s="750"/>
      <c r="AA718" s="750" t="s">
        <v>1325</v>
      </c>
      <c r="AB718" s="750"/>
      <c r="AC718" s="750"/>
      <c r="AD718" s="750"/>
      <c r="AE718" s="750"/>
      <c r="AF718" s="750"/>
      <c r="AG718" s="750"/>
      <c r="AH718" s="750"/>
      <c r="AI718" s="750"/>
      <c r="AJ718" s="750"/>
      <c r="AK718" s="750"/>
      <c r="AL718" s="750" t="s">
        <v>1326</v>
      </c>
      <c r="AM718" s="750"/>
      <c r="AN718" s="750"/>
      <c r="AO718" s="750"/>
      <c r="AP718" s="750"/>
      <c r="AQ718" s="750"/>
      <c r="AR718" s="750"/>
      <c r="AS718" s="750"/>
      <c r="AT718" s="750"/>
      <c r="AU718" s="750"/>
      <c r="AV718" s="750"/>
      <c r="AW718" s="750"/>
      <c r="AX718" s="750"/>
      <c r="AY718" s="750"/>
      <c r="AZ718" s="750"/>
      <c r="BA718" s="750"/>
      <c r="BB718" s="750"/>
    </row>
    <row r="719" spans="1:54" ht="12.6" customHeight="1" x14ac:dyDescent="0.25">
      <c r="A719" s="711" t="s">
        <v>1655</v>
      </c>
      <c r="B719" s="711"/>
      <c r="C719" s="711"/>
      <c r="D719" s="711"/>
      <c r="E719" s="711"/>
      <c r="F719" s="711"/>
      <c r="G719" s="711"/>
      <c r="H719" s="711"/>
      <c r="I719" s="711"/>
      <c r="J719" s="711"/>
      <c r="K719" s="711"/>
      <c r="L719" s="711"/>
      <c r="M719" s="711"/>
      <c r="N719" s="711"/>
      <c r="O719" s="711"/>
      <c r="P719" s="811"/>
      <c r="Q719" s="811"/>
      <c r="R719" s="811"/>
      <c r="S719" s="811"/>
      <c r="T719" s="811"/>
      <c r="U719" s="811"/>
      <c r="V719" s="811"/>
      <c r="W719" s="811"/>
      <c r="X719" s="811"/>
      <c r="Y719" s="811"/>
      <c r="Z719" s="811"/>
      <c r="AA719" s="811"/>
      <c r="AB719" s="811"/>
      <c r="AC719" s="811"/>
      <c r="AD719" s="811"/>
      <c r="AE719" s="811"/>
      <c r="AF719" s="811"/>
      <c r="AG719" s="811"/>
      <c r="AH719" s="811"/>
      <c r="AI719" s="811"/>
      <c r="AJ719" s="811"/>
      <c r="AK719" s="811"/>
      <c r="AL719" s="811"/>
      <c r="AM719" s="811"/>
      <c r="AN719" s="811"/>
      <c r="AO719" s="811"/>
      <c r="AP719" s="811"/>
      <c r="AQ719" s="811"/>
      <c r="AR719" s="811"/>
      <c r="AS719" s="811"/>
      <c r="AT719" s="811"/>
      <c r="AU719" s="811"/>
      <c r="AV719" s="811"/>
      <c r="AW719" s="811"/>
      <c r="AX719" s="811"/>
      <c r="AY719" s="811"/>
      <c r="AZ719" s="811"/>
      <c r="BA719" s="811"/>
      <c r="BB719" s="811"/>
    </row>
    <row r="720" spans="1:54" ht="12.6" customHeight="1" x14ac:dyDescent="0.25">
      <c r="A720" s="708" t="s">
        <v>1656</v>
      </c>
      <c r="B720" s="708"/>
      <c r="C720" s="708"/>
      <c r="D720" s="708"/>
      <c r="E720" s="708"/>
      <c r="F720" s="708"/>
      <c r="G720" s="708"/>
      <c r="H720" s="708"/>
      <c r="I720" s="708"/>
      <c r="J720" s="708"/>
      <c r="K720" s="708"/>
      <c r="L720" s="708"/>
      <c r="M720" s="708"/>
      <c r="N720" s="708"/>
      <c r="O720" s="708"/>
      <c r="P720" s="709"/>
      <c r="Q720" s="709"/>
      <c r="R720" s="709"/>
      <c r="S720" s="709"/>
      <c r="T720" s="709"/>
      <c r="U720" s="709"/>
      <c r="V720" s="709"/>
      <c r="W720" s="709"/>
      <c r="X720" s="709"/>
      <c r="Y720" s="709"/>
      <c r="Z720" s="709"/>
      <c r="AA720" s="709"/>
      <c r="AB720" s="709"/>
      <c r="AC720" s="709"/>
      <c r="AD720" s="709"/>
      <c r="AE720" s="709"/>
      <c r="AF720" s="709"/>
      <c r="AG720" s="709"/>
      <c r="AH720" s="709"/>
      <c r="AI720" s="709"/>
      <c r="AJ720" s="709"/>
      <c r="AK720" s="709"/>
      <c r="AL720" s="709"/>
      <c r="AM720" s="709"/>
      <c r="AN720" s="709"/>
      <c r="AO720" s="709"/>
      <c r="AP720" s="709"/>
      <c r="AQ720" s="709"/>
      <c r="AR720" s="709"/>
      <c r="AS720" s="709"/>
      <c r="AT720" s="709"/>
      <c r="AU720" s="709"/>
      <c r="AV720" s="709"/>
      <c r="AW720" s="709"/>
      <c r="AX720" s="709"/>
      <c r="AY720" s="709"/>
      <c r="AZ720" s="709"/>
      <c r="BA720" s="709"/>
      <c r="BB720" s="709"/>
    </row>
    <row r="721" spans="1:54" ht="12.6" customHeight="1" x14ac:dyDescent="0.25">
      <c r="A721" s="708" t="s">
        <v>1657</v>
      </c>
      <c r="B721" s="708"/>
      <c r="C721" s="708"/>
      <c r="D721" s="708"/>
      <c r="E721" s="708"/>
      <c r="F721" s="708"/>
      <c r="G721" s="708"/>
      <c r="H721" s="708"/>
      <c r="I721" s="708"/>
      <c r="J721" s="708"/>
      <c r="K721" s="708"/>
      <c r="L721" s="708"/>
      <c r="M721" s="708"/>
      <c r="N721" s="708"/>
      <c r="O721" s="708"/>
      <c r="P721" s="709"/>
      <c r="Q721" s="709"/>
      <c r="R721" s="709"/>
      <c r="S721" s="709"/>
      <c r="T721" s="709"/>
      <c r="U721" s="709"/>
      <c r="V721" s="709"/>
      <c r="W721" s="709"/>
      <c r="X721" s="709"/>
      <c r="Y721" s="709"/>
      <c r="Z721" s="709"/>
      <c r="AA721" s="709"/>
      <c r="AB721" s="709"/>
      <c r="AC721" s="709"/>
      <c r="AD721" s="709"/>
      <c r="AE721" s="709"/>
      <c r="AF721" s="709"/>
      <c r="AG721" s="709"/>
      <c r="AH721" s="709"/>
      <c r="AI721" s="709"/>
      <c r="AJ721" s="709"/>
      <c r="AK721" s="709"/>
      <c r="AL721" s="709"/>
      <c r="AM721" s="709"/>
      <c r="AN721" s="709"/>
      <c r="AO721" s="709"/>
      <c r="AP721" s="709"/>
      <c r="AQ721" s="709"/>
      <c r="AR721" s="709"/>
      <c r="AS721" s="709"/>
      <c r="AT721" s="709"/>
      <c r="AU721" s="709"/>
      <c r="AV721" s="709"/>
      <c r="AW721" s="709"/>
      <c r="AX721" s="709"/>
      <c r="AY721" s="709"/>
      <c r="AZ721" s="709"/>
      <c r="BA721" s="709"/>
      <c r="BB721" s="709"/>
    </row>
    <row r="722" spans="1:54" ht="12.6" customHeight="1" x14ac:dyDescent="0.25">
      <c r="A722" s="29" t="s">
        <v>1329</v>
      </c>
    </row>
    <row r="723" spans="1:54" ht="11.1" customHeight="1" x14ac:dyDescent="0.25">
      <c r="A723" s="768"/>
      <c r="B723" s="768"/>
      <c r="C723" s="768"/>
      <c r="D723" s="768"/>
      <c r="E723" s="768"/>
      <c r="F723" s="768"/>
      <c r="G723" s="768"/>
      <c r="H723" s="768"/>
      <c r="I723" s="768"/>
      <c r="J723" s="768"/>
      <c r="K723" s="768"/>
      <c r="L723" s="768"/>
      <c r="M723" s="768"/>
      <c r="N723" s="768"/>
      <c r="O723" s="768"/>
      <c r="P723" s="768"/>
      <c r="Q723" s="768"/>
      <c r="R723" s="768"/>
      <c r="S723" s="768"/>
      <c r="T723" s="768"/>
      <c r="U723" s="768"/>
      <c r="V723" s="768"/>
      <c r="W723" s="768"/>
      <c r="X723" s="768"/>
      <c r="Y723" s="768"/>
      <c r="Z723" s="768"/>
      <c r="AA723" s="768"/>
      <c r="AB723" s="768"/>
      <c r="AC723" s="768"/>
      <c r="AD723" s="768"/>
      <c r="AE723" s="768"/>
      <c r="AF723" s="768"/>
      <c r="AG723" s="768"/>
      <c r="AH723" s="768" t="s">
        <v>1649</v>
      </c>
      <c r="AI723" s="768"/>
      <c r="AJ723" s="768"/>
      <c r="AK723" s="768"/>
      <c r="AL723" s="768"/>
      <c r="AM723" s="768"/>
      <c r="AN723" s="768"/>
      <c r="AO723" s="768"/>
      <c r="AP723" s="768"/>
      <c r="AQ723" s="768"/>
      <c r="AR723" s="768"/>
      <c r="AS723" s="768"/>
      <c r="AT723" s="768"/>
      <c r="AU723" s="768"/>
      <c r="AV723" s="768"/>
      <c r="AW723" s="768"/>
      <c r="AX723" s="768"/>
      <c r="AY723" s="768"/>
      <c r="AZ723" s="768"/>
      <c r="BA723" s="768"/>
      <c r="BB723" s="768"/>
    </row>
    <row r="724" spans="1:54" ht="11.1" customHeight="1" x14ac:dyDescent="0.25">
      <c r="A724" s="745"/>
      <c r="B724" s="745"/>
      <c r="C724" s="745"/>
      <c r="D724" s="745"/>
      <c r="E724" s="745"/>
      <c r="F724" s="745"/>
      <c r="G724" s="745"/>
      <c r="H724" s="745"/>
      <c r="I724" s="745"/>
      <c r="J724" s="745"/>
      <c r="K724" s="745"/>
      <c r="L724" s="745"/>
      <c r="M724" s="745"/>
      <c r="N724" s="745"/>
      <c r="O724" s="745"/>
      <c r="P724" s="745"/>
      <c r="Q724" s="745"/>
      <c r="R724" s="745"/>
      <c r="S724" s="745"/>
      <c r="T724" s="745"/>
      <c r="U724" s="745" t="s">
        <v>1658</v>
      </c>
      <c r="V724" s="745"/>
      <c r="W724" s="745"/>
      <c r="X724" s="745"/>
      <c r="Y724" s="745"/>
      <c r="Z724" s="745"/>
      <c r="AA724" s="745"/>
      <c r="AB724" s="745"/>
      <c r="AC724" s="745"/>
      <c r="AD724" s="745"/>
      <c r="AE724" s="745"/>
      <c r="AF724" s="745"/>
      <c r="AG724" s="745"/>
      <c r="AH724" s="745" t="s">
        <v>1659</v>
      </c>
      <c r="AI724" s="745"/>
      <c r="AJ724" s="745"/>
      <c r="AK724" s="745"/>
      <c r="AL724" s="745"/>
      <c r="AM724" s="745"/>
      <c r="AN724" s="745"/>
      <c r="AO724" s="745"/>
      <c r="AP724" s="745"/>
      <c r="AQ724" s="745"/>
      <c r="AR724" s="745"/>
      <c r="AS724" s="745"/>
      <c r="AT724" s="745"/>
      <c r="AU724" s="745"/>
      <c r="AV724" s="745"/>
      <c r="AW724" s="745"/>
      <c r="AX724" s="745"/>
      <c r="AY724" s="745"/>
      <c r="AZ724" s="745"/>
      <c r="BA724" s="745"/>
      <c r="BB724" s="745"/>
    </row>
    <row r="725" spans="1:54" ht="11.1" customHeight="1" x14ac:dyDescent="0.25">
      <c r="A725" s="745" t="s">
        <v>1660</v>
      </c>
      <c r="B725" s="745"/>
      <c r="C725" s="745"/>
      <c r="D725" s="745"/>
      <c r="E725" s="745"/>
      <c r="F725" s="745"/>
      <c r="G725" s="745"/>
      <c r="H725" s="745"/>
      <c r="I725" s="745"/>
      <c r="J725" s="745"/>
      <c r="K725" s="745"/>
      <c r="L725" s="745"/>
      <c r="M725" s="745"/>
      <c r="N725" s="745"/>
      <c r="O725" s="745"/>
      <c r="P725" s="745"/>
      <c r="Q725" s="745"/>
      <c r="R725" s="745"/>
      <c r="S725" s="745"/>
      <c r="T725" s="745"/>
      <c r="U725" s="745" t="s">
        <v>1486</v>
      </c>
      <c r="V725" s="745"/>
      <c r="W725" s="745"/>
      <c r="X725" s="745"/>
      <c r="Y725" s="745"/>
      <c r="Z725" s="745"/>
      <c r="AA725" s="745"/>
      <c r="AB725" s="745"/>
      <c r="AC725" s="745"/>
      <c r="AD725" s="745"/>
      <c r="AE725" s="745"/>
      <c r="AF725" s="745"/>
      <c r="AG725" s="745"/>
      <c r="AH725" s="745" t="s">
        <v>1661</v>
      </c>
      <c r="AI725" s="745"/>
      <c r="AJ725" s="745"/>
      <c r="AK725" s="745"/>
      <c r="AL725" s="745"/>
      <c r="AM725" s="745"/>
      <c r="AN725" s="745"/>
      <c r="AO725" s="745"/>
      <c r="AP725" s="745"/>
      <c r="AQ725" s="745"/>
      <c r="AR725" s="745"/>
      <c r="AS725" s="745"/>
      <c r="AT725" s="745"/>
      <c r="AU725" s="745"/>
      <c r="AV725" s="745"/>
      <c r="AW725" s="745"/>
      <c r="AX725" s="745"/>
      <c r="AY725" s="745"/>
      <c r="AZ725" s="745"/>
      <c r="BA725" s="745"/>
      <c r="BB725" s="745"/>
    </row>
    <row r="726" spans="1:54" ht="11.1" customHeight="1" x14ac:dyDescent="0.25">
      <c r="A726" s="745"/>
      <c r="B726" s="745"/>
      <c r="C726" s="745"/>
      <c r="D726" s="745"/>
      <c r="E726" s="745"/>
      <c r="F726" s="745"/>
      <c r="G726" s="745"/>
      <c r="H726" s="745"/>
      <c r="I726" s="745"/>
      <c r="J726" s="745"/>
      <c r="K726" s="745"/>
      <c r="L726" s="745"/>
      <c r="M726" s="745"/>
      <c r="N726" s="745"/>
      <c r="O726" s="745"/>
      <c r="P726" s="745"/>
      <c r="Q726" s="745"/>
      <c r="R726" s="745"/>
      <c r="S726" s="745"/>
      <c r="T726" s="745"/>
      <c r="U726" s="745"/>
      <c r="V726" s="745"/>
      <c r="W726" s="745"/>
      <c r="X726" s="745"/>
      <c r="Y726" s="745"/>
      <c r="Z726" s="745"/>
      <c r="AA726" s="745"/>
      <c r="AB726" s="745"/>
      <c r="AC726" s="745"/>
      <c r="AD726" s="745"/>
      <c r="AE726" s="745"/>
      <c r="AF726" s="745"/>
      <c r="AG726" s="745"/>
      <c r="AH726" s="745" t="s">
        <v>1525</v>
      </c>
      <c r="AI726" s="745"/>
      <c r="AJ726" s="745"/>
      <c r="AK726" s="745"/>
      <c r="AL726" s="745"/>
      <c r="AM726" s="745"/>
      <c r="AN726" s="745"/>
      <c r="AO726" s="745"/>
      <c r="AP726" s="745"/>
      <c r="AQ726" s="745"/>
      <c r="AR726" s="745"/>
      <c r="AS726" s="745"/>
      <c r="AT726" s="745"/>
      <c r="AU726" s="745"/>
      <c r="AV726" s="745"/>
      <c r="AW726" s="745"/>
      <c r="AX726" s="745"/>
      <c r="AY726" s="745"/>
      <c r="AZ726" s="745"/>
      <c r="BA726" s="745"/>
      <c r="BB726" s="745"/>
    </row>
    <row r="727" spans="1:54" ht="11.1" customHeight="1" x14ac:dyDescent="0.25">
      <c r="A727" s="750" t="s">
        <v>1323</v>
      </c>
      <c r="B727" s="750"/>
      <c r="C727" s="750"/>
      <c r="D727" s="750"/>
      <c r="E727" s="750"/>
      <c r="F727" s="750"/>
      <c r="G727" s="750"/>
      <c r="H727" s="750"/>
      <c r="I727" s="750"/>
      <c r="J727" s="750"/>
      <c r="K727" s="750"/>
      <c r="L727" s="750"/>
      <c r="M727" s="750"/>
      <c r="N727" s="750"/>
      <c r="O727" s="750"/>
      <c r="P727" s="750"/>
      <c r="Q727" s="750"/>
      <c r="R727" s="750"/>
      <c r="S727" s="750"/>
      <c r="T727" s="750"/>
      <c r="U727" s="750" t="s">
        <v>1324</v>
      </c>
      <c r="V727" s="750"/>
      <c r="W727" s="750"/>
      <c r="X727" s="750"/>
      <c r="Y727" s="750"/>
      <c r="Z727" s="750"/>
      <c r="AA727" s="750"/>
      <c r="AB727" s="750"/>
      <c r="AC727" s="750"/>
      <c r="AD727" s="750"/>
      <c r="AE727" s="750"/>
      <c r="AF727" s="750"/>
      <c r="AG727" s="750"/>
      <c r="AH727" s="750" t="s">
        <v>1325</v>
      </c>
      <c r="AI727" s="750"/>
      <c r="AJ727" s="750"/>
      <c r="AK727" s="750"/>
      <c r="AL727" s="750"/>
      <c r="AM727" s="750"/>
      <c r="AN727" s="750"/>
      <c r="AO727" s="750"/>
      <c r="AP727" s="750"/>
      <c r="AQ727" s="750"/>
      <c r="AR727" s="750"/>
      <c r="AS727" s="750"/>
      <c r="AT727" s="750"/>
      <c r="AU727" s="750"/>
      <c r="AV727" s="750"/>
      <c r="AW727" s="750"/>
      <c r="AX727" s="750"/>
      <c r="AY727" s="750"/>
      <c r="AZ727" s="750"/>
      <c r="BA727" s="750"/>
      <c r="BB727" s="750"/>
    </row>
    <row r="728" spans="1:54" ht="12.75" customHeight="1" x14ac:dyDescent="0.25">
      <c r="A728" s="710" t="s">
        <v>1662</v>
      </c>
      <c r="B728" s="710"/>
      <c r="C728" s="710"/>
      <c r="D728" s="710"/>
      <c r="E728" s="710"/>
      <c r="F728" s="710"/>
      <c r="G728" s="710"/>
      <c r="H728" s="710"/>
      <c r="I728" s="710"/>
      <c r="J728" s="710"/>
      <c r="K728" s="710"/>
      <c r="L728" s="710"/>
      <c r="M728" s="710"/>
      <c r="N728" s="710"/>
      <c r="O728" s="710"/>
      <c r="P728" s="710"/>
      <c r="Q728" s="710"/>
      <c r="R728" s="710"/>
      <c r="S728" s="710"/>
      <c r="T728" s="710"/>
      <c r="U728" s="709"/>
      <c r="V728" s="709"/>
      <c r="W728" s="709"/>
      <c r="X728" s="709"/>
      <c r="Y728" s="709"/>
      <c r="Z728" s="709"/>
      <c r="AA728" s="709"/>
      <c r="AB728" s="709"/>
      <c r="AC728" s="709"/>
      <c r="AD728" s="709"/>
      <c r="AE728" s="709"/>
      <c r="AF728" s="709"/>
      <c r="AG728" s="709"/>
      <c r="AH728" s="709"/>
      <c r="AI728" s="709"/>
      <c r="AJ728" s="709"/>
      <c r="AK728" s="709"/>
      <c r="AL728" s="709"/>
      <c r="AM728" s="709"/>
      <c r="AN728" s="709"/>
      <c r="AO728" s="709"/>
      <c r="AP728" s="709"/>
      <c r="AQ728" s="709"/>
      <c r="AR728" s="709"/>
      <c r="AS728" s="709"/>
      <c r="AT728" s="709"/>
      <c r="AU728" s="709"/>
      <c r="AV728" s="709"/>
      <c r="AW728" s="709"/>
      <c r="AX728" s="709"/>
      <c r="AY728" s="709"/>
      <c r="AZ728" s="709"/>
      <c r="BA728" s="709"/>
      <c r="BB728" s="709"/>
    </row>
    <row r="729" spans="1:54" ht="12.75" customHeight="1" x14ac:dyDescent="0.25">
      <c r="A729" s="711" t="s">
        <v>1663</v>
      </c>
      <c r="B729" s="711"/>
      <c r="C729" s="711"/>
      <c r="D729" s="711"/>
      <c r="E729" s="711"/>
      <c r="F729" s="711"/>
      <c r="G729" s="711"/>
      <c r="H729" s="711"/>
      <c r="I729" s="711"/>
      <c r="J729" s="711"/>
      <c r="K729" s="711"/>
      <c r="L729" s="711"/>
      <c r="M729" s="711"/>
      <c r="N729" s="711"/>
      <c r="O729" s="711"/>
      <c r="P729" s="711"/>
      <c r="Q729" s="711"/>
      <c r="R729" s="711"/>
      <c r="S729" s="711"/>
      <c r="T729" s="711"/>
      <c r="U729" s="709"/>
      <c r="V729" s="709"/>
      <c r="W729" s="709"/>
      <c r="X729" s="709"/>
      <c r="Y729" s="709"/>
      <c r="Z729" s="709"/>
      <c r="AA729" s="709"/>
      <c r="AB729" s="709"/>
      <c r="AC729" s="709"/>
      <c r="AD729" s="709"/>
      <c r="AE729" s="709"/>
      <c r="AF729" s="709"/>
      <c r="AG729" s="709"/>
      <c r="AH729" s="709"/>
      <c r="AI729" s="709"/>
      <c r="AJ729" s="709"/>
      <c r="AK729" s="709"/>
      <c r="AL729" s="709"/>
      <c r="AM729" s="709"/>
      <c r="AN729" s="709"/>
      <c r="AO729" s="709"/>
      <c r="AP729" s="709"/>
      <c r="AQ729" s="709"/>
      <c r="AR729" s="709"/>
      <c r="AS729" s="709"/>
      <c r="AT729" s="709"/>
      <c r="AU729" s="709"/>
      <c r="AV729" s="709"/>
      <c r="AW729" s="709"/>
      <c r="AX729" s="709"/>
      <c r="AY729" s="709"/>
      <c r="AZ729" s="709"/>
      <c r="BA729" s="709"/>
      <c r="BB729" s="709"/>
    </row>
    <row r="730" spans="1:54" ht="12.75" customHeight="1" x14ac:dyDescent="0.25">
      <c r="A730" s="710" t="s">
        <v>1664</v>
      </c>
      <c r="B730" s="710"/>
      <c r="C730" s="710"/>
      <c r="D730" s="710"/>
      <c r="E730" s="710"/>
      <c r="F730" s="710"/>
      <c r="G730" s="710"/>
      <c r="H730" s="710"/>
      <c r="I730" s="710"/>
      <c r="J730" s="710"/>
      <c r="K730" s="710"/>
      <c r="L730" s="710"/>
      <c r="M730" s="710"/>
      <c r="N730" s="710"/>
      <c r="O730" s="710"/>
      <c r="P730" s="710"/>
      <c r="Q730" s="710"/>
      <c r="R730" s="710"/>
      <c r="S730" s="710"/>
      <c r="T730" s="710"/>
      <c r="U730" s="709"/>
      <c r="V730" s="709"/>
      <c r="W730" s="709"/>
      <c r="X730" s="709"/>
      <c r="Y730" s="709"/>
      <c r="Z730" s="709"/>
      <c r="AA730" s="709"/>
      <c r="AB730" s="709"/>
      <c r="AC730" s="709"/>
      <c r="AD730" s="709"/>
      <c r="AE730" s="709"/>
      <c r="AF730" s="709"/>
      <c r="AG730" s="709"/>
      <c r="AH730" s="709"/>
      <c r="AI730" s="709"/>
      <c r="AJ730" s="709"/>
      <c r="AK730" s="709"/>
      <c r="AL730" s="709"/>
      <c r="AM730" s="709"/>
      <c r="AN730" s="709"/>
      <c r="AO730" s="709"/>
      <c r="AP730" s="709"/>
      <c r="AQ730" s="709"/>
      <c r="AR730" s="709"/>
      <c r="AS730" s="709"/>
      <c r="AT730" s="709"/>
      <c r="AU730" s="709"/>
      <c r="AV730" s="709"/>
      <c r="AW730" s="709"/>
      <c r="AX730" s="709"/>
      <c r="AY730" s="709"/>
      <c r="AZ730" s="709"/>
      <c r="BA730" s="709"/>
      <c r="BB730" s="709"/>
    </row>
    <row r="731" spans="1:54" ht="12.75" customHeight="1" x14ac:dyDescent="0.25">
      <c r="A731" s="711" t="s">
        <v>1665</v>
      </c>
      <c r="B731" s="711"/>
      <c r="C731" s="711"/>
      <c r="D731" s="711"/>
      <c r="E731" s="711"/>
      <c r="F731" s="711"/>
      <c r="G731" s="711"/>
      <c r="H731" s="711"/>
      <c r="I731" s="711"/>
      <c r="J731" s="711"/>
      <c r="K731" s="711"/>
      <c r="L731" s="711"/>
      <c r="M731" s="711"/>
      <c r="N731" s="711"/>
      <c r="O731" s="711"/>
      <c r="P731" s="711"/>
      <c r="Q731" s="711"/>
      <c r="R731" s="711"/>
      <c r="S731" s="711"/>
      <c r="T731" s="711"/>
      <c r="U731" s="709"/>
      <c r="V731" s="709"/>
      <c r="W731" s="709"/>
      <c r="X731" s="709"/>
      <c r="Y731" s="709"/>
      <c r="Z731" s="709"/>
      <c r="AA731" s="709"/>
      <c r="AB731" s="709"/>
      <c r="AC731" s="709"/>
      <c r="AD731" s="709"/>
      <c r="AE731" s="709"/>
      <c r="AF731" s="709"/>
      <c r="AG731" s="709"/>
      <c r="AH731" s="709"/>
      <c r="AI731" s="709"/>
      <c r="AJ731" s="709"/>
      <c r="AK731" s="709"/>
      <c r="AL731" s="709"/>
      <c r="AM731" s="709"/>
      <c r="AN731" s="709"/>
      <c r="AO731" s="709"/>
      <c r="AP731" s="709"/>
      <c r="AQ731" s="709"/>
      <c r="AR731" s="709"/>
      <c r="AS731" s="709"/>
      <c r="AT731" s="709"/>
      <c r="AU731" s="709"/>
      <c r="AV731" s="709"/>
      <c r="AW731" s="709"/>
      <c r="AX731" s="709"/>
      <c r="AY731" s="709"/>
      <c r="AZ731" s="709"/>
      <c r="BA731" s="709"/>
      <c r="BB731" s="709"/>
    </row>
    <row r="732" spans="1:54" ht="12.6" customHeight="1" x14ac:dyDescent="0.25">
      <c r="A732" s="708" t="s">
        <v>1666</v>
      </c>
      <c r="B732" s="708"/>
      <c r="C732" s="708"/>
      <c r="D732" s="708"/>
      <c r="E732" s="708"/>
      <c r="F732" s="708"/>
      <c r="G732" s="708"/>
      <c r="H732" s="708"/>
      <c r="I732" s="708"/>
      <c r="J732" s="708"/>
      <c r="K732" s="708"/>
      <c r="L732" s="708"/>
      <c r="M732" s="708"/>
      <c r="N732" s="708"/>
      <c r="O732" s="708"/>
      <c r="P732" s="708"/>
      <c r="Q732" s="708"/>
      <c r="R732" s="708"/>
      <c r="S732" s="708"/>
      <c r="T732" s="708"/>
      <c r="U732" s="709"/>
      <c r="V732" s="709"/>
      <c r="W732" s="709"/>
      <c r="X732" s="709"/>
      <c r="Y732" s="709"/>
      <c r="Z732" s="709"/>
      <c r="AA732" s="709"/>
      <c r="AB732" s="709"/>
      <c r="AC732" s="709"/>
      <c r="AD732" s="709"/>
      <c r="AE732" s="709"/>
      <c r="AF732" s="709"/>
      <c r="AG732" s="709"/>
      <c r="AH732" s="709"/>
      <c r="AI732" s="709"/>
      <c r="AJ732" s="709"/>
      <c r="AK732" s="709"/>
      <c r="AL732" s="709"/>
      <c r="AM732" s="709"/>
      <c r="AN732" s="709"/>
      <c r="AO732" s="709"/>
      <c r="AP732" s="709"/>
      <c r="AQ732" s="709"/>
      <c r="AR732" s="709"/>
      <c r="AS732" s="709"/>
      <c r="AT732" s="709"/>
      <c r="AU732" s="709"/>
      <c r="AV732" s="709"/>
      <c r="AW732" s="709"/>
      <c r="AX732" s="709"/>
      <c r="AY732" s="709"/>
      <c r="AZ732" s="709"/>
      <c r="BA732" s="709"/>
      <c r="BB732" s="709"/>
    </row>
    <row r="733" spans="1:54" ht="12.6" customHeight="1" x14ac:dyDescent="0.25">
      <c r="A733" s="711" t="s">
        <v>1667</v>
      </c>
      <c r="B733" s="711"/>
      <c r="C733" s="711"/>
      <c r="D733" s="711"/>
      <c r="E733" s="711"/>
      <c r="F733" s="711"/>
      <c r="G733" s="711"/>
      <c r="H733" s="711"/>
      <c r="I733" s="711"/>
      <c r="J733" s="711"/>
      <c r="K733" s="711"/>
      <c r="L733" s="711"/>
      <c r="M733" s="711"/>
      <c r="N733" s="711"/>
      <c r="O733" s="711"/>
      <c r="P733" s="711"/>
      <c r="Q733" s="711"/>
      <c r="R733" s="711"/>
      <c r="S733" s="711"/>
      <c r="T733" s="711"/>
      <c r="U733" s="811"/>
      <c r="V733" s="811"/>
      <c r="W733" s="811"/>
      <c r="X733" s="811"/>
      <c r="Y733" s="811"/>
      <c r="Z733" s="811"/>
      <c r="AA733" s="811"/>
      <c r="AB733" s="811"/>
      <c r="AC733" s="811"/>
      <c r="AD733" s="811"/>
      <c r="AE733" s="811"/>
      <c r="AF733" s="811"/>
      <c r="AG733" s="811"/>
      <c r="AH733" s="811"/>
      <c r="AI733" s="811"/>
      <c r="AJ733" s="811"/>
      <c r="AK733" s="811"/>
      <c r="AL733" s="811"/>
      <c r="AM733" s="811"/>
      <c r="AN733" s="811"/>
      <c r="AO733" s="811"/>
      <c r="AP733" s="811"/>
      <c r="AQ733" s="811"/>
      <c r="AR733" s="811"/>
      <c r="AS733" s="811"/>
      <c r="AT733" s="811"/>
      <c r="AU733" s="811"/>
      <c r="AV733" s="811"/>
      <c r="AW733" s="811"/>
      <c r="AX733" s="811"/>
      <c r="AY733" s="811"/>
      <c r="AZ733" s="811"/>
      <c r="BA733" s="811"/>
      <c r="BB733" s="811"/>
    </row>
    <row r="734" spans="1:54" ht="12.6" customHeight="1" x14ac:dyDescent="0.25">
      <c r="A734" s="29" t="s">
        <v>1668</v>
      </c>
    </row>
    <row r="735" spans="1:54" ht="11.1" customHeight="1" x14ac:dyDescent="0.25">
      <c r="A735" s="241"/>
      <c r="B735" s="242"/>
      <c r="C735" s="242"/>
      <c r="D735" s="242"/>
      <c r="E735" s="242"/>
      <c r="F735" s="242"/>
      <c r="G735" s="242"/>
      <c r="H735" s="242"/>
      <c r="I735" s="242"/>
      <c r="J735" s="242"/>
      <c r="K735" s="242"/>
      <c r="L735" s="268"/>
      <c r="M735" s="241"/>
      <c r="N735" s="242"/>
      <c r="O735" s="242"/>
      <c r="P735" s="242"/>
      <c r="Q735" s="242"/>
      <c r="R735" s="242"/>
      <c r="S735" s="242"/>
      <c r="T735" s="242"/>
      <c r="U735" s="242"/>
      <c r="V735" s="242"/>
      <c r="W735" s="268"/>
      <c r="X735" s="241"/>
      <c r="Y735" s="242"/>
      <c r="Z735" s="242"/>
      <c r="AA735" s="242"/>
      <c r="AB735" s="242"/>
      <c r="AC735" s="242"/>
      <c r="AD735" s="242"/>
      <c r="AE735" s="242"/>
      <c r="AF735" s="242"/>
      <c r="AG735" s="242"/>
      <c r="AH735" s="268"/>
      <c r="AI735" s="768" t="s">
        <v>1649</v>
      </c>
      <c r="AJ735" s="768"/>
      <c r="AK735" s="768"/>
      <c r="AL735" s="768"/>
      <c r="AM735" s="768"/>
      <c r="AN735" s="768"/>
      <c r="AO735" s="768"/>
      <c r="AP735" s="768"/>
      <c r="AQ735" s="768"/>
      <c r="AR735" s="768"/>
      <c r="AS735" s="768"/>
      <c r="AT735" s="768"/>
      <c r="AU735" s="768"/>
      <c r="AV735" s="768"/>
      <c r="AW735" s="768"/>
      <c r="AX735" s="768"/>
      <c r="AY735" s="768"/>
      <c r="AZ735" s="768"/>
      <c r="BA735" s="768"/>
      <c r="BB735" s="768"/>
    </row>
    <row r="736" spans="1:54" ht="11.1" customHeight="1" x14ac:dyDescent="0.25">
      <c r="A736" s="243"/>
      <c r="B736" s="244"/>
      <c r="C736" s="244"/>
      <c r="D736" s="244"/>
      <c r="E736" s="244"/>
      <c r="F736" s="244"/>
      <c r="G736" s="244"/>
      <c r="H736" s="244"/>
      <c r="I736" s="244"/>
      <c r="J736" s="244"/>
      <c r="K736" s="244"/>
      <c r="L736" s="269"/>
      <c r="M736" s="243"/>
      <c r="N736" s="244"/>
      <c r="O736" s="244"/>
      <c r="P736" s="244"/>
      <c r="Q736" s="244"/>
      <c r="R736" s="244"/>
      <c r="S736" s="244"/>
      <c r="T736" s="244"/>
      <c r="U736" s="244"/>
      <c r="V736" s="244"/>
      <c r="W736" s="269"/>
      <c r="X736" s="745" t="s">
        <v>1650</v>
      </c>
      <c r="Y736" s="745"/>
      <c r="Z736" s="745"/>
      <c r="AA736" s="745"/>
      <c r="AB736" s="745"/>
      <c r="AC736" s="745"/>
      <c r="AD736" s="745"/>
      <c r="AE736" s="745"/>
      <c r="AF736" s="745"/>
      <c r="AG736" s="745"/>
      <c r="AH736" s="745"/>
      <c r="AI736" s="745" t="s">
        <v>1669</v>
      </c>
      <c r="AJ736" s="745"/>
      <c r="AK736" s="745"/>
      <c r="AL736" s="745"/>
      <c r="AM736" s="745"/>
      <c r="AN736" s="745"/>
      <c r="AO736" s="745"/>
      <c r="AP736" s="745"/>
      <c r="AQ736" s="745"/>
      <c r="AR736" s="745"/>
      <c r="AS736" s="745"/>
      <c r="AT736" s="745"/>
      <c r="AU736" s="745"/>
      <c r="AV736" s="745"/>
      <c r="AW736" s="745"/>
      <c r="AX736" s="745"/>
      <c r="AY736" s="745"/>
      <c r="AZ736" s="745"/>
      <c r="BA736" s="745"/>
      <c r="BB736" s="745"/>
    </row>
    <row r="737" spans="1:54" ht="11.1" customHeight="1" x14ac:dyDescent="0.25">
      <c r="A737" s="745" t="s">
        <v>1287</v>
      </c>
      <c r="B737" s="745"/>
      <c r="C737" s="745"/>
      <c r="D737" s="745"/>
      <c r="E737" s="745"/>
      <c r="F737" s="745"/>
      <c r="G737" s="745"/>
      <c r="H737" s="745"/>
      <c r="I737" s="745"/>
      <c r="J737" s="745"/>
      <c r="K737" s="745"/>
      <c r="L737" s="745"/>
      <c r="M737" s="745" t="s">
        <v>1658</v>
      </c>
      <c r="N737" s="745"/>
      <c r="O737" s="745"/>
      <c r="P737" s="745"/>
      <c r="Q737" s="745"/>
      <c r="R737" s="745"/>
      <c r="S737" s="745"/>
      <c r="T737" s="745"/>
      <c r="U737" s="745"/>
      <c r="V737" s="745"/>
      <c r="W737" s="745"/>
      <c r="X737" s="745" t="s">
        <v>1653</v>
      </c>
      <c r="Y737" s="745"/>
      <c r="Z737" s="745"/>
      <c r="AA737" s="745"/>
      <c r="AB737" s="745"/>
      <c r="AC737" s="745"/>
      <c r="AD737" s="745"/>
      <c r="AE737" s="745"/>
      <c r="AF737" s="745"/>
      <c r="AG737" s="745"/>
      <c r="AH737" s="745"/>
      <c r="AI737" s="745" t="s">
        <v>1670</v>
      </c>
      <c r="AJ737" s="745"/>
      <c r="AK737" s="745"/>
      <c r="AL737" s="745"/>
      <c r="AM737" s="745"/>
      <c r="AN737" s="745"/>
      <c r="AO737" s="745"/>
      <c r="AP737" s="745"/>
      <c r="AQ737" s="745"/>
      <c r="AR737" s="745"/>
      <c r="AS737" s="745"/>
      <c r="AT737" s="745"/>
      <c r="AU737" s="745"/>
      <c r="AV737" s="745"/>
      <c r="AW737" s="745"/>
      <c r="AX737" s="745"/>
      <c r="AY737" s="745"/>
      <c r="AZ737" s="745"/>
      <c r="BA737" s="745"/>
      <c r="BB737" s="745"/>
    </row>
    <row r="738" spans="1:54" ht="11.1" customHeight="1" x14ac:dyDescent="0.25">
      <c r="A738" s="243"/>
      <c r="B738" s="244"/>
      <c r="C738" s="244"/>
      <c r="D738" s="244"/>
      <c r="E738" s="244"/>
      <c r="F738" s="244"/>
      <c r="G738" s="244"/>
      <c r="H738" s="244"/>
      <c r="I738" s="244"/>
      <c r="J738" s="244"/>
      <c r="K738" s="244"/>
      <c r="L738" s="269"/>
      <c r="M738" s="745" t="s">
        <v>1486</v>
      </c>
      <c r="N738" s="745"/>
      <c r="O738" s="745"/>
      <c r="P738" s="745"/>
      <c r="Q738" s="745"/>
      <c r="R738" s="745"/>
      <c r="S738" s="745"/>
      <c r="T738" s="745"/>
      <c r="U738" s="745"/>
      <c r="V738" s="745"/>
      <c r="W738" s="745"/>
      <c r="X738" s="745" t="s">
        <v>1290</v>
      </c>
      <c r="Y738" s="745"/>
      <c r="Z738" s="745"/>
      <c r="AA738" s="745"/>
      <c r="AB738" s="745"/>
      <c r="AC738" s="745"/>
      <c r="AD738" s="745"/>
      <c r="AE738" s="745"/>
      <c r="AF738" s="745"/>
      <c r="AG738" s="745"/>
      <c r="AH738" s="745"/>
      <c r="AI738" s="745" t="s">
        <v>1671</v>
      </c>
      <c r="AJ738" s="745"/>
      <c r="AK738" s="745"/>
      <c r="AL738" s="745"/>
      <c r="AM738" s="745"/>
      <c r="AN738" s="745"/>
      <c r="AO738" s="745"/>
      <c r="AP738" s="745"/>
      <c r="AQ738" s="745"/>
      <c r="AR738" s="745"/>
      <c r="AS738" s="745"/>
      <c r="AT738" s="745"/>
      <c r="AU738" s="745"/>
      <c r="AV738" s="745"/>
      <c r="AW738" s="745"/>
      <c r="AX738" s="745"/>
      <c r="AY738" s="745"/>
      <c r="AZ738" s="745"/>
      <c r="BA738" s="745"/>
      <c r="BB738" s="745"/>
    </row>
    <row r="739" spans="1:54" ht="11.1" customHeight="1" x14ac:dyDescent="0.25">
      <c r="A739" s="243"/>
      <c r="B739" s="244"/>
      <c r="C739" s="244"/>
      <c r="D739" s="244"/>
      <c r="E739" s="244"/>
      <c r="F739" s="244"/>
      <c r="G739" s="244"/>
      <c r="H739" s="244"/>
      <c r="I739" s="244"/>
      <c r="J739" s="244"/>
      <c r="K739" s="244"/>
      <c r="L739" s="269"/>
      <c r="M739" s="243"/>
      <c r="N739" s="244"/>
      <c r="O739" s="244"/>
      <c r="P739" s="244"/>
      <c r="Q739" s="244"/>
      <c r="R739" s="244"/>
      <c r="S739" s="244"/>
      <c r="T739" s="244"/>
      <c r="U739" s="244"/>
      <c r="V739" s="244"/>
      <c r="W739" s="269"/>
      <c r="X739" s="243"/>
      <c r="Y739" s="244"/>
      <c r="Z739" s="244"/>
      <c r="AA739" s="244"/>
      <c r="AB739" s="244"/>
      <c r="AC739" s="244"/>
      <c r="AD739" s="244"/>
      <c r="AE739" s="244"/>
      <c r="AF739" s="244"/>
      <c r="AG739" s="244"/>
      <c r="AH739" s="269"/>
      <c r="AI739" s="745" t="s">
        <v>1473</v>
      </c>
      <c r="AJ739" s="745"/>
      <c r="AK739" s="745"/>
      <c r="AL739" s="745"/>
      <c r="AM739" s="745"/>
      <c r="AN739" s="745"/>
      <c r="AO739" s="745"/>
      <c r="AP739" s="745"/>
      <c r="AQ739" s="745"/>
      <c r="AR739" s="745"/>
      <c r="AS739" s="745"/>
      <c r="AT739" s="745"/>
      <c r="AU739" s="745"/>
      <c r="AV739" s="745"/>
      <c r="AW739" s="745"/>
      <c r="AX739" s="745"/>
      <c r="AY739" s="745"/>
      <c r="AZ739" s="745"/>
      <c r="BA739" s="745"/>
      <c r="BB739" s="745"/>
    </row>
    <row r="740" spans="1:54" ht="11.1" customHeight="1" x14ac:dyDescent="0.25">
      <c r="A740" s="750" t="s">
        <v>1323</v>
      </c>
      <c r="B740" s="750"/>
      <c r="C740" s="750"/>
      <c r="D740" s="750"/>
      <c r="E740" s="750"/>
      <c r="F740" s="750"/>
      <c r="G740" s="750"/>
      <c r="H740" s="750"/>
      <c r="I740" s="750"/>
      <c r="J740" s="750"/>
      <c r="K740" s="750"/>
      <c r="L740" s="750"/>
      <c r="M740" s="750" t="s">
        <v>1324</v>
      </c>
      <c r="N740" s="750"/>
      <c r="O740" s="750"/>
      <c r="P740" s="750"/>
      <c r="Q740" s="750"/>
      <c r="R740" s="750"/>
      <c r="S740" s="750"/>
      <c r="T740" s="750"/>
      <c r="U740" s="750"/>
      <c r="V740" s="750"/>
      <c r="W740" s="750"/>
      <c r="X740" s="750" t="s">
        <v>1325</v>
      </c>
      <c r="Y740" s="750"/>
      <c r="Z740" s="750"/>
      <c r="AA740" s="750"/>
      <c r="AB740" s="750"/>
      <c r="AC740" s="750"/>
      <c r="AD740" s="750"/>
      <c r="AE740" s="750"/>
      <c r="AF740" s="750"/>
      <c r="AG740" s="750"/>
      <c r="AH740" s="750"/>
      <c r="AI740" s="750" t="s">
        <v>1326</v>
      </c>
      <c r="AJ740" s="750"/>
      <c r="AK740" s="750"/>
      <c r="AL740" s="750"/>
      <c r="AM740" s="750"/>
      <c r="AN740" s="750"/>
      <c r="AO740" s="750"/>
      <c r="AP740" s="750"/>
      <c r="AQ740" s="750"/>
      <c r="AR740" s="750"/>
      <c r="AS740" s="750"/>
      <c r="AT740" s="750"/>
      <c r="AU740" s="750"/>
      <c r="AV740" s="750"/>
      <c r="AW740" s="750"/>
      <c r="AX740" s="750"/>
      <c r="AY740" s="750"/>
      <c r="AZ740" s="750"/>
      <c r="BA740" s="750"/>
      <c r="BB740" s="750"/>
    </row>
    <row r="741" spans="1:54" ht="12.6" customHeight="1" x14ac:dyDescent="0.25">
      <c r="A741" s="257" t="s">
        <v>1672</v>
      </c>
      <c r="B741" s="249"/>
      <c r="C741" s="249"/>
      <c r="D741" s="249"/>
      <c r="E741" s="249"/>
      <c r="F741" s="249"/>
      <c r="G741" s="249"/>
      <c r="H741" s="249"/>
      <c r="I741" s="249"/>
      <c r="J741" s="249"/>
      <c r="K741" s="249"/>
      <c r="L741" s="250"/>
      <c r="M741" s="709"/>
      <c r="N741" s="709"/>
      <c r="O741" s="709"/>
      <c r="P741" s="709"/>
      <c r="Q741" s="709"/>
      <c r="R741" s="709"/>
      <c r="S741" s="709"/>
      <c r="T741" s="709"/>
      <c r="U741" s="709"/>
      <c r="V741" s="709"/>
      <c r="W741" s="709"/>
      <c r="X741" s="709"/>
      <c r="Y741" s="709"/>
      <c r="Z741" s="709"/>
      <c r="AA741" s="709"/>
      <c r="AB741" s="709"/>
      <c r="AC741" s="709"/>
      <c r="AD741" s="709"/>
      <c r="AE741" s="709"/>
      <c r="AF741" s="709"/>
      <c r="AG741" s="709"/>
      <c r="AH741" s="709"/>
      <c r="AI741" s="709"/>
      <c r="AJ741" s="709"/>
      <c r="AK741" s="709"/>
      <c r="AL741" s="709"/>
      <c r="AM741" s="709"/>
      <c r="AN741" s="709"/>
      <c r="AO741" s="709"/>
      <c r="AP741" s="709"/>
      <c r="AQ741" s="709"/>
      <c r="AR741" s="709"/>
      <c r="AS741" s="709"/>
      <c r="AT741" s="709"/>
      <c r="AU741" s="709"/>
      <c r="AV741" s="709"/>
      <c r="AW741" s="709"/>
      <c r="AX741" s="709"/>
      <c r="AY741" s="709"/>
      <c r="AZ741" s="709"/>
      <c r="BA741" s="709"/>
      <c r="BB741" s="709"/>
    </row>
    <row r="742" spans="1:54" ht="12.6" customHeight="1" x14ac:dyDescent="0.25">
      <c r="A742" s="258" t="s">
        <v>1673</v>
      </c>
      <c r="B742" s="247"/>
      <c r="C742" s="247"/>
      <c r="D742" s="247"/>
      <c r="E742" s="247"/>
      <c r="F742" s="247"/>
      <c r="G742" s="247"/>
      <c r="H742" s="247"/>
      <c r="I742" s="247"/>
      <c r="J742" s="247"/>
      <c r="K742" s="247"/>
      <c r="L742" s="252"/>
      <c r="M742" s="709"/>
      <c r="N742" s="709"/>
      <c r="O742" s="709"/>
      <c r="P742" s="709"/>
      <c r="Q742" s="709"/>
      <c r="R742" s="709"/>
      <c r="S742" s="709"/>
      <c r="T742" s="709"/>
      <c r="U742" s="709"/>
      <c r="V742" s="709"/>
      <c r="W742" s="709"/>
      <c r="X742" s="709"/>
      <c r="Y742" s="709"/>
      <c r="Z742" s="709"/>
      <c r="AA742" s="709"/>
      <c r="AB742" s="709"/>
      <c r="AC742" s="709"/>
      <c r="AD742" s="709"/>
      <c r="AE742" s="709"/>
      <c r="AF742" s="709"/>
      <c r="AG742" s="709"/>
      <c r="AH742" s="709"/>
      <c r="AI742" s="709"/>
      <c r="AJ742" s="709"/>
      <c r="AK742" s="709"/>
      <c r="AL742" s="709"/>
      <c r="AM742" s="709"/>
      <c r="AN742" s="709"/>
      <c r="AO742" s="709"/>
      <c r="AP742" s="709"/>
      <c r="AQ742" s="709"/>
      <c r="AR742" s="709"/>
      <c r="AS742" s="709"/>
      <c r="AT742" s="709"/>
      <c r="AU742" s="709"/>
      <c r="AV742" s="709"/>
      <c r="AW742" s="709"/>
      <c r="AX742" s="709"/>
      <c r="AY742" s="709"/>
      <c r="AZ742" s="709"/>
      <c r="BA742" s="709"/>
      <c r="BB742" s="709"/>
    </row>
    <row r="743" spans="1:54" ht="12.6" customHeight="1" x14ac:dyDescent="0.25">
      <c r="A743" s="257" t="s">
        <v>1674</v>
      </c>
      <c r="B743" s="249"/>
      <c r="C743" s="249"/>
      <c r="D743" s="249"/>
      <c r="E743" s="249"/>
      <c r="F743" s="249"/>
      <c r="G743" s="249"/>
      <c r="H743" s="249"/>
      <c r="I743" s="249"/>
      <c r="J743" s="249"/>
      <c r="K743" s="249"/>
      <c r="L743" s="250"/>
      <c r="M743" s="709"/>
      <c r="N743" s="709"/>
      <c r="O743" s="709"/>
      <c r="P743" s="709"/>
      <c r="Q743" s="709"/>
      <c r="R743" s="709"/>
      <c r="S743" s="709"/>
      <c r="T743" s="709"/>
      <c r="U743" s="709"/>
      <c r="V743" s="709"/>
      <c r="W743" s="709"/>
      <c r="X743" s="709"/>
      <c r="Y743" s="709"/>
      <c r="Z743" s="709"/>
      <c r="AA743" s="709"/>
      <c r="AB743" s="709"/>
      <c r="AC743" s="709"/>
      <c r="AD743" s="709"/>
      <c r="AE743" s="709"/>
      <c r="AF743" s="709"/>
      <c r="AG743" s="709"/>
      <c r="AH743" s="709"/>
      <c r="AI743" s="709"/>
      <c r="AJ743" s="709"/>
      <c r="AK743" s="709"/>
      <c r="AL743" s="709"/>
      <c r="AM743" s="709"/>
      <c r="AN743" s="709"/>
      <c r="AO743" s="709"/>
      <c r="AP743" s="709"/>
      <c r="AQ743" s="709"/>
      <c r="AR743" s="709"/>
      <c r="AS743" s="709"/>
      <c r="AT743" s="709"/>
      <c r="AU743" s="709"/>
      <c r="AV743" s="709"/>
      <c r="AW743" s="709"/>
      <c r="AX743" s="709"/>
      <c r="AY743" s="709"/>
      <c r="AZ743" s="709"/>
      <c r="BA743" s="709"/>
      <c r="BB743" s="709"/>
    </row>
    <row r="744" spans="1:54" ht="12.6" customHeight="1" x14ac:dyDescent="0.25">
      <c r="A744" s="258" t="s">
        <v>1673</v>
      </c>
      <c r="B744" s="247"/>
      <c r="C744" s="247"/>
      <c r="D744" s="247"/>
      <c r="E744" s="247"/>
      <c r="F744" s="247"/>
      <c r="G744" s="247"/>
      <c r="H744" s="247"/>
      <c r="I744" s="247"/>
      <c r="J744" s="247"/>
      <c r="K744" s="247"/>
      <c r="L744" s="252"/>
      <c r="M744" s="709"/>
      <c r="N744" s="709"/>
      <c r="O744" s="709"/>
      <c r="P744" s="709"/>
      <c r="Q744" s="709"/>
      <c r="R744" s="709"/>
      <c r="S744" s="709"/>
      <c r="T744" s="709"/>
      <c r="U744" s="709"/>
      <c r="V744" s="709"/>
      <c r="W744" s="709"/>
      <c r="X744" s="709"/>
      <c r="Y744" s="709"/>
      <c r="Z744" s="709"/>
      <c r="AA744" s="709"/>
      <c r="AB744" s="709"/>
      <c r="AC744" s="709"/>
      <c r="AD744" s="709"/>
      <c r="AE744" s="709"/>
      <c r="AF744" s="709"/>
      <c r="AG744" s="709"/>
      <c r="AH744" s="709"/>
      <c r="AI744" s="709"/>
      <c r="AJ744" s="709"/>
      <c r="AK744" s="709"/>
      <c r="AL744" s="709"/>
      <c r="AM744" s="709"/>
      <c r="AN744" s="709"/>
      <c r="AO744" s="709"/>
      <c r="AP744" s="709"/>
      <c r="AQ744" s="709"/>
      <c r="AR744" s="709"/>
      <c r="AS744" s="709"/>
      <c r="AT744" s="709"/>
      <c r="AU744" s="709"/>
      <c r="AV744" s="709"/>
      <c r="AW744" s="709"/>
      <c r="AX744" s="709"/>
      <c r="AY744" s="709"/>
      <c r="AZ744" s="709"/>
      <c r="BA744" s="709"/>
      <c r="BB744" s="709"/>
    </row>
    <row r="745" spans="1:54" ht="12.6" customHeight="1" x14ac:dyDescent="0.25">
      <c r="A745" s="253" t="s">
        <v>1657</v>
      </c>
      <c r="B745" s="246"/>
      <c r="C745" s="246"/>
      <c r="D745" s="246"/>
      <c r="E745" s="246"/>
      <c r="F745" s="246"/>
      <c r="G745" s="246"/>
      <c r="H745" s="246"/>
      <c r="I745" s="246"/>
      <c r="J745" s="246"/>
      <c r="K745" s="246"/>
      <c r="L745" s="248"/>
      <c r="M745" s="709"/>
      <c r="N745" s="709"/>
      <c r="O745" s="709"/>
      <c r="P745" s="709"/>
      <c r="Q745" s="709"/>
      <c r="R745" s="709"/>
      <c r="S745" s="709"/>
      <c r="T745" s="709"/>
      <c r="U745" s="709"/>
      <c r="V745" s="709"/>
      <c r="W745" s="709"/>
      <c r="X745" s="709"/>
      <c r="Y745" s="709"/>
      <c r="Z745" s="709"/>
      <c r="AA745" s="709"/>
      <c r="AB745" s="709"/>
      <c r="AC745" s="709"/>
      <c r="AD745" s="709"/>
      <c r="AE745" s="709"/>
      <c r="AF745" s="709"/>
      <c r="AG745" s="709"/>
      <c r="AH745" s="709"/>
      <c r="AI745" s="709"/>
      <c r="AJ745" s="709"/>
      <c r="AK745" s="709"/>
      <c r="AL745" s="709"/>
      <c r="AM745" s="709"/>
      <c r="AN745" s="709"/>
      <c r="AO745" s="709"/>
      <c r="AP745" s="709"/>
      <c r="AQ745" s="709"/>
      <c r="AR745" s="709"/>
      <c r="AS745" s="709"/>
      <c r="AT745" s="709"/>
      <c r="AU745" s="709"/>
      <c r="AV745" s="709"/>
      <c r="AW745" s="709"/>
      <c r="AX745" s="709"/>
      <c r="AY745" s="709"/>
      <c r="AZ745" s="709"/>
      <c r="BA745" s="709"/>
      <c r="BB745" s="709"/>
    </row>
    <row r="746" spans="1:54" ht="12.6" customHeight="1" x14ac:dyDescent="0.25">
      <c r="A746" s="29" t="s">
        <v>1675</v>
      </c>
    </row>
    <row r="747" spans="1:54" ht="11.1" customHeight="1" x14ac:dyDescent="0.25">
      <c r="A747" s="298"/>
      <c r="B747" s="299"/>
      <c r="C747" s="299"/>
      <c r="D747" s="299"/>
      <c r="E747" s="299"/>
      <c r="F747" s="299"/>
      <c r="G747" s="299"/>
      <c r="H747" s="299"/>
      <c r="I747" s="299"/>
      <c r="J747" s="299"/>
      <c r="K747" s="299"/>
      <c r="L747" s="299"/>
      <c r="M747" s="299"/>
      <c r="N747" s="299"/>
      <c r="O747" s="299"/>
      <c r="P747" s="299"/>
      <c r="Q747" s="299"/>
      <c r="R747" s="299"/>
      <c r="S747" s="299"/>
      <c r="T747" s="300"/>
      <c r="U747" s="768"/>
      <c r="V747" s="768"/>
      <c r="W747" s="768"/>
      <c r="X747" s="768"/>
      <c r="Y747" s="768"/>
      <c r="Z747" s="768"/>
      <c r="AA747" s="768"/>
      <c r="AB747" s="768"/>
      <c r="AC747" s="768"/>
      <c r="AD747" s="768"/>
      <c r="AE747" s="768"/>
      <c r="AF747" s="768"/>
      <c r="AG747" s="768"/>
      <c r="AH747" s="768" t="s">
        <v>1649</v>
      </c>
      <c r="AI747" s="768"/>
      <c r="AJ747" s="768"/>
      <c r="AK747" s="768"/>
      <c r="AL747" s="768"/>
      <c r="AM747" s="768"/>
      <c r="AN747" s="768"/>
      <c r="AO747" s="768"/>
      <c r="AP747" s="768"/>
      <c r="AQ747" s="768"/>
      <c r="AR747" s="768"/>
      <c r="AS747" s="768"/>
      <c r="AT747" s="768"/>
      <c r="AU747" s="768"/>
      <c r="AV747" s="768"/>
      <c r="AW747" s="768"/>
      <c r="AX747" s="768"/>
      <c r="AY747" s="768"/>
      <c r="AZ747" s="768"/>
      <c r="BA747" s="768"/>
      <c r="BB747" s="768"/>
    </row>
    <row r="748" spans="1:54" ht="11.1" customHeight="1" x14ac:dyDescent="0.25">
      <c r="A748" s="243"/>
      <c r="B748" s="244"/>
      <c r="C748" s="244"/>
      <c r="D748" s="244"/>
      <c r="E748" s="244"/>
      <c r="F748" s="244"/>
      <c r="G748" s="244"/>
      <c r="H748" s="244"/>
      <c r="I748" s="244"/>
      <c r="J748" s="244"/>
      <c r="K748" s="244"/>
      <c r="L748" s="244"/>
      <c r="M748" s="244"/>
      <c r="N748" s="244"/>
      <c r="O748" s="244"/>
      <c r="P748" s="244"/>
      <c r="Q748" s="244"/>
      <c r="R748" s="244"/>
      <c r="S748" s="244"/>
      <c r="T748" s="269"/>
      <c r="U748" s="745"/>
      <c r="V748" s="745"/>
      <c r="W748" s="745"/>
      <c r="X748" s="745"/>
      <c r="Y748" s="745"/>
      <c r="Z748" s="745"/>
      <c r="AA748" s="745"/>
      <c r="AB748" s="745"/>
      <c r="AC748" s="745"/>
      <c r="AD748" s="745"/>
      <c r="AE748" s="745"/>
      <c r="AF748" s="745"/>
      <c r="AG748" s="745"/>
      <c r="AH748" s="745" t="s">
        <v>1669</v>
      </c>
      <c r="AI748" s="745"/>
      <c r="AJ748" s="745"/>
      <c r="AK748" s="745"/>
      <c r="AL748" s="745"/>
      <c r="AM748" s="745"/>
      <c r="AN748" s="745"/>
      <c r="AO748" s="745"/>
      <c r="AP748" s="745"/>
      <c r="AQ748" s="745"/>
      <c r="AR748" s="745"/>
      <c r="AS748" s="745"/>
      <c r="AT748" s="745"/>
      <c r="AU748" s="745"/>
      <c r="AV748" s="745"/>
      <c r="AW748" s="745"/>
      <c r="AX748" s="745"/>
      <c r="AY748" s="745"/>
      <c r="AZ748" s="745"/>
      <c r="BA748" s="745"/>
      <c r="BB748" s="745"/>
    </row>
    <row r="749" spans="1:54" ht="11.1" customHeight="1" x14ac:dyDescent="0.25">
      <c r="A749" s="745" t="s">
        <v>1676</v>
      </c>
      <c r="B749" s="745"/>
      <c r="C749" s="745"/>
      <c r="D749" s="745"/>
      <c r="E749" s="745"/>
      <c r="F749" s="745"/>
      <c r="G749" s="745"/>
      <c r="H749" s="745"/>
      <c r="I749" s="745"/>
      <c r="J749" s="745"/>
      <c r="K749" s="745"/>
      <c r="L749" s="745"/>
      <c r="M749" s="745"/>
      <c r="N749" s="745"/>
      <c r="O749" s="745"/>
      <c r="P749" s="745"/>
      <c r="Q749" s="745"/>
      <c r="R749" s="745"/>
      <c r="S749" s="745"/>
      <c r="T749" s="745"/>
      <c r="U749" s="745" t="s">
        <v>1658</v>
      </c>
      <c r="V749" s="745"/>
      <c r="W749" s="745"/>
      <c r="X749" s="745"/>
      <c r="Y749" s="745"/>
      <c r="Z749" s="745"/>
      <c r="AA749" s="745"/>
      <c r="AB749" s="745"/>
      <c r="AC749" s="745"/>
      <c r="AD749" s="745"/>
      <c r="AE749" s="745"/>
      <c r="AF749" s="745"/>
      <c r="AG749" s="745"/>
      <c r="AH749" s="745" t="s">
        <v>1670</v>
      </c>
      <c r="AI749" s="745"/>
      <c r="AJ749" s="745"/>
      <c r="AK749" s="745"/>
      <c r="AL749" s="745"/>
      <c r="AM749" s="745"/>
      <c r="AN749" s="745"/>
      <c r="AO749" s="745"/>
      <c r="AP749" s="745"/>
      <c r="AQ749" s="745"/>
      <c r="AR749" s="745"/>
      <c r="AS749" s="745"/>
      <c r="AT749" s="745"/>
      <c r="AU749" s="745"/>
      <c r="AV749" s="745"/>
      <c r="AW749" s="745"/>
      <c r="AX749" s="745"/>
      <c r="AY749" s="745"/>
      <c r="AZ749" s="745"/>
      <c r="BA749" s="745"/>
      <c r="BB749" s="745"/>
    </row>
    <row r="750" spans="1:54" ht="11.1" customHeight="1" x14ac:dyDescent="0.25">
      <c r="A750" s="745" t="s">
        <v>1677</v>
      </c>
      <c r="B750" s="745"/>
      <c r="C750" s="745"/>
      <c r="D750" s="745"/>
      <c r="E750" s="745"/>
      <c r="F750" s="745"/>
      <c r="G750" s="745"/>
      <c r="H750" s="745"/>
      <c r="I750" s="745"/>
      <c r="J750" s="745"/>
      <c r="K750" s="745"/>
      <c r="L750" s="745"/>
      <c r="M750" s="745"/>
      <c r="N750" s="745"/>
      <c r="O750" s="745"/>
      <c r="P750" s="745"/>
      <c r="Q750" s="745"/>
      <c r="R750" s="745"/>
      <c r="S750" s="745"/>
      <c r="T750" s="745"/>
      <c r="U750" s="745" t="s">
        <v>1486</v>
      </c>
      <c r="V750" s="745"/>
      <c r="W750" s="745"/>
      <c r="X750" s="745"/>
      <c r="Y750" s="745"/>
      <c r="Z750" s="745"/>
      <c r="AA750" s="745"/>
      <c r="AB750" s="745"/>
      <c r="AC750" s="745"/>
      <c r="AD750" s="745"/>
      <c r="AE750" s="745"/>
      <c r="AF750" s="745"/>
      <c r="AG750" s="745"/>
      <c r="AH750" s="745" t="s">
        <v>1678</v>
      </c>
      <c r="AI750" s="745"/>
      <c r="AJ750" s="745"/>
      <c r="AK750" s="745"/>
      <c r="AL750" s="745"/>
      <c r="AM750" s="745"/>
      <c r="AN750" s="745"/>
      <c r="AO750" s="745"/>
      <c r="AP750" s="745"/>
      <c r="AQ750" s="745"/>
      <c r="AR750" s="745"/>
      <c r="AS750" s="745"/>
      <c r="AT750" s="745"/>
      <c r="AU750" s="745"/>
      <c r="AV750" s="745"/>
      <c r="AW750" s="745"/>
      <c r="AX750" s="745"/>
      <c r="AY750" s="745"/>
      <c r="AZ750" s="745"/>
      <c r="BA750" s="745"/>
      <c r="BB750" s="745"/>
    </row>
    <row r="751" spans="1:54" ht="11.1" customHeight="1" x14ac:dyDescent="0.25">
      <c r="A751" s="243"/>
      <c r="B751" s="244"/>
      <c r="C751" s="244"/>
      <c r="D751" s="244"/>
      <c r="E751" s="244"/>
      <c r="F751" s="244"/>
      <c r="G751" s="244"/>
      <c r="H751" s="244"/>
      <c r="I751" s="244"/>
      <c r="J751" s="244"/>
      <c r="K751" s="244"/>
      <c r="L751" s="244"/>
      <c r="M751" s="244"/>
      <c r="N751" s="244"/>
      <c r="O751" s="244"/>
      <c r="P751" s="244"/>
      <c r="Q751" s="244"/>
      <c r="R751" s="244"/>
      <c r="S751" s="244"/>
      <c r="T751" s="269"/>
      <c r="U751" s="745"/>
      <c r="V751" s="745"/>
      <c r="W751" s="745"/>
      <c r="X751" s="745"/>
      <c r="Y751" s="745"/>
      <c r="Z751" s="745"/>
      <c r="AA751" s="745"/>
      <c r="AB751" s="745"/>
      <c r="AC751" s="745"/>
      <c r="AD751" s="745"/>
      <c r="AE751" s="745"/>
      <c r="AF751" s="745"/>
      <c r="AG751" s="745"/>
      <c r="AH751" s="745" t="s">
        <v>1679</v>
      </c>
      <c r="AI751" s="745"/>
      <c r="AJ751" s="745"/>
      <c r="AK751" s="745"/>
      <c r="AL751" s="745"/>
      <c r="AM751" s="745"/>
      <c r="AN751" s="745"/>
      <c r="AO751" s="745"/>
      <c r="AP751" s="745"/>
      <c r="AQ751" s="745"/>
      <c r="AR751" s="745"/>
      <c r="AS751" s="745"/>
      <c r="AT751" s="745"/>
      <c r="AU751" s="745"/>
      <c r="AV751" s="745"/>
      <c r="AW751" s="745"/>
      <c r="AX751" s="745"/>
      <c r="AY751" s="745"/>
      <c r="AZ751" s="745"/>
      <c r="BA751" s="745"/>
      <c r="BB751" s="745"/>
    </row>
    <row r="752" spans="1:54" ht="11.1" customHeight="1" x14ac:dyDescent="0.25">
      <c r="A752" s="243"/>
      <c r="B752" s="244"/>
      <c r="C752" s="244"/>
      <c r="D752" s="244"/>
      <c r="E752" s="244"/>
      <c r="F752" s="244"/>
      <c r="G752" s="244"/>
      <c r="H752" s="244"/>
      <c r="I752" s="244"/>
      <c r="J752" s="244"/>
      <c r="K752" s="244"/>
      <c r="L752" s="244"/>
      <c r="M752" s="244"/>
      <c r="N752" s="244"/>
      <c r="O752" s="244"/>
      <c r="P752" s="244"/>
      <c r="Q752" s="244"/>
      <c r="R752" s="244"/>
      <c r="S752" s="244"/>
      <c r="T752" s="269"/>
      <c r="U752" s="745"/>
      <c r="V752" s="745"/>
      <c r="W752" s="745"/>
      <c r="X752" s="745"/>
      <c r="Y752" s="745"/>
      <c r="Z752" s="745"/>
      <c r="AA752" s="745"/>
      <c r="AB752" s="745"/>
      <c r="AC752" s="745"/>
      <c r="AD752" s="745"/>
      <c r="AE752" s="745"/>
      <c r="AF752" s="745"/>
      <c r="AG752" s="745"/>
      <c r="AH752" s="745" t="s">
        <v>1525</v>
      </c>
      <c r="AI752" s="745"/>
      <c r="AJ752" s="745"/>
      <c r="AK752" s="745"/>
      <c r="AL752" s="745"/>
      <c r="AM752" s="745"/>
      <c r="AN752" s="745"/>
      <c r="AO752" s="745"/>
      <c r="AP752" s="745"/>
      <c r="AQ752" s="745"/>
      <c r="AR752" s="745"/>
      <c r="AS752" s="745"/>
      <c r="AT752" s="745"/>
      <c r="AU752" s="745"/>
      <c r="AV752" s="745"/>
      <c r="AW752" s="745"/>
      <c r="AX752" s="745"/>
      <c r="AY752" s="745"/>
      <c r="AZ752" s="745"/>
      <c r="BA752" s="745"/>
      <c r="BB752" s="745"/>
    </row>
    <row r="753" spans="1:54" ht="11.1" customHeight="1" x14ac:dyDescent="0.25">
      <c r="A753" s="750" t="s">
        <v>1323</v>
      </c>
      <c r="B753" s="750"/>
      <c r="C753" s="750"/>
      <c r="D753" s="750"/>
      <c r="E753" s="750"/>
      <c r="F753" s="750"/>
      <c r="G753" s="750"/>
      <c r="H753" s="750"/>
      <c r="I753" s="750"/>
      <c r="J753" s="750"/>
      <c r="K753" s="750"/>
      <c r="L753" s="750"/>
      <c r="M753" s="750"/>
      <c r="N753" s="750"/>
      <c r="O753" s="750"/>
      <c r="P753" s="750"/>
      <c r="Q753" s="750"/>
      <c r="R753" s="750"/>
      <c r="S753" s="750"/>
      <c r="T753" s="750"/>
      <c r="U753" s="750" t="s">
        <v>1324</v>
      </c>
      <c r="V753" s="750"/>
      <c r="W753" s="750"/>
      <c r="X753" s="750"/>
      <c r="Y753" s="750"/>
      <c r="Z753" s="750"/>
      <c r="AA753" s="750"/>
      <c r="AB753" s="750"/>
      <c r="AC753" s="750"/>
      <c r="AD753" s="750"/>
      <c r="AE753" s="750"/>
      <c r="AF753" s="750"/>
      <c r="AG753" s="750"/>
      <c r="AH753" s="750" t="s">
        <v>1325</v>
      </c>
      <c r="AI753" s="750"/>
      <c r="AJ753" s="750"/>
      <c r="AK753" s="750"/>
      <c r="AL753" s="750"/>
      <c r="AM753" s="750"/>
      <c r="AN753" s="750"/>
      <c r="AO753" s="750"/>
      <c r="AP753" s="750"/>
      <c r="AQ753" s="750"/>
      <c r="AR753" s="750"/>
      <c r="AS753" s="750"/>
      <c r="AT753" s="750"/>
      <c r="AU753" s="750"/>
      <c r="AV753" s="750"/>
      <c r="AW753" s="750"/>
      <c r="AX753" s="750"/>
      <c r="AY753" s="750"/>
      <c r="AZ753" s="750"/>
      <c r="BA753" s="750"/>
      <c r="BB753" s="750"/>
    </row>
    <row r="754" spans="1:54" ht="11.1" customHeight="1" x14ac:dyDescent="0.25">
      <c r="A754" s="257" t="s">
        <v>1662</v>
      </c>
      <c r="B754" s="249"/>
      <c r="C754" s="249"/>
      <c r="D754" s="249"/>
      <c r="E754" s="249"/>
      <c r="F754" s="249"/>
      <c r="G754" s="249"/>
      <c r="H754" s="249"/>
      <c r="I754" s="249"/>
      <c r="J754" s="249"/>
      <c r="K754" s="249"/>
      <c r="L754" s="249"/>
      <c r="M754" s="249"/>
      <c r="N754" s="249"/>
      <c r="O754" s="249"/>
      <c r="P754" s="249"/>
      <c r="Q754" s="249"/>
      <c r="R754" s="249"/>
      <c r="S754" s="249"/>
      <c r="T754" s="250"/>
      <c r="U754" s="709"/>
      <c r="V754" s="709"/>
      <c r="W754" s="709"/>
      <c r="X754" s="709"/>
      <c r="Y754" s="709"/>
      <c r="Z754" s="709"/>
      <c r="AA754" s="709"/>
      <c r="AB754" s="709"/>
      <c r="AC754" s="709"/>
      <c r="AD754" s="709"/>
      <c r="AE754" s="709"/>
      <c r="AF754" s="709"/>
      <c r="AG754" s="709"/>
      <c r="AH754" s="709"/>
      <c r="AI754" s="709"/>
      <c r="AJ754" s="709"/>
      <c r="AK754" s="709"/>
      <c r="AL754" s="709"/>
      <c r="AM754" s="709"/>
      <c r="AN754" s="709"/>
      <c r="AO754" s="709"/>
      <c r="AP754" s="709"/>
      <c r="AQ754" s="709"/>
      <c r="AR754" s="709"/>
      <c r="AS754" s="709"/>
      <c r="AT754" s="709"/>
      <c r="AU754" s="709"/>
      <c r="AV754" s="709"/>
      <c r="AW754" s="709"/>
      <c r="AX754" s="709"/>
      <c r="AY754" s="709"/>
      <c r="AZ754" s="709"/>
      <c r="BA754" s="709"/>
      <c r="BB754" s="709"/>
    </row>
    <row r="755" spans="1:54" ht="11.1" customHeight="1" x14ac:dyDescent="0.25">
      <c r="A755" s="281" t="s">
        <v>1680</v>
      </c>
      <c r="B755" s="208"/>
      <c r="C755" s="208"/>
      <c r="D755" s="208"/>
      <c r="E755" s="208"/>
      <c r="F755" s="208"/>
      <c r="G755" s="208"/>
      <c r="H755" s="208"/>
      <c r="I755" s="208"/>
      <c r="J755" s="208"/>
      <c r="K755" s="208"/>
      <c r="L755" s="208"/>
      <c r="M755" s="208"/>
      <c r="N755" s="208"/>
      <c r="O755" s="208"/>
      <c r="P755" s="208"/>
      <c r="Q755" s="208"/>
      <c r="R755" s="208"/>
      <c r="S755" s="208"/>
      <c r="T755" s="245"/>
      <c r="U755" s="709"/>
      <c r="V755" s="709"/>
      <c r="W755" s="709"/>
      <c r="X755" s="709"/>
      <c r="Y755" s="709"/>
      <c r="Z755" s="709"/>
      <c r="AA755" s="709"/>
      <c r="AB755" s="709"/>
      <c r="AC755" s="709"/>
      <c r="AD755" s="709"/>
      <c r="AE755" s="709"/>
      <c r="AF755" s="709"/>
      <c r="AG755" s="709"/>
      <c r="AH755" s="709"/>
      <c r="AI755" s="709"/>
      <c r="AJ755" s="709"/>
      <c r="AK755" s="709"/>
      <c r="AL755" s="709"/>
      <c r="AM755" s="709"/>
      <c r="AN755" s="709"/>
      <c r="AO755" s="709"/>
      <c r="AP755" s="709"/>
      <c r="AQ755" s="709"/>
      <c r="AR755" s="709"/>
      <c r="AS755" s="709"/>
      <c r="AT755" s="709"/>
      <c r="AU755" s="709"/>
      <c r="AV755" s="709"/>
      <c r="AW755" s="709"/>
      <c r="AX755" s="709"/>
      <c r="AY755" s="709"/>
      <c r="AZ755" s="709"/>
      <c r="BA755" s="709"/>
      <c r="BB755" s="709"/>
    </row>
    <row r="756" spans="1:54" ht="11.1" customHeight="1" x14ac:dyDescent="0.25">
      <c r="A756" s="258" t="s">
        <v>1681</v>
      </c>
      <c r="B756" s="247"/>
      <c r="C756" s="247"/>
      <c r="D756" s="247"/>
      <c r="E756" s="247"/>
      <c r="F756" s="247"/>
      <c r="G756" s="247"/>
      <c r="H756" s="247"/>
      <c r="I756" s="247"/>
      <c r="J756" s="247"/>
      <c r="K756" s="247"/>
      <c r="L756" s="247"/>
      <c r="M756" s="247"/>
      <c r="N756" s="247"/>
      <c r="O756" s="247"/>
      <c r="P756" s="247"/>
      <c r="Q756" s="247"/>
      <c r="R756" s="247"/>
      <c r="S756" s="247"/>
      <c r="T756" s="252"/>
      <c r="U756" s="709"/>
      <c r="V756" s="709"/>
      <c r="W756" s="709"/>
      <c r="X756" s="709"/>
      <c r="Y756" s="709"/>
      <c r="Z756" s="709"/>
      <c r="AA756" s="709"/>
      <c r="AB756" s="709"/>
      <c r="AC756" s="709"/>
      <c r="AD756" s="709"/>
      <c r="AE756" s="709"/>
      <c r="AF756" s="709"/>
      <c r="AG756" s="709"/>
      <c r="AH756" s="709"/>
      <c r="AI756" s="709"/>
      <c r="AJ756" s="709"/>
      <c r="AK756" s="709"/>
      <c r="AL756" s="709"/>
      <c r="AM756" s="709"/>
      <c r="AN756" s="709"/>
      <c r="AO756" s="709"/>
      <c r="AP756" s="709"/>
      <c r="AQ756" s="709"/>
      <c r="AR756" s="709"/>
      <c r="AS756" s="709"/>
      <c r="AT756" s="709"/>
      <c r="AU756" s="709"/>
      <c r="AV756" s="709"/>
      <c r="AW756" s="709"/>
      <c r="AX756" s="709"/>
      <c r="AY756" s="709"/>
      <c r="AZ756" s="709"/>
      <c r="BA756" s="709"/>
      <c r="BB756" s="709"/>
    </row>
    <row r="757" spans="1:54" ht="11.1" customHeight="1" x14ac:dyDescent="0.25">
      <c r="A757" s="257" t="s">
        <v>1664</v>
      </c>
      <c r="B757" s="249"/>
      <c r="C757" s="249"/>
      <c r="D757" s="249"/>
      <c r="E757" s="249"/>
      <c r="F757" s="249"/>
      <c r="G757" s="249"/>
      <c r="H757" s="249"/>
      <c r="I757" s="249"/>
      <c r="J757" s="249"/>
      <c r="K757" s="249"/>
      <c r="L757" s="249"/>
      <c r="M757" s="249"/>
      <c r="N757" s="249"/>
      <c r="O757" s="249"/>
      <c r="P757" s="249"/>
      <c r="Q757" s="249"/>
      <c r="R757" s="249"/>
      <c r="S757" s="249"/>
      <c r="T757" s="250"/>
      <c r="U757" s="709"/>
      <c r="V757" s="709"/>
      <c r="W757" s="709"/>
      <c r="X757" s="709"/>
      <c r="Y757" s="709"/>
      <c r="Z757" s="709"/>
      <c r="AA757" s="709"/>
      <c r="AB757" s="709"/>
      <c r="AC757" s="709"/>
      <c r="AD757" s="709"/>
      <c r="AE757" s="709"/>
      <c r="AF757" s="709"/>
      <c r="AG757" s="709"/>
      <c r="AH757" s="709"/>
      <c r="AI757" s="709"/>
      <c r="AJ757" s="709"/>
      <c r="AK757" s="709"/>
      <c r="AL757" s="709"/>
      <c r="AM757" s="709"/>
      <c r="AN757" s="709"/>
      <c r="AO757" s="709"/>
      <c r="AP757" s="709"/>
      <c r="AQ757" s="709"/>
      <c r="AR757" s="709"/>
      <c r="AS757" s="709"/>
      <c r="AT757" s="709"/>
      <c r="AU757" s="709"/>
      <c r="AV757" s="709"/>
      <c r="AW757" s="709"/>
      <c r="AX757" s="709"/>
      <c r="AY757" s="709"/>
      <c r="AZ757" s="709"/>
      <c r="BA757" s="709"/>
      <c r="BB757" s="709"/>
    </row>
    <row r="758" spans="1:54" ht="11.1" customHeight="1" x14ac:dyDescent="0.25">
      <c r="A758" s="258" t="s">
        <v>1665</v>
      </c>
      <c r="B758" s="247"/>
      <c r="C758" s="247"/>
      <c r="D758" s="247"/>
      <c r="E758" s="247"/>
      <c r="F758" s="247"/>
      <c r="G758" s="247"/>
      <c r="H758" s="247"/>
      <c r="I758" s="247"/>
      <c r="J758" s="247"/>
      <c r="K758" s="247"/>
      <c r="L758" s="247"/>
      <c r="M758" s="247"/>
      <c r="N758" s="247"/>
      <c r="O758" s="247"/>
      <c r="P758" s="247"/>
      <c r="Q758" s="247"/>
      <c r="R758" s="247"/>
      <c r="S758" s="247"/>
      <c r="T758" s="252"/>
      <c r="U758" s="709"/>
      <c r="V758" s="709"/>
      <c r="W758" s="709"/>
      <c r="X758" s="709"/>
      <c r="Y758" s="709"/>
      <c r="Z758" s="709"/>
      <c r="AA758" s="709"/>
      <c r="AB758" s="709"/>
      <c r="AC758" s="709"/>
      <c r="AD758" s="709"/>
      <c r="AE758" s="709"/>
      <c r="AF758" s="709"/>
      <c r="AG758" s="709"/>
      <c r="AH758" s="709"/>
      <c r="AI758" s="709"/>
      <c r="AJ758" s="709"/>
      <c r="AK758" s="709"/>
      <c r="AL758" s="709"/>
      <c r="AM758" s="709"/>
      <c r="AN758" s="709"/>
      <c r="AO758" s="709"/>
      <c r="AP758" s="709"/>
      <c r="AQ758" s="709"/>
      <c r="AR758" s="709"/>
      <c r="AS758" s="709"/>
      <c r="AT758" s="709"/>
      <c r="AU758" s="709"/>
      <c r="AV758" s="709"/>
      <c r="AW758" s="709"/>
      <c r="AX758" s="709"/>
      <c r="AY758" s="709"/>
      <c r="AZ758" s="709"/>
      <c r="BA758" s="709"/>
      <c r="BB758" s="709"/>
    </row>
    <row r="759" spans="1:54" ht="12.6" customHeight="1" x14ac:dyDescent="0.25">
      <c r="A759" s="253" t="s">
        <v>1666</v>
      </c>
      <c r="B759" s="246"/>
      <c r="C759" s="246"/>
      <c r="D759" s="246"/>
      <c r="E759" s="246"/>
      <c r="F759" s="246"/>
      <c r="G759" s="246"/>
      <c r="H759" s="246"/>
      <c r="I759" s="246"/>
      <c r="J759" s="246"/>
      <c r="K759" s="246"/>
      <c r="L759" s="246"/>
      <c r="M759" s="246"/>
      <c r="N759" s="246"/>
      <c r="O759" s="246"/>
      <c r="P759" s="246"/>
      <c r="Q759" s="246"/>
      <c r="R759" s="246"/>
      <c r="S759" s="246"/>
      <c r="T759" s="248"/>
      <c r="U759" s="709"/>
      <c r="V759" s="709"/>
      <c r="W759" s="709"/>
      <c r="X759" s="709"/>
      <c r="Y759" s="709"/>
      <c r="Z759" s="709"/>
      <c r="AA759" s="709"/>
      <c r="AB759" s="709"/>
      <c r="AC759" s="709"/>
      <c r="AD759" s="709"/>
      <c r="AE759" s="709"/>
      <c r="AF759" s="709"/>
      <c r="AG759" s="709"/>
      <c r="AH759" s="709"/>
      <c r="AI759" s="709"/>
      <c r="AJ759" s="709"/>
      <c r="AK759" s="709"/>
      <c r="AL759" s="709"/>
      <c r="AM759" s="709"/>
      <c r="AN759" s="709"/>
      <c r="AO759" s="709"/>
      <c r="AP759" s="709"/>
      <c r="AQ759" s="709"/>
      <c r="AR759" s="709"/>
      <c r="AS759" s="709"/>
      <c r="AT759" s="709"/>
      <c r="AU759" s="709"/>
      <c r="AV759" s="709"/>
      <c r="AW759" s="709"/>
      <c r="AX759" s="709"/>
      <c r="AY759" s="709"/>
      <c r="AZ759" s="709"/>
      <c r="BA759" s="709"/>
      <c r="BB759" s="709"/>
    </row>
    <row r="760" spans="1:54" ht="12.6" customHeight="1" x14ac:dyDescent="0.25">
      <c r="A760" s="258" t="s">
        <v>1667</v>
      </c>
      <c r="B760" s="247"/>
      <c r="C760" s="247"/>
      <c r="D760" s="247"/>
      <c r="E760" s="247"/>
      <c r="F760" s="247"/>
      <c r="G760" s="247"/>
      <c r="H760" s="247"/>
      <c r="I760" s="247"/>
      <c r="J760" s="247"/>
      <c r="K760" s="247"/>
      <c r="L760" s="247"/>
      <c r="M760" s="247"/>
      <c r="N760" s="247"/>
      <c r="O760" s="247"/>
      <c r="P760" s="247"/>
      <c r="Q760" s="247"/>
      <c r="R760" s="247"/>
      <c r="S760" s="247"/>
      <c r="T760" s="252"/>
      <c r="U760" s="709"/>
      <c r="V760" s="709"/>
      <c r="W760" s="709"/>
      <c r="X760" s="709"/>
      <c r="Y760" s="709"/>
      <c r="Z760" s="709"/>
      <c r="AA760" s="709"/>
      <c r="AB760" s="709"/>
      <c r="AC760" s="709"/>
      <c r="AD760" s="709"/>
      <c r="AE760" s="709"/>
      <c r="AF760" s="709"/>
      <c r="AG760" s="709"/>
      <c r="AH760" s="709"/>
      <c r="AI760" s="709"/>
      <c r="AJ760" s="709"/>
      <c r="AK760" s="709"/>
      <c r="AL760" s="709"/>
      <c r="AM760" s="709"/>
      <c r="AN760" s="709"/>
      <c r="AO760" s="709"/>
      <c r="AP760" s="709"/>
      <c r="AQ760" s="709"/>
      <c r="AR760" s="709"/>
      <c r="AS760" s="709"/>
      <c r="AT760" s="709"/>
      <c r="AU760" s="709"/>
      <c r="AV760" s="709"/>
      <c r="AW760" s="709"/>
      <c r="AX760" s="709"/>
      <c r="AY760" s="709"/>
      <c r="AZ760" s="709"/>
      <c r="BA760" s="709"/>
      <c r="BB760" s="709"/>
    </row>
    <row r="761" spans="1:54" ht="13.5" customHeight="1" x14ac:dyDescent="0.25">
      <c r="A761" s="227" t="s">
        <v>1482</v>
      </c>
    </row>
    <row r="762" spans="1:54" ht="15" customHeight="1" x14ac:dyDescent="0.25">
      <c r="A762" s="763"/>
      <c r="B762" s="763"/>
      <c r="C762" s="763"/>
      <c r="D762" s="763"/>
      <c r="E762" s="763"/>
      <c r="F762" s="763"/>
      <c r="G762" s="763"/>
      <c r="H762" s="763"/>
      <c r="I762" s="763"/>
      <c r="J762" s="763"/>
      <c r="K762" s="763"/>
      <c r="L762" s="763"/>
      <c r="M762" s="763"/>
      <c r="N762" s="763"/>
      <c r="O762" s="763"/>
      <c r="P762" s="763"/>
      <c r="Q762" s="763"/>
      <c r="R762" s="763"/>
      <c r="S762" s="763"/>
      <c r="T762" s="763"/>
      <c r="U762" s="763"/>
      <c r="V762" s="763"/>
      <c r="W762" s="763"/>
      <c r="X762" s="763"/>
      <c r="Y762" s="763"/>
      <c r="Z762" s="763"/>
      <c r="AA762" s="763"/>
      <c r="AB762" s="763"/>
      <c r="AC762" s="763"/>
      <c r="AD762" s="763"/>
      <c r="AE762" s="763"/>
      <c r="AF762" s="763"/>
      <c r="AG762" s="763"/>
      <c r="AH762" s="763"/>
      <c r="AI762" s="763"/>
      <c r="AJ762" s="763"/>
      <c r="AK762" s="763"/>
      <c r="AL762" s="763"/>
      <c r="AM762" s="763"/>
      <c r="AN762" s="763"/>
      <c r="AO762" s="763"/>
      <c r="AP762" s="763"/>
      <c r="AQ762" s="763"/>
      <c r="AR762" s="763"/>
      <c r="AS762" s="763"/>
      <c r="AT762" s="763"/>
      <c r="AU762" s="763"/>
      <c r="AV762" s="763"/>
      <c r="AW762" s="763"/>
      <c r="AX762" s="763"/>
      <c r="AY762" s="265"/>
      <c r="AZ762" s="265"/>
      <c r="BA762" s="265"/>
      <c r="BB762" s="265"/>
    </row>
    <row r="763" spans="1:54" ht="15" customHeight="1" x14ac:dyDescent="0.25">
      <c r="A763" s="763"/>
      <c r="B763" s="763"/>
      <c r="C763" s="763"/>
      <c r="D763" s="763"/>
      <c r="E763" s="763"/>
      <c r="F763" s="763"/>
      <c r="G763" s="763"/>
      <c r="H763" s="763"/>
      <c r="I763" s="763"/>
      <c r="J763" s="763"/>
      <c r="K763" s="763"/>
      <c r="L763" s="763"/>
      <c r="M763" s="763"/>
      <c r="N763" s="763"/>
      <c r="O763" s="763"/>
      <c r="P763" s="763"/>
      <c r="Q763" s="763"/>
      <c r="R763" s="763"/>
      <c r="S763" s="763"/>
      <c r="T763" s="763"/>
      <c r="U763" s="763"/>
      <c r="V763" s="763"/>
      <c r="W763" s="763"/>
      <c r="X763" s="763"/>
      <c r="Y763" s="763"/>
      <c r="Z763" s="763"/>
      <c r="AA763" s="763"/>
      <c r="AB763" s="763"/>
      <c r="AC763" s="763"/>
      <c r="AD763" s="763"/>
      <c r="AE763" s="763"/>
      <c r="AF763" s="763"/>
      <c r="AG763" s="763"/>
      <c r="AH763" s="763"/>
      <c r="AI763" s="763"/>
      <c r="AJ763" s="763"/>
      <c r="AK763" s="763"/>
      <c r="AL763" s="763"/>
      <c r="AM763" s="763"/>
      <c r="AN763" s="763"/>
      <c r="AO763" s="763"/>
      <c r="AP763" s="763"/>
      <c r="AQ763" s="763"/>
      <c r="AR763" s="763"/>
      <c r="AS763" s="763"/>
      <c r="AT763" s="763"/>
      <c r="AU763" s="763"/>
      <c r="AV763" s="763"/>
      <c r="AW763" s="763"/>
      <c r="AX763" s="763"/>
      <c r="AY763" s="265"/>
      <c r="AZ763" s="265"/>
      <c r="BA763" s="265"/>
      <c r="BB763" s="265"/>
    </row>
    <row r="764" spans="1:54" ht="12.6" customHeight="1" x14ac:dyDescent="0.25">
      <c r="A764" s="208"/>
      <c r="B764" s="208"/>
      <c r="C764" s="208"/>
      <c r="D764" s="208"/>
      <c r="E764" s="208"/>
      <c r="F764" s="208"/>
      <c r="G764" s="208"/>
      <c r="H764" s="208"/>
      <c r="I764" s="208"/>
      <c r="J764" s="208"/>
      <c r="K764" s="208"/>
      <c r="L764" s="208"/>
      <c r="M764" s="208"/>
      <c r="N764" s="208"/>
      <c r="O764" s="208"/>
      <c r="P764" s="208"/>
      <c r="Q764" s="208"/>
      <c r="R764" s="208"/>
      <c r="S764" s="208"/>
      <c r="T764" s="208"/>
      <c r="U764" s="264"/>
      <c r="V764" s="264"/>
      <c r="W764" s="264"/>
      <c r="X764" s="264"/>
      <c r="Y764" s="264"/>
      <c r="Z764" s="264"/>
      <c r="AA764" s="264"/>
      <c r="AB764" s="264"/>
      <c r="AC764" s="264"/>
      <c r="AD764" s="264"/>
      <c r="AE764" s="264"/>
      <c r="AF764" s="264"/>
      <c r="AG764" s="264"/>
      <c r="AH764" s="264"/>
      <c r="AI764" s="264"/>
      <c r="AJ764" s="264"/>
      <c r="AK764" s="264"/>
      <c r="AL764" s="264"/>
      <c r="AM764" s="264"/>
      <c r="AN764" s="264"/>
      <c r="AO764" s="264"/>
      <c r="AP764" s="264"/>
      <c r="AQ764" s="264"/>
      <c r="AR764" s="264"/>
      <c r="AS764" s="264"/>
      <c r="AT764" s="264"/>
      <c r="AU764" s="264"/>
      <c r="AV764" s="264"/>
      <c r="AW764" s="264"/>
      <c r="AX764" s="264"/>
      <c r="AY764" s="264"/>
      <c r="AZ764" s="264"/>
      <c r="BA764" s="264"/>
      <c r="BB764" s="264"/>
    </row>
    <row r="765" spans="1:54" ht="12.6" customHeight="1" x14ac:dyDescent="0.25">
      <c r="A765" s="208"/>
      <c r="B765" s="208"/>
      <c r="C765" s="208"/>
      <c r="D765" s="208"/>
      <c r="E765" s="208"/>
      <c r="F765" s="208"/>
      <c r="G765" s="208"/>
      <c r="H765" s="208"/>
      <c r="I765" s="208"/>
      <c r="J765" s="208"/>
      <c r="K765" s="208"/>
      <c r="L765" s="208"/>
      <c r="M765" s="208"/>
      <c r="N765" s="208"/>
      <c r="O765" s="208"/>
      <c r="P765" s="208"/>
      <c r="Q765" s="208"/>
      <c r="R765" s="208"/>
      <c r="S765" s="208"/>
      <c r="T765" s="208"/>
      <c r="U765" s="264"/>
      <c r="V765" s="264"/>
      <c r="W765" s="264"/>
      <c r="X765" s="264"/>
      <c r="Y765" s="264"/>
      <c r="Z765" s="264"/>
      <c r="AA765" s="264"/>
      <c r="AB765" s="264"/>
      <c r="AC765" s="264"/>
      <c r="AD765" s="264"/>
      <c r="AE765" s="264"/>
      <c r="AF765" s="264"/>
      <c r="AG765" s="264"/>
      <c r="AH765" s="264"/>
      <c r="AI765" s="264"/>
      <c r="AJ765" s="264"/>
      <c r="AK765" s="264"/>
      <c r="AL765" s="264"/>
      <c r="AM765" s="264"/>
      <c r="AN765" s="264"/>
      <c r="AO765" s="264"/>
      <c r="AP765" s="264"/>
      <c r="AQ765" s="264"/>
      <c r="AR765" s="264"/>
      <c r="AS765" s="264"/>
      <c r="AT765" s="264"/>
      <c r="AU765" s="264"/>
      <c r="AV765" s="264"/>
      <c r="AW765" s="264"/>
      <c r="AX765" s="264"/>
      <c r="AY765" s="264"/>
      <c r="AZ765" s="264"/>
      <c r="BA765" s="264"/>
      <c r="BB765" s="264"/>
    </row>
    <row r="766" spans="1:54" ht="12.6" customHeight="1" x14ac:dyDescent="0.25">
      <c r="A766" s="208"/>
      <c r="B766" s="208"/>
      <c r="C766" s="208"/>
      <c r="D766" s="208"/>
      <c r="E766" s="208"/>
      <c r="F766" s="208"/>
      <c r="G766" s="208"/>
      <c r="H766" s="208"/>
      <c r="I766" s="208"/>
      <c r="J766" s="208"/>
      <c r="K766" s="208"/>
      <c r="L766" s="208"/>
      <c r="M766" s="208"/>
      <c r="N766" s="208"/>
      <c r="O766" s="208"/>
      <c r="P766" s="208"/>
      <c r="Q766" s="208"/>
      <c r="R766" s="208"/>
      <c r="S766" s="208"/>
      <c r="T766" s="208"/>
      <c r="U766" s="264"/>
      <c r="V766" s="264"/>
      <c r="W766" s="264"/>
      <c r="X766" s="264"/>
      <c r="Y766" s="264"/>
      <c r="Z766" s="264"/>
      <c r="AA766" s="264"/>
      <c r="AB766" s="264"/>
      <c r="AC766" s="264"/>
      <c r="AD766" s="264"/>
      <c r="AE766" s="264"/>
      <c r="AF766" s="264"/>
      <c r="AG766" s="264"/>
      <c r="AH766" s="264"/>
      <c r="AI766" s="264"/>
      <c r="AJ766" s="264"/>
      <c r="AK766" s="264"/>
      <c r="AL766" s="264"/>
      <c r="AM766" s="264"/>
      <c r="AN766" s="264"/>
      <c r="AO766" s="264"/>
      <c r="AP766" s="264"/>
      <c r="AQ766" s="264"/>
      <c r="AR766" s="264"/>
      <c r="AS766" s="264"/>
      <c r="AT766" s="264"/>
      <c r="AU766" s="264"/>
      <c r="AV766" s="264"/>
      <c r="AW766" s="264"/>
      <c r="AX766" s="264"/>
      <c r="AY766" s="264"/>
      <c r="AZ766" s="264"/>
      <c r="BA766" s="264"/>
      <c r="BB766" s="264"/>
    </row>
    <row r="767" spans="1:54" ht="12.6" customHeight="1" x14ac:dyDescent="0.25">
      <c r="A767" s="208"/>
      <c r="B767" s="208"/>
      <c r="C767" s="208"/>
      <c r="D767" s="208"/>
      <c r="E767" s="208"/>
      <c r="F767" s="208"/>
      <c r="G767" s="208"/>
      <c r="H767" s="208"/>
      <c r="I767" s="208"/>
      <c r="J767" s="208"/>
      <c r="K767" s="208"/>
      <c r="L767" s="208"/>
      <c r="M767" s="208"/>
      <c r="N767" s="208"/>
      <c r="O767" s="208"/>
      <c r="P767" s="208"/>
      <c r="Q767" s="208"/>
      <c r="R767" s="208"/>
      <c r="S767" s="208"/>
      <c r="T767" s="208"/>
      <c r="U767" s="264"/>
      <c r="V767" s="264"/>
      <c r="W767" s="264"/>
      <c r="X767" s="264"/>
      <c r="Y767" s="264"/>
      <c r="Z767" s="264"/>
      <c r="AA767" s="264"/>
      <c r="AB767" s="264"/>
      <c r="AC767" s="264"/>
      <c r="AD767" s="264"/>
      <c r="AE767" s="264"/>
      <c r="AF767" s="264"/>
      <c r="AG767" s="264"/>
      <c r="AH767" s="264"/>
      <c r="AI767" s="264"/>
      <c r="AJ767" s="264"/>
      <c r="AK767" s="264"/>
      <c r="AL767" s="264"/>
      <c r="AM767" s="264"/>
      <c r="AN767" s="264"/>
      <c r="AO767" s="264"/>
      <c r="AP767" s="264"/>
      <c r="AQ767" s="264"/>
      <c r="AR767" s="264"/>
      <c r="AS767" s="264"/>
      <c r="AT767" s="264"/>
      <c r="AU767" s="264"/>
      <c r="AV767" s="264"/>
      <c r="AW767" s="264"/>
      <c r="AX767" s="264"/>
      <c r="AY767" s="264"/>
      <c r="AZ767" s="264"/>
      <c r="BA767" s="264"/>
      <c r="BB767" s="264"/>
    </row>
    <row r="768" spans="1:54" ht="12.6" customHeight="1" x14ac:dyDescent="0.25">
      <c r="A768" s="208"/>
      <c r="B768" s="208"/>
      <c r="C768" s="208"/>
      <c r="D768" s="208"/>
      <c r="E768" s="208"/>
      <c r="F768" s="208"/>
      <c r="G768" s="208"/>
      <c r="H768" s="208"/>
      <c r="I768" s="208"/>
      <c r="J768" s="208"/>
      <c r="K768" s="208"/>
      <c r="L768" s="208"/>
      <c r="M768" s="208"/>
      <c r="N768" s="208"/>
      <c r="O768" s="208"/>
      <c r="P768" s="208"/>
      <c r="Q768" s="208"/>
      <c r="R768" s="208"/>
      <c r="S768" s="208"/>
      <c r="T768" s="208"/>
      <c r="U768" s="264"/>
      <c r="V768" s="264"/>
      <c r="W768" s="264"/>
      <c r="X768" s="264"/>
      <c r="Y768" s="264"/>
      <c r="Z768" s="264"/>
      <c r="AA768" s="264"/>
      <c r="AB768" s="264"/>
      <c r="AC768" s="264"/>
      <c r="AD768" s="264"/>
      <c r="AE768" s="264"/>
      <c r="AF768" s="264"/>
      <c r="AG768" s="264"/>
      <c r="AH768" s="264"/>
      <c r="AI768" s="264"/>
      <c r="AJ768" s="264"/>
      <c r="AK768" s="264"/>
      <c r="AL768" s="264"/>
      <c r="AM768" s="264"/>
      <c r="AN768" s="264"/>
      <c r="AO768" s="264"/>
      <c r="AP768" s="264"/>
      <c r="AQ768" s="264"/>
      <c r="AR768" s="264"/>
      <c r="AS768" s="264"/>
      <c r="AT768" s="264"/>
      <c r="AU768" s="264"/>
      <c r="AV768" s="264"/>
      <c r="AW768" s="264"/>
      <c r="AX768" s="264"/>
      <c r="AY768" s="264"/>
      <c r="AZ768" s="264"/>
      <c r="BA768" s="264"/>
      <c r="BB768" s="264"/>
    </row>
    <row r="769" spans="1:54" ht="12.6" customHeight="1" x14ac:dyDescent="0.25">
      <c r="A769" s="208"/>
      <c r="B769" s="208"/>
      <c r="C769" s="208"/>
      <c r="D769" s="208"/>
      <c r="E769" s="208"/>
      <c r="F769" s="208"/>
      <c r="G769" s="208"/>
      <c r="H769" s="208"/>
      <c r="I769" s="208"/>
      <c r="J769" s="208"/>
      <c r="K769" s="208"/>
      <c r="L769" s="208"/>
      <c r="M769" s="208"/>
      <c r="N769" s="208"/>
      <c r="O769" s="208"/>
      <c r="P769" s="208"/>
      <c r="Q769" s="208"/>
      <c r="R769" s="208"/>
      <c r="S769" s="208"/>
      <c r="T769" s="208"/>
      <c r="U769" s="264"/>
      <c r="V769" s="264"/>
      <c r="W769" s="264"/>
      <c r="X769" s="264"/>
      <c r="Y769" s="264"/>
      <c r="Z769" s="264"/>
      <c r="AA769" s="264"/>
      <c r="AB769" s="264"/>
      <c r="AC769" s="264"/>
      <c r="AD769" s="264"/>
      <c r="AE769" s="264"/>
      <c r="AF769" s="264"/>
      <c r="AG769" s="264"/>
      <c r="AH769" s="264"/>
      <c r="AI769" s="264"/>
      <c r="AJ769" s="264"/>
      <c r="AK769" s="264"/>
      <c r="AL769" s="264"/>
      <c r="AM769" s="264"/>
      <c r="AN769" s="264"/>
      <c r="AO769" s="264"/>
      <c r="AP769" s="264"/>
      <c r="AQ769" s="264"/>
      <c r="AR769" s="264"/>
      <c r="AS769" s="264"/>
      <c r="AT769" s="264"/>
      <c r="AU769" s="264"/>
      <c r="AV769" s="264"/>
      <c r="AW769" s="264"/>
      <c r="AX769" s="264"/>
      <c r="AY769" s="264"/>
      <c r="AZ769" s="264"/>
      <c r="BA769" s="264"/>
      <c r="BB769" s="264"/>
    </row>
    <row r="770" spans="1:54" ht="12.6" customHeight="1" x14ac:dyDescent="0.25">
      <c r="A770" s="208"/>
      <c r="B770" s="208"/>
      <c r="C770" s="208"/>
      <c r="D770" s="208"/>
      <c r="E770" s="208"/>
      <c r="F770" s="208"/>
      <c r="G770" s="208"/>
      <c r="H770" s="208"/>
      <c r="I770" s="208"/>
      <c r="J770" s="208"/>
      <c r="K770" s="208"/>
      <c r="L770" s="208"/>
      <c r="M770" s="208"/>
      <c r="N770" s="208"/>
      <c r="O770" s="208"/>
      <c r="P770" s="208"/>
      <c r="Q770" s="208"/>
      <c r="R770" s="208"/>
      <c r="S770" s="208"/>
      <c r="T770" s="208"/>
      <c r="U770" s="264"/>
      <c r="V770" s="264"/>
      <c r="W770" s="264"/>
      <c r="X770" s="264"/>
      <c r="Y770" s="264"/>
      <c r="Z770" s="264"/>
      <c r="AA770" s="264"/>
      <c r="AB770" s="264"/>
      <c r="AC770" s="264"/>
      <c r="AD770" s="264"/>
      <c r="AE770" s="264"/>
      <c r="AF770" s="264"/>
      <c r="AG770" s="264"/>
      <c r="AH770" s="264"/>
      <c r="AI770" s="264"/>
      <c r="AJ770" s="264"/>
      <c r="AK770" s="264"/>
      <c r="AL770" s="264"/>
      <c r="AM770" s="264"/>
      <c r="AN770" s="264"/>
      <c r="AO770" s="264"/>
      <c r="AP770" s="264"/>
      <c r="AQ770" s="264"/>
      <c r="AR770" s="264"/>
      <c r="AS770" s="264"/>
      <c r="AT770" s="264"/>
      <c r="AU770" s="264"/>
      <c r="AV770" s="264"/>
      <c r="AW770" s="264"/>
      <c r="AX770" s="264"/>
      <c r="AY770" s="264"/>
      <c r="AZ770" s="264"/>
      <c r="BA770" s="264"/>
      <c r="BB770" s="264"/>
    </row>
    <row r="771" spans="1:54" ht="12.6" customHeight="1" x14ac:dyDescent="0.25">
      <c r="A771" s="208"/>
      <c r="B771" s="208"/>
      <c r="C771" s="208"/>
      <c r="D771" s="208"/>
      <c r="E771" s="208"/>
      <c r="F771" s="208"/>
      <c r="G771" s="208"/>
      <c r="H771" s="208"/>
      <c r="I771" s="208"/>
      <c r="J771" s="208"/>
      <c r="K771" s="208"/>
      <c r="L771" s="208"/>
      <c r="M771" s="208"/>
      <c r="N771" s="208"/>
      <c r="O771" s="208"/>
      <c r="P771" s="208"/>
      <c r="Q771" s="208"/>
      <c r="R771" s="208"/>
      <c r="S771" s="208"/>
      <c r="T771" s="208"/>
      <c r="U771" s="264"/>
      <c r="V771" s="264"/>
      <c r="W771" s="264"/>
      <c r="X771" s="264"/>
      <c r="Y771" s="264"/>
      <c r="Z771" s="264"/>
      <c r="AA771" s="264"/>
      <c r="AB771" s="264"/>
      <c r="AC771" s="264"/>
      <c r="AD771" s="264"/>
      <c r="AE771" s="264"/>
      <c r="AF771" s="264"/>
      <c r="AG771" s="264"/>
      <c r="AH771" s="264"/>
      <c r="AI771" s="264"/>
      <c r="AJ771" s="264"/>
      <c r="AK771" s="264"/>
      <c r="AL771" s="264"/>
      <c r="AM771" s="264"/>
      <c r="AN771" s="264"/>
      <c r="AO771" s="264"/>
      <c r="AP771" s="264"/>
      <c r="AQ771" s="264"/>
      <c r="AR771" s="264"/>
      <c r="AS771" s="264"/>
      <c r="AT771" s="264"/>
      <c r="AU771" s="264"/>
      <c r="AV771" s="264"/>
      <c r="AW771" s="264"/>
      <c r="AX771" s="264"/>
      <c r="AY771" s="264"/>
      <c r="AZ771" s="264"/>
      <c r="BA771" s="264"/>
      <c r="BB771" s="264"/>
    </row>
    <row r="772" spans="1:54" ht="12.6" customHeight="1" x14ac:dyDescent="0.25">
      <c r="A772" s="208"/>
      <c r="B772" s="208"/>
      <c r="C772" s="208"/>
      <c r="D772" s="208"/>
      <c r="E772" s="208"/>
      <c r="F772" s="208"/>
      <c r="G772" s="208"/>
      <c r="H772" s="208"/>
      <c r="I772" s="208"/>
      <c r="J772" s="208"/>
      <c r="K772" s="208"/>
      <c r="L772" s="208"/>
      <c r="M772" s="208"/>
      <c r="N772" s="208"/>
      <c r="O772" s="208"/>
      <c r="P772" s="208"/>
      <c r="Q772" s="208"/>
      <c r="R772" s="208"/>
      <c r="S772" s="208"/>
      <c r="T772" s="208"/>
      <c r="U772" s="264"/>
      <c r="V772" s="264"/>
      <c r="W772" s="264"/>
      <c r="X772" s="264"/>
      <c r="Y772" s="264"/>
      <c r="Z772" s="264"/>
      <c r="AA772" s="264"/>
      <c r="AB772" s="264"/>
      <c r="AC772" s="264"/>
      <c r="AD772" s="264"/>
      <c r="AE772" s="264"/>
      <c r="AF772" s="264"/>
      <c r="AG772" s="264"/>
      <c r="AH772" s="264"/>
      <c r="AI772" s="264"/>
      <c r="AJ772" s="264"/>
      <c r="AK772" s="264"/>
      <c r="AL772" s="264"/>
      <c r="AM772" s="264"/>
      <c r="AN772" s="264"/>
      <c r="AO772" s="264"/>
      <c r="AP772" s="264"/>
      <c r="AQ772" s="264"/>
      <c r="AR772" s="264"/>
      <c r="AS772" s="264"/>
      <c r="AT772" s="264"/>
      <c r="AU772" s="264"/>
      <c r="AV772" s="264"/>
      <c r="AW772" s="264"/>
      <c r="AX772" s="264"/>
      <c r="AY772" s="264"/>
      <c r="AZ772" s="264"/>
      <c r="BA772" s="264"/>
      <c r="BB772" s="264"/>
    </row>
    <row r="773" spans="1:54" ht="12.6" customHeight="1" x14ac:dyDescent="0.25">
      <c r="A773" s="208"/>
      <c r="B773" s="208"/>
      <c r="C773" s="208"/>
      <c r="D773" s="208"/>
      <c r="E773" s="208"/>
      <c r="F773" s="208"/>
      <c r="G773" s="208"/>
      <c r="H773" s="208"/>
      <c r="I773" s="208"/>
      <c r="J773" s="208"/>
      <c r="K773" s="208"/>
      <c r="L773" s="208"/>
      <c r="M773" s="208"/>
      <c r="N773" s="208"/>
      <c r="O773" s="208"/>
      <c r="P773" s="208"/>
      <c r="Q773" s="208"/>
      <c r="R773" s="208"/>
      <c r="S773" s="208"/>
      <c r="T773" s="208"/>
      <c r="U773" s="264"/>
      <c r="V773" s="264"/>
      <c r="W773" s="264"/>
      <c r="X773" s="264"/>
      <c r="Y773" s="264"/>
      <c r="Z773" s="264"/>
      <c r="AA773" s="264"/>
      <c r="AB773" s="264"/>
      <c r="AC773" s="264"/>
      <c r="AD773" s="264"/>
      <c r="AE773" s="264"/>
      <c r="AF773" s="264"/>
      <c r="AG773" s="264"/>
      <c r="AH773" s="264"/>
      <c r="AI773" s="264"/>
      <c r="AJ773" s="264"/>
      <c r="AK773" s="264"/>
      <c r="AL773" s="264"/>
      <c r="AM773" s="264"/>
      <c r="AN773" s="264"/>
      <c r="AO773" s="264"/>
      <c r="AP773" s="264"/>
      <c r="AQ773" s="264"/>
      <c r="AR773" s="264"/>
      <c r="AS773" s="264"/>
      <c r="AT773" s="264"/>
      <c r="AU773" s="264"/>
      <c r="AV773" s="264"/>
      <c r="AW773" s="264"/>
      <c r="AX773" s="264"/>
      <c r="AY773" s="264"/>
      <c r="AZ773" s="264"/>
      <c r="BA773" s="264"/>
      <c r="BB773" s="264"/>
    </row>
    <row r="774" spans="1:54" ht="11.1" customHeight="1" x14ac:dyDescent="0.25">
      <c r="A774" s="301"/>
      <c r="B774" s="302"/>
      <c r="C774" s="302"/>
      <c r="D774" s="302"/>
      <c r="E774" s="302"/>
      <c r="F774" s="302"/>
      <c r="G774" s="302"/>
      <c r="H774" s="302"/>
      <c r="I774" s="302"/>
      <c r="J774" s="302"/>
      <c r="K774" s="302"/>
      <c r="L774" s="302"/>
      <c r="M774" s="302"/>
      <c r="N774" s="302"/>
      <c r="O774" s="302"/>
      <c r="P774" s="302"/>
      <c r="Q774" s="302"/>
      <c r="R774" s="302"/>
      <c r="S774" s="302"/>
      <c r="T774" s="302"/>
      <c r="U774" s="302"/>
      <c r="V774" s="302"/>
      <c r="W774" s="302"/>
      <c r="X774" s="302"/>
      <c r="Y774" s="302"/>
      <c r="Z774" s="302"/>
      <c r="AA774" s="302"/>
      <c r="AB774" s="302"/>
      <c r="AC774" s="302"/>
      <c r="AD774" s="302"/>
      <c r="AE774" s="302"/>
      <c r="AF774" s="302"/>
      <c r="AG774" s="302"/>
      <c r="AH774" s="302"/>
      <c r="AI774" s="302"/>
      <c r="AJ774" s="302"/>
      <c r="AK774" s="302"/>
      <c r="AL774" s="302"/>
      <c r="AM774" s="302"/>
      <c r="AN774" s="302"/>
      <c r="AO774" s="302"/>
      <c r="AP774" s="302"/>
      <c r="AQ774" s="302"/>
      <c r="AR774" s="302"/>
      <c r="AS774" s="302"/>
      <c r="AT774" s="302"/>
      <c r="AU774" s="302"/>
      <c r="AV774" s="302"/>
      <c r="AW774" s="302"/>
      <c r="AX774" s="302"/>
      <c r="AY774" s="302"/>
      <c r="AZ774" s="302"/>
      <c r="BA774" s="302"/>
      <c r="BB774" s="303"/>
    </row>
    <row r="775" spans="1:54" ht="12.6" customHeight="1" x14ac:dyDescent="0.25">
      <c r="A775" s="227" t="s">
        <v>1682</v>
      </c>
    </row>
    <row r="776" spans="1:54" ht="14.25" customHeight="1" x14ac:dyDescent="0.25">
      <c r="A776" s="241"/>
      <c r="B776" s="242"/>
      <c r="C776" s="242"/>
      <c r="D776" s="242"/>
      <c r="E776" s="242"/>
      <c r="F776" s="242"/>
      <c r="G776" s="242"/>
      <c r="H776" s="242"/>
      <c r="I776" s="242"/>
      <c r="J776" s="242"/>
      <c r="K776" s="242"/>
      <c r="L776" s="242"/>
      <c r="M776" s="268"/>
      <c r="N776" s="807" t="s">
        <v>1288</v>
      </c>
      <c r="O776" s="807"/>
      <c r="P776" s="807"/>
      <c r="Q776" s="807"/>
      <c r="R776" s="807"/>
      <c r="S776" s="807"/>
      <c r="T776" s="807"/>
      <c r="U776" s="807"/>
      <c r="V776" s="807"/>
      <c r="W776" s="807"/>
      <c r="X776" s="807"/>
      <c r="Y776" s="807"/>
      <c r="Z776" s="807"/>
      <c r="AA776" s="807"/>
      <c r="AB776" s="807"/>
      <c r="AC776" s="807"/>
      <c r="AD776" s="807"/>
      <c r="AE776" s="807"/>
      <c r="AF776" s="807"/>
      <c r="AG776" s="807"/>
      <c r="AH776" s="807"/>
      <c r="AI776" s="807"/>
      <c r="AJ776" s="807"/>
      <c r="AK776" s="807"/>
      <c r="AL776" s="807"/>
      <c r="AM776" s="807"/>
      <c r="AN776" s="807"/>
      <c r="AO776" s="807"/>
      <c r="AP776" s="807"/>
      <c r="AQ776" s="807"/>
      <c r="AR776" s="807"/>
      <c r="AS776" s="807"/>
      <c r="AT776" s="807"/>
      <c r="AU776" s="807"/>
      <c r="AV776" s="807"/>
      <c r="AW776" s="807"/>
      <c r="AX776" s="807"/>
      <c r="AY776" s="807"/>
      <c r="AZ776" s="807"/>
      <c r="BA776" s="807"/>
      <c r="BB776" s="807"/>
    </row>
    <row r="777" spans="1:54" ht="11.1" customHeight="1" x14ac:dyDescent="0.25">
      <c r="A777" s="243"/>
      <c r="B777" s="244"/>
      <c r="C777" s="244"/>
      <c r="D777" s="244"/>
      <c r="E777" s="244"/>
      <c r="F777" s="244"/>
      <c r="G777" s="244"/>
      <c r="H777" s="244"/>
      <c r="I777" s="244"/>
      <c r="J777" s="244"/>
      <c r="K777" s="244"/>
      <c r="L777" s="244"/>
      <c r="M777" s="269"/>
      <c r="N777" s="241"/>
      <c r="O777" s="242"/>
      <c r="P777" s="242"/>
      <c r="Q777" s="242"/>
      <c r="R777" s="242"/>
      <c r="S777" s="268"/>
      <c r="T777" s="241"/>
      <c r="U777" s="242"/>
      <c r="V777" s="242"/>
      <c r="W777" s="242"/>
      <c r="X777" s="242"/>
      <c r="Y777" s="242"/>
      <c r="Z777" s="268"/>
      <c r="AA777" s="241"/>
      <c r="AB777" s="242"/>
      <c r="AC777" s="242"/>
      <c r="AD777" s="242"/>
      <c r="AE777" s="242"/>
      <c r="AF777" s="242"/>
      <c r="AG777" s="268"/>
      <c r="AH777" s="768" t="s">
        <v>1620</v>
      </c>
      <c r="AI777" s="768"/>
      <c r="AJ777" s="768"/>
      <c r="AK777" s="768"/>
      <c r="AL777" s="768"/>
      <c r="AM777" s="768"/>
      <c r="AN777" s="768"/>
      <c r="AO777" s="768"/>
      <c r="AP777" s="768"/>
      <c r="AQ777" s="241"/>
      <c r="AR777" s="242"/>
      <c r="AS777" s="242"/>
      <c r="AT777" s="242"/>
      <c r="AU777" s="242"/>
      <c r="AV777" s="242"/>
      <c r="AW777" s="242"/>
      <c r="AX777" s="242"/>
      <c r="AY777" s="242"/>
      <c r="AZ777" s="242"/>
      <c r="BA777" s="242"/>
      <c r="BB777" s="268"/>
    </row>
    <row r="778" spans="1:54" ht="11.1" customHeight="1" x14ac:dyDescent="0.25">
      <c r="A778" s="243"/>
      <c r="B778" s="244"/>
      <c r="C778" s="244"/>
      <c r="D778" s="244"/>
      <c r="E778" s="244"/>
      <c r="F778" s="244"/>
      <c r="G778" s="244"/>
      <c r="H778" s="244"/>
      <c r="I778" s="244"/>
      <c r="J778" s="244"/>
      <c r="K778" s="244"/>
      <c r="L778" s="244"/>
      <c r="M778" s="269"/>
      <c r="N778" s="745" t="s">
        <v>1621</v>
      </c>
      <c r="O778" s="745"/>
      <c r="P778" s="745"/>
      <c r="Q778" s="745"/>
      <c r="R778" s="745"/>
      <c r="S778" s="745"/>
      <c r="T778" s="243"/>
      <c r="U778" s="244"/>
      <c r="V778" s="244"/>
      <c r="W778" s="244"/>
      <c r="X778" s="244"/>
      <c r="Y778" s="244"/>
      <c r="Z778" s="269"/>
      <c r="AA778" s="745" t="s">
        <v>1620</v>
      </c>
      <c r="AB778" s="745"/>
      <c r="AC778" s="745"/>
      <c r="AD778" s="745"/>
      <c r="AE778" s="745"/>
      <c r="AF778" s="745"/>
      <c r="AG778" s="745"/>
      <c r="AH778" s="745" t="s">
        <v>1622</v>
      </c>
      <c r="AI778" s="745"/>
      <c r="AJ778" s="745"/>
      <c r="AK778" s="745"/>
      <c r="AL778" s="745"/>
      <c r="AM778" s="745"/>
      <c r="AN778" s="745"/>
      <c r="AO778" s="745"/>
      <c r="AP778" s="745"/>
      <c r="AQ778" s="745" t="s">
        <v>1621</v>
      </c>
      <c r="AR778" s="745"/>
      <c r="AS778" s="745"/>
      <c r="AT778" s="745"/>
      <c r="AU778" s="745"/>
      <c r="AV778" s="745"/>
      <c r="AW778" s="745"/>
      <c r="AX778" s="745"/>
      <c r="AY778" s="745"/>
      <c r="AZ778" s="745"/>
      <c r="BA778" s="745"/>
      <c r="BB778" s="745"/>
    </row>
    <row r="779" spans="1:54" ht="11.1" customHeight="1" x14ac:dyDescent="0.25">
      <c r="A779" s="745" t="s">
        <v>1683</v>
      </c>
      <c r="B779" s="745"/>
      <c r="C779" s="745"/>
      <c r="D779" s="745"/>
      <c r="E779" s="745"/>
      <c r="F779" s="745"/>
      <c r="G779" s="745"/>
      <c r="H779" s="745"/>
      <c r="I779" s="745"/>
      <c r="J779" s="745"/>
      <c r="K779" s="745"/>
      <c r="L779" s="745"/>
      <c r="M779" s="745"/>
      <c r="N779" s="745" t="s">
        <v>1523</v>
      </c>
      <c r="O779" s="745"/>
      <c r="P779" s="745"/>
      <c r="Q779" s="745"/>
      <c r="R779" s="745"/>
      <c r="S779" s="745"/>
      <c r="T779" s="745" t="s">
        <v>1624</v>
      </c>
      <c r="U779" s="745"/>
      <c r="V779" s="745"/>
      <c r="W779" s="745"/>
      <c r="X779" s="745"/>
      <c r="Y779" s="745"/>
      <c r="Z779" s="745"/>
      <c r="AA779" s="745" t="s">
        <v>1625</v>
      </c>
      <c r="AB779" s="745"/>
      <c r="AC779" s="745"/>
      <c r="AD779" s="745"/>
      <c r="AE779" s="745"/>
      <c r="AF779" s="745"/>
      <c r="AG779" s="745"/>
      <c r="AH779" s="745" t="s">
        <v>1626</v>
      </c>
      <c r="AI779" s="745"/>
      <c r="AJ779" s="745"/>
      <c r="AK779" s="745"/>
      <c r="AL779" s="745"/>
      <c r="AM779" s="745"/>
      <c r="AN779" s="745"/>
      <c r="AO779" s="745"/>
      <c r="AP779" s="745"/>
      <c r="AQ779" s="745" t="s">
        <v>1587</v>
      </c>
      <c r="AR779" s="745"/>
      <c r="AS779" s="745"/>
      <c r="AT779" s="745"/>
      <c r="AU779" s="745"/>
      <c r="AV779" s="745"/>
      <c r="AW779" s="745"/>
      <c r="AX779" s="745"/>
      <c r="AY779" s="745"/>
      <c r="AZ779" s="745"/>
      <c r="BA779" s="745"/>
      <c r="BB779" s="745"/>
    </row>
    <row r="780" spans="1:54" ht="11.1" customHeight="1" x14ac:dyDescent="0.25">
      <c r="A780" s="243"/>
      <c r="B780" s="244"/>
      <c r="C780" s="244"/>
      <c r="D780" s="244"/>
      <c r="E780" s="244"/>
      <c r="F780" s="244"/>
      <c r="G780" s="244"/>
      <c r="H780" s="244"/>
      <c r="I780" s="244"/>
      <c r="J780" s="244"/>
      <c r="K780" s="244"/>
      <c r="L780" s="244"/>
      <c r="M780" s="269"/>
      <c r="N780" s="745" t="s">
        <v>1524</v>
      </c>
      <c r="O780" s="745"/>
      <c r="P780" s="745"/>
      <c r="Q780" s="745"/>
      <c r="R780" s="745"/>
      <c r="S780" s="745"/>
      <c r="T780" s="745" t="s">
        <v>1627</v>
      </c>
      <c r="U780" s="745"/>
      <c r="V780" s="745"/>
      <c r="W780" s="745"/>
      <c r="X780" s="745"/>
      <c r="Y780" s="745"/>
      <c r="Z780" s="745"/>
      <c r="AA780" s="745" t="s">
        <v>1628</v>
      </c>
      <c r="AB780" s="745"/>
      <c r="AC780" s="745"/>
      <c r="AD780" s="745"/>
      <c r="AE780" s="745"/>
      <c r="AF780" s="745"/>
      <c r="AG780" s="745"/>
      <c r="AH780" s="745" t="s">
        <v>1629</v>
      </c>
      <c r="AI780" s="745"/>
      <c r="AJ780" s="745"/>
      <c r="AK780" s="745"/>
      <c r="AL780" s="745"/>
      <c r="AM780" s="745"/>
      <c r="AN780" s="745"/>
      <c r="AO780" s="745"/>
      <c r="AP780" s="745"/>
      <c r="AQ780" s="745" t="s">
        <v>1524</v>
      </c>
      <c r="AR780" s="745"/>
      <c r="AS780" s="745"/>
      <c r="AT780" s="745"/>
      <c r="AU780" s="745"/>
      <c r="AV780" s="745"/>
      <c r="AW780" s="745"/>
      <c r="AX780" s="745"/>
      <c r="AY780" s="745"/>
      <c r="AZ780" s="745"/>
      <c r="BA780" s="745"/>
      <c r="BB780" s="745"/>
    </row>
    <row r="781" spans="1:54" ht="11.1" customHeight="1" x14ac:dyDescent="0.25">
      <c r="A781" s="243"/>
      <c r="B781" s="244"/>
      <c r="C781" s="244"/>
      <c r="D781" s="244"/>
      <c r="E781" s="244"/>
      <c r="F781" s="244"/>
      <c r="G781" s="244"/>
      <c r="H781" s="244"/>
      <c r="I781" s="244"/>
      <c r="J781" s="244"/>
      <c r="K781" s="244"/>
      <c r="L781" s="244"/>
      <c r="M781" s="269"/>
      <c r="N781" s="745" t="s">
        <v>1525</v>
      </c>
      <c r="O781" s="745"/>
      <c r="P781" s="745"/>
      <c r="Q781" s="745"/>
      <c r="R781" s="745"/>
      <c r="S781" s="745"/>
      <c r="T781" s="243"/>
      <c r="U781" s="244"/>
      <c r="V781" s="244"/>
      <c r="W781" s="244"/>
      <c r="X781" s="244"/>
      <c r="Y781" s="244"/>
      <c r="Z781" s="269"/>
      <c r="AA781" s="243"/>
      <c r="AB781" s="244"/>
      <c r="AC781" s="244"/>
      <c r="AD781" s="244"/>
      <c r="AE781" s="244"/>
      <c r="AF781" s="244"/>
      <c r="AG781" s="269"/>
      <c r="AH781" s="745" t="s">
        <v>1630</v>
      </c>
      <c r="AI781" s="745"/>
      <c r="AJ781" s="745"/>
      <c r="AK781" s="745"/>
      <c r="AL781" s="745"/>
      <c r="AM781" s="745"/>
      <c r="AN781" s="745"/>
      <c r="AO781" s="745"/>
      <c r="AP781" s="745"/>
      <c r="AQ781" s="745" t="s">
        <v>1525</v>
      </c>
      <c r="AR781" s="745"/>
      <c r="AS781" s="745"/>
      <c r="AT781" s="745"/>
      <c r="AU781" s="745"/>
      <c r="AV781" s="745"/>
      <c r="AW781" s="745"/>
      <c r="AX781" s="745"/>
      <c r="AY781" s="745"/>
      <c r="AZ781" s="745"/>
      <c r="BA781" s="745"/>
      <c r="BB781" s="745"/>
    </row>
    <row r="782" spans="1:54" ht="11.1" customHeight="1" x14ac:dyDescent="0.25">
      <c r="A782" s="750" t="s">
        <v>1323</v>
      </c>
      <c r="B782" s="750"/>
      <c r="C782" s="750"/>
      <c r="D782" s="750"/>
      <c r="E782" s="750"/>
      <c r="F782" s="750"/>
      <c r="G782" s="750"/>
      <c r="H782" s="750"/>
      <c r="I782" s="750"/>
      <c r="J782" s="750"/>
      <c r="K782" s="750"/>
      <c r="L782" s="750"/>
      <c r="M782" s="750"/>
      <c r="N782" s="750" t="s">
        <v>1324</v>
      </c>
      <c r="O782" s="750"/>
      <c r="P782" s="750"/>
      <c r="Q782" s="750"/>
      <c r="R782" s="750"/>
      <c r="S782" s="750"/>
      <c r="T782" s="750" t="s">
        <v>1325</v>
      </c>
      <c r="U782" s="750"/>
      <c r="V782" s="750"/>
      <c r="W782" s="750"/>
      <c r="X782" s="750"/>
      <c r="Y782" s="750"/>
      <c r="Z782" s="750"/>
      <c r="AA782" s="750" t="s">
        <v>1326</v>
      </c>
      <c r="AB782" s="750"/>
      <c r="AC782" s="750"/>
      <c r="AD782" s="750"/>
      <c r="AE782" s="750"/>
      <c r="AF782" s="750"/>
      <c r="AG782" s="750"/>
      <c r="AH782" s="750" t="s">
        <v>1327</v>
      </c>
      <c r="AI782" s="750"/>
      <c r="AJ782" s="750"/>
      <c r="AK782" s="750"/>
      <c r="AL782" s="750"/>
      <c r="AM782" s="750"/>
      <c r="AN782" s="750"/>
      <c r="AO782" s="750"/>
      <c r="AP782" s="750"/>
      <c r="AQ782" s="750" t="s">
        <v>1333</v>
      </c>
      <c r="AR782" s="750"/>
      <c r="AS782" s="750"/>
      <c r="AT782" s="750"/>
      <c r="AU782" s="750"/>
      <c r="AV782" s="750"/>
      <c r="AW782" s="750"/>
      <c r="AX782" s="750"/>
      <c r="AY782" s="750"/>
      <c r="AZ782" s="750"/>
      <c r="BA782" s="750"/>
      <c r="BB782" s="750"/>
    </row>
    <row r="783" spans="1:54" ht="12.6" customHeight="1" x14ac:dyDescent="0.25">
      <c r="A783" s="723" t="s">
        <v>1684</v>
      </c>
      <c r="B783" s="723"/>
      <c r="C783" s="723"/>
      <c r="D783" s="723"/>
      <c r="E783" s="723"/>
      <c r="F783" s="723"/>
      <c r="G783" s="723"/>
      <c r="H783" s="723"/>
      <c r="I783" s="723"/>
      <c r="J783" s="723"/>
      <c r="K783" s="723"/>
      <c r="L783" s="723"/>
      <c r="M783" s="723"/>
      <c r="N783" s="709"/>
      <c r="O783" s="709"/>
      <c r="P783" s="709"/>
      <c r="Q783" s="709"/>
      <c r="R783" s="709"/>
      <c r="S783" s="709"/>
      <c r="T783" s="709"/>
      <c r="U783" s="709"/>
      <c r="V783" s="709"/>
      <c r="W783" s="709"/>
      <c r="X783" s="709"/>
      <c r="Y783" s="709"/>
      <c r="Z783" s="709"/>
      <c r="AA783" s="709"/>
      <c r="AB783" s="709"/>
      <c r="AC783" s="709"/>
      <c r="AD783" s="709"/>
      <c r="AE783" s="709"/>
      <c r="AF783" s="709"/>
      <c r="AG783" s="709"/>
      <c r="AH783" s="709"/>
      <c r="AI783" s="709"/>
      <c r="AJ783" s="709"/>
      <c r="AK783" s="709"/>
      <c r="AL783" s="709"/>
      <c r="AM783" s="709"/>
      <c r="AN783" s="709"/>
      <c r="AO783" s="709"/>
      <c r="AP783" s="709"/>
      <c r="AQ783" s="709"/>
      <c r="AR783" s="709"/>
      <c r="AS783" s="709"/>
      <c r="AT783" s="709"/>
      <c r="AU783" s="709"/>
      <c r="AV783" s="709"/>
      <c r="AW783" s="709"/>
      <c r="AX783" s="709"/>
      <c r="AY783" s="709"/>
      <c r="AZ783" s="709"/>
      <c r="BA783" s="709"/>
      <c r="BB783" s="709"/>
    </row>
    <row r="784" spans="1:54" ht="12.6" customHeight="1" x14ac:dyDescent="0.25">
      <c r="A784" s="723"/>
      <c r="B784" s="723"/>
      <c r="C784" s="723"/>
      <c r="D784" s="723"/>
      <c r="E784" s="723"/>
      <c r="F784" s="723"/>
      <c r="G784" s="723"/>
      <c r="H784" s="723"/>
      <c r="I784" s="723"/>
      <c r="J784" s="723"/>
      <c r="K784" s="723"/>
      <c r="L784" s="723"/>
      <c r="M784" s="723"/>
      <c r="N784" s="709"/>
      <c r="O784" s="709"/>
      <c r="P784" s="709"/>
      <c r="Q784" s="709"/>
      <c r="R784" s="709"/>
      <c r="S784" s="709"/>
      <c r="T784" s="709"/>
      <c r="U784" s="709"/>
      <c r="V784" s="709"/>
      <c r="W784" s="709"/>
      <c r="X784" s="709"/>
      <c r="Y784" s="709"/>
      <c r="Z784" s="709"/>
      <c r="AA784" s="709"/>
      <c r="AB784" s="709"/>
      <c r="AC784" s="709"/>
      <c r="AD784" s="709"/>
      <c r="AE784" s="709"/>
      <c r="AF784" s="709"/>
      <c r="AG784" s="709"/>
      <c r="AH784" s="709"/>
      <c r="AI784" s="709"/>
      <c r="AJ784" s="709"/>
      <c r="AK784" s="709"/>
      <c r="AL784" s="709"/>
      <c r="AM784" s="709"/>
      <c r="AN784" s="709"/>
      <c r="AO784" s="709"/>
      <c r="AP784" s="709"/>
      <c r="AQ784" s="709"/>
      <c r="AR784" s="709"/>
      <c r="AS784" s="709"/>
      <c r="AT784" s="709"/>
      <c r="AU784" s="709"/>
      <c r="AV784" s="709"/>
      <c r="AW784" s="709"/>
      <c r="AX784" s="709"/>
      <c r="AY784" s="709"/>
      <c r="AZ784" s="709"/>
      <c r="BA784" s="709"/>
      <c r="BB784" s="709"/>
    </row>
    <row r="785" spans="1:54" ht="12.6" customHeight="1" x14ac:dyDescent="0.25">
      <c r="A785" s="723" t="s">
        <v>1685</v>
      </c>
      <c r="B785" s="723"/>
      <c r="C785" s="723"/>
      <c r="D785" s="723"/>
      <c r="E785" s="723"/>
      <c r="F785" s="723"/>
      <c r="G785" s="723"/>
      <c r="H785" s="723"/>
      <c r="I785" s="723"/>
      <c r="J785" s="723"/>
      <c r="K785" s="723"/>
      <c r="L785" s="723"/>
      <c r="M785" s="723"/>
      <c r="N785" s="709"/>
      <c r="O785" s="709"/>
      <c r="P785" s="709"/>
      <c r="Q785" s="709"/>
      <c r="R785" s="709"/>
      <c r="S785" s="709"/>
      <c r="T785" s="709"/>
      <c r="U785" s="709"/>
      <c r="V785" s="709"/>
      <c r="W785" s="709"/>
      <c r="X785" s="709"/>
      <c r="Y785" s="709"/>
      <c r="Z785" s="709"/>
      <c r="AA785" s="709"/>
      <c r="AB785" s="709"/>
      <c r="AC785" s="709"/>
      <c r="AD785" s="709"/>
      <c r="AE785" s="709"/>
      <c r="AF785" s="709"/>
      <c r="AG785" s="709"/>
      <c r="AH785" s="709"/>
      <c r="AI785" s="709"/>
      <c r="AJ785" s="709"/>
      <c r="AK785" s="709"/>
      <c r="AL785" s="709"/>
      <c r="AM785" s="709"/>
      <c r="AN785" s="709"/>
      <c r="AO785" s="709"/>
      <c r="AP785" s="709"/>
      <c r="AQ785" s="709"/>
      <c r="AR785" s="709"/>
      <c r="AS785" s="709"/>
      <c r="AT785" s="709"/>
      <c r="AU785" s="709"/>
      <c r="AV785" s="709"/>
      <c r="AW785" s="709"/>
      <c r="AX785" s="709"/>
      <c r="AY785" s="709"/>
      <c r="AZ785" s="709"/>
      <c r="BA785" s="709"/>
      <c r="BB785" s="709"/>
    </row>
    <row r="786" spans="1:54" ht="27.75" customHeight="1" x14ac:dyDescent="0.25">
      <c r="A786" s="723" t="s">
        <v>1686</v>
      </c>
      <c r="B786" s="723"/>
      <c r="C786" s="723"/>
      <c r="D786" s="723"/>
      <c r="E786" s="723"/>
      <c r="F786" s="723"/>
      <c r="G786" s="723"/>
      <c r="H786" s="723"/>
      <c r="I786" s="723"/>
      <c r="J786" s="723"/>
      <c r="K786" s="723"/>
      <c r="L786" s="723"/>
      <c r="M786" s="723"/>
      <c r="N786" s="709"/>
      <c r="O786" s="709"/>
      <c r="P786" s="709"/>
      <c r="Q786" s="709"/>
      <c r="R786" s="709"/>
      <c r="S786" s="709"/>
      <c r="T786" s="709"/>
      <c r="U786" s="709"/>
      <c r="V786" s="709"/>
      <c r="W786" s="709"/>
      <c r="X786" s="709"/>
      <c r="Y786" s="709"/>
      <c r="Z786" s="709"/>
      <c r="AA786" s="709"/>
      <c r="AB786" s="709"/>
      <c r="AC786" s="709"/>
      <c r="AD786" s="709"/>
      <c r="AE786" s="709"/>
      <c r="AF786" s="709"/>
      <c r="AG786" s="709"/>
      <c r="AH786" s="709"/>
      <c r="AI786" s="709"/>
      <c r="AJ786" s="709"/>
      <c r="AK786" s="709"/>
      <c r="AL786" s="709"/>
      <c r="AM786" s="709"/>
      <c r="AN786" s="709"/>
      <c r="AO786" s="709"/>
      <c r="AP786" s="709"/>
      <c r="AQ786" s="709"/>
      <c r="AR786" s="709"/>
      <c r="AS786" s="709"/>
      <c r="AT786" s="709"/>
      <c r="AU786" s="709"/>
      <c r="AV786" s="709"/>
      <c r="AW786" s="709"/>
      <c r="AX786" s="709"/>
      <c r="AY786" s="709"/>
      <c r="AZ786" s="709"/>
      <c r="BA786" s="709"/>
      <c r="BB786" s="709"/>
    </row>
    <row r="787" spans="1:54" ht="27" customHeight="1" x14ac:dyDescent="0.25">
      <c r="A787" s="723" t="s">
        <v>1687</v>
      </c>
      <c r="B787" s="723"/>
      <c r="C787" s="723"/>
      <c r="D787" s="723"/>
      <c r="E787" s="723"/>
      <c r="F787" s="723"/>
      <c r="G787" s="723"/>
      <c r="H787" s="723"/>
      <c r="I787" s="723"/>
      <c r="J787" s="723"/>
      <c r="K787" s="723"/>
      <c r="L787" s="723"/>
      <c r="M787" s="723"/>
      <c r="N787" s="709"/>
      <c r="O787" s="709"/>
      <c r="P787" s="709"/>
      <c r="Q787" s="709"/>
      <c r="R787" s="709"/>
      <c r="S787" s="709"/>
      <c r="T787" s="709"/>
      <c r="U787" s="709"/>
      <c r="V787" s="709"/>
      <c r="W787" s="709"/>
      <c r="X787" s="709"/>
      <c r="Y787" s="709"/>
      <c r="Z787" s="709"/>
      <c r="AA787" s="709"/>
      <c r="AB787" s="709"/>
      <c r="AC787" s="709"/>
      <c r="AD787" s="709"/>
      <c r="AE787" s="709"/>
      <c r="AF787" s="709"/>
      <c r="AG787" s="709"/>
      <c r="AH787" s="709"/>
      <c r="AI787" s="709"/>
      <c r="AJ787" s="709"/>
      <c r="AK787" s="709"/>
      <c r="AL787" s="709"/>
      <c r="AM787" s="709"/>
      <c r="AN787" s="709"/>
      <c r="AO787" s="709"/>
      <c r="AP787" s="709"/>
      <c r="AQ787" s="709"/>
      <c r="AR787" s="709"/>
      <c r="AS787" s="709"/>
      <c r="AT787" s="709"/>
      <c r="AU787" s="709"/>
      <c r="AV787" s="709"/>
      <c r="AW787" s="709"/>
      <c r="AX787" s="709"/>
      <c r="AY787" s="709"/>
      <c r="AZ787" s="709"/>
      <c r="BA787" s="709"/>
      <c r="BB787" s="709"/>
    </row>
    <row r="788" spans="1:54" ht="11.1" customHeight="1" x14ac:dyDescent="0.25">
      <c r="A788" s="767" t="s">
        <v>1688</v>
      </c>
      <c r="B788" s="767"/>
      <c r="C788" s="767"/>
      <c r="D788" s="767"/>
      <c r="E788" s="767"/>
      <c r="F788" s="767"/>
      <c r="G788" s="767"/>
      <c r="H788" s="767"/>
      <c r="I788" s="767"/>
      <c r="J788" s="767"/>
      <c r="K788" s="767"/>
      <c r="L788" s="767"/>
      <c r="M788" s="767"/>
      <c r="N788" s="709"/>
      <c r="O788" s="709"/>
      <c r="P788" s="709"/>
      <c r="Q788" s="709"/>
      <c r="R788" s="709"/>
      <c r="S788" s="709"/>
      <c r="T788" s="709"/>
      <c r="U788" s="709"/>
      <c r="V788" s="709"/>
      <c r="W788" s="709"/>
      <c r="X788" s="709"/>
      <c r="Y788" s="709"/>
      <c r="Z788" s="709"/>
      <c r="AA788" s="709"/>
      <c r="AB788" s="709"/>
      <c r="AC788" s="709"/>
      <c r="AD788" s="709"/>
      <c r="AE788" s="709"/>
      <c r="AF788" s="709"/>
      <c r="AG788" s="709"/>
      <c r="AH788" s="709"/>
      <c r="AI788" s="709"/>
      <c r="AJ788" s="709"/>
      <c r="AK788" s="709"/>
      <c r="AL788" s="709"/>
      <c r="AM788" s="709"/>
      <c r="AN788" s="709"/>
      <c r="AO788" s="709"/>
      <c r="AP788" s="709"/>
      <c r="AQ788" s="709"/>
      <c r="AR788" s="709"/>
      <c r="AS788" s="709"/>
      <c r="AT788" s="709"/>
      <c r="AU788" s="709"/>
      <c r="AV788" s="709"/>
      <c r="AW788" s="709"/>
      <c r="AX788" s="709"/>
      <c r="AY788" s="709"/>
      <c r="AZ788" s="709"/>
      <c r="BA788" s="709"/>
      <c r="BB788" s="709"/>
    </row>
    <row r="789" spans="1:54" ht="16.5" customHeight="1" x14ac:dyDescent="0.25">
      <c r="A789" s="767"/>
      <c r="B789" s="767"/>
      <c r="C789" s="767"/>
      <c r="D789" s="767"/>
      <c r="E789" s="767"/>
      <c r="F789" s="767"/>
      <c r="G789" s="767"/>
      <c r="H789" s="767"/>
      <c r="I789" s="767"/>
      <c r="J789" s="767"/>
      <c r="K789" s="767"/>
      <c r="L789" s="767"/>
      <c r="M789" s="767"/>
      <c r="N789" s="709"/>
      <c r="O789" s="709"/>
      <c r="P789" s="709"/>
      <c r="Q789" s="709"/>
      <c r="R789" s="709"/>
      <c r="S789" s="709"/>
      <c r="T789" s="709"/>
      <c r="U789" s="709"/>
      <c r="V789" s="709"/>
      <c r="W789" s="709"/>
      <c r="X789" s="709"/>
      <c r="Y789" s="709"/>
      <c r="Z789" s="709"/>
      <c r="AA789" s="709"/>
      <c r="AB789" s="709"/>
      <c r="AC789" s="709"/>
      <c r="AD789" s="709"/>
      <c r="AE789" s="709"/>
      <c r="AF789" s="709"/>
      <c r="AG789" s="709"/>
      <c r="AH789" s="709"/>
      <c r="AI789" s="709"/>
      <c r="AJ789" s="709"/>
      <c r="AK789" s="709"/>
      <c r="AL789" s="709"/>
      <c r="AM789" s="709"/>
      <c r="AN789" s="709"/>
      <c r="AO789" s="709"/>
      <c r="AP789" s="709"/>
      <c r="AQ789" s="709"/>
      <c r="AR789" s="709"/>
      <c r="AS789" s="709"/>
      <c r="AT789" s="709"/>
      <c r="AU789" s="709"/>
      <c r="AV789" s="709"/>
      <c r="AW789" s="709"/>
      <c r="AX789" s="709"/>
      <c r="AY789" s="709"/>
      <c r="AZ789" s="709"/>
      <c r="BA789" s="709"/>
      <c r="BB789" s="709"/>
    </row>
    <row r="790" spans="1:54" ht="51.75" customHeight="1" x14ac:dyDescent="0.25">
      <c r="A790" s="767" t="s">
        <v>1689</v>
      </c>
      <c r="B790" s="767"/>
      <c r="C790" s="767"/>
      <c r="D790" s="767"/>
      <c r="E790" s="767"/>
      <c r="F790" s="767"/>
      <c r="G790" s="767"/>
      <c r="H790" s="767"/>
      <c r="I790" s="767"/>
      <c r="J790" s="767"/>
      <c r="K790" s="767"/>
      <c r="L790" s="767"/>
      <c r="M790" s="767"/>
      <c r="N790" s="709"/>
      <c r="O790" s="709"/>
      <c r="P790" s="709"/>
      <c r="Q790" s="709"/>
      <c r="R790" s="709"/>
      <c r="S790" s="709"/>
      <c r="T790" s="709"/>
      <c r="U790" s="709"/>
      <c r="V790" s="709"/>
      <c r="W790" s="709"/>
      <c r="X790" s="709"/>
      <c r="Y790" s="709"/>
      <c r="Z790" s="709"/>
      <c r="AA790" s="709"/>
      <c r="AB790" s="709"/>
      <c r="AC790" s="709"/>
      <c r="AD790" s="709"/>
      <c r="AE790" s="709"/>
      <c r="AF790" s="709"/>
      <c r="AG790" s="709"/>
      <c r="AH790" s="709"/>
      <c r="AI790" s="709"/>
      <c r="AJ790" s="709"/>
      <c r="AK790" s="709"/>
      <c r="AL790" s="709"/>
      <c r="AM790" s="709"/>
      <c r="AN790" s="709"/>
      <c r="AO790" s="709"/>
      <c r="AP790" s="709"/>
      <c r="AQ790" s="709"/>
      <c r="AR790" s="709"/>
      <c r="AS790" s="709"/>
      <c r="AT790" s="709"/>
      <c r="AU790" s="709"/>
      <c r="AV790" s="709"/>
      <c r="AW790" s="709"/>
      <c r="AX790" s="709"/>
      <c r="AY790" s="709"/>
      <c r="AZ790" s="709"/>
      <c r="BA790" s="709"/>
      <c r="BB790" s="709"/>
    </row>
    <row r="791" spans="1:54" ht="24.75" customHeight="1" x14ac:dyDescent="0.25">
      <c r="A791" s="767" t="s">
        <v>1690</v>
      </c>
      <c r="B791" s="767"/>
      <c r="C791" s="767"/>
      <c r="D791" s="767"/>
      <c r="E791" s="767"/>
      <c r="F791" s="767"/>
      <c r="G791" s="767"/>
      <c r="H791" s="767"/>
      <c r="I791" s="767"/>
      <c r="J791" s="767"/>
      <c r="K791" s="767"/>
      <c r="L791" s="767"/>
      <c r="M791" s="767"/>
      <c r="N791" s="709"/>
      <c r="O791" s="709"/>
      <c r="P791" s="709"/>
      <c r="Q791" s="709"/>
      <c r="R791" s="709"/>
      <c r="S791" s="709"/>
      <c r="T791" s="709"/>
      <c r="U791" s="709"/>
      <c r="V791" s="709"/>
      <c r="W791" s="709"/>
      <c r="X791" s="709"/>
      <c r="Y791" s="709"/>
      <c r="Z791" s="709"/>
      <c r="AA791" s="709"/>
      <c r="AB791" s="709"/>
      <c r="AC791" s="709"/>
      <c r="AD791" s="709"/>
      <c r="AE791" s="709"/>
      <c r="AF791" s="709"/>
      <c r="AG791" s="709"/>
      <c r="AH791" s="709"/>
      <c r="AI791" s="709"/>
      <c r="AJ791" s="709"/>
      <c r="AK791" s="709"/>
      <c r="AL791" s="709"/>
      <c r="AM791" s="709"/>
      <c r="AN791" s="709"/>
      <c r="AO791" s="709"/>
      <c r="AP791" s="709"/>
      <c r="AQ791" s="709"/>
      <c r="AR791" s="709"/>
      <c r="AS791" s="709"/>
      <c r="AT791" s="709"/>
      <c r="AU791" s="709"/>
      <c r="AV791" s="709"/>
      <c r="AW791" s="709"/>
      <c r="AX791" s="709"/>
      <c r="AY791" s="709"/>
      <c r="AZ791" s="709"/>
      <c r="BA791" s="709"/>
      <c r="BB791" s="709"/>
    </row>
    <row r="792" spans="1:54" ht="29.25" customHeight="1" x14ac:dyDescent="0.25">
      <c r="A792" s="767" t="s">
        <v>1691</v>
      </c>
      <c r="B792" s="767"/>
      <c r="C792" s="767"/>
      <c r="D792" s="767"/>
      <c r="E792" s="767"/>
      <c r="F792" s="767"/>
      <c r="G792" s="767"/>
      <c r="H792" s="767"/>
      <c r="I792" s="767"/>
      <c r="J792" s="767"/>
      <c r="K792" s="767"/>
      <c r="L792" s="767"/>
      <c r="M792" s="767"/>
      <c r="N792" s="709"/>
      <c r="O792" s="709"/>
      <c r="P792" s="709"/>
      <c r="Q792" s="709"/>
      <c r="R792" s="709"/>
      <c r="S792" s="709"/>
      <c r="T792" s="709"/>
      <c r="U792" s="709"/>
      <c r="V792" s="709"/>
      <c r="W792" s="709"/>
      <c r="X792" s="709"/>
      <c r="Y792" s="709"/>
      <c r="Z792" s="709"/>
      <c r="AA792" s="709"/>
      <c r="AB792" s="709"/>
      <c r="AC792" s="709"/>
      <c r="AD792" s="709"/>
      <c r="AE792" s="709"/>
      <c r="AF792" s="709"/>
      <c r="AG792" s="709"/>
      <c r="AH792" s="709"/>
      <c r="AI792" s="709"/>
      <c r="AJ792" s="709"/>
      <c r="AK792" s="709"/>
      <c r="AL792" s="709"/>
      <c r="AM792" s="709"/>
      <c r="AN792" s="709"/>
      <c r="AO792" s="709"/>
      <c r="AP792" s="709"/>
      <c r="AQ792" s="709"/>
      <c r="AR792" s="709"/>
      <c r="AS792" s="709"/>
      <c r="AT792" s="709"/>
      <c r="AU792" s="709"/>
      <c r="AV792" s="709"/>
      <c r="AW792" s="709"/>
      <c r="AX792" s="709"/>
      <c r="AY792" s="709"/>
      <c r="AZ792" s="709"/>
      <c r="BA792" s="709"/>
      <c r="BB792" s="709"/>
    </row>
    <row r="793" spans="1:54" ht="12.6" customHeight="1" x14ac:dyDescent="0.25">
      <c r="A793" s="816" t="s">
        <v>1692</v>
      </c>
      <c r="B793" s="816"/>
      <c r="C793" s="816"/>
      <c r="D793" s="816"/>
      <c r="E793" s="816"/>
      <c r="F793" s="816"/>
      <c r="G793" s="816"/>
      <c r="H793" s="816"/>
      <c r="I793" s="816"/>
      <c r="J793" s="816"/>
      <c r="K793" s="816"/>
      <c r="L793" s="816"/>
      <c r="M793" s="816"/>
      <c r="N793" s="709"/>
      <c r="O793" s="709"/>
      <c r="P793" s="709"/>
      <c r="Q793" s="709"/>
      <c r="R793" s="709"/>
      <c r="S793" s="709"/>
      <c r="T793" s="709"/>
      <c r="U793" s="709"/>
      <c r="V793" s="709"/>
      <c r="W793" s="709"/>
      <c r="X793" s="709"/>
      <c r="Y793" s="709"/>
      <c r="Z793" s="709"/>
      <c r="AA793" s="709"/>
      <c r="AB793" s="709"/>
      <c r="AC793" s="709"/>
      <c r="AD793" s="709"/>
      <c r="AE793" s="709"/>
      <c r="AF793" s="709"/>
      <c r="AG793" s="709"/>
      <c r="AH793" s="709"/>
      <c r="AI793" s="709"/>
      <c r="AJ793" s="709"/>
      <c r="AK793" s="709"/>
      <c r="AL793" s="709"/>
      <c r="AM793" s="709"/>
      <c r="AN793" s="709"/>
      <c r="AO793" s="709"/>
      <c r="AP793" s="709"/>
      <c r="AQ793" s="709"/>
      <c r="AR793" s="709"/>
      <c r="AS793" s="709"/>
      <c r="AT793" s="709"/>
      <c r="AU793" s="709"/>
      <c r="AV793" s="709"/>
      <c r="AW793" s="709"/>
      <c r="AX793" s="709"/>
      <c r="AY793" s="709"/>
      <c r="AZ793" s="709"/>
      <c r="BA793" s="709"/>
      <c r="BB793" s="709"/>
    </row>
    <row r="794" spans="1:54" ht="12.6" customHeight="1" x14ac:dyDescent="0.25">
      <c r="A794" s="817" t="s">
        <v>1693</v>
      </c>
      <c r="B794" s="817"/>
      <c r="C794" s="817"/>
      <c r="D794" s="817"/>
      <c r="E794" s="817"/>
      <c r="F794" s="817"/>
      <c r="G794" s="817"/>
      <c r="H794" s="817"/>
      <c r="I794" s="817"/>
      <c r="J794" s="817"/>
      <c r="K794" s="817"/>
      <c r="L794" s="817"/>
      <c r="M794" s="817"/>
      <c r="N794" s="709"/>
      <c r="O794" s="709"/>
      <c r="P794" s="709"/>
      <c r="Q794" s="709"/>
      <c r="R794" s="709"/>
      <c r="S794" s="709"/>
      <c r="T794" s="709"/>
      <c r="U794" s="709"/>
      <c r="V794" s="709"/>
      <c r="W794" s="709"/>
      <c r="X794" s="709"/>
      <c r="Y794" s="709"/>
      <c r="Z794" s="709"/>
      <c r="AA794" s="709"/>
      <c r="AB794" s="709"/>
      <c r="AC794" s="709"/>
      <c r="AD794" s="709"/>
      <c r="AE794" s="709"/>
      <c r="AF794" s="709"/>
      <c r="AG794" s="709"/>
      <c r="AH794" s="709"/>
      <c r="AI794" s="709"/>
      <c r="AJ794" s="709"/>
      <c r="AK794" s="709"/>
      <c r="AL794" s="709"/>
      <c r="AM794" s="709"/>
      <c r="AN794" s="709"/>
      <c r="AO794" s="709"/>
      <c r="AP794" s="709"/>
      <c r="AQ794" s="709"/>
      <c r="AR794" s="709"/>
      <c r="AS794" s="709"/>
      <c r="AT794" s="709"/>
      <c r="AU794" s="709"/>
      <c r="AV794" s="709"/>
      <c r="AW794" s="709"/>
      <c r="AX794" s="709"/>
      <c r="AY794" s="709"/>
      <c r="AZ794" s="709"/>
      <c r="BA794" s="709"/>
      <c r="BB794" s="709"/>
    </row>
    <row r="795" spans="1:54" ht="12.6" customHeight="1" x14ac:dyDescent="0.25">
      <c r="A795" s="227" t="s">
        <v>1344</v>
      </c>
    </row>
    <row r="796" spans="1:54" ht="15" customHeight="1" x14ac:dyDescent="0.25">
      <c r="A796" s="763"/>
      <c r="B796" s="763"/>
      <c r="C796" s="763"/>
      <c r="D796" s="763"/>
      <c r="E796" s="763"/>
      <c r="F796" s="763"/>
      <c r="G796" s="763"/>
      <c r="H796" s="763"/>
      <c r="I796" s="763"/>
      <c r="J796" s="763"/>
      <c r="K796" s="763"/>
      <c r="L796" s="763"/>
      <c r="M796" s="763"/>
      <c r="N796" s="763"/>
      <c r="O796" s="763"/>
      <c r="P796" s="763"/>
      <c r="Q796" s="763"/>
      <c r="R796" s="763"/>
      <c r="S796" s="763"/>
      <c r="T796" s="763"/>
      <c r="U796" s="763"/>
      <c r="V796" s="763"/>
      <c r="W796" s="763"/>
      <c r="X796" s="763"/>
      <c r="Y796" s="763"/>
      <c r="Z796" s="763"/>
      <c r="AA796" s="763"/>
      <c r="AB796" s="763"/>
      <c r="AC796" s="763"/>
      <c r="AD796" s="763"/>
      <c r="AE796" s="763"/>
      <c r="AF796" s="763"/>
      <c r="AG796" s="763"/>
      <c r="AH796" s="763"/>
      <c r="AI796" s="763"/>
      <c r="AJ796" s="763"/>
      <c r="AK796" s="763"/>
      <c r="AL796" s="763"/>
      <c r="AM796" s="763"/>
      <c r="AN796" s="763"/>
      <c r="AO796" s="763"/>
      <c r="AP796" s="763"/>
      <c r="AQ796" s="763"/>
      <c r="AR796" s="763"/>
      <c r="AS796" s="763"/>
      <c r="AT796" s="763"/>
      <c r="AU796" s="763"/>
      <c r="AV796" s="763"/>
      <c r="AW796" s="763"/>
      <c r="AX796" s="763"/>
      <c r="AY796" s="265"/>
      <c r="AZ796" s="265"/>
      <c r="BA796" s="265"/>
      <c r="BB796" s="265"/>
    </row>
    <row r="797" spans="1:54" ht="15" customHeight="1" x14ac:dyDescent="0.25">
      <c r="A797" s="763"/>
      <c r="B797" s="763"/>
      <c r="C797" s="763"/>
      <c r="D797" s="763"/>
      <c r="E797" s="763"/>
      <c r="F797" s="763"/>
      <c r="G797" s="763"/>
      <c r="H797" s="763"/>
      <c r="I797" s="763"/>
      <c r="J797" s="763"/>
      <c r="K797" s="763"/>
      <c r="L797" s="763"/>
      <c r="M797" s="763"/>
      <c r="N797" s="763"/>
      <c r="O797" s="763"/>
      <c r="P797" s="763"/>
      <c r="Q797" s="763"/>
      <c r="R797" s="763"/>
      <c r="S797" s="763"/>
      <c r="T797" s="763"/>
      <c r="U797" s="763"/>
      <c r="V797" s="763"/>
      <c r="W797" s="763"/>
      <c r="X797" s="763"/>
      <c r="Y797" s="763"/>
      <c r="Z797" s="763"/>
      <c r="AA797" s="763"/>
      <c r="AB797" s="763"/>
      <c r="AC797" s="763"/>
      <c r="AD797" s="763"/>
      <c r="AE797" s="763"/>
      <c r="AF797" s="763"/>
      <c r="AG797" s="763"/>
      <c r="AH797" s="763"/>
      <c r="AI797" s="763"/>
      <c r="AJ797" s="763"/>
      <c r="AK797" s="763"/>
      <c r="AL797" s="763"/>
      <c r="AM797" s="763"/>
      <c r="AN797" s="763"/>
      <c r="AO797" s="763"/>
      <c r="AP797" s="763"/>
      <c r="AQ797" s="763"/>
      <c r="AR797" s="763"/>
      <c r="AS797" s="763"/>
      <c r="AT797" s="763"/>
      <c r="AU797" s="763"/>
      <c r="AV797" s="763"/>
      <c r="AW797" s="763"/>
      <c r="AX797" s="763"/>
      <c r="AY797" s="265"/>
      <c r="AZ797" s="265"/>
      <c r="BA797" s="265"/>
      <c r="BB797" s="265"/>
    </row>
    <row r="798" spans="1:54" ht="12.6" customHeight="1" x14ac:dyDescent="0.25">
      <c r="A798" s="227" t="s">
        <v>1694</v>
      </c>
    </row>
    <row r="799" spans="1:54" ht="11.1" customHeight="1" x14ac:dyDescent="0.25">
      <c r="A799" s="764"/>
      <c r="B799" s="764"/>
      <c r="C799" s="764"/>
      <c r="D799" s="764"/>
      <c r="E799" s="764"/>
      <c r="F799" s="764"/>
      <c r="G799" s="764"/>
      <c r="H799" s="764"/>
      <c r="I799" s="764"/>
      <c r="J799" s="764"/>
      <c r="K799" s="764"/>
      <c r="L799" s="764"/>
      <c r="M799" s="764"/>
      <c r="N799" s="764"/>
      <c r="O799" s="764"/>
      <c r="P799" s="298"/>
      <c r="Q799" s="299"/>
      <c r="R799" s="299"/>
      <c r="S799" s="299"/>
      <c r="T799" s="299"/>
      <c r="U799" s="299"/>
      <c r="V799" s="299"/>
      <c r="W799" s="300"/>
      <c r="X799" s="768" t="s">
        <v>1695</v>
      </c>
      <c r="Y799" s="768"/>
      <c r="Z799" s="768"/>
      <c r="AA799" s="768"/>
      <c r="AB799" s="768"/>
      <c r="AC799" s="768"/>
      <c r="AD799" s="768"/>
      <c r="AE799" s="768"/>
      <c r="AF799" s="768"/>
      <c r="AG799" s="768"/>
      <c r="AH799" s="768"/>
      <c r="AI799" s="768"/>
      <c r="AJ799" s="768"/>
      <c r="AK799" s="768"/>
      <c r="AL799" s="768"/>
      <c r="AM799" s="768"/>
      <c r="AN799" s="768"/>
      <c r="AO799" s="768"/>
      <c r="AP799" s="768"/>
      <c r="AQ799" s="768"/>
      <c r="AR799" s="768"/>
      <c r="AS799" s="768"/>
      <c r="AT799" s="768"/>
      <c r="AU799" s="768"/>
      <c r="AV799" s="768"/>
      <c r="AW799" s="768"/>
      <c r="AX799" s="768"/>
      <c r="AY799" s="768"/>
      <c r="AZ799" s="768"/>
      <c r="BA799" s="768"/>
      <c r="BB799" s="768"/>
    </row>
    <row r="800" spans="1:54" ht="11.1" customHeight="1" x14ac:dyDescent="0.25">
      <c r="A800" s="747" t="s">
        <v>1287</v>
      </c>
      <c r="B800" s="747"/>
      <c r="C800" s="747"/>
      <c r="D800" s="747"/>
      <c r="E800" s="747"/>
      <c r="F800" s="747"/>
      <c r="G800" s="747"/>
      <c r="H800" s="747"/>
      <c r="I800" s="747"/>
      <c r="J800" s="747"/>
      <c r="K800" s="747"/>
      <c r="L800" s="747"/>
      <c r="M800" s="747"/>
      <c r="N800" s="747"/>
      <c r="O800" s="747"/>
      <c r="P800" s="745" t="s">
        <v>1696</v>
      </c>
      <c r="Q800" s="745"/>
      <c r="R800" s="745"/>
      <c r="S800" s="745"/>
      <c r="T800" s="745"/>
      <c r="U800" s="745"/>
      <c r="V800" s="745"/>
      <c r="W800" s="745"/>
      <c r="X800" s="745" t="s">
        <v>1697</v>
      </c>
      <c r="Y800" s="745"/>
      <c r="Z800" s="745"/>
      <c r="AA800" s="745"/>
      <c r="AB800" s="745"/>
      <c r="AC800" s="745"/>
      <c r="AD800" s="745"/>
      <c r="AE800" s="745"/>
      <c r="AF800" s="745"/>
      <c r="AG800" s="745"/>
      <c r="AH800" s="745"/>
      <c r="AI800" s="745" t="s">
        <v>1693</v>
      </c>
      <c r="AJ800" s="745"/>
      <c r="AK800" s="745"/>
      <c r="AL800" s="745"/>
      <c r="AM800" s="745"/>
      <c r="AN800" s="745"/>
      <c r="AO800" s="745"/>
      <c r="AP800" s="745"/>
      <c r="AQ800" s="745"/>
      <c r="AR800" s="745"/>
      <c r="AS800" s="745"/>
      <c r="AT800" s="745"/>
      <c r="AU800" s="745"/>
      <c r="AV800" s="745"/>
      <c r="AW800" s="745"/>
      <c r="AX800" s="745"/>
      <c r="AY800" s="745"/>
      <c r="AZ800" s="745"/>
      <c r="BA800" s="745"/>
      <c r="BB800" s="745"/>
    </row>
    <row r="801" spans="1:54" ht="10.5" customHeight="1" x14ac:dyDescent="0.25">
      <c r="A801" s="749" t="s">
        <v>1323</v>
      </c>
      <c r="B801" s="749"/>
      <c r="C801" s="749"/>
      <c r="D801" s="749"/>
      <c r="E801" s="749"/>
      <c r="F801" s="749"/>
      <c r="G801" s="749"/>
      <c r="H801" s="749"/>
      <c r="I801" s="749"/>
      <c r="J801" s="749"/>
      <c r="K801" s="749"/>
      <c r="L801" s="749"/>
      <c r="M801" s="749"/>
      <c r="N801" s="749"/>
      <c r="O801" s="749"/>
      <c r="P801" s="750" t="s">
        <v>1324</v>
      </c>
      <c r="Q801" s="750"/>
      <c r="R801" s="750"/>
      <c r="S801" s="750"/>
      <c r="T801" s="750"/>
      <c r="U801" s="750"/>
      <c r="V801" s="750"/>
      <c r="W801" s="750"/>
      <c r="X801" s="750" t="s">
        <v>1325</v>
      </c>
      <c r="Y801" s="750"/>
      <c r="Z801" s="750"/>
      <c r="AA801" s="750"/>
      <c r="AB801" s="750"/>
      <c r="AC801" s="750"/>
      <c r="AD801" s="750"/>
      <c r="AE801" s="750"/>
      <c r="AF801" s="750"/>
      <c r="AG801" s="750"/>
      <c r="AH801" s="750"/>
      <c r="AI801" s="750" t="s">
        <v>1326</v>
      </c>
      <c r="AJ801" s="750"/>
      <c r="AK801" s="750"/>
      <c r="AL801" s="750"/>
      <c r="AM801" s="750"/>
      <c r="AN801" s="750"/>
      <c r="AO801" s="750"/>
      <c r="AP801" s="750"/>
      <c r="AQ801" s="750"/>
      <c r="AR801" s="750"/>
      <c r="AS801" s="750"/>
      <c r="AT801" s="750"/>
      <c r="AU801" s="750"/>
      <c r="AV801" s="750"/>
      <c r="AW801" s="750"/>
      <c r="AX801" s="750"/>
      <c r="AY801" s="750"/>
      <c r="AZ801" s="750"/>
      <c r="BA801" s="750"/>
      <c r="BB801" s="750"/>
    </row>
    <row r="802" spans="1:54" ht="11.45" customHeight="1" x14ac:dyDescent="0.25">
      <c r="A802" s="304" t="s">
        <v>1698</v>
      </c>
      <c r="B802" s="246"/>
      <c r="C802" s="246"/>
      <c r="D802" s="246"/>
      <c r="E802" s="246"/>
      <c r="F802" s="246"/>
      <c r="G802" s="246"/>
      <c r="H802" s="246"/>
      <c r="I802" s="246"/>
      <c r="J802" s="246"/>
      <c r="K802" s="246"/>
      <c r="L802" s="246"/>
      <c r="M802" s="246"/>
      <c r="N802" s="246"/>
      <c r="O802" s="246"/>
      <c r="P802" s="246"/>
      <c r="Q802" s="246"/>
      <c r="R802" s="246"/>
      <c r="S802" s="246"/>
      <c r="T802" s="246"/>
      <c r="U802" s="246"/>
      <c r="V802" s="246"/>
      <c r="W802" s="246"/>
      <c r="X802" s="246"/>
      <c r="Y802" s="246"/>
      <c r="Z802" s="246"/>
      <c r="AA802" s="246"/>
      <c r="AB802" s="246"/>
      <c r="AC802" s="246"/>
      <c r="AD802" s="246"/>
      <c r="AE802" s="246"/>
      <c r="AF802" s="246"/>
      <c r="AG802" s="246"/>
      <c r="AH802" s="246"/>
      <c r="AI802" s="246"/>
      <c r="AJ802" s="246"/>
      <c r="AK802" s="246"/>
      <c r="AL802" s="246"/>
      <c r="AM802" s="246"/>
      <c r="AN802" s="246"/>
      <c r="AO802" s="246"/>
      <c r="AP802" s="246"/>
      <c r="AQ802" s="246"/>
      <c r="AR802" s="246"/>
      <c r="AS802" s="246"/>
      <c r="AT802" s="246"/>
      <c r="AU802" s="246"/>
      <c r="AV802" s="246"/>
      <c r="AW802" s="246"/>
      <c r="AX802" s="246"/>
      <c r="AY802" s="246"/>
      <c r="AZ802" s="246"/>
      <c r="BA802" s="246"/>
      <c r="BB802" s="246"/>
    </row>
    <row r="803" spans="1:54" ht="27.75" customHeight="1" x14ac:dyDescent="0.25">
      <c r="A803" s="767" t="s">
        <v>1699</v>
      </c>
      <c r="B803" s="767"/>
      <c r="C803" s="767"/>
      <c r="D803" s="767"/>
      <c r="E803" s="767"/>
      <c r="F803" s="767"/>
      <c r="G803" s="767"/>
      <c r="H803" s="767"/>
      <c r="I803" s="767"/>
      <c r="J803" s="767"/>
      <c r="K803" s="767"/>
      <c r="L803" s="767"/>
      <c r="M803" s="767"/>
      <c r="N803" s="767"/>
      <c r="O803" s="767"/>
      <c r="P803" s="818">
        <f>SUM(AI803-X803)</f>
        <v>0</v>
      </c>
      <c r="Q803" s="818"/>
      <c r="R803" s="818"/>
      <c r="S803" s="818"/>
      <c r="T803" s="818"/>
      <c r="U803" s="818"/>
      <c r="V803" s="818"/>
      <c r="W803" s="818"/>
      <c r="X803" s="819"/>
      <c r="Y803" s="819"/>
      <c r="Z803" s="819"/>
      <c r="AA803" s="819"/>
      <c r="AB803" s="819"/>
      <c r="AC803" s="819"/>
      <c r="AD803" s="819"/>
      <c r="AE803" s="819"/>
      <c r="AF803" s="819"/>
      <c r="AG803" s="819"/>
      <c r="AH803" s="819"/>
      <c r="AI803" s="820">
        <f>SUM(SUVAHAVUJ!N45)</f>
        <v>0</v>
      </c>
      <c r="AJ803" s="820"/>
      <c r="AK803" s="820"/>
      <c r="AL803" s="820"/>
      <c r="AM803" s="820"/>
      <c r="AN803" s="820"/>
      <c r="AO803" s="820"/>
      <c r="AP803" s="820"/>
      <c r="AQ803" s="820"/>
      <c r="AR803" s="820"/>
      <c r="AS803" s="820"/>
      <c r="AT803" s="820"/>
      <c r="AU803" s="820"/>
      <c r="AV803" s="820"/>
      <c r="AW803" s="820"/>
      <c r="AX803" s="820"/>
      <c r="AY803" s="820"/>
      <c r="AZ803" s="820"/>
      <c r="BA803" s="820"/>
      <c r="BB803" s="820"/>
    </row>
    <row r="804" spans="1:54" ht="27" customHeight="1" x14ac:dyDescent="0.25">
      <c r="A804" s="767" t="s">
        <v>1685</v>
      </c>
      <c r="B804" s="767"/>
      <c r="C804" s="767"/>
      <c r="D804" s="767"/>
      <c r="E804" s="767"/>
      <c r="F804" s="767"/>
      <c r="G804" s="767"/>
      <c r="H804" s="767"/>
      <c r="I804" s="767"/>
      <c r="J804" s="767"/>
      <c r="K804" s="767"/>
      <c r="L804" s="767"/>
      <c r="M804" s="767"/>
      <c r="N804" s="767"/>
      <c r="O804" s="767"/>
      <c r="P804" s="818">
        <f>SUM(AI804-X804)</f>
        <v>0</v>
      </c>
      <c r="Q804" s="818"/>
      <c r="R804" s="818"/>
      <c r="S804" s="818"/>
      <c r="T804" s="818"/>
      <c r="U804" s="818"/>
      <c r="V804" s="818"/>
      <c r="W804" s="818"/>
      <c r="X804" s="819"/>
      <c r="Y804" s="819"/>
      <c r="Z804" s="819"/>
      <c r="AA804" s="819"/>
      <c r="AB804" s="819"/>
      <c r="AC804" s="819"/>
      <c r="AD804" s="819"/>
      <c r="AE804" s="819"/>
      <c r="AF804" s="819"/>
      <c r="AG804" s="819"/>
      <c r="AH804" s="819"/>
      <c r="AI804" s="820">
        <f>SUM(SUVAHAVUJ!N46)</f>
        <v>0</v>
      </c>
      <c r="AJ804" s="820"/>
      <c r="AK804" s="820"/>
      <c r="AL804" s="820"/>
      <c r="AM804" s="820"/>
      <c r="AN804" s="820"/>
      <c r="AO804" s="820"/>
      <c r="AP804" s="820"/>
      <c r="AQ804" s="820"/>
      <c r="AR804" s="820"/>
      <c r="AS804" s="820"/>
      <c r="AT804" s="820"/>
      <c r="AU804" s="820"/>
      <c r="AV804" s="820"/>
      <c r="AW804" s="820"/>
      <c r="AX804" s="820"/>
      <c r="AY804" s="820"/>
      <c r="AZ804" s="820"/>
      <c r="BA804" s="820"/>
      <c r="BB804" s="820"/>
    </row>
    <row r="805" spans="1:54" ht="11.45" customHeight="1" x14ac:dyDescent="0.25">
      <c r="A805" s="253" t="s">
        <v>1700</v>
      </c>
      <c r="B805" s="246"/>
      <c r="C805" s="246"/>
      <c r="D805" s="246"/>
      <c r="E805" s="246"/>
      <c r="F805" s="246"/>
      <c r="G805" s="246"/>
      <c r="H805" s="246"/>
      <c r="I805" s="246"/>
      <c r="J805" s="246"/>
      <c r="K805" s="246"/>
      <c r="L805" s="246"/>
      <c r="M805" s="246"/>
      <c r="N805" s="246"/>
      <c r="O805" s="248"/>
      <c r="P805" s="818">
        <f>SUM(AI805-X805)</f>
        <v>0</v>
      </c>
      <c r="Q805" s="818"/>
      <c r="R805" s="818"/>
      <c r="S805" s="818"/>
      <c r="T805" s="818"/>
      <c r="U805" s="818"/>
      <c r="V805" s="818"/>
      <c r="W805" s="818"/>
      <c r="X805" s="819"/>
      <c r="Y805" s="819"/>
      <c r="Z805" s="819"/>
      <c r="AA805" s="819"/>
      <c r="AB805" s="819"/>
      <c r="AC805" s="819"/>
      <c r="AD805" s="819"/>
      <c r="AE805" s="819"/>
      <c r="AF805" s="819"/>
      <c r="AG805" s="819"/>
      <c r="AH805" s="819"/>
      <c r="AI805" s="820">
        <f>SUM(SUVAHAVUJ!N47)</f>
        <v>0</v>
      </c>
      <c r="AJ805" s="820"/>
      <c r="AK805" s="820"/>
      <c r="AL805" s="820"/>
      <c r="AM805" s="820"/>
      <c r="AN805" s="820"/>
      <c r="AO805" s="820"/>
      <c r="AP805" s="820"/>
      <c r="AQ805" s="820"/>
      <c r="AR805" s="820"/>
      <c r="AS805" s="820"/>
      <c r="AT805" s="820"/>
      <c r="AU805" s="820"/>
      <c r="AV805" s="820"/>
      <c r="AW805" s="820"/>
      <c r="AX805" s="820"/>
      <c r="AY805" s="820"/>
      <c r="AZ805" s="820"/>
      <c r="BA805" s="820"/>
      <c r="BB805" s="820"/>
    </row>
    <row r="806" spans="1:54" ht="11.45" customHeight="1" x14ac:dyDescent="0.25">
      <c r="A806" s="253" t="s">
        <v>1701</v>
      </c>
      <c r="B806" s="246"/>
      <c r="C806" s="246"/>
      <c r="D806" s="246"/>
      <c r="E806" s="246"/>
      <c r="F806" s="246"/>
      <c r="G806" s="246"/>
      <c r="H806" s="246"/>
      <c r="I806" s="246"/>
      <c r="J806" s="246"/>
      <c r="K806" s="246"/>
      <c r="L806" s="246"/>
      <c r="M806" s="246"/>
      <c r="N806" s="246"/>
      <c r="O806" s="248"/>
      <c r="P806" s="818">
        <f>SUM(AI806-X806)</f>
        <v>0</v>
      </c>
      <c r="Q806" s="818"/>
      <c r="R806" s="818"/>
      <c r="S806" s="818"/>
      <c r="T806" s="818"/>
      <c r="U806" s="818"/>
      <c r="V806" s="818"/>
      <c r="W806" s="818"/>
      <c r="X806" s="821"/>
      <c r="Y806" s="821"/>
      <c r="Z806" s="821"/>
      <c r="AA806" s="821"/>
      <c r="AB806" s="821"/>
      <c r="AC806" s="821"/>
      <c r="AD806" s="821"/>
      <c r="AE806" s="821"/>
      <c r="AF806" s="821"/>
      <c r="AG806" s="821"/>
      <c r="AH806" s="821"/>
      <c r="AI806" s="822">
        <f>SUM(SUVAHAVUJ!N48)</f>
        <v>0</v>
      </c>
      <c r="AJ806" s="822"/>
      <c r="AK806" s="822"/>
      <c r="AL806" s="822"/>
      <c r="AM806" s="822"/>
      <c r="AN806" s="822"/>
      <c r="AO806" s="822"/>
      <c r="AP806" s="822"/>
      <c r="AQ806" s="822"/>
      <c r="AR806" s="822"/>
      <c r="AS806" s="822"/>
      <c r="AT806" s="822"/>
      <c r="AU806" s="822"/>
      <c r="AV806" s="822"/>
      <c r="AW806" s="822"/>
      <c r="AX806" s="822"/>
      <c r="AY806" s="822"/>
      <c r="AZ806" s="822"/>
      <c r="BA806" s="822"/>
      <c r="BB806" s="822"/>
    </row>
    <row r="807" spans="1:54" ht="11.45" customHeight="1" x14ac:dyDescent="0.25">
      <c r="A807" s="767" t="s">
        <v>1702</v>
      </c>
      <c r="B807" s="767"/>
      <c r="C807" s="767"/>
      <c r="D807" s="767"/>
      <c r="E807" s="767"/>
      <c r="F807" s="767"/>
      <c r="G807" s="767"/>
      <c r="H807" s="767"/>
      <c r="I807" s="767"/>
      <c r="J807" s="767"/>
      <c r="K807" s="767"/>
      <c r="L807" s="767"/>
      <c r="M807" s="767"/>
      <c r="N807" s="767"/>
      <c r="O807" s="767"/>
      <c r="P807" s="818">
        <f>SUM(AI807-X807)</f>
        <v>0</v>
      </c>
      <c r="Q807" s="818"/>
      <c r="R807" s="818"/>
      <c r="S807" s="818"/>
      <c r="T807" s="818"/>
      <c r="U807" s="818"/>
      <c r="V807" s="818"/>
      <c r="W807" s="818"/>
      <c r="X807" s="819"/>
      <c r="Y807" s="819"/>
      <c r="Z807" s="819"/>
      <c r="AA807" s="819"/>
      <c r="AB807" s="819"/>
      <c r="AC807" s="819"/>
      <c r="AD807" s="819"/>
      <c r="AE807" s="819"/>
      <c r="AF807" s="819"/>
      <c r="AG807" s="819"/>
      <c r="AH807" s="819"/>
      <c r="AI807" s="820">
        <f>SUM(SUVAHAVUJ!N49)</f>
        <v>0</v>
      </c>
      <c r="AJ807" s="820"/>
      <c r="AK807" s="820"/>
      <c r="AL807" s="820"/>
      <c r="AM807" s="820"/>
      <c r="AN807" s="820"/>
      <c r="AO807" s="820"/>
      <c r="AP807" s="820"/>
      <c r="AQ807" s="820"/>
      <c r="AR807" s="820"/>
      <c r="AS807" s="820"/>
      <c r="AT807" s="820"/>
      <c r="AU807" s="820"/>
      <c r="AV807" s="820"/>
      <c r="AW807" s="820"/>
      <c r="AX807" s="820"/>
      <c r="AY807" s="820"/>
      <c r="AZ807" s="820"/>
      <c r="BA807" s="820"/>
      <c r="BB807" s="820"/>
    </row>
    <row r="808" spans="1:54" ht="17.25" customHeight="1" x14ac:dyDescent="0.25">
      <c r="A808" s="767"/>
      <c r="B808" s="767"/>
      <c r="C808" s="767"/>
      <c r="D808" s="767"/>
      <c r="E808" s="767"/>
      <c r="F808" s="767"/>
      <c r="G808" s="767"/>
      <c r="H808" s="767"/>
      <c r="I808" s="767"/>
      <c r="J808" s="767"/>
      <c r="K808" s="767"/>
      <c r="L808" s="767"/>
      <c r="M808" s="767"/>
      <c r="N808" s="767"/>
      <c r="O808" s="767"/>
      <c r="P808" s="818"/>
      <c r="Q808" s="818"/>
      <c r="R808" s="818"/>
      <c r="S808" s="818"/>
      <c r="T808" s="818"/>
      <c r="U808" s="818"/>
      <c r="V808" s="818"/>
      <c r="W808" s="818"/>
      <c r="X808" s="819"/>
      <c r="Y808" s="819"/>
      <c r="Z808" s="819"/>
      <c r="AA808" s="819"/>
      <c r="AB808" s="819"/>
      <c r="AC808" s="819"/>
      <c r="AD808" s="819"/>
      <c r="AE808" s="819"/>
      <c r="AF808" s="819"/>
      <c r="AG808" s="819"/>
      <c r="AH808" s="819"/>
      <c r="AI808" s="820"/>
      <c r="AJ808" s="820"/>
      <c r="AK808" s="820"/>
      <c r="AL808" s="820"/>
      <c r="AM808" s="820"/>
      <c r="AN808" s="820"/>
      <c r="AO808" s="820"/>
      <c r="AP808" s="820"/>
      <c r="AQ808" s="820"/>
      <c r="AR808" s="820"/>
      <c r="AS808" s="820"/>
      <c r="AT808" s="820"/>
      <c r="AU808" s="820"/>
      <c r="AV808" s="820"/>
      <c r="AW808" s="820"/>
      <c r="AX808" s="820"/>
      <c r="AY808" s="820"/>
      <c r="AZ808" s="820"/>
      <c r="BA808" s="820"/>
      <c r="BB808" s="820"/>
    </row>
    <row r="809" spans="1:54" ht="14.25" customHeight="1" x14ac:dyDescent="0.25">
      <c r="A809" s="767" t="s">
        <v>1690</v>
      </c>
      <c r="B809" s="767"/>
      <c r="C809" s="767"/>
      <c r="D809" s="767"/>
      <c r="E809" s="767"/>
      <c r="F809" s="767"/>
      <c r="G809" s="767"/>
      <c r="H809" s="767"/>
      <c r="I809" s="767"/>
      <c r="J809" s="767"/>
      <c r="K809" s="767"/>
      <c r="L809" s="767"/>
      <c r="M809" s="767"/>
      <c r="N809" s="767"/>
      <c r="O809" s="767"/>
      <c r="P809" s="818">
        <f>SUM(AI809-X809)</f>
        <v>0</v>
      </c>
      <c r="Q809" s="818"/>
      <c r="R809" s="818"/>
      <c r="S809" s="818"/>
      <c r="T809" s="818"/>
      <c r="U809" s="818"/>
      <c r="V809" s="818"/>
      <c r="W809" s="818"/>
      <c r="X809" s="819"/>
      <c r="Y809" s="819"/>
      <c r="Z809" s="819"/>
      <c r="AA809" s="819"/>
      <c r="AB809" s="819"/>
      <c r="AC809" s="819"/>
      <c r="AD809" s="819"/>
      <c r="AE809" s="819"/>
      <c r="AF809" s="819"/>
      <c r="AG809" s="819"/>
      <c r="AH809" s="819"/>
      <c r="AI809" s="820">
        <f>SUM(SUVAHAVUJ!N51)</f>
        <v>0</v>
      </c>
      <c r="AJ809" s="820"/>
      <c r="AK809" s="820"/>
      <c r="AL809" s="820"/>
      <c r="AM809" s="820"/>
      <c r="AN809" s="820"/>
      <c r="AO809" s="820"/>
      <c r="AP809" s="820"/>
      <c r="AQ809" s="820"/>
      <c r="AR809" s="820"/>
      <c r="AS809" s="820"/>
      <c r="AT809" s="820"/>
      <c r="AU809" s="820"/>
      <c r="AV809" s="820"/>
      <c r="AW809" s="820"/>
      <c r="AX809" s="820"/>
      <c r="AY809" s="820"/>
      <c r="AZ809" s="820"/>
      <c r="BA809" s="820"/>
      <c r="BB809" s="820"/>
    </row>
    <row r="810" spans="1:54" ht="11.45" customHeight="1" x14ac:dyDescent="0.25">
      <c r="A810" s="767" t="s">
        <v>1691</v>
      </c>
      <c r="B810" s="767"/>
      <c r="C810" s="767"/>
      <c r="D810" s="767"/>
      <c r="E810" s="767"/>
      <c r="F810" s="767"/>
      <c r="G810" s="767"/>
      <c r="H810" s="767"/>
      <c r="I810" s="767"/>
      <c r="J810" s="767"/>
      <c r="K810" s="767"/>
      <c r="L810" s="767"/>
      <c r="M810" s="767"/>
      <c r="N810" s="767"/>
      <c r="O810" s="767"/>
      <c r="P810" s="818">
        <f>SUM(AI810-X810)</f>
        <v>0</v>
      </c>
      <c r="Q810" s="818"/>
      <c r="R810" s="818"/>
      <c r="S810" s="818"/>
      <c r="T810" s="818"/>
      <c r="U810" s="818"/>
      <c r="V810" s="818"/>
      <c r="W810" s="818"/>
      <c r="X810" s="819"/>
      <c r="Y810" s="819"/>
      <c r="Z810" s="819"/>
      <c r="AA810" s="819"/>
      <c r="AB810" s="819"/>
      <c r="AC810" s="819"/>
      <c r="AD810" s="819"/>
      <c r="AE810" s="819"/>
      <c r="AF810" s="819"/>
      <c r="AG810" s="819"/>
      <c r="AH810" s="819"/>
      <c r="AI810" s="820">
        <f>SUM(SUVAHAVUJ!N52)</f>
        <v>0</v>
      </c>
      <c r="AJ810" s="820"/>
      <c r="AK810" s="820"/>
      <c r="AL810" s="820"/>
      <c r="AM810" s="820"/>
      <c r="AN810" s="820"/>
      <c r="AO810" s="820"/>
      <c r="AP810" s="820"/>
      <c r="AQ810" s="820"/>
      <c r="AR810" s="820"/>
      <c r="AS810" s="820"/>
      <c r="AT810" s="820"/>
      <c r="AU810" s="820"/>
      <c r="AV810" s="820"/>
      <c r="AW810" s="820"/>
      <c r="AX810" s="820"/>
      <c r="AY810" s="820"/>
      <c r="AZ810" s="820"/>
      <c r="BA810" s="820"/>
      <c r="BB810" s="820"/>
    </row>
    <row r="811" spans="1:54" ht="11.45" customHeight="1" x14ac:dyDescent="0.25">
      <c r="A811" s="767" t="s">
        <v>1692</v>
      </c>
      <c r="B811" s="767"/>
      <c r="C811" s="767"/>
      <c r="D811" s="767"/>
      <c r="E811" s="767"/>
      <c r="F811" s="767"/>
      <c r="G811" s="767"/>
      <c r="H811" s="767"/>
      <c r="I811" s="767"/>
      <c r="J811" s="767"/>
      <c r="K811" s="767"/>
      <c r="L811" s="767"/>
      <c r="M811" s="767"/>
      <c r="N811" s="767"/>
      <c r="O811" s="767"/>
      <c r="P811" s="818">
        <f>SUM(AI811-X811)</f>
        <v>0</v>
      </c>
      <c r="Q811" s="818"/>
      <c r="R811" s="818"/>
      <c r="S811" s="818"/>
      <c r="T811" s="818"/>
      <c r="U811" s="818"/>
      <c r="V811" s="818"/>
      <c r="W811" s="818"/>
      <c r="X811" s="819"/>
      <c r="Y811" s="819"/>
      <c r="Z811" s="819"/>
      <c r="AA811" s="819"/>
      <c r="AB811" s="819"/>
      <c r="AC811" s="819"/>
      <c r="AD811" s="819"/>
      <c r="AE811" s="819"/>
      <c r="AF811" s="819"/>
      <c r="AG811" s="819"/>
      <c r="AH811" s="819"/>
      <c r="AI811" s="820">
        <f>SUM(SUVAHAVUJ!N53)</f>
        <v>0</v>
      </c>
      <c r="AJ811" s="820"/>
      <c r="AK811" s="820"/>
      <c r="AL811" s="820"/>
      <c r="AM811" s="820"/>
      <c r="AN811" s="820"/>
      <c r="AO811" s="820"/>
      <c r="AP811" s="820"/>
      <c r="AQ811" s="820"/>
      <c r="AR811" s="820"/>
      <c r="AS811" s="820"/>
      <c r="AT811" s="820"/>
      <c r="AU811" s="820"/>
      <c r="AV811" s="820"/>
      <c r="AW811" s="820"/>
      <c r="AX811" s="820"/>
      <c r="AY811" s="820"/>
      <c r="AZ811" s="820"/>
      <c r="BA811" s="820"/>
      <c r="BB811" s="820"/>
    </row>
    <row r="812" spans="1:54" ht="11.45" customHeight="1" x14ac:dyDescent="0.25">
      <c r="A812" s="802" t="s">
        <v>1703</v>
      </c>
      <c r="B812" s="802"/>
      <c r="C812" s="802"/>
      <c r="D812" s="802"/>
      <c r="E812" s="802"/>
      <c r="F812" s="802"/>
      <c r="G812" s="802"/>
      <c r="H812" s="802"/>
      <c r="I812" s="802"/>
      <c r="J812" s="802"/>
      <c r="K812" s="802"/>
      <c r="L812" s="802"/>
      <c r="M812" s="802"/>
      <c r="N812" s="802"/>
      <c r="O812" s="802"/>
      <c r="P812" s="818">
        <f>SUM(AI812-X812)</f>
        <v>0</v>
      </c>
      <c r="Q812" s="818"/>
      <c r="R812" s="818"/>
      <c r="S812" s="818"/>
      <c r="T812" s="818"/>
      <c r="U812" s="818"/>
      <c r="V812" s="818"/>
      <c r="W812" s="818"/>
      <c r="X812" s="821"/>
      <c r="Y812" s="821"/>
      <c r="Z812" s="821"/>
      <c r="AA812" s="821"/>
      <c r="AB812" s="821"/>
      <c r="AC812" s="821"/>
      <c r="AD812" s="821"/>
      <c r="AE812" s="821"/>
      <c r="AF812" s="821"/>
      <c r="AG812" s="821"/>
      <c r="AH812" s="821"/>
      <c r="AI812" s="822">
        <f>SUM(SUVAHAVUJ!N54)</f>
        <v>0</v>
      </c>
      <c r="AJ812" s="822"/>
      <c r="AK812" s="822"/>
      <c r="AL812" s="822"/>
      <c r="AM812" s="822"/>
      <c r="AN812" s="822"/>
      <c r="AO812" s="822"/>
      <c r="AP812" s="822"/>
      <c r="AQ812" s="822"/>
      <c r="AR812" s="822"/>
      <c r="AS812" s="822"/>
      <c r="AT812" s="822"/>
      <c r="AU812" s="822"/>
      <c r="AV812" s="822"/>
      <c r="AW812" s="822"/>
      <c r="AX812" s="822"/>
      <c r="AY812" s="822"/>
      <c r="AZ812" s="822"/>
      <c r="BA812" s="822"/>
      <c r="BB812" s="822"/>
    </row>
    <row r="813" spans="1:54" ht="11.45" customHeight="1" x14ac:dyDescent="0.25">
      <c r="A813" s="823" t="s">
        <v>1704</v>
      </c>
      <c r="B813" s="823"/>
      <c r="C813" s="823"/>
      <c r="D813" s="823"/>
      <c r="E813" s="823"/>
      <c r="F813" s="823"/>
      <c r="G813" s="823"/>
      <c r="H813" s="823"/>
      <c r="I813" s="823"/>
      <c r="J813" s="823"/>
      <c r="K813" s="823"/>
      <c r="L813" s="823"/>
      <c r="M813" s="823"/>
      <c r="N813" s="823"/>
      <c r="O813" s="823"/>
      <c r="P813" s="824">
        <f>SUM(AI813-X813)</f>
        <v>0</v>
      </c>
      <c r="Q813" s="824"/>
      <c r="R813" s="824"/>
      <c r="S813" s="824"/>
      <c r="T813" s="824"/>
      <c r="U813" s="824"/>
      <c r="V813" s="824"/>
      <c r="W813" s="824"/>
      <c r="X813" s="825">
        <f>SUM(X803:AH812)</f>
        <v>0</v>
      </c>
      <c r="Y813" s="825"/>
      <c r="Z813" s="825"/>
      <c r="AA813" s="825"/>
      <c r="AB813" s="825"/>
      <c r="AC813" s="825"/>
      <c r="AD813" s="825"/>
      <c r="AE813" s="825"/>
      <c r="AF813" s="825"/>
      <c r="AG813" s="825"/>
      <c r="AH813" s="825"/>
      <c r="AI813" s="826">
        <f>SUM(SUVAHAVUJ!N43)</f>
        <v>0</v>
      </c>
      <c r="AJ813" s="826"/>
      <c r="AK813" s="826"/>
      <c r="AL813" s="826"/>
      <c r="AM813" s="826"/>
      <c r="AN813" s="826"/>
      <c r="AO813" s="826"/>
      <c r="AP813" s="826"/>
      <c r="AQ813" s="826"/>
      <c r="AR813" s="826"/>
      <c r="AS813" s="826"/>
      <c r="AT813" s="826"/>
      <c r="AU813" s="826"/>
      <c r="AV813" s="826"/>
      <c r="AW813" s="826"/>
      <c r="AX813" s="826"/>
      <c r="AY813" s="826"/>
      <c r="AZ813" s="826"/>
      <c r="BA813" s="826"/>
      <c r="BB813" s="826"/>
    </row>
    <row r="814" spans="1:54" s="208" customFormat="1" ht="11.45" customHeight="1" x14ac:dyDescent="0.25">
      <c r="A814" s="244" t="s">
        <v>1705</v>
      </c>
      <c r="B814" s="247"/>
      <c r="C814" s="247"/>
      <c r="D814" s="247"/>
      <c r="E814" s="247"/>
      <c r="F814" s="247"/>
      <c r="G814" s="247"/>
      <c r="H814" s="247"/>
      <c r="I814" s="247"/>
      <c r="J814" s="247"/>
      <c r="K814" s="247"/>
      <c r="L814" s="247"/>
      <c r="M814" s="247"/>
      <c r="N814" s="247"/>
      <c r="O814" s="247"/>
      <c r="P814" s="305"/>
      <c r="Q814" s="305"/>
      <c r="R814" s="305"/>
      <c r="S814" s="305"/>
      <c r="T814" s="305"/>
      <c r="U814" s="305"/>
      <c r="V814" s="305"/>
      <c r="W814" s="305"/>
      <c r="X814" s="306"/>
      <c r="Y814" s="306"/>
      <c r="Z814" s="306"/>
      <c r="AA814" s="306"/>
      <c r="AB814" s="306"/>
      <c r="AC814" s="306"/>
      <c r="AD814" s="306"/>
      <c r="AE814" s="306"/>
      <c r="AF814" s="306"/>
      <c r="AG814" s="306"/>
      <c r="AH814" s="306"/>
      <c r="AI814" s="306"/>
      <c r="AJ814" s="306"/>
      <c r="AK814" s="306"/>
      <c r="AL814" s="306"/>
      <c r="AM814" s="306"/>
      <c r="AN814" s="306"/>
      <c r="AO814" s="306"/>
      <c r="AP814" s="306"/>
      <c r="AQ814" s="306"/>
      <c r="AR814" s="306"/>
      <c r="AS814" s="306"/>
      <c r="AT814" s="306"/>
      <c r="AU814" s="306"/>
      <c r="AV814" s="306"/>
      <c r="AW814" s="306"/>
      <c r="AX814" s="306"/>
      <c r="AY814" s="306"/>
      <c r="AZ814" s="306"/>
      <c r="BA814" s="306"/>
      <c r="BB814" s="306"/>
    </row>
    <row r="815" spans="1:54" ht="23.25" customHeight="1" x14ac:dyDescent="0.25">
      <c r="A815" s="723" t="s">
        <v>1699</v>
      </c>
      <c r="B815" s="723"/>
      <c r="C815" s="723"/>
      <c r="D815" s="723"/>
      <c r="E815" s="723"/>
      <c r="F815" s="723"/>
      <c r="G815" s="723"/>
      <c r="H815" s="723"/>
      <c r="I815" s="723"/>
      <c r="J815" s="723"/>
      <c r="K815" s="723"/>
      <c r="L815" s="723"/>
      <c r="M815" s="723"/>
      <c r="N815" s="723"/>
      <c r="O815" s="723"/>
      <c r="P815" s="818">
        <f t="shared" ref="P815:P825" si="0">SUM(AI815-X815)</f>
        <v>18724</v>
      </c>
      <c r="Q815" s="818"/>
      <c r="R815" s="818"/>
      <c r="S815" s="818"/>
      <c r="T815" s="818"/>
      <c r="U815" s="818"/>
      <c r="V815" s="818"/>
      <c r="W815" s="818"/>
      <c r="X815" s="819"/>
      <c r="Y815" s="819"/>
      <c r="Z815" s="819"/>
      <c r="AA815" s="819"/>
      <c r="AB815" s="819"/>
      <c r="AC815" s="819"/>
      <c r="AD815" s="819"/>
      <c r="AE815" s="819"/>
      <c r="AF815" s="819"/>
      <c r="AG815" s="819"/>
      <c r="AH815" s="819"/>
      <c r="AI815" s="820">
        <f>SUM(SUVAHAVUJ!N57)</f>
        <v>18724</v>
      </c>
      <c r="AJ815" s="820"/>
      <c r="AK815" s="820"/>
      <c r="AL815" s="820"/>
      <c r="AM815" s="820"/>
      <c r="AN815" s="820"/>
      <c r="AO815" s="820"/>
      <c r="AP815" s="820"/>
      <c r="AQ815" s="820"/>
      <c r="AR815" s="820"/>
      <c r="AS815" s="820"/>
      <c r="AT815" s="820"/>
      <c r="AU815" s="820"/>
      <c r="AV815" s="820"/>
      <c r="AW815" s="820"/>
      <c r="AX815" s="820"/>
      <c r="AY815" s="820"/>
      <c r="AZ815" s="820"/>
      <c r="BA815" s="820"/>
      <c r="BB815" s="820"/>
    </row>
    <row r="816" spans="1:54" ht="23.25" customHeight="1" x14ac:dyDescent="0.25">
      <c r="A816" s="723" t="s">
        <v>1685</v>
      </c>
      <c r="B816" s="723"/>
      <c r="C816" s="723"/>
      <c r="D816" s="723"/>
      <c r="E816" s="723"/>
      <c r="F816" s="723"/>
      <c r="G816" s="723"/>
      <c r="H816" s="723"/>
      <c r="I816" s="723"/>
      <c r="J816" s="723"/>
      <c r="K816" s="723"/>
      <c r="L816" s="723"/>
      <c r="M816" s="723"/>
      <c r="N816" s="723"/>
      <c r="O816" s="723"/>
      <c r="P816" s="818">
        <f t="shared" si="0"/>
        <v>0</v>
      </c>
      <c r="Q816" s="818"/>
      <c r="R816" s="818"/>
      <c r="S816" s="818"/>
      <c r="T816" s="818"/>
      <c r="U816" s="818"/>
      <c r="V816" s="818"/>
      <c r="W816" s="818"/>
      <c r="X816" s="819"/>
      <c r="Y816" s="819"/>
      <c r="Z816" s="819"/>
      <c r="AA816" s="819"/>
      <c r="AB816" s="819"/>
      <c r="AC816" s="819"/>
      <c r="AD816" s="819"/>
      <c r="AE816" s="819"/>
      <c r="AF816" s="819"/>
      <c r="AG816" s="819"/>
      <c r="AH816" s="819"/>
      <c r="AI816" s="820">
        <f>SUM(SUVAHAVUJ!N58)</f>
        <v>0</v>
      </c>
      <c r="AJ816" s="820"/>
      <c r="AK816" s="820"/>
      <c r="AL816" s="820"/>
      <c r="AM816" s="820"/>
      <c r="AN816" s="820"/>
      <c r="AO816" s="820"/>
      <c r="AP816" s="820"/>
      <c r="AQ816" s="820"/>
      <c r="AR816" s="820"/>
      <c r="AS816" s="820"/>
      <c r="AT816" s="820"/>
      <c r="AU816" s="820"/>
      <c r="AV816" s="820"/>
      <c r="AW816" s="820"/>
      <c r="AX816" s="820"/>
      <c r="AY816" s="820"/>
      <c r="AZ816" s="820"/>
      <c r="BA816" s="820"/>
      <c r="BB816" s="820"/>
    </row>
    <row r="817" spans="1:54" ht="13.5" customHeight="1" x14ac:dyDescent="0.25">
      <c r="A817" s="723" t="s">
        <v>1687</v>
      </c>
      <c r="B817" s="723"/>
      <c r="C817" s="723"/>
      <c r="D817" s="723"/>
      <c r="E817" s="723"/>
      <c r="F817" s="723"/>
      <c r="G817" s="723"/>
      <c r="H817" s="723"/>
      <c r="I817" s="723"/>
      <c r="J817" s="723"/>
      <c r="K817" s="723"/>
      <c r="L817" s="723"/>
      <c r="M817" s="723"/>
      <c r="N817" s="723"/>
      <c r="O817" s="723"/>
      <c r="P817" s="818">
        <f t="shared" si="0"/>
        <v>0</v>
      </c>
      <c r="Q817" s="818"/>
      <c r="R817" s="818"/>
      <c r="S817" s="818"/>
      <c r="T817" s="818"/>
      <c r="U817" s="818"/>
      <c r="V817" s="818"/>
      <c r="W817" s="818"/>
      <c r="X817" s="819"/>
      <c r="Y817" s="819"/>
      <c r="Z817" s="819"/>
      <c r="AA817" s="819"/>
      <c r="AB817" s="819"/>
      <c r="AC817" s="819"/>
      <c r="AD817" s="819"/>
      <c r="AE817" s="819"/>
      <c r="AF817" s="819"/>
      <c r="AG817" s="819"/>
      <c r="AH817" s="819"/>
      <c r="AI817" s="820">
        <f>SUM(SUVAHAVUJ!N59)</f>
        <v>0</v>
      </c>
      <c r="AJ817" s="820"/>
      <c r="AK817" s="820"/>
      <c r="AL817" s="820"/>
      <c r="AM817" s="820"/>
      <c r="AN817" s="820"/>
      <c r="AO817" s="820"/>
      <c r="AP817" s="820"/>
      <c r="AQ817" s="820"/>
      <c r="AR817" s="820"/>
      <c r="AS817" s="820"/>
      <c r="AT817" s="820"/>
      <c r="AU817" s="820"/>
      <c r="AV817" s="820"/>
      <c r="AW817" s="820"/>
      <c r="AX817" s="820"/>
      <c r="AY817" s="820"/>
      <c r="AZ817" s="820"/>
      <c r="BA817" s="820"/>
      <c r="BB817" s="820"/>
    </row>
    <row r="818" spans="1:54" ht="11.45" customHeight="1" x14ac:dyDescent="0.25">
      <c r="A818" s="723" t="s">
        <v>1701</v>
      </c>
      <c r="B818" s="723"/>
      <c r="C818" s="723"/>
      <c r="D818" s="723"/>
      <c r="E818" s="723"/>
      <c r="F818" s="723"/>
      <c r="G818" s="723"/>
      <c r="H818" s="723"/>
      <c r="I818" s="723"/>
      <c r="J818" s="723"/>
      <c r="K818" s="723"/>
      <c r="L818" s="723"/>
      <c r="M818" s="723"/>
      <c r="N818" s="723"/>
      <c r="O818" s="723"/>
      <c r="P818" s="818">
        <f t="shared" si="0"/>
        <v>0</v>
      </c>
      <c r="Q818" s="818"/>
      <c r="R818" s="818"/>
      <c r="S818" s="818"/>
      <c r="T818" s="818"/>
      <c r="U818" s="818"/>
      <c r="V818" s="818"/>
      <c r="W818" s="818"/>
      <c r="X818" s="819"/>
      <c r="Y818" s="819"/>
      <c r="Z818" s="819"/>
      <c r="AA818" s="819"/>
      <c r="AB818" s="819"/>
      <c r="AC818" s="819"/>
      <c r="AD818" s="819"/>
      <c r="AE818" s="819"/>
      <c r="AF818" s="819"/>
      <c r="AG818" s="819"/>
      <c r="AH818" s="819"/>
      <c r="AI818" s="820">
        <f>SUM(SUVAHAVUJ!N60)</f>
        <v>0</v>
      </c>
      <c r="AJ818" s="820"/>
      <c r="AK818" s="820"/>
      <c r="AL818" s="820"/>
      <c r="AM818" s="820"/>
      <c r="AN818" s="820"/>
      <c r="AO818" s="820"/>
      <c r="AP818" s="820"/>
      <c r="AQ818" s="820"/>
      <c r="AR818" s="820"/>
      <c r="AS818" s="820"/>
      <c r="AT818" s="820"/>
      <c r="AU818" s="820"/>
      <c r="AV818" s="820"/>
      <c r="AW818" s="820"/>
      <c r="AX818" s="820"/>
      <c r="AY818" s="820"/>
      <c r="AZ818" s="820"/>
      <c r="BA818" s="820"/>
      <c r="BB818" s="820"/>
    </row>
    <row r="819" spans="1:54" s="227" customFormat="1" ht="11.45" customHeight="1" x14ac:dyDescent="0.25">
      <c r="A819" s="723" t="s">
        <v>1706</v>
      </c>
      <c r="B819" s="723"/>
      <c r="C819" s="723"/>
      <c r="D819" s="723"/>
      <c r="E819" s="723"/>
      <c r="F819" s="723"/>
      <c r="G819" s="723"/>
      <c r="H819" s="723"/>
      <c r="I819" s="723"/>
      <c r="J819" s="723"/>
      <c r="K819" s="723"/>
      <c r="L819" s="723"/>
      <c r="M819" s="723"/>
      <c r="N819" s="723"/>
      <c r="O819" s="723"/>
      <c r="P819" s="818">
        <f t="shared" si="0"/>
        <v>0</v>
      </c>
      <c r="Q819" s="818"/>
      <c r="R819" s="818"/>
      <c r="S819" s="818"/>
      <c r="T819" s="818"/>
      <c r="U819" s="818"/>
      <c r="V819" s="818"/>
      <c r="W819" s="818"/>
      <c r="X819" s="819"/>
      <c r="Y819" s="819"/>
      <c r="Z819" s="819"/>
      <c r="AA819" s="819"/>
      <c r="AB819" s="819"/>
      <c r="AC819" s="819"/>
      <c r="AD819" s="819"/>
      <c r="AE819" s="819"/>
      <c r="AF819" s="819"/>
      <c r="AG819" s="819"/>
      <c r="AH819" s="819"/>
      <c r="AI819" s="820">
        <f>SUM(SUVAHAVUJ!N61)</f>
        <v>0</v>
      </c>
      <c r="AJ819" s="820"/>
      <c r="AK819" s="820"/>
      <c r="AL819" s="820"/>
      <c r="AM819" s="820"/>
      <c r="AN819" s="820"/>
      <c r="AO819" s="820"/>
      <c r="AP819" s="820"/>
      <c r="AQ819" s="820"/>
      <c r="AR819" s="820"/>
      <c r="AS819" s="820"/>
      <c r="AT819" s="820"/>
      <c r="AU819" s="820"/>
      <c r="AV819" s="820"/>
      <c r="AW819" s="820"/>
      <c r="AX819" s="820"/>
      <c r="AY819" s="820"/>
      <c r="AZ819" s="820"/>
      <c r="BA819" s="820"/>
      <c r="BB819" s="820"/>
    </row>
    <row r="820" spans="1:54" s="227" customFormat="1" ht="11.45" customHeight="1" x14ac:dyDescent="0.25">
      <c r="A820" s="723" t="s">
        <v>1689</v>
      </c>
      <c r="B820" s="723"/>
      <c r="C820" s="723"/>
      <c r="D820" s="723"/>
      <c r="E820" s="723"/>
      <c r="F820" s="723"/>
      <c r="G820" s="723"/>
      <c r="H820" s="723"/>
      <c r="I820" s="723"/>
      <c r="J820" s="723"/>
      <c r="K820" s="723"/>
      <c r="L820" s="723"/>
      <c r="M820" s="723"/>
      <c r="N820" s="723"/>
      <c r="O820" s="723"/>
      <c r="P820" s="818">
        <f t="shared" si="0"/>
        <v>0</v>
      </c>
      <c r="Q820" s="818"/>
      <c r="R820" s="818"/>
      <c r="S820" s="818"/>
      <c r="T820" s="818"/>
      <c r="U820" s="818"/>
      <c r="V820" s="818"/>
      <c r="W820" s="818"/>
      <c r="X820" s="819"/>
      <c r="Y820" s="819"/>
      <c r="Z820" s="819"/>
      <c r="AA820" s="819"/>
      <c r="AB820" s="819"/>
      <c r="AC820" s="819"/>
      <c r="AD820" s="819"/>
      <c r="AE820" s="819"/>
      <c r="AF820" s="819"/>
      <c r="AG820" s="819"/>
      <c r="AH820" s="819"/>
      <c r="AI820" s="820">
        <f>SUM(SUVAHAVUJ!N62)</f>
        <v>0</v>
      </c>
      <c r="AJ820" s="820"/>
      <c r="AK820" s="820"/>
      <c r="AL820" s="820"/>
      <c r="AM820" s="820"/>
      <c r="AN820" s="820"/>
      <c r="AO820" s="820"/>
      <c r="AP820" s="820"/>
      <c r="AQ820" s="820"/>
      <c r="AR820" s="820"/>
      <c r="AS820" s="820"/>
      <c r="AT820" s="820"/>
      <c r="AU820" s="820"/>
      <c r="AV820" s="820"/>
      <c r="AW820" s="820"/>
      <c r="AX820" s="820"/>
      <c r="AY820" s="820"/>
      <c r="AZ820" s="820"/>
      <c r="BA820" s="820"/>
      <c r="BB820" s="820"/>
    </row>
    <row r="821" spans="1:54" ht="24.75" customHeight="1" x14ac:dyDescent="0.25">
      <c r="A821" s="827" t="s">
        <v>1690</v>
      </c>
      <c r="B821" s="827"/>
      <c r="C821" s="827"/>
      <c r="D821" s="827"/>
      <c r="E821" s="827"/>
      <c r="F821" s="827"/>
      <c r="G821" s="827"/>
      <c r="H821" s="827"/>
      <c r="I821" s="827"/>
      <c r="J821" s="827"/>
      <c r="K821" s="827"/>
      <c r="L821" s="827"/>
      <c r="M821" s="827"/>
      <c r="N821" s="827"/>
      <c r="O821" s="827"/>
      <c r="P821" s="818">
        <f t="shared" si="0"/>
        <v>0</v>
      </c>
      <c r="Q821" s="818"/>
      <c r="R821" s="818"/>
      <c r="S821" s="818"/>
      <c r="T821" s="818"/>
      <c r="U821" s="818"/>
      <c r="V821" s="818"/>
      <c r="W821" s="818"/>
      <c r="X821" s="819"/>
      <c r="Y821" s="819"/>
      <c r="Z821" s="819"/>
      <c r="AA821" s="819"/>
      <c r="AB821" s="819"/>
      <c r="AC821" s="819"/>
      <c r="AD821" s="819"/>
      <c r="AE821" s="819"/>
      <c r="AF821" s="819"/>
      <c r="AG821" s="819"/>
      <c r="AH821" s="819"/>
      <c r="AI821" s="820">
        <f>SUM(SUVAHAVUJ!N63)</f>
        <v>0</v>
      </c>
      <c r="AJ821" s="820"/>
      <c r="AK821" s="820"/>
      <c r="AL821" s="820"/>
      <c r="AM821" s="820"/>
      <c r="AN821" s="820"/>
      <c r="AO821" s="820"/>
      <c r="AP821" s="820"/>
      <c r="AQ821" s="820"/>
      <c r="AR821" s="820"/>
      <c r="AS821" s="820"/>
      <c r="AT821" s="820"/>
      <c r="AU821" s="820"/>
      <c r="AV821" s="820"/>
      <c r="AW821" s="820"/>
      <c r="AX821" s="820"/>
      <c r="AY821" s="820"/>
      <c r="AZ821" s="820"/>
      <c r="BA821" s="820"/>
      <c r="BB821" s="820"/>
    </row>
    <row r="822" spans="1:54" ht="11.45" customHeight="1" x14ac:dyDescent="0.25">
      <c r="A822" s="307" t="s">
        <v>1707</v>
      </c>
      <c r="B822" s="308"/>
      <c r="C822" s="308"/>
      <c r="D822" s="308"/>
      <c r="E822" s="308"/>
      <c r="F822" s="308"/>
      <c r="G822" s="308"/>
      <c r="H822" s="308"/>
      <c r="I822" s="308"/>
      <c r="J822" s="308"/>
      <c r="K822" s="308"/>
      <c r="L822" s="308"/>
      <c r="M822" s="308"/>
      <c r="N822" s="308"/>
      <c r="O822" s="309"/>
      <c r="P822" s="818">
        <f t="shared" si="0"/>
        <v>0</v>
      </c>
      <c r="Q822" s="818"/>
      <c r="R822" s="818"/>
      <c r="S822" s="818"/>
      <c r="T822" s="818"/>
      <c r="U822" s="818"/>
      <c r="V822" s="818"/>
      <c r="W822" s="818"/>
      <c r="X822" s="819"/>
      <c r="Y822" s="819"/>
      <c r="Z822" s="819"/>
      <c r="AA822" s="819"/>
      <c r="AB822" s="819"/>
      <c r="AC822" s="819"/>
      <c r="AD822" s="819"/>
      <c r="AE822" s="819"/>
      <c r="AF822" s="819"/>
      <c r="AG822" s="819"/>
      <c r="AH822" s="819"/>
      <c r="AI822" s="820">
        <f>SUM(SUVAHAVUJ!N64)</f>
        <v>0</v>
      </c>
      <c r="AJ822" s="820"/>
      <c r="AK822" s="820"/>
      <c r="AL822" s="820"/>
      <c r="AM822" s="820"/>
      <c r="AN822" s="820"/>
      <c r="AO822" s="820"/>
      <c r="AP822" s="820"/>
      <c r="AQ822" s="820"/>
      <c r="AR822" s="820"/>
      <c r="AS822" s="820"/>
      <c r="AT822" s="820"/>
      <c r="AU822" s="820"/>
      <c r="AV822" s="820"/>
      <c r="AW822" s="820"/>
      <c r="AX822" s="820"/>
      <c r="AY822" s="820"/>
      <c r="AZ822" s="820"/>
      <c r="BA822" s="820"/>
      <c r="BB822" s="820"/>
    </row>
    <row r="823" spans="1:54" ht="11.45" customHeight="1" x14ac:dyDescent="0.25">
      <c r="A823" s="307" t="s">
        <v>1708</v>
      </c>
      <c r="B823" s="308"/>
      <c r="C823" s="308"/>
      <c r="D823" s="308"/>
      <c r="E823" s="308"/>
      <c r="F823" s="308"/>
      <c r="G823" s="308"/>
      <c r="H823" s="308"/>
      <c r="I823" s="308"/>
      <c r="J823" s="308"/>
      <c r="K823" s="308"/>
      <c r="L823" s="308"/>
      <c r="M823" s="308"/>
      <c r="N823" s="308"/>
      <c r="O823" s="309"/>
      <c r="P823" s="818">
        <f t="shared" si="0"/>
        <v>4768</v>
      </c>
      <c r="Q823" s="818"/>
      <c r="R823" s="818"/>
      <c r="S823" s="818"/>
      <c r="T823" s="818"/>
      <c r="U823" s="818"/>
      <c r="V823" s="818"/>
      <c r="W823" s="818"/>
      <c r="X823" s="819"/>
      <c r="Y823" s="819"/>
      <c r="Z823" s="819"/>
      <c r="AA823" s="819"/>
      <c r="AB823" s="819"/>
      <c r="AC823" s="819"/>
      <c r="AD823" s="819"/>
      <c r="AE823" s="819"/>
      <c r="AF823" s="819"/>
      <c r="AG823" s="819"/>
      <c r="AH823" s="819"/>
      <c r="AI823" s="820">
        <f>SUM(SUVAHAVUJ!N65)</f>
        <v>4768</v>
      </c>
      <c r="AJ823" s="820"/>
      <c r="AK823" s="820"/>
      <c r="AL823" s="820"/>
      <c r="AM823" s="820"/>
      <c r="AN823" s="820"/>
      <c r="AO823" s="820"/>
      <c r="AP823" s="820"/>
      <c r="AQ823" s="820"/>
      <c r="AR823" s="820"/>
      <c r="AS823" s="820"/>
      <c r="AT823" s="820"/>
      <c r="AU823" s="820"/>
      <c r="AV823" s="820"/>
      <c r="AW823" s="820"/>
      <c r="AX823" s="820"/>
      <c r="AY823" s="820"/>
      <c r="AZ823" s="820"/>
      <c r="BA823" s="820"/>
      <c r="BB823" s="820"/>
    </row>
    <row r="824" spans="1:54" ht="11.45" customHeight="1" x14ac:dyDescent="0.25">
      <c r="A824" s="307" t="s">
        <v>1691</v>
      </c>
      <c r="B824" s="310"/>
      <c r="C824" s="308"/>
      <c r="D824" s="308"/>
      <c r="E824" s="308"/>
      <c r="F824" s="308"/>
      <c r="G824" s="308"/>
      <c r="H824" s="308"/>
      <c r="I824" s="308"/>
      <c r="J824" s="308"/>
      <c r="K824" s="308"/>
      <c r="L824" s="308"/>
      <c r="M824" s="308"/>
      <c r="N824" s="308"/>
      <c r="O824" s="309"/>
      <c r="P824" s="818">
        <f t="shared" si="0"/>
        <v>0</v>
      </c>
      <c r="Q824" s="818"/>
      <c r="R824" s="818"/>
      <c r="S824" s="818"/>
      <c r="T824" s="818"/>
      <c r="U824" s="818"/>
      <c r="V824" s="818"/>
      <c r="W824" s="818"/>
      <c r="X824" s="819"/>
      <c r="Y824" s="819"/>
      <c r="Z824" s="819"/>
      <c r="AA824" s="819"/>
      <c r="AB824" s="819"/>
      <c r="AC824" s="819"/>
      <c r="AD824" s="819"/>
      <c r="AE824" s="819"/>
      <c r="AF824" s="819"/>
      <c r="AG824" s="819"/>
      <c r="AH824" s="819"/>
      <c r="AI824" s="820">
        <f>SUM(SUVAHAVUJ!N66)</f>
        <v>0</v>
      </c>
      <c r="AJ824" s="820"/>
      <c r="AK824" s="820"/>
      <c r="AL824" s="820"/>
      <c r="AM824" s="820"/>
      <c r="AN824" s="820"/>
      <c r="AO824" s="820"/>
      <c r="AP824" s="820"/>
      <c r="AQ824" s="820"/>
      <c r="AR824" s="820"/>
      <c r="AS824" s="820"/>
      <c r="AT824" s="820"/>
      <c r="AU824" s="820"/>
      <c r="AV824" s="820"/>
      <c r="AW824" s="820"/>
      <c r="AX824" s="820"/>
      <c r="AY824" s="820"/>
      <c r="AZ824" s="820"/>
      <c r="BA824" s="820"/>
      <c r="BB824" s="820"/>
    </row>
    <row r="825" spans="1:54" ht="11.45" customHeight="1" x14ac:dyDescent="0.25">
      <c r="A825" s="307" t="s">
        <v>1692</v>
      </c>
      <c r="B825" s="310"/>
      <c r="C825" s="308"/>
      <c r="D825" s="308"/>
      <c r="E825" s="308"/>
      <c r="F825" s="308"/>
      <c r="G825" s="308"/>
      <c r="H825" s="308"/>
      <c r="I825" s="308"/>
      <c r="J825" s="308"/>
      <c r="K825" s="308"/>
      <c r="L825" s="308"/>
      <c r="M825" s="308"/>
      <c r="N825" s="308"/>
      <c r="O825" s="309"/>
      <c r="P825" s="818">
        <f t="shared" si="0"/>
        <v>2626</v>
      </c>
      <c r="Q825" s="818"/>
      <c r="R825" s="818"/>
      <c r="S825" s="818"/>
      <c r="T825" s="818"/>
      <c r="U825" s="818"/>
      <c r="V825" s="818"/>
      <c r="W825" s="818"/>
      <c r="X825" s="819"/>
      <c r="Y825" s="819"/>
      <c r="Z825" s="819"/>
      <c r="AA825" s="819"/>
      <c r="AB825" s="819"/>
      <c r="AC825" s="819"/>
      <c r="AD825" s="819"/>
      <c r="AE825" s="819"/>
      <c r="AF825" s="819"/>
      <c r="AG825" s="819"/>
      <c r="AH825" s="819"/>
      <c r="AI825" s="820">
        <f>SUM(SUVAHAVUJ!N67)</f>
        <v>2626</v>
      </c>
      <c r="AJ825" s="820"/>
      <c r="AK825" s="820"/>
      <c r="AL825" s="820"/>
      <c r="AM825" s="820"/>
      <c r="AN825" s="820"/>
      <c r="AO825" s="820"/>
      <c r="AP825" s="820"/>
      <c r="AQ825" s="820"/>
      <c r="AR825" s="820"/>
      <c r="AS825" s="820"/>
      <c r="AT825" s="820"/>
      <c r="AU825" s="820"/>
      <c r="AV825" s="820"/>
      <c r="AW825" s="820"/>
      <c r="AX825" s="820"/>
      <c r="AY825" s="820"/>
      <c r="AZ825" s="820"/>
      <c r="BA825" s="820"/>
      <c r="BB825" s="820"/>
    </row>
    <row r="826" spans="1:54" ht="11.45" customHeight="1" x14ac:dyDescent="0.25">
      <c r="A826" s="311" t="s">
        <v>1709</v>
      </c>
      <c r="B826" s="259"/>
      <c r="C826" s="246"/>
      <c r="D826" s="246"/>
      <c r="E826" s="246"/>
      <c r="F826" s="246"/>
      <c r="G826" s="246"/>
      <c r="H826" s="246"/>
      <c r="I826" s="246"/>
      <c r="J826" s="246"/>
      <c r="K826" s="246"/>
      <c r="L826" s="246"/>
      <c r="M826" s="246"/>
      <c r="N826" s="246"/>
      <c r="O826" s="248"/>
      <c r="P826" s="820">
        <f>P815+P816+P817+P818+P819+P820+P821+P822+P823+P824</f>
        <v>23492</v>
      </c>
      <c r="Q826" s="820"/>
      <c r="R826" s="820"/>
      <c r="S826" s="820"/>
      <c r="T826" s="820"/>
      <c r="U826" s="820"/>
      <c r="V826" s="820"/>
      <c r="W826" s="820"/>
      <c r="X826" s="819">
        <f>SUM(X815:AH825)</f>
        <v>0</v>
      </c>
      <c r="Y826" s="819"/>
      <c r="Z826" s="819"/>
      <c r="AA826" s="819"/>
      <c r="AB826" s="819"/>
      <c r="AC826" s="819"/>
      <c r="AD826" s="819"/>
      <c r="AE826" s="819"/>
      <c r="AF826" s="819"/>
      <c r="AG826" s="819"/>
      <c r="AH826" s="819"/>
      <c r="AI826" s="826">
        <f>SUM(SUVAHAVUJ!N55)</f>
        <v>26118</v>
      </c>
      <c r="AJ826" s="826"/>
      <c r="AK826" s="826"/>
      <c r="AL826" s="826"/>
      <c r="AM826" s="826"/>
      <c r="AN826" s="826"/>
      <c r="AO826" s="826"/>
      <c r="AP826" s="826"/>
      <c r="AQ826" s="826"/>
      <c r="AR826" s="826"/>
      <c r="AS826" s="826"/>
      <c r="AT826" s="826"/>
      <c r="AU826" s="826"/>
      <c r="AV826" s="826"/>
      <c r="AW826" s="826"/>
      <c r="AX826" s="826"/>
      <c r="AY826" s="826"/>
      <c r="AZ826" s="826"/>
      <c r="BA826" s="826"/>
      <c r="BB826" s="826"/>
    </row>
    <row r="827" spans="1:54" ht="12.6" customHeight="1" x14ac:dyDescent="0.25">
      <c r="A827" s="243" t="s">
        <v>1344</v>
      </c>
      <c r="B827" s="208"/>
      <c r="C827" s="208"/>
      <c r="D827" s="208"/>
      <c r="E827" s="208"/>
      <c r="F827" s="208"/>
      <c r="G827" s="208"/>
      <c r="H827" s="208"/>
      <c r="I827" s="208"/>
      <c r="J827" s="208"/>
      <c r="K827" s="208"/>
      <c r="L827" s="208"/>
      <c r="M827" s="208"/>
      <c r="N827" s="208"/>
      <c r="O827" s="208"/>
      <c r="P827" s="208"/>
      <c r="Q827" s="208"/>
      <c r="R827" s="208"/>
      <c r="S827" s="208"/>
      <c r="T827" s="208"/>
      <c r="U827" s="208"/>
      <c r="V827" s="208"/>
      <c r="W827" s="208"/>
      <c r="X827" s="208"/>
      <c r="Y827" s="208"/>
      <c r="Z827" s="208"/>
      <c r="AA827" s="208"/>
      <c r="AB827" s="208"/>
      <c r="AC827" s="208"/>
      <c r="AD827" s="208"/>
      <c r="AE827" s="208"/>
      <c r="AF827" s="208"/>
      <c r="AG827" s="208"/>
      <c r="AH827" s="208"/>
      <c r="AI827" s="208"/>
      <c r="AJ827" s="208"/>
      <c r="AK827" s="208"/>
      <c r="AL827" s="208"/>
      <c r="AM827" s="208"/>
      <c r="AN827" s="208"/>
      <c r="AO827" s="208"/>
      <c r="AP827" s="208"/>
      <c r="AQ827" s="208"/>
      <c r="AR827" s="208"/>
      <c r="AS827" s="208"/>
      <c r="AT827" s="208"/>
      <c r="AU827" s="208"/>
      <c r="AV827" s="208"/>
      <c r="AW827" s="208"/>
      <c r="AX827" s="208"/>
      <c r="AY827" s="208"/>
      <c r="AZ827" s="208"/>
      <c r="BA827" s="208"/>
      <c r="BB827" s="245"/>
    </row>
    <row r="828" spans="1:54" ht="15" customHeight="1" x14ac:dyDescent="0.25">
      <c r="A828" s="763"/>
      <c r="B828" s="763"/>
      <c r="C828" s="763"/>
      <c r="D828" s="763"/>
      <c r="E828" s="763"/>
      <c r="F828" s="763"/>
      <c r="G828" s="763"/>
      <c r="H828" s="763"/>
      <c r="I828" s="763"/>
      <c r="J828" s="763"/>
      <c r="K828" s="763"/>
      <c r="L828" s="763"/>
      <c r="M828" s="763"/>
      <c r="N828" s="763"/>
      <c r="O828" s="763"/>
      <c r="P828" s="763"/>
      <c r="Q828" s="763"/>
      <c r="R828" s="763"/>
      <c r="S828" s="763"/>
      <c r="T828" s="763"/>
      <c r="U828" s="763"/>
      <c r="V828" s="763"/>
      <c r="W828" s="763"/>
      <c r="X828" s="763"/>
      <c r="Y828" s="763"/>
      <c r="Z828" s="763"/>
      <c r="AA828" s="763"/>
      <c r="AB828" s="763"/>
      <c r="AC828" s="763"/>
      <c r="AD828" s="763"/>
      <c r="AE828" s="763"/>
      <c r="AF828" s="763"/>
      <c r="AG828" s="763"/>
      <c r="AH828" s="763"/>
      <c r="AI828" s="763"/>
      <c r="AJ828" s="763"/>
      <c r="AK828" s="763"/>
      <c r="AL828" s="763"/>
      <c r="AM828" s="763"/>
      <c r="AN828" s="763"/>
      <c r="AO828" s="763"/>
      <c r="AP828" s="763"/>
      <c r="AQ828" s="763"/>
      <c r="AR828" s="763"/>
      <c r="AS828" s="763"/>
      <c r="AT828" s="763"/>
      <c r="AU828" s="763"/>
      <c r="AV828" s="763"/>
      <c r="AW828" s="763"/>
      <c r="AX828" s="763"/>
      <c r="AY828" s="265"/>
      <c r="AZ828" s="265"/>
      <c r="BA828" s="265"/>
      <c r="BB828" s="265"/>
    </row>
    <row r="829" spans="1:54" ht="15" customHeight="1" x14ac:dyDescent="0.25">
      <c r="A829" s="763"/>
      <c r="B829" s="763"/>
      <c r="C829" s="763"/>
      <c r="D829" s="763"/>
      <c r="E829" s="763"/>
      <c r="F829" s="763"/>
      <c r="G829" s="763"/>
      <c r="H829" s="763"/>
      <c r="I829" s="763"/>
      <c r="J829" s="763"/>
      <c r="K829" s="763"/>
      <c r="L829" s="763"/>
      <c r="M829" s="763"/>
      <c r="N829" s="763"/>
      <c r="O829" s="763"/>
      <c r="P829" s="763"/>
      <c r="Q829" s="763"/>
      <c r="R829" s="763"/>
      <c r="S829" s="763"/>
      <c r="T829" s="763"/>
      <c r="U829" s="763"/>
      <c r="V829" s="763"/>
      <c r="W829" s="763"/>
      <c r="X829" s="763"/>
      <c r="Y829" s="763"/>
      <c r="Z829" s="763"/>
      <c r="AA829" s="763"/>
      <c r="AB829" s="763"/>
      <c r="AC829" s="763"/>
      <c r="AD829" s="763"/>
      <c r="AE829" s="763"/>
      <c r="AF829" s="763"/>
      <c r="AG829" s="763"/>
      <c r="AH829" s="763"/>
      <c r="AI829" s="763"/>
      <c r="AJ829" s="763"/>
      <c r="AK829" s="763"/>
      <c r="AL829" s="763"/>
      <c r="AM829" s="763"/>
      <c r="AN829" s="763"/>
      <c r="AO829" s="763"/>
      <c r="AP829" s="763"/>
      <c r="AQ829" s="763"/>
      <c r="AR829" s="763"/>
      <c r="AS829" s="763"/>
      <c r="AT829" s="763"/>
      <c r="AU829" s="763"/>
      <c r="AV829" s="763"/>
      <c r="AW829" s="763"/>
      <c r="AX829" s="763"/>
      <c r="AY829" s="265"/>
      <c r="AZ829" s="265"/>
      <c r="BA829" s="265"/>
      <c r="BB829" s="265"/>
    </row>
    <row r="830" spans="1:54" ht="12.6" customHeight="1" x14ac:dyDescent="0.25">
      <c r="A830" s="227" t="s">
        <v>1710</v>
      </c>
      <c r="B830" s="227"/>
      <c r="C830" s="227"/>
      <c r="D830" s="227"/>
      <c r="E830" s="227"/>
      <c r="F830" s="227"/>
      <c r="G830" s="227"/>
      <c r="H830" s="227"/>
      <c r="I830" s="227"/>
      <c r="J830" s="227"/>
      <c r="K830" s="227"/>
      <c r="L830" s="227"/>
      <c r="M830" s="227"/>
      <c r="N830" s="227"/>
      <c r="O830" s="227"/>
      <c r="P830" s="227"/>
      <c r="Q830" s="227"/>
      <c r="R830" s="227"/>
      <c r="S830" s="227"/>
      <c r="T830" s="227"/>
      <c r="U830" s="227"/>
      <c r="V830" s="227"/>
      <c r="W830" s="227"/>
      <c r="X830" s="227"/>
      <c r="Y830" s="227"/>
      <c r="Z830" s="227"/>
      <c r="AA830" s="227"/>
      <c r="AB830" s="227"/>
      <c r="AC830" s="227"/>
      <c r="AD830" s="227"/>
      <c r="AE830" s="227"/>
      <c r="AF830" s="227"/>
      <c r="AG830" s="227"/>
      <c r="AH830" s="227"/>
      <c r="AI830" s="227"/>
      <c r="AJ830" s="227"/>
      <c r="AK830" s="227"/>
      <c r="AL830" s="227"/>
      <c r="AM830" s="227"/>
      <c r="AN830" s="227"/>
      <c r="AO830" s="227"/>
      <c r="AP830" s="227"/>
      <c r="AQ830" s="227"/>
      <c r="AR830" s="227"/>
      <c r="AS830" s="227"/>
      <c r="AT830" s="227"/>
      <c r="AU830" s="227"/>
      <c r="AV830" s="227"/>
      <c r="AW830" s="227"/>
      <c r="AX830" s="227"/>
      <c r="AY830" s="227"/>
      <c r="AZ830" s="227"/>
      <c r="BA830" s="227"/>
      <c r="BB830" s="227"/>
    </row>
    <row r="831" spans="1:54" ht="11.45" customHeight="1" x14ac:dyDescent="0.25">
      <c r="A831" s="241"/>
      <c r="B831" s="242"/>
      <c r="C831" s="242"/>
      <c r="D831" s="242"/>
      <c r="E831" s="242"/>
      <c r="F831" s="242"/>
      <c r="G831" s="242"/>
      <c r="H831" s="242"/>
      <c r="I831" s="242"/>
      <c r="J831" s="242"/>
      <c r="K831" s="242"/>
      <c r="L831" s="242"/>
      <c r="M831" s="242"/>
      <c r="N831" s="242"/>
      <c r="O831" s="242"/>
      <c r="P831" s="242"/>
      <c r="Q831" s="242"/>
      <c r="R831" s="242"/>
      <c r="S831" s="242"/>
      <c r="T831" s="242"/>
      <c r="U831" s="299"/>
      <c r="V831" s="299"/>
      <c r="W831" s="707" t="s">
        <v>1288</v>
      </c>
      <c r="X831" s="707"/>
      <c r="Y831" s="707"/>
      <c r="Z831" s="707"/>
      <c r="AA831" s="707"/>
      <c r="AB831" s="707"/>
      <c r="AC831" s="707"/>
      <c r="AD831" s="707"/>
      <c r="AE831" s="707"/>
      <c r="AF831" s="707"/>
      <c r="AG831" s="707"/>
      <c r="AH831" s="707"/>
      <c r="AI831" s="707"/>
      <c r="AJ831" s="707"/>
      <c r="AK831" s="707"/>
      <c r="AL831" s="707"/>
      <c r="AM831" s="707"/>
      <c r="AN831" s="707"/>
      <c r="AO831" s="707"/>
      <c r="AP831" s="707"/>
      <c r="AQ831" s="707"/>
      <c r="AR831" s="707"/>
      <c r="AS831" s="707"/>
      <c r="AT831" s="707"/>
      <c r="AU831" s="707"/>
      <c r="AV831" s="707"/>
      <c r="AW831" s="707"/>
      <c r="AX831" s="707"/>
      <c r="AY831" s="707"/>
      <c r="AZ831" s="707"/>
      <c r="BA831" s="707"/>
      <c r="BB831" s="707"/>
    </row>
    <row r="832" spans="1:54" s="227" customFormat="1" ht="11.45" customHeight="1" x14ac:dyDescent="0.25">
      <c r="A832" s="747" t="s">
        <v>1711</v>
      </c>
      <c r="B832" s="747"/>
      <c r="C832" s="747"/>
      <c r="D832" s="747"/>
      <c r="E832" s="747"/>
      <c r="F832" s="747"/>
      <c r="G832" s="747"/>
      <c r="H832" s="747"/>
      <c r="I832" s="747"/>
      <c r="J832" s="747"/>
      <c r="K832" s="747"/>
      <c r="L832" s="747"/>
      <c r="M832" s="747"/>
      <c r="N832" s="747"/>
      <c r="O832" s="747"/>
      <c r="P832" s="747"/>
      <c r="Q832" s="747"/>
      <c r="R832" s="747"/>
      <c r="S832" s="747"/>
      <c r="T832" s="747"/>
      <c r="U832" s="747"/>
      <c r="V832" s="747"/>
      <c r="W832" s="768" t="s">
        <v>1712</v>
      </c>
      <c r="X832" s="768"/>
      <c r="Y832" s="768"/>
      <c r="Z832" s="768"/>
      <c r="AA832" s="768"/>
      <c r="AB832" s="768"/>
      <c r="AC832" s="768"/>
      <c r="AD832" s="768"/>
      <c r="AE832" s="768"/>
      <c r="AF832" s="768"/>
      <c r="AG832" s="768"/>
      <c r="AH832" s="768"/>
      <c r="AI832" s="768"/>
      <c r="AJ832" s="768" t="s">
        <v>1561</v>
      </c>
      <c r="AK832" s="768"/>
      <c r="AL832" s="768"/>
      <c r="AM832" s="768"/>
      <c r="AN832" s="768"/>
      <c r="AO832" s="768"/>
      <c r="AP832" s="768"/>
      <c r="AQ832" s="768"/>
      <c r="AR832" s="768"/>
      <c r="AS832" s="768"/>
      <c r="AT832" s="768"/>
      <c r="AU832" s="768"/>
      <c r="AV832" s="768"/>
      <c r="AW832" s="768"/>
      <c r="AX832" s="768"/>
      <c r="AY832" s="768"/>
      <c r="AZ832" s="768"/>
      <c r="BA832" s="768"/>
      <c r="BB832" s="768"/>
    </row>
    <row r="833" spans="1:54" ht="11.45" customHeight="1" x14ac:dyDescent="0.25">
      <c r="A833" s="251"/>
      <c r="B833" s="312"/>
      <c r="C833" s="312"/>
      <c r="D833" s="312"/>
      <c r="E833" s="312"/>
      <c r="F833" s="312"/>
      <c r="G833" s="312"/>
      <c r="H833" s="312"/>
      <c r="I833" s="312"/>
      <c r="J833" s="312"/>
      <c r="K833" s="312"/>
      <c r="L833" s="312"/>
      <c r="M833" s="312"/>
      <c r="N833" s="312"/>
      <c r="O833" s="312"/>
      <c r="P833" s="312"/>
      <c r="Q833" s="312"/>
      <c r="R833" s="312"/>
      <c r="S833" s="312"/>
      <c r="T833" s="312"/>
      <c r="U833" s="312"/>
      <c r="V833" s="312"/>
      <c r="W833" s="750" t="s">
        <v>1713</v>
      </c>
      <c r="X833" s="750"/>
      <c r="Y833" s="750"/>
      <c r="Z833" s="750"/>
      <c r="AA833" s="750"/>
      <c r="AB833" s="750"/>
      <c r="AC833" s="750"/>
      <c r="AD833" s="750"/>
      <c r="AE833" s="750"/>
      <c r="AF833" s="750"/>
      <c r="AG833" s="750"/>
      <c r="AH833" s="750"/>
      <c r="AI833" s="750"/>
      <c r="AJ833" s="750" t="s">
        <v>1714</v>
      </c>
      <c r="AK833" s="750"/>
      <c r="AL833" s="750"/>
      <c r="AM833" s="750"/>
      <c r="AN833" s="750"/>
      <c r="AO833" s="750"/>
      <c r="AP833" s="750"/>
      <c r="AQ833" s="750"/>
      <c r="AR833" s="750"/>
      <c r="AS833" s="750"/>
      <c r="AT833" s="750"/>
      <c r="AU833" s="750"/>
      <c r="AV833" s="750"/>
      <c r="AW833" s="750"/>
      <c r="AX833" s="750"/>
      <c r="AY833" s="750"/>
      <c r="AZ833" s="750"/>
      <c r="BA833" s="750"/>
      <c r="BB833" s="750"/>
    </row>
    <row r="834" spans="1:54" ht="12.6" customHeight="1" x14ac:dyDescent="0.25">
      <c r="A834" s="281" t="s">
        <v>1715</v>
      </c>
      <c r="B834" s="208"/>
      <c r="C834" s="208"/>
      <c r="D834" s="208"/>
      <c r="E834" s="208"/>
      <c r="F834" s="208"/>
      <c r="G834" s="208"/>
      <c r="H834" s="208"/>
      <c r="I834" s="208"/>
      <c r="J834" s="208"/>
      <c r="K834" s="208"/>
      <c r="L834" s="208"/>
      <c r="M834" s="208"/>
      <c r="N834" s="208"/>
      <c r="O834" s="208"/>
      <c r="P834" s="208"/>
      <c r="Q834" s="208"/>
      <c r="R834" s="208"/>
      <c r="S834" s="208"/>
      <c r="T834" s="208"/>
      <c r="U834" s="208"/>
      <c r="V834" s="208"/>
      <c r="W834" s="709"/>
      <c r="X834" s="709"/>
      <c r="Y834" s="709"/>
      <c r="Z834" s="709"/>
      <c r="AA834" s="709"/>
      <c r="AB834" s="709"/>
      <c r="AC834" s="709"/>
      <c r="AD834" s="709"/>
      <c r="AE834" s="709"/>
      <c r="AF834" s="709"/>
      <c r="AG834" s="709"/>
      <c r="AH834" s="709"/>
      <c r="AI834" s="709"/>
      <c r="AJ834" s="709"/>
      <c r="AK834" s="709"/>
      <c r="AL834" s="709"/>
      <c r="AM834" s="709"/>
      <c r="AN834" s="709"/>
      <c r="AO834" s="709"/>
      <c r="AP834" s="709"/>
      <c r="AQ834" s="709"/>
      <c r="AR834" s="709"/>
      <c r="AS834" s="709"/>
      <c r="AT834" s="709"/>
      <c r="AU834" s="709"/>
      <c r="AV834" s="709"/>
      <c r="AW834" s="709"/>
      <c r="AX834" s="709"/>
      <c r="AY834" s="709"/>
      <c r="AZ834" s="709"/>
      <c r="BA834" s="709"/>
      <c r="BB834" s="709"/>
    </row>
    <row r="835" spans="1:54" ht="12.6" customHeight="1" x14ac:dyDescent="0.25">
      <c r="A835" s="258" t="s">
        <v>1716</v>
      </c>
      <c r="B835" s="247"/>
      <c r="C835" s="247"/>
      <c r="D835" s="247"/>
      <c r="E835" s="247"/>
      <c r="F835" s="247"/>
      <c r="G835" s="247"/>
      <c r="H835" s="247"/>
      <c r="I835" s="247"/>
      <c r="J835" s="247"/>
      <c r="K835" s="247"/>
      <c r="L835" s="247"/>
      <c r="M835" s="247"/>
      <c r="N835" s="247"/>
      <c r="O835" s="247"/>
      <c r="P835" s="247"/>
      <c r="Q835" s="247"/>
      <c r="R835" s="247"/>
      <c r="S835" s="247"/>
      <c r="T835" s="247"/>
      <c r="U835" s="247"/>
      <c r="V835" s="247"/>
      <c r="W835" s="709"/>
      <c r="X835" s="709"/>
      <c r="Y835" s="709"/>
      <c r="Z835" s="709"/>
      <c r="AA835" s="709"/>
      <c r="AB835" s="709"/>
      <c r="AC835" s="709"/>
      <c r="AD835" s="709"/>
      <c r="AE835" s="709"/>
      <c r="AF835" s="709"/>
      <c r="AG835" s="709"/>
      <c r="AH835" s="709"/>
      <c r="AI835" s="709"/>
      <c r="AJ835" s="709"/>
      <c r="AK835" s="709"/>
      <c r="AL835" s="709"/>
      <c r="AM835" s="709"/>
      <c r="AN835" s="709"/>
      <c r="AO835" s="709"/>
      <c r="AP835" s="709"/>
      <c r="AQ835" s="709"/>
      <c r="AR835" s="709"/>
      <c r="AS835" s="709"/>
      <c r="AT835" s="709"/>
      <c r="AU835" s="709"/>
      <c r="AV835" s="709"/>
      <c r="AW835" s="709"/>
      <c r="AX835" s="709"/>
      <c r="AY835" s="709"/>
      <c r="AZ835" s="709"/>
      <c r="BA835" s="709"/>
      <c r="BB835" s="709"/>
    </row>
    <row r="836" spans="1:54" ht="24.75" customHeight="1" x14ac:dyDescent="0.25">
      <c r="A836" s="803" t="s">
        <v>1717</v>
      </c>
      <c r="B836" s="803"/>
      <c r="C836" s="803"/>
      <c r="D836" s="803"/>
      <c r="E836" s="803"/>
      <c r="F836" s="803"/>
      <c r="G836" s="803"/>
      <c r="H836" s="803"/>
      <c r="I836" s="803"/>
      <c r="J836" s="803"/>
      <c r="K836" s="803"/>
      <c r="L836" s="803"/>
      <c r="M836" s="803"/>
      <c r="N836" s="803"/>
      <c r="O836" s="803"/>
      <c r="P836" s="803"/>
      <c r="Q836" s="803"/>
      <c r="R836" s="803"/>
      <c r="S836" s="803"/>
      <c r="T836" s="803"/>
      <c r="U836" s="803"/>
      <c r="V836" s="803"/>
      <c r="W836" s="707" t="s">
        <v>30</v>
      </c>
      <c r="X836" s="707"/>
      <c r="Y836" s="707"/>
      <c r="Z836" s="707"/>
      <c r="AA836" s="707"/>
      <c r="AB836" s="707"/>
      <c r="AC836" s="707"/>
      <c r="AD836" s="707"/>
      <c r="AE836" s="707"/>
      <c r="AF836" s="707"/>
      <c r="AG836" s="707"/>
      <c r="AH836" s="707"/>
      <c r="AI836" s="707"/>
      <c r="AJ836" s="709"/>
      <c r="AK836" s="709"/>
      <c r="AL836" s="709"/>
      <c r="AM836" s="709"/>
      <c r="AN836" s="709"/>
      <c r="AO836" s="709"/>
      <c r="AP836" s="709"/>
      <c r="AQ836" s="709"/>
      <c r="AR836" s="709"/>
      <c r="AS836" s="709"/>
      <c r="AT836" s="709"/>
      <c r="AU836" s="709"/>
      <c r="AV836" s="709"/>
      <c r="AW836" s="709"/>
      <c r="AX836" s="709"/>
      <c r="AY836" s="709"/>
      <c r="AZ836" s="709"/>
      <c r="BA836" s="709"/>
      <c r="BB836" s="709"/>
    </row>
    <row r="837" spans="1:54" ht="24.75" customHeight="1" x14ac:dyDescent="0.25">
      <c r="A837" s="803" t="s">
        <v>1718</v>
      </c>
      <c r="B837" s="803"/>
      <c r="C837" s="803"/>
      <c r="D837" s="803"/>
      <c r="E837" s="803"/>
      <c r="F837" s="803"/>
      <c r="G837" s="803"/>
      <c r="H837" s="803"/>
      <c r="I837" s="803"/>
      <c r="J837" s="803"/>
      <c r="K837" s="803"/>
      <c r="L837" s="803"/>
      <c r="M837" s="803"/>
      <c r="N837" s="803"/>
      <c r="O837" s="803"/>
      <c r="P837" s="803"/>
      <c r="Q837" s="803"/>
      <c r="R837" s="803"/>
      <c r="S837" s="803"/>
      <c r="T837" s="803"/>
      <c r="U837" s="803"/>
      <c r="V837" s="803"/>
      <c r="W837" s="707" t="s">
        <v>30</v>
      </c>
      <c r="X837" s="707"/>
      <c r="Y837" s="707"/>
      <c r="Z837" s="707"/>
      <c r="AA837" s="707"/>
      <c r="AB837" s="707"/>
      <c r="AC837" s="707"/>
      <c r="AD837" s="707"/>
      <c r="AE837" s="707"/>
      <c r="AF837" s="707"/>
      <c r="AG837" s="707"/>
      <c r="AH837" s="707"/>
      <c r="AI837" s="707"/>
      <c r="AJ837" s="709"/>
      <c r="AK837" s="709"/>
      <c r="AL837" s="709"/>
      <c r="AM837" s="709"/>
      <c r="AN837" s="709"/>
      <c r="AO837" s="709"/>
      <c r="AP837" s="709"/>
      <c r="AQ837" s="709"/>
      <c r="AR837" s="709"/>
      <c r="AS837" s="709"/>
      <c r="AT837" s="709"/>
      <c r="AU837" s="709"/>
      <c r="AV837" s="709"/>
      <c r="AW837" s="709"/>
      <c r="AX837" s="709"/>
      <c r="AY837" s="709"/>
      <c r="AZ837" s="709"/>
      <c r="BA837" s="709"/>
      <c r="BB837" s="709"/>
    </row>
    <row r="838" spans="1:54" ht="12.6" customHeight="1" x14ac:dyDescent="0.25">
      <c r="A838" s="227" t="s">
        <v>1482</v>
      </c>
    </row>
    <row r="839" spans="1:54" ht="15" customHeight="1" x14ac:dyDescent="0.25">
      <c r="A839" s="763"/>
      <c r="B839" s="763"/>
      <c r="C839" s="763"/>
      <c r="D839" s="763"/>
      <c r="E839" s="763"/>
      <c r="F839" s="763"/>
      <c r="G839" s="763"/>
      <c r="H839" s="763"/>
      <c r="I839" s="763"/>
      <c r="J839" s="763"/>
      <c r="K839" s="763"/>
      <c r="L839" s="763"/>
      <c r="M839" s="763"/>
      <c r="N839" s="763"/>
      <c r="O839" s="763"/>
      <c r="P839" s="763"/>
      <c r="Q839" s="763"/>
      <c r="R839" s="763"/>
      <c r="S839" s="763"/>
      <c r="T839" s="763"/>
      <c r="U839" s="763"/>
      <c r="V839" s="763"/>
      <c r="W839" s="763"/>
      <c r="X839" s="763"/>
      <c r="Y839" s="763"/>
      <c r="Z839" s="763"/>
      <c r="AA839" s="763"/>
      <c r="AB839" s="763"/>
      <c r="AC839" s="763"/>
      <c r="AD839" s="763"/>
      <c r="AE839" s="763"/>
      <c r="AF839" s="763"/>
      <c r="AG839" s="763"/>
      <c r="AH839" s="763"/>
      <c r="AI839" s="763"/>
      <c r="AJ839" s="763"/>
      <c r="AK839" s="763"/>
      <c r="AL839" s="763"/>
      <c r="AM839" s="763"/>
      <c r="AN839" s="763"/>
      <c r="AO839" s="763"/>
      <c r="AP839" s="763"/>
      <c r="AQ839" s="763"/>
      <c r="AR839" s="763"/>
      <c r="AS839" s="763"/>
      <c r="AT839" s="763"/>
      <c r="AU839" s="763"/>
      <c r="AV839" s="763"/>
      <c r="AW839" s="763"/>
      <c r="AX839" s="763"/>
      <c r="AY839" s="265"/>
      <c r="AZ839" s="265"/>
      <c r="BA839" s="265"/>
      <c r="BB839" s="265"/>
    </row>
    <row r="840" spans="1:54" ht="15" customHeight="1" x14ac:dyDescent="0.25">
      <c r="A840" s="763"/>
      <c r="B840" s="763"/>
      <c r="C840" s="763"/>
      <c r="D840" s="763"/>
      <c r="E840" s="763"/>
      <c r="F840" s="763"/>
      <c r="G840" s="763"/>
      <c r="H840" s="763"/>
      <c r="I840" s="763"/>
      <c r="J840" s="763"/>
      <c r="K840" s="763"/>
      <c r="L840" s="763"/>
      <c r="M840" s="763"/>
      <c r="N840" s="763"/>
      <c r="O840" s="763"/>
      <c r="P840" s="763"/>
      <c r="Q840" s="763"/>
      <c r="R840" s="763"/>
      <c r="S840" s="763"/>
      <c r="T840" s="763"/>
      <c r="U840" s="763"/>
      <c r="V840" s="763"/>
      <c r="W840" s="763"/>
      <c r="X840" s="763"/>
      <c r="Y840" s="763"/>
      <c r="Z840" s="763"/>
      <c r="AA840" s="763"/>
      <c r="AB840" s="763"/>
      <c r="AC840" s="763"/>
      <c r="AD840" s="763"/>
      <c r="AE840" s="763"/>
      <c r="AF840" s="763"/>
      <c r="AG840" s="763"/>
      <c r="AH840" s="763"/>
      <c r="AI840" s="763"/>
      <c r="AJ840" s="763"/>
      <c r="AK840" s="763"/>
      <c r="AL840" s="763"/>
      <c r="AM840" s="763"/>
      <c r="AN840" s="763"/>
      <c r="AO840" s="763"/>
      <c r="AP840" s="763"/>
      <c r="AQ840" s="763"/>
      <c r="AR840" s="763"/>
      <c r="AS840" s="763"/>
      <c r="AT840" s="763"/>
      <c r="AU840" s="763"/>
      <c r="AV840" s="763"/>
      <c r="AW840" s="763"/>
      <c r="AX840" s="763"/>
      <c r="AY840" s="265"/>
      <c r="AZ840" s="265"/>
      <c r="BA840" s="265"/>
      <c r="BB840" s="265"/>
    </row>
    <row r="841" spans="1:54" ht="12.6" customHeight="1" x14ac:dyDescent="0.25">
      <c r="A841" s="227" t="s">
        <v>1719</v>
      </c>
      <c r="B841" s="227"/>
      <c r="C841" s="227"/>
      <c r="D841" s="227"/>
      <c r="E841" s="227"/>
      <c r="F841" s="227"/>
      <c r="G841" s="227"/>
      <c r="H841" s="227"/>
      <c r="I841" s="227"/>
      <c r="J841" s="227"/>
      <c r="K841" s="227"/>
      <c r="L841" s="227"/>
      <c r="M841" s="227"/>
      <c r="N841" s="227"/>
      <c r="O841" s="227"/>
      <c r="P841" s="227"/>
      <c r="Q841" s="227"/>
      <c r="R841" s="227"/>
      <c r="S841" s="227"/>
      <c r="T841" s="227"/>
      <c r="U841" s="227"/>
      <c r="V841" s="227"/>
      <c r="W841" s="227"/>
      <c r="X841" s="227"/>
      <c r="Y841" s="227"/>
      <c r="Z841" s="227"/>
      <c r="AA841" s="227"/>
      <c r="AB841" s="227"/>
      <c r="AC841" s="227"/>
      <c r="AD841" s="227"/>
      <c r="AE841" s="227"/>
      <c r="AF841" s="227"/>
      <c r="AG841" s="227"/>
      <c r="AH841" s="227"/>
      <c r="AI841" s="227"/>
      <c r="AJ841" s="227"/>
      <c r="AK841" s="227"/>
      <c r="AL841" s="227"/>
      <c r="AM841" s="227"/>
      <c r="AN841" s="227"/>
      <c r="AO841" s="227"/>
      <c r="AP841" s="227"/>
      <c r="AQ841" s="227"/>
      <c r="AR841" s="227"/>
      <c r="AS841" s="227"/>
      <c r="AT841" s="227"/>
      <c r="AU841" s="227"/>
      <c r="AV841" s="227"/>
      <c r="AW841" s="227"/>
      <c r="AX841" s="227"/>
      <c r="AY841" s="227"/>
      <c r="AZ841" s="227"/>
      <c r="BA841" s="227"/>
      <c r="BB841" s="227"/>
    </row>
    <row r="842" spans="1:54" ht="12.6" customHeight="1" x14ac:dyDescent="0.25">
      <c r="A842" s="29" t="s">
        <v>1316</v>
      </c>
      <c r="C842" s="227"/>
      <c r="D842" s="227"/>
      <c r="E842" s="227"/>
      <c r="F842" s="227"/>
      <c r="G842" s="227"/>
      <c r="H842" s="227"/>
      <c r="I842" s="227"/>
      <c r="J842" s="227"/>
      <c r="K842" s="227"/>
      <c r="L842" s="227"/>
      <c r="M842" s="227"/>
      <c r="N842" s="227"/>
      <c r="O842" s="227"/>
      <c r="P842" s="227"/>
      <c r="Q842" s="227"/>
      <c r="R842" s="227"/>
      <c r="S842" s="227"/>
      <c r="T842" s="227"/>
      <c r="U842" s="227"/>
      <c r="V842" s="227"/>
      <c r="W842" s="227"/>
      <c r="X842" s="227"/>
      <c r="Y842" s="227"/>
      <c r="Z842" s="227"/>
      <c r="AA842" s="227"/>
      <c r="AB842" s="227"/>
      <c r="AC842" s="227"/>
      <c r="AD842" s="227"/>
      <c r="AE842" s="227"/>
      <c r="AF842" s="227"/>
      <c r="AG842" s="227"/>
      <c r="AH842" s="227"/>
      <c r="AI842" s="227"/>
      <c r="AJ842" s="227"/>
      <c r="AK842" s="227"/>
      <c r="AL842" s="227"/>
      <c r="AM842" s="227"/>
      <c r="AN842" s="227"/>
      <c r="AO842" s="227"/>
      <c r="AP842" s="227"/>
      <c r="AQ842" s="227"/>
      <c r="AR842" s="227"/>
      <c r="AS842" s="227"/>
      <c r="AT842" s="227"/>
      <c r="AU842" s="227"/>
      <c r="AV842" s="227"/>
      <c r="AW842" s="227"/>
      <c r="AX842" s="227"/>
      <c r="AY842" s="227"/>
      <c r="AZ842" s="227"/>
      <c r="BA842" s="227"/>
      <c r="BB842" s="227"/>
    </row>
    <row r="843" spans="1:54" ht="11.45" customHeight="1" x14ac:dyDescent="0.25">
      <c r="A843" s="298"/>
      <c r="B843" s="299"/>
      <c r="C843" s="299"/>
      <c r="D843" s="299"/>
      <c r="E843" s="299"/>
      <c r="F843" s="299"/>
      <c r="G843" s="299"/>
      <c r="H843" s="299"/>
      <c r="I843" s="299"/>
      <c r="J843" s="299"/>
      <c r="K843" s="299"/>
      <c r="L843" s="299"/>
      <c r="M843" s="299"/>
      <c r="N843" s="299"/>
      <c r="O843" s="299"/>
      <c r="P843" s="299"/>
      <c r="Q843" s="299"/>
      <c r="R843" s="299"/>
      <c r="S843" s="300"/>
      <c r="T843" s="298"/>
      <c r="U843" s="299"/>
      <c r="V843" s="299"/>
      <c r="W843" s="299"/>
      <c r="X843" s="299"/>
      <c r="Y843" s="299"/>
      <c r="Z843" s="299"/>
      <c r="AA843" s="299"/>
      <c r="AB843" s="299"/>
      <c r="AC843" s="299"/>
      <c r="AD843" s="299"/>
      <c r="AE843" s="299"/>
      <c r="AF843" s="300"/>
      <c r="AG843" s="807" t="s">
        <v>1720</v>
      </c>
      <c r="AH843" s="807"/>
      <c r="AI843" s="807"/>
      <c r="AJ843" s="807"/>
      <c r="AK843" s="807"/>
      <c r="AL843" s="807"/>
      <c r="AM843" s="807"/>
      <c r="AN843" s="807"/>
      <c r="AO843" s="807"/>
      <c r="AP843" s="807"/>
      <c r="AQ843" s="807"/>
      <c r="AR843" s="807"/>
      <c r="AS843" s="807"/>
      <c r="AT843" s="807"/>
      <c r="AU843" s="807"/>
      <c r="AV843" s="807"/>
      <c r="AW843" s="807"/>
      <c r="AX843" s="807"/>
      <c r="AY843" s="807"/>
      <c r="AZ843" s="807"/>
      <c r="BA843" s="807"/>
      <c r="BB843" s="807"/>
    </row>
    <row r="844" spans="1:54" ht="11.45" customHeight="1" x14ac:dyDescent="0.25">
      <c r="A844" s="745" t="s">
        <v>1287</v>
      </c>
      <c r="B844" s="745"/>
      <c r="C844" s="745"/>
      <c r="D844" s="745"/>
      <c r="E844" s="745"/>
      <c r="F844" s="745"/>
      <c r="G844" s="745"/>
      <c r="H844" s="745"/>
      <c r="I844" s="745"/>
      <c r="J844" s="745"/>
      <c r="K844" s="745"/>
      <c r="L844" s="745"/>
      <c r="M844" s="745"/>
      <c r="N844" s="745"/>
      <c r="O844" s="745"/>
      <c r="P844" s="745"/>
      <c r="Q844" s="745"/>
      <c r="R844" s="745"/>
      <c r="S844" s="745"/>
      <c r="T844" s="745" t="s">
        <v>1288</v>
      </c>
      <c r="U844" s="745"/>
      <c r="V844" s="745"/>
      <c r="W844" s="745"/>
      <c r="X844" s="745"/>
      <c r="Y844" s="745"/>
      <c r="Z844" s="745"/>
      <c r="AA844" s="745"/>
      <c r="AB844" s="745"/>
      <c r="AC844" s="745"/>
      <c r="AD844" s="745"/>
      <c r="AE844" s="745"/>
      <c r="AF844" s="745"/>
      <c r="AG844" s="828" t="s">
        <v>1721</v>
      </c>
      <c r="AH844" s="828"/>
      <c r="AI844" s="828"/>
      <c r="AJ844" s="828"/>
      <c r="AK844" s="828"/>
      <c r="AL844" s="828"/>
      <c r="AM844" s="828"/>
      <c r="AN844" s="828"/>
      <c r="AO844" s="828"/>
      <c r="AP844" s="828"/>
      <c r="AQ844" s="828"/>
      <c r="AR844" s="828"/>
      <c r="AS844" s="828"/>
      <c r="AT844" s="828"/>
      <c r="AU844" s="828"/>
      <c r="AV844" s="828"/>
      <c r="AW844" s="828"/>
      <c r="AX844" s="828"/>
      <c r="AY844" s="828"/>
      <c r="AZ844" s="828"/>
      <c r="BA844" s="828"/>
      <c r="BB844" s="828"/>
    </row>
    <row r="845" spans="1:54" ht="11.45" customHeight="1" x14ac:dyDescent="0.25">
      <c r="A845" s="313"/>
      <c r="B845" s="314"/>
      <c r="C845" s="314"/>
      <c r="D845" s="314"/>
      <c r="E845" s="314"/>
      <c r="F845" s="314"/>
      <c r="G845" s="314"/>
      <c r="H845" s="314"/>
      <c r="I845" s="314"/>
      <c r="J845" s="314"/>
      <c r="K845" s="314"/>
      <c r="L845" s="314"/>
      <c r="M845" s="314"/>
      <c r="N845" s="314"/>
      <c r="O845" s="314"/>
      <c r="P845" s="314"/>
      <c r="Q845" s="314"/>
      <c r="R845" s="314"/>
      <c r="S845" s="315"/>
      <c r="T845" s="313"/>
      <c r="U845" s="314"/>
      <c r="V845" s="314"/>
      <c r="W845" s="314"/>
      <c r="X845" s="314"/>
      <c r="Y845" s="314"/>
      <c r="Z845" s="314"/>
      <c r="AA845" s="314"/>
      <c r="AB845" s="314"/>
      <c r="AC845" s="314"/>
      <c r="AD845" s="314"/>
      <c r="AE845" s="314"/>
      <c r="AF845" s="315"/>
      <c r="AG845" s="829" t="s">
        <v>1486</v>
      </c>
      <c r="AH845" s="829"/>
      <c r="AI845" s="829"/>
      <c r="AJ845" s="829"/>
      <c r="AK845" s="829"/>
      <c r="AL845" s="829"/>
      <c r="AM845" s="829"/>
      <c r="AN845" s="829"/>
      <c r="AO845" s="829"/>
      <c r="AP845" s="829"/>
      <c r="AQ845" s="829"/>
      <c r="AR845" s="829"/>
      <c r="AS845" s="829"/>
      <c r="AT845" s="829"/>
      <c r="AU845" s="829"/>
      <c r="AV845" s="829"/>
      <c r="AW845" s="829"/>
      <c r="AX845" s="829"/>
      <c r="AY845" s="829"/>
      <c r="AZ845" s="829"/>
      <c r="BA845" s="829"/>
      <c r="BB845" s="829"/>
    </row>
    <row r="846" spans="1:54" ht="12.6" customHeight="1" x14ac:dyDescent="0.25">
      <c r="A846" s="823" t="s">
        <v>1722</v>
      </c>
      <c r="B846" s="823"/>
      <c r="C846" s="823"/>
      <c r="D846" s="823"/>
      <c r="E846" s="823"/>
      <c r="F846" s="823"/>
      <c r="G846" s="823"/>
      <c r="H846" s="823"/>
      <c r="I846" s="823"/>
      <c r="J846" s="823"/>
      <c r="K846" s="823"/>
      <c r="L846" s="823"/>
      <c r="M846" s="823"/>
      <c r="N846" s="823"/>
      <c r="O846" s="823"/>
      <c r="P846" s="823"/>
      <c r="Q846" s="823"/>
      <c r="R846" s="823"/>
      <c r="S846" s="823"/>
      <c r="T846" s="823"/>
      <c r="U846" s="823"/>
      <c r="V846" s="823"/>
      <c r="W846" s="823"/>
      <c r="X846" s="823"/>
      <c r="Y846" s="823"/>
      <c r="Z846" s="823"/>
      <c r="AA846" s="823"/>
      <c r="AB846" s="823"/>
      <c r="AC846" s="823"/>
      <c r="AD846" s="823"/>
      <c r="AE846" s="823"/>
      <c r="AF846" s="823"/>
      <c r="AG846" s="823"/>
      <c r="AH846" s="823"/>
      <c r="AI846" s="823"/>
      <c r="AJ846" s="823"/>
      <c r="AK846" s="823"/>
      <c r="AL846" s="823"/>
      <c r="AM846" s="823"/>
      <c r="AN846" s="823"/>
      <c r="AO846" s="823"/>
      <c r="AP846" s="823"/>
      <c r="AQ846" s="823"/>
      <c r="AR846" s="823"/>
      <c r="AS846" s="823"/>
      <c r="AT846" s="823"/>
      <c r="AU846" s="823"/>
      <c r="AV846" s="823"/>
      <c r="AW846" s="823"/>
      <c r="AX846" s="823"/>
      <c r="AY846" s="823"/>
      <c r="AZ846" s="823"/>
      <c r="BA846" s="823"/>
      <c r="BB846" s="823"/>
    </row>
    <row r="847" spans="1:54" ht="12.6" customHeight="1" x14ac:dyDescent="0.25">
      <c r="A847" s="708" t="s">
        <v>1723</v>
      </c>
      <c r="B847" s="708"/>
      <c r="C847" s="708"/>
      <c r="D847" s="708"/>
      <c r="E847" s="708"/>
      <c r="F847" s="708"/>
      <c r="G847" s="708"/>
      <c r="H847" s="708"/>
      <c r="I847" s="708"/>
      <c r="J847" s="708"/>
      <c r="K847" s="708"/>
      <c r="L847" s="708"/>
      <c r="M847" s="708"/>
      <c r="N847" s="708"/>
      <c r="O847" s="708"/>
      <c r="P847" s="708"/>
      <c r="Q847" s="708"/>
      <c r="R847" s="708"/>
      <c r="S847" s="708"/>
      <c r="T847" s="820">
        <f>SUVAHAVUJ!$N$74</f>
        <v>17088</v>
      </c>
      <c r="U847" s="820"/>
      <c r="V847" s="820"/>
      <c r="W847" s="820"/>
      <c r="X847" s="820"/>
      <c r="Y847" s="820"/>
      <c r="Z847" s="820"/>
      <c r="AA847" s="820"/>
      <c r="AB847" s="820"/>
      <c r="AC847" s="820"/>
      <c r="AD847" s="820"/>
      <c r="AE847" s="820"/>
      <c r="AF847" s="820"/>
      <c r="AG847" s="820">
        <f>SUVAHAVUJ!$X$74</f>
        <v>20278</v>
      </c>
      <c r="AH847" s="820"/>
      <c r="AI847" s="820"/>
      <c r="AJ847" s="820"/>
      <c r="AK847" s="820"/>
      <c r="AL847" s="820"/>
      <c r="AM847" s="820"/>
      <c r="AN847" s="820"/>
      <c r="AO847" s="820"/>
      <c r="AP847" s="820"/>
      <c r="AQ847" s="820"/>
      <c r="AR847" s="820"/>
      <c r="AS847" s="820"/>
      <c r="AT847" s="820"/>
      <c r="AU847" s="820"/>
      <c r="AV847" s="820"/>
      <c r="AW847" s="820"/>
      <c r="AX847" s="820"/>
      <c r="AY847" s="820"/>
      <c r="AZ847" s="820"/>
      <c r="BA847" s="820"/>
      <c r="BB847" s="820"/>
    </row>
    <row r="848" spans="1:54" ht="12.75" customHeight="1" x14ac:dyDescent="0.25">
      <c r="A848" s="816" t="s">
        <v>1724</v>
      </c>
      <c r="B848" s="816"/>
      <c r="C848" s="816"/>
      <c r="D848" s="816"/>
      <c r="E848" s="816"/>
      <c r="F848" s="816"/>
      <c r="G848" s="816"/>
      <c r="H848" s="816"/>
      <c r="I848" s="816"/>
      <c r="J848" s="816"/>
      <c r="K848" s="816"/>
      <c r="L848" s="816"/>
      <c r="M848" s="816"/>
      <c r="N848" s="816"/>
      <c r="O848" s="816"/>
      <c r="P848" s="816"/>
      <c r="Q848" s="816"/>
      <c r="R848" s="816"/>
      <c r="S848" s="816"/>
      <c r="T848" s="820">
        <f>SUVAHAVUJ!$N$75-T850</f>
        <v>0</v>
      </c>
      <c r="U848" s="820"/>
      <c r="V848" s="820"/>
      <c r="W848" s="820"/>
      <c r="X848" s="820"/>
      <c r="Y848" s="820"/>
      <c r="Z848" s="820"/>
      <c r="AA848" s="820"/>
      <c r="AB848" s="820"/>
      <c r="AC848" s="820"/>
      <c r="AD848" s="820"/>
      <c r="AE848" s="820"/>
      <c r="AF848" s="820"/>
      <c r="AG848" s="820">
        <f>SUVAHAVUJ!$X$75-AG850</f>
        <v>0</v>
      </c>
      <c r="AH848" s="820"/>
      <c r="AI848" s="820"/>
      <c r="AJ848" s="820"/>
      <c r="AK848" s="820"/>
      <c r="AL848" s="820"/>
      <c r="AM848" s="820"/>
      <c r="AN848" s="820"/>
      <c r="AO848" s="820"/>
      <c r="AP848" s="820"/>
      <c r="AQ848" s="820"/>
      <c r="AR848" s="820"/>
      <c r="AS848" s="820"/>
      <c r="AT848" s="820"/>
      <c r="AU848" s="820"/>
      <c r="AV848" s="820"/>
      <c r="AW848" s="820"/>
      <c r="AX848" s="820"/>
      <c r="AY848" s="820"/>
      <c r="AZ848" s="820"/>
      <c r="BA848" s="820"/>
      <c r="BB848" s="820"/>
    </row>
    <row r="849" spans="1:54" ht="12.75" customHeight="1" x14ac:dyDescent="0.25">
      <c r="A849" s="816" t="s">
        <v>1725</v>
      </c>
      <c r="B849" s="816"/>
      <c r="C849" s="816"/>
      <c r="D849" s="816"/>
      <c r="E849" s="816"/>
      <c r="F849" s="816"/>
      <c r="G849" s="816"/>
      <c r="H849" s="816"/>
      <c r="I849" s="816"/>
      <c r="J849" s="816"/>
      <c r="K849" s="816"/>
      <c r="L849" s="816"/>
      <c r="M849" s="816"/>
      <c r="N849" s="816"/>
      <c r="O849" s="816"/>
      <c r="P849" s="816"/>
      <c r="Q849" s="816"/>
      <c r="R849" s="816"/>
      <c r="S849" s="816"/>
      <c r="T849" s="820"/>
      <c r="U849" s="820"/>
      <c r="V849" s="820"/>
      <c r="W849" s="820"/>
      <c r="X849" s="820"/>
      <c r="Y849" s="820"/>
      <c r="Z849" s="820"/>
      <c r="AA849" s="820"/>
      <c r="AB849" s="820"/>
      <c r="AC849" s="820"/>
      <c r="AD849" s="820"/>
      <c r="AE849" s="820"/>
      <c r="AF849" s="820"/>
      <c r="AG849" s="820"/>
      <c r="AH849" s="820"/>
      <c r="AI849" s="820"/>
      <c r="AJ849" s="820"/>
      <c r="AK849" s="820"/>
      <c r="AL849" s="820"/>
      <c r="AM849" s="820"/>
      <c r="AN849" s="820"/>
      <c r="AO849" s="820"/>
      <c r="AP849" s="820"/>
      <c r="AQ849" s="820"/>
      <c r="AR849" s="820"/>
      <c r="AS849" s="820"/>
      <c r="AT849" s="820"/>
      <c r="AU849" s="820"/>
      <c r="AV849" s="820"/>
      <c r="AW849" s="820"/>
      <c r="AX849" s="820"/>
      <c r="AY849" s="820"/>
      <c r="AZ849" s="820"/>
      <c r="BA849" s="820"/>
      <c r="BB849" s="820"/>
    </row>
    <row r="850" spans="1:54" ht="12.75" customHeight="1" x14ac:dyDescent="0.25">
      <c r="A850" s="816" t="s">
        <v>1726</v>
      </c>
      <c r="B850" s="816"/>
      <c r="C850" s="816"/>
      <c r="D850" s="816"/>
      <c r="E850" s="816"/>
      <c r="F850" s="816"/>
      <c r="G850" s="816"/>
      <c r="H850" s="816"/>
      <c r="I850" s="816"/>
      <c r="J850" s="816"/>
      <c r="K850" s="816"/>
      <c r="L850" s="816"/>
      <c r="M850" s="816"/>
      <c r="N850" s="816"/>
      <c r="O850" s="816"/>
      <c r="P850" s="816"/>
      <c r="Q850" s="816"/>
      <c r="R850" s="816"/>
      <c r="S850" s="816"/>
      <c r="T850" s="820">
        <f>'HL KNIHA VYPOC'!$G$134</f>
        <v>0</v>
      </c>
      <c r="U850" s="820"/>
      <c r="V850" s="820"/>
      <c r="W850" s="820"/>
      <c r="X850" s="820"/>
      <c r="Y850" s="820"/>
      <c r="Z850" s="820"/>
      <c r="AA850" s="820"/>
      <c r="AB850" s="820"/>
      <c r="AC850" s="820"/>
      <c r="AD850" s="820"/>
      <c r="AE850" s="820"/>
      <c r="AF850" s="820"/>
      <c r="AG850" s="820">
        <f>'HL KNIHA VYPOC'!$K$134</f>
        <v>0</v>
      </c>
      <c r="AH850" s="820"/>
      <c r="AI850" s="820"/>
      <c r="AJ850" s="820"/>
      <c r="AK850" s="820"/>
      <c r="AL850" s="820"/>
      <c r="AM850" s="820"/>
      <c r="AN850" s="820"/>
      <c r="AO850" s="820"/>
      <c r="AP850" s="820"/>
      <c r="AQ850" s="820"/>
      <c r="AR850" s="820"/>
      <c r="AS850" s="820"/>
      <c r="AT850" s="820"/>
      <c r="AU850" s="820"/>
      <c r="AV850" s="820"/>
      <c r="AW850" s="820"/>
      <c r="AX850" s="820"/>
      <c r="AY850" s="820"/>
      <c r="AZ850" s="820"/>
      <c r="BA850" s="820"/>
      <c r="BB850" s="820"/>
    </row>
    <row r="851" spans="1:54" ht="12.6" customHeight="1" x14ac:dyDescent="0.25">
      <c r="A851" s="29" t="s">
        <v>1329</v>
      </c>
    </row>
    <row r="852" spans="1:54" ht="11.45" customHeight="1" x14ac:dyDescent="0.25">
      <c r="A852" s="241"/>
      <c r="B852" s="242"/>
      <c r="C852" s="242"/>
      <c r="D852" s="242"/>
      <c r="E852" s="242"/>
      <c r="F852" s="242"/>
      <c r="G852" s="242"/>
      <c r="H852" s="242"/>
      <c r="I852" s="242"/>
      <c r="J852" s="242"/>
      <c r="K852" s="242"/>
      <c r="L852" s="242"/>
      <c r="M852" s="268"/>
      <c r="N852" s="707" t="s">
        <v>1288</v>
      </c>
      <c r="O852" s="707"/>
      <c r="P852" s="707"/>
      <c r="Q852" s="707"/>
      <c r="R852" s="707"/>
      <c r="S852" s="707"/>
      <c r="T852" s="707"/>
      <c r="U852" s="707"/>
      <c r="V852" s="707"/>
      <c r="W852" s="707"/>
      <c r="X852" s="707"/>
      <c r="Y852" s="707"/>
      <c r="Z852" s="707"/>
      <c r="AA852" s="707"/>
      <c r="AB852" s="707"/>
      <c r="AC852" s="707"/>
      <c r="AD852" s="707"/>
      <c r="AE852" s="707"/>
      <c r="AF852" s="707"/>
      <c r="AG852" s="707"/>
      <c r="AH852" s="707"/>
      <c r="AI852" s="707"/>
      <c r="AJ852" s="707"/>
      <c r="AK852" s="707"/>
      <c r="AL852" s="707"/>
      <c r="AM852" s="707"/>
      <c r="AN852" s="707"/>
      <c r="AO852" s="707"/>
      <c r="AP852" s="707"/>
      <c r="AQ852" s="707"/>
      <c r="AR852" s="707"/>
      <c r="AS852" s="707"/>
      <c r="AT852" s="707"/>
      <c r="AU852" s="707"/>
      <c r="AV852" s="707"/>
      <c r="AW852" s="707"/>
      <c r="AX852" s="707"/>
      <c r="AY852" s="707"/>
      <c r="AZ852" s="707"/>
      <c r="BA852" s="707"/>
      <c r="BB852" s="707"/>
    </row>
    <row r="853" spans="1:54" ht="11.1" customHeight="1" x14ac:dyDescent="0.25">
      <c r="A853" s="243"/>
      <c r="B853" s="244"/>
      <c r="C853" s="244"/>
      <c r="D853" s="244"/>
      <c r="E853" s="244"/>
      <c r="F853" s="244"/>
      <c r="G853" s="244"/>
      <c r="H853" s="244"/>
      <c r="I853" s="244"/>
      <c r="J853" s="244"/>
      <c r="K853" s="244"/>
      <c r="L853" s="244"/>
      <c r="M853" s="269"/>
      <c r="N853" s="768" t="s">
        <v>1727</v>
      </c>
      <c r="O853" s="768"/>
      <c r="P853" s="768"/>
      <c r="Q853" s="768"/>
      <c r="R853" s="768"/>
      <c r="S853" s="768"/>
      <c r="T853" s="241"/>
      <c r="U853" s="242"/>
      <c r="V853" s="242"/>
      <c r="W853" s="242"/>
      <c r="X853" s="242"/>
      <c r="Y853" s="242"/>
      <c r="Z853" s="268"/>
      <c r="AA853" s="241"/>
      <c r="AB853" s="242"/>
      <c r="AC853" s="242"/>
      <c r="AD853" s="242"/>
      <c r="AE853" s="242"/>
      <c r="AF853" s="242"/>
      <c r="AG853" s="268"/>
      <c r="AH853" s="768"/>
      <c r="AI853" s="768"/>
      <c r="AJ853" s="768"/>
      <c r="AK853" s="768"/>
      <c r="AL853" s="768"/>
      <c r="AM853" s="768"/>
      <c r="AN853" s="768"/>
      <c r="AO853" s="768"/>
      <c r="AP853" s="768"/>
      <c r="AQ853" s="768" t="s">
        <v>1477</v>
      </c>
      <c r="AR853" s="768"/>
      <c r="AS853" s="768"/>
      <c r="AT853" s="768"/>
      <c r="AU853" s="768"/>
      <c r="AV853" s="768"/>
      <c r="AW853" s="768"/>
      <c r="AX853" s="768"/>
      <c r="AY853" s="768"/>
      <c r="AZ853" s="768"/>
      <c r="BA853" s="768"/>
      <c r="BB853" s="768"/>
    </row>
    <row r="854" spans="1:54" ht="11.1" customHeight="1" x14ac:dyDescent="0.25">
      <c r="A854" s="745" t="s">
        <v>1728</v>
      </c>
      <c r="B854" s="745"/>
      <c r="C854" s="745"/>
      <c r="D854" s="745"/>
      <c r="E854" s="745"/>
      <c r="F854" s="745"/>
      <c r="G854" s="745"/>
      <c r="H854" s="745"/>
      <c r="I854" s="745"/>
      <c r="J854" s="745"/>
      <c r="K854" s="745"/>
      <c r="L854" s="745"/>
      <c r="M854" s="745"/>
      <c r="N854" s="745" t="s">
        <v>1523</v>
      </c>
      <c r="O854" s="745"/>
      <c r="P854" s="745"/>
      <c r="Q854" s="745"/>
      <c r="R854" s="745"/>
      <c r="S854" s="745"/>
      <c r="T854" s="745" t="s">
        <v>1474</v>
      </c>
      <c r="U854" s="745"/>
      <c r="V854" s="745"/>
      <c r="W854" s="745"/>
      <c r="X854" s="745"/>
      <c r="Y854" s="745"/>
      <c r="Z854" s="745"/>
      <c r="AA854" s="745" t="s">
        <v>1475</v>
      </c>
      <c r="AB854" s="745"/>
      <c r="AC854" s="745"/>
      <c r="AD854" s="745"/>
      <c r="AE854" s="745"/>
      <c r="AF854" s="745"/>
      <c r="AG854" s="745"/>
      <c r="AH854" s="745" t="s">
        <v>1476</v>
      </c>
      <c r="AI854" s="745"/>
      <c r="AJ854" s="745"/>
      <c r="AK854" s="745"/>
      <c r="AL854" s="745"/>
      <c r="AM854" s="745"/>
      <c r="AN854" s="745"/>
      <c r="AO854" s="745"/>
      <c r="AP854" s="745"/>
      <c r="AQ854" s="745" t="s">
        <v>1524</v>
      </c>
      <c r="AR854" s="745"/>
      <c r="AS854" s="745"/>
      <c r="AT854" s="745"/>
      <c r="AU854" s="745"/>
      <c r="AV854" s="745"/>
      <c r="AW854" s="745"/>
      <c r="AX854" s="745"/>
      <c r="AY854" s="745"/>
      <c r="AZ854" s="745"/>
      <c r="BA854" s="745"/>
      <c r="BB854" s="745"/>
    </row>
    <row r="855" spans="1:54" ht="11.1" customHeight="1" x14ac:dyDescent="0.25">
      <c r="A855" s="243"/>
      <c r="B855" s="244"/>
      <c r="C855" s="244"/>
      <c r="D855" s="244"/>
      <c r="E855" s="244"/>
      <c r="F855" s="244"/>
      <c r="G855" s="244"/>
      <c r="H855" s="244"/>
      <c r="I855" s="244"/>
      <c r="J855" s="244"/>
      <c r="K855" s="244"/>
      <c r="L855" s="244"/>
      <c r="M855" s="269"/>
      <c r="N855" s="745" t="s">
        <v>1524</v>
      </c>
      <c r="O855" s="745"/>
      <c r="P855" s="745"/>
      <c r="Q855" s="745"/>
      <c r="R855" s="745"/>
      <c r="S855" s="745"/>
      <c r="T855" s="745"/>
      <c r="U855" s="745"/>
      <c r="V855" s="745"/>
      <c r="W855" s="745"/>
      <c r="X855" s="745"/>
      <c r="Y855" s="745"/>
      <c r="Z855" s="745"/>
      <c r="AA855" s="745"/>
      <c r="AB855" s="745"/>
      <c r="AC855" s="745"/>
      <c r="AD855" s="745"/>
      <c r="AE855" s="745"/>
      <c r="AF855" s="745"/>
      <c r="AG855" s="745"/>
      <c r="AH855" s="745"/>
      <c r="AI855" s="745"/>
      <c r="AJ855" s="745"/>
      <c r="AK855" s="745"/>
      <c r="AL855" s="745"/>
      <c r="AM855" s="745"/>
      <c r="AN855" s="745"/>
      <c r="AO855" s="745"/>
      <c r="AP855" s="745"/>
      <c r="AQ855" s="745" t="s">
        <v>1525</v>
      </c>
      <c r="AR855" s="745"/>
      <c r="AS855" s="745"/>
      <c r="AT855" s="745"/>
      <c r="AU855" s="745"/>
      <c r="AV855" s="745"/>
      <c r="AW855" s="745"/>
      <c r="AX855" s="745"/>
      <c r="AY855" s="745"/>
      <c r="AZ855" s="745"/>
      <c r="BA855" s="745"/>
      <c r="BB855" s="745"/>
    </row>
    <row r="856" spans="1:54" ht="11.1" customHeight="1" x14ac:dyDescent="0.25">
      <c r="A856" s="243"/>
      <c r="B856" s="244"/>
      <c r="C856" s="244"/>
      <c r="D856" s="244"/>
      <c r="E856" s="244"/>
      <c r="F856" s="244"/>
      <c r="G856" s="244"/>
      <c r="H856" s="244"/>
      <c r="I856" s="244"/>
      <c r="J856" s="244"/>
      <c r="K856" s="244"/>
      <c r="L856" s="244"/>
      <c r="M856" s="269"/>
      <c r="N856" s="745" t="s">
        <v>1525</v>
      </c>
      <c r="O856" s="745"/>
      <c r="P856" s="745"/>
      <c r="Q856" s="745"/>
      <c r="R856" s="745"/>
      <c r="S856" s="745"/>
      <c r="T856" s="243"/>
      <c r="U856" s="244"/>
      <c r="V856" s="244"/>
      <c r="W856" s="244"/>
      <c r="X856" s="244"/>
      <c r="Y856" s="244"/>
      <c r="Z856" s="269"/>
      <c r="AA856" s="243"/>
      <c r="AB856" s="244"/>
      <c r="AC856" s="244"/>
      <c r="AD856" s="244"/>
      <c r="AE856" s="244"/>
      <c r="AF856" s="244"/>
      <c r="AG856" s="269"/>
      <c r="AH856" s="745"/>
      <c r="AI856" s="745"/>
      <c r="AJ856" s="745"/>
      <c r="AK856" s="745"/>
      <c r="AL856" s="745"/>
      <c r="AM856" s="745"/>
      <c r="AN856" s="745"/>
      <c r="AO856" s="745"/>
      <c r="AP856" s="745"/>
      <c r="AQ856" s="745"/>
      <c r="AR856" s="745"/>
      <c r="AS856" s="745"/>
      <c r="AT856" s="745"/>
      <c r="AU856" s="745"/>
      <c r="AV856" s="745"/>
      <c r="AW856" s="745"/>
      <c r="AX856" s="745"/>
      <c r="AY856" s="745"/>
      <c r="AZ856" s="745"/>
      <c r="BA856" s="745"/>
      <c r="BB856" s="745"/>
    </row>
    <row r="857" spans="1:54" ht="11.1" customHeight="1" x14ac:dyDescent="0.25">
      <c r="A857" s="750" t="s">
        <v>1323</v>
      </c>
      <c r="B857" s="750"/>
      <c r="C857" s="750"/>
      <c r="D857" s="750"/>
      <c r="E857" s="750"/>
      <c r="F857" s="750"/>
      <c r="G857" s="750"/>
      <c r="H857" s="750"/>
      <c r="I857" s="750"/>
      <c r="J857" s="750"/>
      <c r="K857" s="750"/>
      <c r="L857" s="750"/>
      <c r="M857" s="750"/>
      <c r="N857" s="750" t="s">
        <v>1324</v>
      </c>
      <c r="O857" s="750"/>
      <c r="P857" s="750"/>
      <c r="Q857" s="750"/>
      <c r="R857" s="750"/>
      <c r="S857" s="750"/>
      <c r="T857" s="750" t="s">
        <v>1325</v>
      </c>
      <c r="U857" s="750"/>
      <c r="V857" s="750"/>
      <c r="W857" s="750"/>
      <c r="X857" s="750"/>
      <c r="Y857" s="750"/>
      <c r="Z857" s="750"/>
      <c r="AA857" s="750" t="s">
        <v>1326</v>
      </c>
      <c r="AB857" s="750"/>
      <c r="AC857" s="750"/>
      <c r="AD857" s="750"/>
      <c r="AE857" s="750"/>
      <c r="AF857" s="750"/>
      <c r="AG857" s="750"/>
      <c r="AH857" s="750" t="s">
        <v>1327</v>
      </c>
      <c r="AI857" s="750"/>
      <c r="AJ857" s="750"/>
      <c r="AK857" s="750"/>
      <c r="AL857" s="750"/>
      <c r="AM857" s="750"/>
      <c r="AN857" s="750"/>
      <c r="AO857" s="750"/>
      <c r="AP857" s="750"/>
      <c r="AQ857" s="750" t="s">
        <v>1333</v>
      </c>
      <c r="AR857" s="750"/>
      <c r="AS857" s="750"/>
      <c r="AT857" s="750"/>
      <c r="AU857" s="750"/>
      <c r="AV857" s="750"/>
      <c r="AW857" s="750"/>
      <c r="AX857" s="750"/>
      <c r="AY857" s="750"/>
      <c r="AZ857" s="750"/>
      <c r="BA857" s="750"/>
      <c r="BB857" s="750"/>
    </row>
    <row r="858" spans="1:54" ht="12.6" customHeight="1" x14ac:dyDescent="0.25">
      <c r="A858" s="253" t="s">
        <v>1729</v>
      </c>
      <c r="B858" s="246"/>
      <c r="C858" s="246"/>
      <c r="D858" s="246"/>
      <c r="E858" s="246"/>
      <c r="F858" s="246"/>
      <c r="G858" s="246"/>
      <c r="H858" s="246"/>
      <c r="I858" s="246"/>
      <c r="J858" s="246"/>
      <c r="K858" s="246"/>
      <c r="L858" s="246"/>
      <c r="M858" s="248"/>
      <c r="N858" s="818"/>
      <c r="O858" s="818"/>
      <c r="P858" s="818"/>
      <c r="Q858" s="818"/>
      <c r="R858" s="818"/>
      <c r="S858" s="818"/>
      <c r="T858" s="820"/>
      <c r="U858" s="820"/>
      <c r="V858" s="820"/>
      <c r="W858" s="820"/>
      <c r="X858" s="820"/>
      <c r="Y858" s="820"/>
      <c r="Z858" s="820"/>
      <c r="AA858" s="820"/>
      <c r="AB858" s="820"/>
      <c r="AC858" s="820"/>
      <c r="AD858" s="820"/>
      <c r="AE858" s="820"/>
      <c r="AF858" s="820"/>
      <c r="AG858" s="820"/>
      <c r="AH858" s="820"/>
      <c r="AI858" s="820"/>
      <c r="AJ858" s="820"/>
      <c r="AK858" s="820"/>
      <c r="AL858" s="820"/>
      <c r="AM858" s="820"/>
      <c r="AN858" s="820"/>
      <c r="AO858" s="820"/>
      <c r="AP858" s="820"/>
      <c r="AQ858" s="820"/>
      <c r="AR858" s="820"/>
      <c r="AS858" s="820"/>
      <c r="AT858" s="820"/>
      <c r="AU858" s="820"/>
      <c r="AV858" s="820"/>
      <c r="AW858" s="820"/>
      <c r="AX858" s="820"/>
      <c r="AY858" s="820"/>
      <c r="AZ858" s="820"/>
      <c r="BA858" s="820"/>
      <c r="BB858" s="820"/>
    </row>
    <row r="859" spans="1:54" s="227" customFormat="1" ht="12.6" customHeight="1" x14ac:dyDescent="0.25">
      <c r="A859" s="767" t="s">
        <v>1730</v>
      </c>
      <c r="B859" s="767"/>
      <c r="C859" s="767"/>
      <c r="D859" s="767"/>
      <c r="E859" s="767"/>
      <c r="F859" s="767"/>
      <c r="G859" s="767"/>
      <c r="H859" s="767"/>
      <c r="I859" s="767"/>
      <c r="J859" s="767"/>
      <c r="K859" s="767"/>
      <c r="L859" s="767"/>
      <c r="M859" s="767"/>
      <c r="N859" s="830">
        <f>SUM('HL KNIHA VYPOC'!$D$125+'HL KNIHA VYPOC'!$D$127+'HL KNIHA VYPOC'!$D$129+'HL KNIHA VYPOC'!$D$130-'HL KNIHA VYPOC'!$D$137)</f>
        <v>0</v>
      </c>
      <c r="O859" s="830"/>
      <c r="P859" s="830"/>
      <c r="Q859" s="830"/>
      <c r="R859" s="830"/>
      <c r="S859" s="830"/>
      <c r="T859" s="831">
        <f>SUM('HL KNIHA VYPOC'!$E$125+'HL KNIHA VYPOC'!$E$127+'HL KNIHA VYPOC'!$E$129+'HL KNIHA VYPOC'!$E$130-'HL KNIHA VYPOC'!$E$137)</f>
        <v>0</v>
      </c>
      <c r="U859" s="831"/>
      <c r="V859" s="831"/>
      <c r="W859" s="831"/>
      <c r="X859" s="831"/>
      <c r="Y859" s="831"/>
      <c r="Z859" s="831"/>
      <c r="AA859" s="831">
        <f>SUM('HL KNIHA VYPOC'!$F$125+'HL KNIHA VYPOC'!$F$127+'HL KNIHA VYPOC'!$F$129+'HL KNIHA VYPOC'!$F$130-'HL KNIHA VYPOC'!$F$137)</f>
        <v>0</v>
      </c>
      <c r="AB859" s="831"/>
      <c r="AC859" s="831"/>
      <c r="AD859" s="831"/>
      <c r="AE859" s="831"/>
      <c r="AF859" s="831"/>
      <c r="AG859" s="831"/>
      <c r="AH859" s="820"/>
      <c r="AI859" s="820"/>
      <c r="AJ859" s="820"/>
      <c r="AK859" s="820"/>
      <c r="AL859" s="820"/>
      <c r="AM859" s="820"/>
      <c r="AN859" s="820"/>
      <c r="AO859" s="820"/>
      <c r="AP859" s="820"/>
      <c r="AQ859" s="820">
        <f>SUM(N859+T859-AA859+AH859)</f>
        <v>0</v>
      </c>
      <c r="AR859" s="820"/>
      <c r="AS859" s="820"/>
      <c r="AT859" s="820"/>
      <c r="AU859" s="820"/>
      <c r="AV859" s="820"/>
      <c r="AW859" s="820"/>
      <c r="AX859" s="820"/>
      <c r="AY859" s="820"/>
      <c r="AZ859" s="820"/>
      <c r="BA859" s="820"/>
      <c r="BB859" s="820"/>
    </row>
    <row r="860" spans="1:54" s="227" customFormat="1" ht="12.6" customHeight="1" x14ac:dyDescent="0.25">
      <c r="A860" s="832" t="s">
        <v>1731</v>
      </c>
      <c r="B860" s="832"/>
      <c r="C860" s="832"/>
      <c r="D860" s="832"/>
      <c r="E860" s="832"/>
      <c r="F860" s="832"/>
      <c r="G860" s="832"/>
      <c r="H860" s="832"/>
      <c r="I860" s="832"/>
      <c r="J860" s="832"/>
      <c r="K860" s="832"/>
      <c r="L860" s="832"/>
      <c r="M860" s="832"/>
      <c r="N860" s="830"/>
      <c r="O860" s="830"/>
      <c r="P860" s="830"/>
      <c r="Q860" s="830"/>
      <c r="R860" s="830"/>
      <c r="S860" s="830"/>
      <c r="T860" s="831"/>
      <c r="U860" s="831"/>
      <c r="V860" s="831"/>
      <c r="W860" s="831"/>
      <c r="X860" s="831"/>
      <c r="Y860" s="831"/>
      <c r="Z860" s="831"/>
      <c r="AA860" s="831"/>
      <c r="AB860" s="831"/>
      <c r="AC860" s="831"/>
      <c r="AD860" s="831"/>
      <c r="AE860" s="831"/>
      <c r="AF860" s="831"/>
      <c r="AG860" s="831"/>
      <c r="AH860" s="820"/>
      <c r="AI860" s="820"/>
      <c r="AJ860" s="820"/>
      <c r="AK860" s="820"/>
      <c r="AL860" s="820"/>
      <c r="AM860" s="820"/>
      <c r="AN860" s="820"/>
      <c r="AO860" s="820"/>
      <c r="AP860" s="820"/>
      <c r="AQ860" s="820">
        <f>SUM(N860+T860-AA860+AH860)</f>
        <v>0</v>
      </c>
      <c r="AR860" s="820"/>
      <c r="AS860" s="820"/>
      <c r="AT860" s="820"/>
      <c r="AU860" s="820"/>
      <c r="AV860" s="820"/>
      <c r="AW860" s="820"/>
      <c r="AX860" s="820"/>
      <c r="AY860" s="820"/>
      <c r="AZ860" s="820"/>
      <c r="BA860" s="820"/>
      <c r="BB860" s="820"/>
    </row>
    <row r="861" spans="1:54" ht="26.25" customHeight="1" x14ac:dyDescent="0.25">
      <c r="A861" s="833" t="s">
        <v>1732</v>
      </c>
      <c r="B861" s="833"/>
      <c r="C861" s="833"/>
      <c r="D861" s="833"/>
      <c r="E861" s="833"/>
      <c r="F861" s="833"/>
      <c r="G861" s="833"/>
      <c r="H861" s="833"/>
      <c r="I861" s="833"/>
      <c r="J861" s="833"/>
      <c r="K861" s="833"/>
      <c r="L861" s="833"/>
      <c r="M861" s="833"/>
      <c r="N861" s="818">
        <f>SUM('HL KNIHA VYPOC'!D126)</f>
        <v>0</v>
      </c>
      <c r="O861" s="818"/>
      <c r="P861" s="818"/>
      <c r="Q861" s="818"/>
      <c r="R861" s="818"/>
      <c r="S861" s="818"/>
      <c r="T861" s="820">
        <f>SUM('HL KNIHA VYPOC'!E126)</f>
        <v>0</v>
      </c>
      <c r="U861" s="820"/>
      <c r="V861" s="820"/>
      <c r="W861" s="820"/>
      <c r="X861" s="820"/>
      <c r="Y861" s="820"/>
      <c r="Z861" s="820"/>
      <c r="AA861" s="820">
        <f>SUM('HL KNIHA VYPOC'!F126)</f>
        <v>0</v>
      </c>
      <c r="AB861" s="820"/>
      <c r="AC861" s="820"/>
      <c r="AD861" s="820"/>
      <c r="AE861" s="820"/>
      <c r="AF861" s="820"/>
      <c r="AG861" s="820"/>
      <c r="AH861" s="820"/>
      <c r="AI861" s="820"/>
      <c r="AJ861" s="820"/>
      <c r="AK861" s="820"/>
      <c r="AL861" s="820"/>
      <c r="AM861" s="820"/>
      <c r="AN861" s="820"/>
      <c r="AO861" s="820"/>
      <c r="AP861" s="820"/>
      <c r="AQ861" s="820">
        <f>SUM(N861+T861-AA861+AH861)</f>
        <v>0</v>
      </c>
      <c r="AR861" s="820"/>
      <c r="AS861" s="820"/>
      <c r="AT861" s="820"/>
      <c r="AU861" s="820"/>
      <c r="AV861" s="820"/>
      <c r="AW861" s="820"/>
      <c r="AX861" s="820"/>
      <c r="AY861" s="820"/>
      <c r="AZ861" s="820"/>
      <c r="BA861" s="820"/>
      <c r="BB861" s="820"/>
    </row>
    <row r="862" spans="1:54" s="29" customFormat="1" ht="12.6" customHeight="1" x14ac:dyDescent="0.25">
      <c r="A862" s="316" t="s">
        <v>1733</v>
      </c>
      <c r="B862" s="246"/>
      <c r="C862" s="246"/>
      <c r="D862" s="246"/>
      <c r="E862" s="246"/>
      <c r="F862" s="246"/>
      <c r="G862" s="246"/>
      <c r="H862" s="246"/>
      <c r="I862" s="246"/>
      <c r="J862" s="246"/>
      <c r="K862" s="246"/>
      <c r="L862" s="246"/>
      <c r="M862" s="248"/>
      <c r="N862" s="818"/>
      <c r="O862" s="818"/>
      <c r="P862" s="818"/>
      <c r="Q862" s="818"/>
      <c r="R862" s="818"/>
      <c r="S862" s="818"/>
      <c r="T862" s="820"/>
      <c r="U862" s="820"/>
      <c r="V862" s="820"/>
      <c r="W862" s="820"/>
      <c r="X862" s="820"/>
      <c r="Y862" s="820"/>
      <c r="Z862" s="820"/>
      <c r="AA862" s="820"/>
      <c r="AB862" s="820"/>
      <c r="AC862" s="820"/>
      <c r="AD862" s="820"/>
      <c r="AE862" s="820"/>
      <c r="AF862" s="820"/>
      <c r="AG862" s="820"/>
      <c r="AH862" s="820"/>
      <c r="AI862" s="820"/>
      <c r="AJ862" s="820"/>
      <c r="AK862" s="820"/>
      <c r="AL862" s="820"/>
      <c r="AM862" s="820"/>
      <c r="AN862" s="820"/>
      <c r="AO862" s="820"/>
      <c r="AP862" s="820"/>
      <c r="AQ862" s="820">
        <f>SUM(N862+T862-AA862+AH862)</f>
        <v>0</v>
      </c>
      <c r="AR862" s="820"/>
      <c r="AS862" s="820"/>
      <c r="AT862" s="820"/>
      <c r="AU862" s="820"/>
      <c r="AV862" s="820"/>
      <c r="AW862" s="820"/>
      <c r="AX862" s="820"/>
      <c r="AY862" s="820"/>
      <c r="AZ862" s="820"/>
      <c r="BA862" s="820"/>
      <c r="BB862" s="820"/>
    </row>
    <row r="863" spans="1:54" ht="26.25" customHeight="1" x14ac:dyDescent="0.25">
      <c r="A863" s="833" t="s">
        <v>1734</v>
      </c>
      <c r="B863" s="833"/>
      <c r="C863" s="833"/>
      <c r="D863" s="833"/>
      <c r="E863" s="833"/>
      <c r="F863" s="833"/>
      <c r="G863" s="833"/>
      <c r="H863" s="833"/>
      <c r="I863" s="833"/>
      <c r="J863" s="833"/>
      <c r="K863" s="833"/>
      <c r="L863" s="833"/>
      <c r="M863" s="833"/>
      <c r="N863" s="818"/>
      <c r="O863" s="818"/>
      <c r="P863" s="818"/>
      <c r="Q863" s="818"/>
      <c r="R863" s="818"/>
      <c r="S863" s="818"/>
      <c r="T863" s="820"/>
      <c r="U863" s="820"/>
      <c r="V863" s="820"/>
      <c r="W863" s="820"/>
      <c r="X863" s="820"/>
      <c r="Y863" s="820"/>
      <c r="Z863" s="820"/>
      <c r="AA863" s="820"/>
      <c r="AB863" s="820"/>
      <c r="AC863" s="820"/>
      <c r="AD863" s="820"/>
      <c r="AE863" s="820"/>
      <c r="AF863" s="820"/>
      <c r="AG863" s="820"/>
      <c r="AH863" s="820"/>
      <c r="AI863" s="820"/>
      <c r="AJ863" s="820"/>
      <c r="AK863" s="820"/>
      <c r="AL863" s="820"/>
      <c r="AM863" s="820"/>
      <c r="AN863" s="820"/>
      <c r="AO863" s="820"/>
      <c r="AP863" s="820"/>
      <c r="AQ863" s="820"/>
      <c r="AR863" s="820"/>
      <c r="AS863" s="820"/>
      <c r="AT863" s="820"/>
      <c r="AU863" s="820"/>
      <c r="AV863" s="820"/>
      <c r="AW863" s="820"/>
      <c r="AX863" s="820"/>
      <c r="AY863" s="820"/>
      <c r="AZ863" s="820"/>
      <c r="BA863" s="820"/>
      <c r="BB863" s="820"/>
    </row>
    <row r="864" spans="1:54" ht="28.5" customHeight="1" x14ac:dyDescent="0.25">
      <c r="A864" s="834" t="s">
        <v>1735</v>
      </c>
      <c r="B864" s="834"/>
      <c r="C864" s="834"/>
      <c r="D864" s="834"/>
      <c r="E864" s="834"/>
      <c r="F864" s="834"/>
      <c r="G864" s="834"/>
      <c r="H864" s="834"/>
      <c r="I864" s="834"/>
      <c r="J864" s="834"/>
      <c r="K864" s="834"/>
      <c r="L864" s="834"/>
      <c r="M864" s="834"/>
      <c r="N864" s="818"/>
      <c r="O864" s="818"/>
      <c r="P864" s="818"/>
      <c r="Q864" s="818"/>
      <c r="R864" s="818"/>
      <c r="S864" s="818"/>
      <c r="T864" s="820"/>
      <c r="U864" s="820"/>
      <c r="V864" s="820"/>
      <c r="W864" s="820"/>
      <c r="X864" s="820"/>
      <c r="Y864" s="820"/>
      <c r="Z864" s="820"/>
      <c r="AA864" s="820"/>
      <c r="AB864" s="820"/>
      <c r="AC864" s="820"/>
      <c r="AD864" s="820"/>
      <c r="AE864" s="820"/>
      <c r="AF864" s="820"/>
      <c r="AG864" s="820"/>
      <c r="AH864" s="820"/>
      <c r="AI864" s="820"/>
      <c r="AJ864" s="820"/>
      <c r="AK864" s="820"/>
      <c r="AL864" s="820"/>
      <c r="AM864" s="820"/>
      <c r="AN864" s="820"/>
      <c r="AO864" s="820"/>
      <c r="AP864" s="820"/>
      <c r="AQ864" s="820"/>
      <c r="AR864" s="820"/>
      <c r="AS864" s="820"/>
      <c r="AT864" s="820"/>
      <c r="AU864" s="820"/>
      <c r="AV864" s="820"/>
      <c r="AW864" s="820"/>
      <c r="AX864" s="820"/>
      <c r="AY864" s="820"/>
      <c r="AZ864" s="820"/>
      <c r="BA864" s="820"/>
      <c r="BB864" s="820"/>
    </row>
    <row r="865" spans="1:54" ht="12.6" customHeight="1" x14ac:dyDescent="0.25">
      <c r="A865" s="227" t="s">
        <v>1344</v>
      </c>
    </row>
    <row r="866" spans="1:54" ht="15" customHeight="1" x14ac:dyDescent="0.25">
      <c r="A866" s="763"/>
      <c r="B866" s="763"/>
      <c r="C866" s="763"/>
      <c r="D866" s="763"/>
      <c r="E866" s="763"/>
      <c r="F866" s="763"/>
      <c r="G866" s="763"/>
      <c r="H866" s="763"/>
      <c r="I866" s="763"/>
      <c r="J866" s="763"/>
      <c r="K866" s="763"/>
      <c r="L866" s="763"/>
      <c r="M866" s="763"/>
      <c r="N866" s="763"/>
      <c r="O866" s="763"/>
      <c r="P866" s="763"/>
      <c r="Q866" s="763"/>
      <c r="R866" s="763"/>
      <c r="S866" s="763"/>
      <c r="T866" s="763"/>
      <c r="U866" s="763"/>
      <c r="V866" s="763"/>
      <c r="W866" s="763"/>
      <c r="X866" s="763"/>
      <c r="Y866" s="763"/>
      <c r="Z866" s="763"/>
      <c r="AA866" s="763"/>
      <c r="AB866" s="763"/>
      <c r="AC866" s="763"/>
      <c r="AD866" s="763"/>
      <c r="AE866" s="763"/>
      <c r="AF866" s="763"/>
      <c r="AG866" s="763"/>
      <c r="AH866" s="763"/>
      <c r="AI866" s="763"/>
      <c r="AJ866" s="763"/>
      <c r="AK866" s="763"/>
      <c r="AL866" s="763"/>
      <c r="AM866" s="763"/>
      <c r="AN866" s="763"/>
      <c r="AO866" s="763"/>
      <c r="AP866" s="763"/>
      <c r="AQ866" s="763"/>
      <c r="AR866" s="763"/>
      <c r="AS866" s="763"/>
      <c r="AT866" s="763"/>
      <c r="AU866" s="763"/>
      <c r="AV866" s="763"/>
      <c r="AW866" s="763"/>
      <c r="AX866" s="763"/>
      <c r="AY866" s="265"/>
      <c r="AZ866" s="265"/>
      <c r="BA866" s="265"/>
      <c r="BB866" s="265"/>
    </row>
    <row r="867" spans="1:54" ht="15" customHeight="1" x14ac:dyDescent="0.25">
      <c r="A867" s="763"/>
      <c r="B867" s="763"/>
      <c r="C867" s="763"/>
      <c r="D867" s="763"/>
      <c r="E867" s="763"/>
      <c r="F867" s="763"/>
      <c r="G867" s="763"/>
      <c r="H867" s="763"/>
      <c r="I867" s="763"/>
      <c r="J867" s="763"/>
      <c r="K867" s="763"/>
      <c r="L867" s="763"/>
      <c r="M867" s="763"/>
      <c r="N867" s="763"/>
      <c r="O867" s="763"/>
      <c r="P867" s="763"/>
      <c r="Q867" s="763"/>
      <c r="R867" s="763"/>
      <c r="S867" s="763"/>
      <c r="T867" s="763"/>
      <c r="U867" s="763"/>
      <c r="V867" s="763"/>
      <c r="W867" s="763"/>
      <c r="X867" s="763"/>
      <c r="Y867" s="763"/>
      <c r="Z867" s="763"/>
      <c r="AA867" s="763"/>
      <c r="AB867" s="763"/>
      <c r="AC867" s="763"/>
      <c r="AD867" s="763"/>
      <c r="AE867" s="763"/>
      <c r="AF867" s="763"/>
      <c r="AG867" s="763"/>
      <c r="AH867" s="763"/>
      <c r="AI867" s="763"/>
      <c r="AJ867" s="763"/>
      <c r="AK867" s="763"/>
      <c r="AL867" s="763"/>
      <c r="AM867" s="763"/>
      <c r="AN867" s="763"/>
      <c r="AO867" s="763"/>
      <c r="AP867" s="763"/>
      <c r="AQ867" s="763"/>
      <c r="AR867" s="763"/>
      <c r="AS867" s="763"/>
      <c r="AT867" s="763"/>
      <c r="AU867" s="763"/>
      <c r="AV867" s="763"/>
      <c r="AW867" s="763"/>
      <c r="AX867" s="763"/>
      <c r="AY867" s="265"/>
      <c r="AZ867" s="265"/>
      <c r="BA867" s="265"/>
      <c r="BB867" s="265"/>
    </row>
    <row r="868" spans="1:54" s="208" customFormat="1" ht="6.75" customHeight="1" x14ac:dyDescent="0.25"/>
    <row r="869" spans="1:54" ht="12.6" customHeight="1" x14ac:dyDescent="0.25">
      <c r="A869" s="227" t="s">
        <v>1736</v>
      </c>
      <c r="B869" s="227"/>
      <c r="C869" s="227"/>
      <c r="D869" s="227"/>
      <c r="E869" s="227"/>
      <c r="F869" s="227"/>
      <c r="G869" s="227"/>
      <c r="H869" s="227"/>
      <c r="I869" s="227"/>
      <c r="J869" s="227"/>
      <c r="K869" s="227"/>
      <c r="L869" s="227"/>
      <c r="M869" s="227"/>
      <c r="N869" s="227"/>
      <c r="O869" s="227"/>
      <c r="P869" s="227"/>
      <c r="Q869" s="227"/>
      <c r="R869" s="227"/>
      <c r="S869" s="227"/>
      <c r="T869" s="227"/>
      <c r="U869" s="227"/>
      <c r="V869" s="227"/>
      <c r="W869" s="227"/>
      <c r="X869" s="227"/>
      <c r="Y869" s="227"/>
      <c r="Z869" s="227"/>
      <c r="AA869" s="227"/>
      <c r="AB869" s="227"/>
      <c r="AC869" s="227"/>
      <c r="AD869" s="227"/>
      <c r="AE869" s="227"/>
      <c r="AF869" s="227"/>
      <c r="AG869" s="227"/>
      <c r="AH869" s="227"/>
      <c r="AI869" s="227"/>
      <c r="AJ869" s="227"/>
      <c r="AK869" s="227"/>
      <c r="AL869" s="227"/>
      <c r="AM869" s="227"/>
      <c r="AN869" s="227"/>
      <c r="AO869" s="227"/>
      <c r="AP869" s="227"/>
      <c r="AQ869" s="227"/>
      <c r="AR869" s="227"/>
      <c r="AS869" s="227"/>
      <c r="AT869" s="227"/>
      <c r="AU869" s="227"/>
      <c r="AV869" s="227"/>
      <c r="AW869" s="227"/>
      <c r="AX869" s="227"/>
      <c r="AY869" s="227"/>
      <c r="AZ869" s="227"/>
      <c r="BA869" s="227"/>
      <c r="BB869" s="227"/>
    </row>
    <row r="870" spans="1:54" ht="12.6" customHeight="1" x14ac:dyDescent="0.25">
      <c r="A870" s="241"/>
      <c r="B870" s="242"/>
      <c r="C870" s="242"/>
      <c r="D870" s="242"/>
      <c r="E870" s="242"/>
      <c r="F870" s="242"/>
      <c r="G870" s="242"/>
      <c r="H870" s="242"/>
      <c r="I870" s="242"/>
      <c r="J870" s="242"/>
      <c r="K870" s="242"/>
      <c r="L870" s="242"/>
      <c r="M870" s="242"/>
      <c r="N870" s="249"/>
      <c r="O870" s="299"/>
      <c r="P870" s="300"/>
      <c r="Q870" s="768"/>
      <c r="R870" s="768"/>
      <c r="S870" s="768"/>
      <c r="T870" s="768"/>
      <c r="U870" s="768"/>
      <c r="V870" s="768"/>
      <c r="W870" s="768"/>
      <c r="X870" s="768"/>
      <c r="Y870" s="768"/>
      <c r="Z870" s="768"/>
      <c r="AA870" s="768"/>
      <c r="AB870" s="768"/>
      <c r="AC870" s="768" t="s">
        <v>1620</v>
      </c>
      <c r="AD870" s="768"/>
      <c r="AE870" s="768"/>
      <c r="AF870" s="768"/>
      <c r="AG870" s="768"/>
      <c r="AH870" s="768"/>
      <c r="AI870" s="768"/>
      <c r="AJ870" s="768" t="s">
        <v>1620</v>
      </c>
      <c r="AK870" s="768"/>
      <c r="AL870" s="768"/>
      <c r="AM870" s="768"/>
      <c r="AN870" s="768"/>
      <c r="AO870" s="768"/>
      <c r="AP870" s="768"/>
      <c r="AQ870" s="768"/>
      <c r="AR870" s="768"/>
      <c r="AS870" s="768"/>
      <c r="AT870" s="768"/>
      <c r="AU870" s="768"/>
      <c r="AV870" s="768"/>
      <c r="AW870" s="768"/>
      <c r="AX870" s="768"/>
      <c r="AY870" s="768"/>
      <c r="AZ870" s="768"/>
      <c r="BA870" s="768"/>
      <c r="BB870" s="768"/>
    </row>
    <row r="871" spans="1:54" ht="12.6" customHeight="1" x14ac:dyDescent="0.25">
      <c r="A871" s="243"/>
      <c r="B871" s="244"/>
      <c r="C871" s="244"/>
      <c r="D871" s="244"/>
      <c r="E871" s="244"/>
      <c r="F871" s="244"/>
      <c r="G871" s="244"/>
      <c r="H871" s="244"/>
      <c r="I871" s="244"/>
      <c r="J871" s="244"/>
      <c r="K871" s="244"/>
      <c r="L871" s="244"/>
      <c r="M871" s="244"/>
      <c r="N871" s="208"/>
      <c r="O871" s="211"/>
      <c r="P871" s="317"/>
      <c r="Q871" s="745" t="s">
        <v>1621</v>
      </c>
      <c r="R871" s="745"/>
      <c r="S871" s="745"/>
      <c r="T871" s="745"/>
      <c r="U871" s="745"/>
      <c r="V871" s="745"/>
      <c r="W871" s="745"/>
      <c r="X871" s="745"/>
      <c r="Y871" s="745"/>
      <c r="Z871" s="745"/>
      <c r="AA871" s="745"/>
      <c r="AB871" s="745"/>
      <c r="AC871" s="745" t="s">
        <v>1622</v>
      </c>
      <c r="AD871" s="745"/>
      <c r="AE871" s="745"/>
      <c r="AF871" s="745"/>
      <c r="AG871" s="745"/>
      <c r="AH871" s="745"/>
      <c r="AI871" s="745"/>
      <c r="AJ871" s="745" t="s">
        <v>1622</v>
      </c>
      <c r="AK871" s="745"/>
      <c r="AL871" s="745"/>
      <c r="AM871" s="745"/>
      <c r="AN871" s="745"/>
      <c r="AO871" s="745"/>
      <c r="AP871" s="745"/>
      <c r="AQ871" s="745" t="s">
        <v>1621</v>
      </c>
      <c r="AR871" s="745"/>
      <c r="AS871" s="745"/>
      <c r="AT871" s="745"/>
      <c r="AU871" s="745"/>
      <c r="AV871" s="745"/>
      <c r="AW871" s="745"/>
      <c r="AX871" s="745"/>
      <c r="AY871" s="745"/>
      <c r="AZ871" s="745"/>
      <c r="BA871" s="745"/>
      <c r="BB871" s="745"/>
    </row>
    <row r="872" spans="1:54" ht="12.6" customHeight="1" x14ac:dyDescent="0.25">
      <c r="A872" s="210" t="s">
        <v>1728</v>
      </c>
      <c r="B872" s="211"/>
      <c r="C872" s="211"/>
      <c r="D872" s="211"/>
      <c r="E872" s="211"/>
      <c r="F872" s="211"/>
      <c r="G872" s="211"/>
      <c r="H872" s="211"/>
      <c r="I872" s="211"/>
      <c r="J872" s="211"/>
      <c r="K872" s="211"/>
      <c r="L872" s="211"/>
      <c r="M872" s="211"/>
      <c r="N872" s="208"/>
      <c r="O872" s="211"/>
      <c r="P872" s="317"/>
      <c r="Q872" s="745" t="s">
        <v>1523</v>
      </c>
      <c r="R872" s="745"/>
      <c r="S872" s="745"/>
      <c r="T872" s="745"/>
      <c r="U872" s="745"/>
      <c r="V872" s="745"/>
      <c r="W872" s="745" t="s">
        <v>1624</v>
      </c>
      <c r="X872" s="745"/>
      <c r="Y872" s="745"/>
      <c r="Z872" s="745"/>
      <c r="AA872" s="745"/>
      <c r="AB872" s="745"/>
      <c r="AC872" s="745" t="s">
        <v>1737</v>
      </c>
      <c r="AD872" s="745"/>
      <c r="AE872" s="745"/>
      <c r="AF872" s="745"/>
      <c r="AG872" s="745"/>
      <c r="AH872" s="745"/>
      <c r="AI872" s="745"/>
      <c r="AJ872" s="745" t="s">
        <v>1626</v>
      </c>
      <c r="AK872" s="745"/>
      <c r="AL872" s="745"/>
      <c r="AM872" s="745"/>
      <c r="AN872" s="745"/>
      <c r="AO872" s="745"/>
      <c r="AP872" s="745"/>
      <c r="AQ872" s="745" t="s">
        <v>1587</v>
      </c>
      <c r="AR872" s="745"/>
      <c r="AS872" s="745"/>
      <c r="AT872" s="745"/>
      <c r="AU872" s="745"/>
      <c r="AV872" s="745"/>
      <c r="AW872" s="745"/>
      <c r="AX872" s="745"/>
      <c r="AY872" s="745"/>
      <c r="AZ872" s="745"/>
      <c r="BA872" s="745"/>
      <c r="BB872" s="745"/>
    </row>
    <row r="873" spans="1:54" ht="12.6" customHeight="1" x14ac:dyDescent="0.25">
      <c r="A873" s="243"/>
      <c r="B873" s="244"/>
      <c r="C873" s="244"/>
      <c r="D873" s="244"/>
      <c r="E873" s="244"/>
      <c r="F873" s="244"/>
      <c r="G873" s="244"/>
      <c r="H873" s="244"/>
      <c r="I873" s="244"/>
      <c r="J873" s="244"/>
      <c r="K873" s="244"/>
      <c r="L873" s="244"/>
      <c r="M873" s="244"/>
      <c r="N873" s="208"/>
      <c r="O873" s="211"/>
      <c r="P873" s="317"/>
      <c r="Q873" s="745" t="s">
        <v>1524</v>
      </c>
      <c r="R873" s="745"/>
      <c r="S873" s="745"/>
      <c r="T873" s="745"/>
      <c r="U873" s="745"/>
      <c r="V873" s="745"/>
      <c r="W873" s="745" t="s">
        <v>1627</v>
      </c>
      <c r="X873" s="745"/>
      <c r="Y873" s="745"/>
      <c r="Z873" s="745"/>
      <c r="AA873" s="745"/>
      <c r="AB873" s="745"/>
      <c r="AC873" s="745" t="s">
        <v>1738</v>
      </c>
      <c r="AD873" s="745"/>
      <c r="AE873" s="745"/>
      <c r="AF873" s="745"/>
      <c r="AG873" s="745"/>
      <c r="AH873" s="745"/>
      <c r="AI873" s="745"/>
      <c r="AJ873" s="745" t="s">
        <v>1739</v>
      </c>
      <c r="AK873" s="745"/>
      <c r="AL873" s="745"/>
      <c r="AM873" s="745"/>
      <c r="AN873" s="745"/>
      <c r="AO873" s="745"/>
      <c r="AP873" s="745"/>
      <c r="AQ873" s="745" t="s">
        <v>1524</v>
      </c>
      <c r="AR873" s="745"/>
      <c r="AS873" s="745"/>
      <c r="AT873" s="745"/>
      <c r="AU873" s="745"/>
      <c r="AV873" s="745"/>
      <c r="AW873" s="745"/>
      <c r="AX873" s="745"/>
      <c r="AY873" s="745"/>
      <c r="AZ873" s="745"/>
      <c r="BA873" s="745"/>
      <c r="BB873" s="745"/>
    </row>
    <row r="874" spans="1:54" ht="12.6" customHeight="1" x14ac:dyDescent="0.25">
      <c r="A874" s="243"/>
      <c r="B874" s="244"/>
      <c r="C874" s="244"/>
      <c r="D874" s="244"/>
      <c r="E874" s="244"/>
      <c r="F874" s="244"/>
      <c r="G874" s="244"/>
      <c r="H874" s="244"/>
      <c r="I874" s="244"/>
      <c r="J874" s="244"/>
      <c r="K874" s="244"/>
      <c r="L874" s="244"/>
      <c r="M874" s="244"/>
      <c r="N874" s="208"/>
      <c r="O874" s="211"/>
      <c r="P874" s="317"/>
      <c r="Q874" s="745" t="s">
        <v>1525</v>
      </c>
      <c r="R874" s="745"/>
      <c r="S874" s="745"/>
      <c r="T874" s="745"/>
      <c r="U874" s="745"/>
      <c r="V874" s="745"/>
      <c r="W874" s="745"/>
      <c r="X874" s="745"/>
      <c r="Y874" s="745"/>
      <c r="Z874" s="745"/>
      <c r="AA874" s="745"/>
      <c r="AB874" s="745"/>
      <c r="AC874" s="745" t="s">
        <v>1740</v>
      </c>
      <c r="AD874" s="745"/>
      <c r="AE874" s="745"/>
      <c r="AF874" s="745"/>
      <c r="AG874" s="745"/>
      <c r="AH874" s="745"/>
      <c r="AI874" s="745"/>
      <c r="AJ874" s="745" t="s">
        <v>1591</v>
      </c>
      <c r="AK874" s="745"/>
      <c r="AL874" s="745"/>
      <c r="AM874" s="745"/>
      <c r="AN874" s="745"/>
      <c r="AO874" s="745"/>
      <c r="AP874" s="745"/>
      <c r="AQ874" s="745" t="s">
        <v>1525</v>
      </c>
      <c r="AR874" s="745"/>
      <c r="AS874" s="745"/>
      <c r="AT874" s="745"/>
      <c r="AU874" s="745"/>
      <c r="AV874" s="745"/>
      <c r="AW874" s="745"/>
      <c r="AX874" s="745"/>
      <c r="AY874" s="745"/>
      <c r="AZ874" s="745"/>
      <c r="BA874" s="745"/>
      <c r="BB874" s="745"/>
    </row>
    <row r="875" spans="1:54" ht="12.6" customHeight="1" x14ac:dyDescent="0.25">
      <c r="A875" s="750" t="s">
        <v>1323</v>
      </c>
      <c r="B875" s="750"/>
      <c r="C875" s="750"/>
      <c r="D875" s="750"/>
      <c r="E875" s="750"/>
      <c r="F875" s="750"/>
      <c r="G875" s="750"/>
      <c r="H875" s="750"/>
      <c r="I875" s="750"/>
      <c r="J875" s="750"/>
      <c r="K875" s="750"/>
      <c r="L875" s="750"/>
      <c r="M875" s="750"/>
      <c r="N875" s="750"/>
      <c r="O875" s="750"/>
      <c r="P875" s="750"/>
      <c r="Q875" s="750" t="s">
        <v>1324</v>
      </c>
      <c r="R875" s="750"/>
      <c r="S875" s="750"/>
      <c r="T875" s="750"/>
      <c r="U875" s="750"/>
      <c r="V875" s="750"/>
      <c r="W875" s="750" t="s">
        <v>1325</v>
      </c>
      <c r="X875" s="750"/>
      <c r="Y875" s="750"/>
      <c r="Z875" s="750"/>
      <c r="AA875" s="750"/>
      <c r="AB875" s="750"/>
      <c r="AC875" s="750" t="s">
        <v>1326</v>
      </c>
      <c r="AD875" s="750"/>
      <c r="AE875" s="750"/>
      <c r="AF875" s="750"/>
      <c r="AG875" s="750"/>
      <c r="AH875" s="750"/>
      <c r="AI875" s="750"/>
      <c r="AJ875" s="750" t="s">
        <v>1327</v>
      </c>
      <c r="AK875" s="750"/>
      <c r="AL875" s="750"/>
      <c r="AM875" s="750"/>
      <c r="AN875" s="750"/>
      <c r="AO875" s="750"/>
      <c r="AP875" s="750"/>
      <c r="AQ875" s="750" t="s">
        <v>1333</v>
      </c>
      <c r="AR875" s="750"/>
      <c r="AS875" s="750"/>
      <c r="AT875" s="750"/>
      <c r="AU875" s="750"/>
      <c r="AV875" s="750"/>
      <c r="AW875" s="750"/>
      <c r="AX875" s="750"/>
      <c r="AY875" s="750"/>
      <c r="AZ875" s="750"/>
      <c r="BA875" s="750"/>
      <c r="BB875" s="750"/>
    </row>
    <row r="876" spans="1:54" ht="12.6" customHeight="1" x14ac:dyDescent="0.25">
      <c r="A876" s="835" t="s">
        <v>1733</v>
      </c>
      <c r="B876" s="835"/>
      <c r="C876" s="835"/>
      <c r="D876" s="835"/>
      <c r="E876" s="835"/>
      <c r="F876" s="835"/>
      <c r="G876" s="835"/>
      <c r="H876" s="835"/>
      <c r="I876" s="835"/>
      <c r="J876" s="835"/>
      <c r="K876" s="835"/>
      <c r="L876" s="835"/>
      <c r="M876" s="835"/>
      <c r="N876" s="835"/>
      <c r="O876" s="835"/>
      <c r="P876" s="835"/>
      <c r="Q876" s="836"/>
      <c r="R876" s="836"/>
      <c r="S876" s="836"/>
      <c r="T876" s="836"/>
      <c r="U876" s="836"/>
      <c r="V876" s="836"/>
      <c r="W876" s="836"/>
      <c r="X876" s="836"/>
      <c r="Y876" s="836"/>
      <c r="Z876" s="836"/>
      <c r="AA876" s="836"/>
      <c r="AB876" s="836"/>
      <c r="AC876" s="836"/>
      <c r="AD876" s="836"/>
      <c r="AE876" s="836"/>
      <c r="AF876" s="836"/>
      <c r="AG876" s="836"/>
      <c r="AH876" s="836"/>
      <c r="AI876" s="836"/>
      <c r="AJ876" s="836"/>
      <c r="AK876" s="836"/>
      <c r="AL876" s="836"/>
      <c r="AM876" s="836"/>
      <c r="AN876" s="836"/>
      <c r="AO876" s="836"/>
      <c r="AP876" s="836"/>
      <c r="AQ876" s="836"/>
      <c r="AR876" s="836"/>
      <c r="AS876" s="836"/>
      <c r="AT876" s="836"/>
      <c r="AU876" s="836"/>
      <c r="AV876" s="836"/>
      <c r="AW876" s="836"/>
      <c r="AX876" s="836"/>
      <c r="AY876" s="836"/>
      <c r="AZ876" s="836"/>
      <c r="BA876" s="836"/>
      <c r="BB876" s="836"/>
    </row>
    <row r="877" spans="1:54" ht="27" customHeight="1" x14ac:dyDescent="0.25">
      <c r="A877" s="767" t="s">
        <v>1734</v>
      </c>
      <c r="B877" s="767"/>
      <c r="C877" s="767"/>
      <c r="D877" s="767"/>
      <c r="E877" s="767"/>
      <c r="F877" s="767"/>
      <c r="G877" s="767"/>
      <c r="H877" s="767"/>
      <c r="I877" s="767"/>
      <c r="J877" s="767"/>
      <c r="K877" s="767"/>
      <c r="L877" s="767"/>
      <c r="M877" s="767"/>
      <c r="N877" s="767" t="e">
        <f>SUM(#REF!)</f>
        <v>#REF!</v>
      </c>
      <c r="O877" s="767"/>
      <c r="P877" s="767"/>
      <c r="Q877" s="837"/>
      <c r="R877" s="837"/>
      <c r="S877" s="837"/>
      <c r="T877" s="837"/>
      <c r="U877" s="837"/>
      <c r="V877" s="837"/>
      <c r="W877" s="837"/>
      <c r="X877" s="837"/>
      <c r="Y877" s="837"/>
      <c r="Z877" s="837"/>
      <c r="AA877" s="837"/>
      <c r="AB877" s="837"/>
      <c r="AC877" s="837"/>
      <c r="AD877" s="837"/>
      <c r="AE877" s="837"/>
      <c r="AF877" s="837"/>
      <c r="AG877" s="837"/>
      <c r="AH877" s="837"/>
      <c r="AI877" s="837"/>
      <c r="AJ877" s="837"/>
      <c r="AK877" s="837"/>
      <c r="AL877" s="837"/>
      <c r="AM877" s="837"/>
      <c r="AN877" s="837"/>
      <c r="AO877" s="837"/>
      <c r="AP877" s="837"/>
      <c r="AQ877" s="837"/>
      <c r="AR877" s="837"/>
      <c r="AS877" s="837"/>
      <c r="AT877" s="837"/>
      <c r="AU877" s="837"/>
      <c r="AV877" s="837"/>
      <c r="AW877" s="837"/>
      <c r="AX877" s="837"/>
      <c r="AY877" s="837"/>
      <c r="AZ877" s="837"/>
      <c r="BA877" s="837"/>
      <c r="BB877" s="837"/>
    </row>
    <row r="878" spans="1:54" ht="12.6" customHeight="1" x14ac:dyDescent="0.25">
      <c r="A878" s="838" t="s">
        <v>1735</v>
      </c>
      <c r="B878" s="838"/>
      <c r="C878" s="838"/>
      <c r="D878" s="838"/>
      <c r="E878" s="838"/>
      <c r="F878" s="838"/>
      <c r="G878" s="838"/>
      <c r="H878" s="838"/>
      <c r="I878" s="838"/>
      <c r="J878" s="838"/>
      <c r="K878" s="838"/>
      <c r="L878" s="838"/>
      <c r="M878" s="838"/>
      <c r="N878" s="838"/>
      <c r="O878" s="838"/>
      <c r="P878" s="838"/>
      <c r="Q878" s="837"/>
      <c r="R878" s="837"/>
      <c r="S878" s="837"/>
      <c r="T878" s="837"/>
      <c r="U878" s="837"/>
      <c r="V878" s="837"/>
      <c r="W878" s="837"/>
      <c r="X878" s="837"/>
      <c r="Y878" s="837"/>
      <c r="Z878" s="837"/>
      <c r="AA878" s="837"/>
      <c r="AB878" s="837"/>
      <c r="AC878" s="837"/>
      <c r="AD878" s="837"/>
      <c r="AE878" s="837"/>
      <c r="AF878" s="837"/>
      <c r="AG878" s="837"/>
      <c r="AH878" s="837"/>
      <c r="AI878" s="837"/>
      <c r="AJ878" s="837"/>
      <c r="AK878" s="837"/>
      <c r="AL878" s="837"/>
      <c r="AM878" s="837"/>
      <c r="AN878" s="837"/>
      <c r="AO878" s="837"/>
      <c r="AP878" s="837"/>
      <c r="AQ878" s="837"/>
      <c r="AR878" s="837"/>
      <c r="AS878" s="837"/>
      <c r="AT878" s="837"/>
      <c r="AU878" s="837"/>
      <c r="AV878" s="837"/>
      <c r="AW878" s="837"/>
      <c r="AX878" s="837"/>
      <c r="AY878" s="837"/>
      <c r="AZ878" s="837"/>
      <c r="BA878" s="837"/>
      <c r="BB878" s="837"/>
    </row>
    <row r="879" spans="1:54" s="227" customFormat="1" ht="12.6" customHeight="1" x14ac:dyDescent="0.25">
      <c r="A879" s="227" t="s">
        <v>1344</v>
      </c>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c r="AA879" s="29"/>
      <c r="AB879" s="29"/>
      <c r="AC879" s="29"/>
      <c r="AD879" s="29"/>
      <c r="AE879" s="29"/>
      <c r="AF879" s="29"/>
      <c r="AG879" s="29"/>
      <c r="AH879" s="29"/>
      <c r="AI879" s="29"/>
      <c r="AJ879" s="29"/>
      <c r="AK879" s="29"/>
      <c r="AL879" s="29"/>
      <c r="AM879" s="29"/>
      <c r="AN879" s="29"/>
      <c r="AO879" s="29"/>
      <c r="AP879" s="29"/>
      <c r="AQ879" s="29"/>
      <c r="AR879" s="29"/>
      <c r="AS879" s="29"/>
      <c r="AT879" s="29"/>
      <c r="AU879" s="29"/>
      <c r="AV879" s="29"/>
      <c r="AW879" s="29"/>
      <c r="AX879" s="29"/>
      <c r="AY879" s="29"/>
      <c r="AZ879" s="29"/>
      <c r="BA879" s="29"/>
      <c r="BB879" s="29"/>
    </row>
    <row r="880" spans="1:54" ht="15" customHeight="1" x14ac:dyDescent="0.25">
      <c r="A880" s="763"/>
      <c r="B880" s="763"/>
      <c r="C880" s="763"/>
      <c r="D880" s="763"/>
      <c r="E880" s="763"/>
      <c r="F880" s="763"/>
      <c r="G880" s="763"/>
      <c r="H880" s="763"/>
      <c r="I880" s="763"/>
      <c r="J880" s="763"/>
      <c r="K880" s="763"/>
      <c r="L880" s="763"/>
      <c r="M880" s="763"/>
      <c r="N880" s="763"/>
      <c r="O880" s="763"/>
      <c r="P880" s="763"/>
      <c r="Q880" s="763"/>
      <c r="R880" s="763"/>
      <c r="S880" s="763"/>
      <c r="T880" s="763"/>
      <c r="U880" s="763"/>
      <c r="V880" s="763"/>
      <c r="W880" s="763"/>
      <c r="X880" s="763"/>
      <c r="Y880" s="763"/>
      <c r="Z880" s="763"/>
      <c r="AA880" s="763"/>
      <c r="AB880" s="763"/>
      <c r="AC880" s="763"/>
      <c r="AD880" s="763"/>
      <c r="AE880" s="763"/>
      <c r="AF880" s="763"/>
      <c r="AG880" s="763"/>
      <c r="AH880" s="763"/>
      <c r="AI880" s="763"/>
      <c r="AJ880" s="763"/>
      <c r="AK880" s="763"/>
      <c r="AL880" s="763"/>
      <c r="AM880" s="763"/>
      <c r="AN880" s="763"/>
      <c r="AO880" s="763"/>
      <c r="AP880" s="763"/>
      <c r="AQ880" s="763"/>
      <c r="AR880" s="763"/>
      <c r="AS880" s="763"/>
      <c r="AT880" s="763"/>
      <c r="AU880" s="763"/>
      <c r="AV880" s="763"/>
      <c r="AW880" s="763"/>
      <c r="AX880" s="763"/>
      <c r="AY880" s="265"/>
      <c r="AZ880" s="265"/>
      <c r="BA880" s="265"/>
      <c r="BB880" s="265"/>
    </row>
    <row r="881" spans="1:54" ht="15" customHeight="1" x14ac:dyDescent="0.25">
      <c r="A881" s="763"/>
      <c r="B881" s="763"/>
      <c r="C881" s="763"/>
      <c r="D881" s="763"/>
      <c r="E881" s="763"/>
      <c r="F881" s="763"/>
      <c r="G881" s="763"/>
      <c r="H881" s="763"/>
      <c r="I881" s="763"/>
      <c r="J881" s="763"/>
      <c r="K881" s="763"/>
      <c r="L881" s="763"/>
      <c r="M881" s="763"/>
      <c r="N881" s="763"/>
      <c r="O881" s="763"/>
      <c r="P881" s="763"/>
      <c r="Q881" s="763"/>
      <c r="R881" s="763"/>
      <c r="S881" s="763"/>
      <c r="T881" s="763"/>
      <c r="U881" s="763"/>
      <c r="V881" s="763"/>
      <c r="W881" s="763"/>
      <c r="X881" s="763"/>
      <c r="Y881" s="763"/>
      <c r="Z881" s="763"/>
      <c r="AA881" s="763"/>
      <c r="AB881" s="763"/>
      <c r="AC881" s="763"/>
      <c r="AD881" s="763"/>
      <c r="AE881" s="763"/>
      <c r="AF881" s="763"/>
      <c r="AG881" s="763"/>
      <c r="AH881" s="763"/>
      <c r="AI881" s="763"/>
      <c r="AJ881" s="763"/>
      <c r="AK881" s="763"/>
      <c r="AL881" s="763"/>
      <c r="AM881" s="763"/>
      <c r="AN881" s="763"/>
      <c r="AO881" s="763"/>
      <c r="AP881" s="763"/>
      <c r="AQ881" s="763"/>
      <c r="AR881" s="763"/>
      <c r="AS881" s="763"/>
      <c r="AT881" s="763"/>
      <c r="AU881" s="763"/>
      <c r="AV881" s="763"/>
      <c r="AW881" s="763"/>
      <c r="AX881" s="763"/>
      <c r="AY881" s="265"/>
      <c r="AZ881" s="265"/>
      <c r="BA881" s="265"/>
      <c r="BB881" s="265"/>
    </row>
    <row r="882" spans="1:54" ht="12.6" customHeight="1" x14ac:dyDescent="0.25">
      <c r="A882" s="227"/>
    </row>
    <row r="883" spans="1:54" ht="12.6" customHeight="1" x14ac:dyDescent="0.25">
      <c r="A883" s="227"/>
    </row>
    <row r="884" spans="1:54" ht="12.6" customHeight="1" x14ac:dyDescent="0.25">
      <c r="A884" s="227"/>
    </row>
    <row r="885" spans="1:54" ht="12.6" customHeight="1" x14ac:dyDescent="0.25">
      <c r="A885" s="227"/>
    </row>
    <row r="886" spans="1:54" ht="12.6" customHeight="1" x14ac:dyDescent="0.25">
      <c r="A886" s="227"/>
    </row>
    <row r="887" spans="1:54" ht="12.6" customHeight="1" x14ac:dyDescent="0.25">
      <c r="A887" s="227"/>
    </row>
    <row r="888" spans="1:54" ht="12.6" customHeight="1" x14ac:dyDescent="0.25">
      <c r="A888" s="227"/>
    </row>
    <row r="889" spans="1:54" ht="12.6" customHeight="1" x14ac:dyDescent="0.25">
      <c r="A889" s="227"/>
    </row>
    <row r="890" spans="1:54" ht="12.6" customHeight="1" x14ac:dyDescent="0.25">
      <c r="A890" s="227"/>
    </row>
    <row r="891" spans="1:54" ht="12.6" customHeight="1" x14ac:dyDescent="0.25">
      <c r="A891" s="227"/>
    </row>
    <row r="892" spans="1:54" ht="12.6" customHeight="1" x14ac:dyDescent="0.25">
      <c r="A892" s="227"/>
    </row>
    <row r="893" spans="1:54" s="227" customFormat="1" ht="25.5" customHeight="1" x14ac:dyDescent="0.25">
      <c r="A893" s="839" t="s">
        <v>1741</v>
      </c>
      <c r="B893" s="839"/>
      <c r="C893" s="839"/>
      <c r="D893" s="839"/>
      <c r="E893" s="839"/>
      <c r="F893" s="839"/>
      <c r="G893" s="839"/>
      <c r="H893" s="839"/>
      <c r="I893" s="839"/>
      <c r="J893" s="839"/>
      <c r="K893" s="839"/>
      <c r="L893" s="839"/>
      <c r="M893" s="839"/>
      <c r="N893" s="839"/>
      <c r="O893" s="839"/>
      <c r="P893" s="839"/>
      <c r="Q893" s="839"/>
      <c r="R893" s="839"/>
      <c r="S893" s="839"/>
      <c r="T893" s="839"/>
      <c r="U893" s="839"/>
      <c r="V893" s="839"/>
      <c r="W893" s="839"/>
      <c r="X893" s="839"/>
      <c r="Y893" s="839"/>
      <c r="Z893" s="839"/>
      <c r="AA893" s="839"/>
      <c r="AB893" s="839"/>
      <c r="AC893" s="839"/>
      <c r="AD893" s="839"/>
      <c r="AE893" s="839"/>
      <c r="AF893" s="839"/>
      <c r="AG893" s="839"/>
      <c r="AH893" s="839"/>
      <c r="AI893" s="839"/>
      <c r="AJ893" s="839"/>
      <c r="AK893" s="839"/>
      <c r="AL893" s="839"/>
      <c r="AM893" s="839"/>
      <c r="AN893" s="839"/>
      <c r="AO893" s="839"/>
      <c r="AP893" s="839"/>
      <c r="AQ893" s="839"/>
      <c r="AR893" s="839"/>
      <c r="AS893" s="839"/>
      <c r="AT893" s="839"/>
      <c r="AU893" s="839"/>
      <c r="AV893" s="839"/>
      <c r="AW893" s="839"/>
      <c r="AX893" s="839"/>
      <c r="AY893" s="839"/>
      <c r="AZ893" s="839"/>
      <c r="BA893" s="839"/>
      <c r="BB893" s="29"/>
    </row>
    <row r="894" spans="1:54" ht="12.6" customHeight="1" x14ac:dyDescent="0.25">
      <c r="A894" s="227"/>
    </row>
    <row r="895" spans="1:54" ht="12.6" customHeight="1" x14ac:dyDescent="0.25">
      <c r="A895" s="840" t="s">
        <v>1287</v>
      </c>
      <c r="B895" s="840"/>
      <c r="C895" s="840"/>
      <c r="D895" s="840"/>
      <c r="E895" s="840"/>
      <c r="F895" s="840"/>
      <c r="G895" s="840"/>
      <c r="H895" s="840"/>
      <c r="I895" s="840"/>
      <c r="J895" s="840"/>
      <c r="K895" s="840"/>
      <c r="L895" s="840"/>
      <c r="M895" s="840"/>
      <c r="N895" s="840"/>
      <c r="O895" s="840"/>
      <c r="P895" s="840"/>
      <c r="Q895" s="840"/>
      <c r="R895" s="840"/>
      <c r="S895" s="840"/>
      <c r="T895" s="840"/>
      <c r="U895" s="840"/>
      <c r="V895" s="840"/>
      <c r="W895" s="840"/>
      <c r="X895" s="840"/>
      <c r="Y895" s="840"/>
      <c r="Z895" s="840"/>
      <c r="AA895" s="840"/>
      <c r="AB895" s="840"/>
      <c r="AC895" s="840"/>
      <c r="AD895" s="840"/>
      <c r="AE895" s="840"/>
      <c r="AF895" s="840"/>
      <c r="AG895" s="840"/>
      <c r="AH895" s="840"/>
      <c r="AI895" s="840"/>
      <c r="AJ895" s="840"/>
      <c r="AK895" s="840"/>
      <c r="AL895" s="768" t="s">
        <v>1645</v>
      </c>
      <c r="AM895" s="768"/>
      <c r="AN895" s="768"/>
      <c r="AO895" s="768"/>
      <c r="AP895" s="768"/>
      <c r="AQ895" s="768"/>
      <c r="AR895" s="768"/>
      <c r="AS895" s="768"/>
      <c r="AT895" s="768"/>
      <c r="AU895" s="768"/>
      <c r="AV895" s="768"/>
      <c r="AW895" s="768"/>
      <c r="AX895" s="768"/>
      <c r="AY895" s="768"/>
      <c r="AZ895" s="768"/>
      <c r="BA895" s="768"/>
      <c r="BB895" s="768"/>
    </row>
    <row r="896" spans="1:54" ht="12.6" customHeight="1" x14ac:dyDescent="0.25">
      <c r="A896" s="840"/>
      <c r="B896" s="840"/>
      <c r="C896" s="840"/>
      <c r="D896" s="840"/>
      <c r="E896" s="840"/>
      <c r="F896" s="840"/>
      <c r="G896" s="840"/>
      <c r="H896" s="840"/>
      <c r="I896" s="840"/>
      <c r="J896" s="840"/>
      <c r="K896" s="840"/>
      <c r="L896" s="840"/>
      <c r="M896" s="840"/>
      <c r="N896" s="840"/>
      <c r="O896" s="840"/>
      <c r="P896" s="840"/>
      <c r="Q896" s="840"/>
      <c r="R896" s="840"/>
      <c r="S896" s="840"/>
      <c r="T896" s="840"/>
      <c r="U896" s="840"/>
      <c r="V896" s="840"/>
      <c r="W896" s="840"/>
      <c r="X896" s="840"/>
      <c r="Y896" s="840"/>
      <c r="Z896" s="840"/>
      <c r="AA896" s="840"/>
      <c r="AB896" s="840"/>
      <c r="AC896" s="840"/>
      <c r="AD896" s="840"/>
      <c r="AE896" s="840"/>
      <c r="AF896" s="840"/>
      <c r="AG896" s="840"/>
      <c r="AH896" s="840"/>
      <c r="AI896" s="840"/>
      <c r="AJ896" s="840"/>
      <c r="AK896" s="840"/>
      <c r="AL896" s="745" t="s">
        <v>1290</v>
      </c>
      <c r="AM896" s="745"/>
      <c r="AN896" s="745"/>
      <c r="AO896" s="745"/>
      <c r="AP896" s="745"/>
      <c r="AQ896" s="745"/>
      <c r="AR896" s="745"/>
      <c r="AS896" s="745"/>
      <c r="AT896" s="745"/>
      <c r="AU896" s="745"/>
      <c r="AV896" s="745"/>
      <c r="AW896" s="745"/>
      <c r="AX896" s="745"/>
      <c r="AY896" s="745"/>
      <c r="AZ896" s="745"/>
      <c r="BA896" s="745"/>
      <c r="BB896" s="745"/>
    </row>
    <row r="897" spans="1:54" ht="12.6" customHeight="1" x14ac:dyDescent="0.25">
      <c r="A897" s="841" t="s">
        <v>1742</v>
      </c>
      <c r="B897" s="841"/>
      <c r="C897" s="841"/>
      <c r="D897" s="841"/>
      <c r="E897" s="841"/>
      <c r="F897" s="841"/>
      <c r="G897" s="841"/>
      <c r="H897" s="841"/>
      <c r="I897" s="841"/>
      <c r="J897" s="841"/>
      <c r="K897" s="841"/>
      <c r="L897" s="841"/>
      <c r="M897" s="841"/>
      <c r="N897" s="841"/>
      <c r="O897" s="841"/>
      <c r="P897" s="841"/>
      <c r="Q897" s="841"/>
      <c r="R897" s="841"/>
      <c r="S897" s="841"/>
      <c r="T897" s="841"/>
      <c r="U897" s="841"/>
      <c r="V897" s="841"/>
      <c r="W897" s="841"/>
      <c r="X897" s="841"/>
      <c r="Y897" s="841"/>
      <c r="Z897" s="841"/>
      <c r="AA897" s="841"/>
      <c r="AB897" s="841"/>
      <c r="AC897" s="841"/>
      <c r="AD897" s="841"/>
      <c r="AE897" s="841"/>
      <c r="AF897" s="841"/>
      <c r="AG897" s="841"/>
      <c r="AH897" s="841"/>
      <c r="AI897" s="841"/>
      <c r="AJ897" s="841"/>
      <c r="AK897" s="841"/>
      <c r="AL897" s="709"/>
      <c r="AM897" s="709"/>
      <c r="AN897" s="709"/>
      <c r="AO897" s="709"/>
      <c r="AP897" s="709"/>
      <c r="AQ897" s="709"/>
      <c r="AR897" s="709"/>
      <c r="AS897" s="709"/>
      <c r="AT897" s="709"/>
      <c r="AU897" s="709"/>
      <c r="AV897" s="709"/>
      <c r="AW897" s="709"/>
      <c r="AX897" s="709"/>
      <c r="AY897" s="709"/>
      <c r="AZ897" s="709"/>
      <c r="BA897" s="709"/>
      <c r="BB897" s="709"/>
    </row>
    <row r="898" spans="1:54" ht="12.6" customHeight="1" x14ac:dyDescent="0.25">
      <c r="A898" s="841" t="s">
        <v>1743</v>
      </c>
      <c r="B898" s="841"/>
      <c r="C898" s="841"/>
      <c r="D898" s="841"/>
      <c r="E898" s="841"/>
      <c r="F898" s="841"/>
      <c r="G898" s="841"/>
      <c r="H898" s="841"/>
      <c r="I898" s="841"/>
      <c r="J898" s="841"/>
      <c r="K898" s="841"/>
      <c r="L898" s="841"/>
      <c r="M898" s="841"/>
      <c r="N898" s="841"/>
      <c r="O898" s="841"/>
      <c r="P898" s="841"/>
      <c r="Q898" s="841"/>
      <c r="R898" s="841"/>
      <c r="S898" s="841"/>
      <c r="T898" s="841"/>
      <c r="U898" s="841"/>
      <c r="V898" s="841"/>
      <c r="W898" s="841"/>
      <c r="X898" s="841"/>
      <c r="Y898" s="841"/>
      <c r="Z898" s="841"/>
      <c r="AA898" s="841"/>
      <c r="AB898" s="841"/>
      <c r="AC898" s="841"/>
      <c r="AD898" s="841"/>
      <c r="AE898" s="841"/>
      <c r="AF898" s="841"/>
      <c r="AG898" s="841"/>
      <c r="AH898" s="841"/>
      <c r="AI898" s="841"/>
      <c r="AJ898" s="841"/>
      <c r="AK898" s="841"/>
      <c r="AL898" s="709"/>
      <c r="AM898" s="709"/>
      <c r="AN898" s="709"/>
      <c r="AO898" s="709"/>
      <c r="AP898" s="709"/>
      <c r="AQ898" s="709"/>
      <c r="AR898" s="709"/>
      <c r="AS898" s="709"/>
      <c r="AT898" s="709"/>
      <c r="AU898" s="709"/>
      <c r="AV898" s="709"/>
      <c r="AW898" s="709"/>
      <c r="AX898" s="709"/>
      <c r="AY898" s="709"/>
      <c r="AZ898" s="709"/>
      <c r="BA898" s="709"/>
      <c r="BB898" s="709"/>
    </row>
    <row r="899" spans="1:54" ht="12.6" customHeight="1" x14ac:dyDescent="0.25">
      <c r="A899" s="227" t="s">
        <v>1482</v>
      </c>
    </row>
    <row r="900" spans="1:54" ht="15" customHeight="1" x14ac:dyDescent="0.25">
      <c r="A900" s="763"/>
      <c r="B900" s="763"/>
      <c r="C900" s="763"/>
      <c r="D900" s="763"/>
      <c r="E900" s="763"/>
      <c r="F900" s="763"/>
      <c r="G900" s="763"/>
      <c r="H900" s="763"/>
      <c r="I900" s="763"/>
      <c r="J900" s="763"/>
      <c r="K900" s="763"/>
      <c r="L900" s="763"/>
      <c r="M900" s="763"/>
      <c r="N900" s="763"/>
      <c r="O900" s="763"/>
      <c r="P900" s="763"/>
      <c r="Q900" s="763"/>
      <c r="R900" s="763"/>
      <c r="S900" s="763"/>
      <c r="T900" s="763"/>
      <c r="U900" s="763"/>
      <c r="V900" s="763"/>
      <c r="W900" s="763"/>
      <c r="X900" s="763"/>
      <c r="Y900" s="763"/>
      <c r="Z900" s="763"/>
      <c r="AA900" s="763"/>
      <c r="AB900" s="763"/>
      <c r="AC900" s="763"/>
      <c r="AD900" s="763"/>
      <c r="AE900" s="763"/>
      <c r="AF900" s="763"/>
      <c r="AG900" s="763"/>
      <c r="AH900" s="763"/>
      <c r="AI900" s="763"/>
      <c r="AJ900" s="763"/>
      <c r="AK900" s="763"/>
      <c r="AL900" s="763"/>
      <c r="AM900" s="763"/>
      <c r="AN900" s="763"/>
      <c r="AO900" s="763"/>
      <c r="AP900" s="763"/>
      <c r="AQ900" s="763"/>
      <c r="AR900" s="763"/>
      <c r="AS900" s="763"/>
      <c r="AT900" s="763"/>
      <c r="AU900" s="763"/>
      <c r="AV900" s="763"/>
      <c r="AW900" s="763"/>
      <c r="AX900" s="763"/>
      <c r="AY900" s="265"/>
      <c r="AZ900" s="265"/>
      <c r="BA900" s="265"/>
      <c r="BB900" s="265"/>
    </row>
    <row r="901" spans="1:54" ht="15" customHeight="1" x14ac:dyDescent="0.25">
      <c r="A901" s="763"/>
      <c r="B901" s="763"/>
      <c r="C901" s="763"/>
      <c r="D901" s="763"/>
      <c r="E901" s="763"/>
      <c r="F901" s="763"/>
      <c r="G901" s="763"/>
      <c r="H901" s="763"/>
      <c r="I901" s="763"/>
      <c r="J901" s="763"/>
      <c r="K901" s="763"/>
      <c r="L901" s="763"/>
      <c r="M901" s="763"/>
      <c r="N901" s="763"/>
      <c r="O901" s="763"/>
      <c r="P901" s="763"/>
      <c r="Q901" s="763"/>
      <c r="R901" s="763"/>
      <c r="S901" s="763"/>
      <c r="T901" s="763"/>
      <c r="U901" s="763"/>
      <c r="V901" s="763"/>
      <c r="W901" s="763"/>
      <c r="X901" s="763"/>
      <c r="Y901" s="763"/>
      <c r="Z901" s="763"/>
      <c r="AA901" s="763"/>
      <c r="AB901" s="763"/>
      <c r="AC901" s="763"/>
      <c r="AD901" s="763"/>
      <c r="AE901" s="763"/>
      <c r="AF901" s="763"/>
      <c r="AG901" s="763"/>
      <c r="AH901" s="763"/>
      <c r="AI901" s="763"/>
      <c r="AJ901" s="763"/>
      <c r="AK901" s="763"/>
      <c r="AL901" s="763"/>
      <c r="AM901" s="763"/>
      <c r="AN901" s="763"/>
      <c r="AO901" s="763"/>
      <c r="AP901" s="763"/>
      <c r="AQ901" s="763"/>
      <c r="AR901" s="763"/>
      <c r="AS901" s="763"/>
      <c r="AT901" s="763"/>
      <c r="AU901" s="763"/>
      <c r="AV901" s="763"/>
      <c r="AW901" s="763"/>
      <c r="AX901" s="763"/>
      <c r="AY901" s="265"/>
      <c r="AZ901" s="265"/>
      <c r="BA901" s="265"/>
      <c r="BB901" s="265"/>
    </row>
    <row r="902" spans="1:54" ht="12.6" customHeight="1" x14ac:dyDescent="0.25">
      <c r="A902" s="227" t="s">
        <v>1744</v>
      </c>
      <c r="B902" s="227"/>
      <c r="C902" s="227"/>
      <c r="D902" s="227"/>
      <c r="E902" s="227"/>
      <c r="F902" s="227"/>
      <c r="G902" s="227"/>
      <c r="H902" s="227"/>
      <c r="I902" s="227"/>
      <c r="J902" s="227"/>
      <c r="K902" s="227"/>
      <c r="L902" s="227"/>
      <c r="M902" s="227"/>
      <c r="N902" s="227"/>
      <c r="O902" s="227"/>
      <c r="P902" s="227"/>
      <c r="Q902" s="227"/>
      <c r="R902" s="227"/>
      <c r="S902" s="227"/>
      <c r="T902" s="227"/>
      <c r="U902" s="227"/>
      <c r="V902" s="227"/>
      <c r="W902" s="227"/>
      <c r="X902" s="227"/>
      <c r="Y902" s="227"/>
      <c r="Z902" s="227"/>
      <c r="AA902" s="227"/>
      <c r="AB902" s="227"/>
      <c r="AC902" s="227"/>
      <c r="AD902" s="227"/>
      <c r="AE902" s="227"/>
      <c r="AF902" s="227"/>
      <c r="AG902" s="227"/>
      <c r="AH902" s="227"/>
      <c r="AI902" s="227"/>
      <c r="AJ902" s="227"/>
      <c r="AK902" s="227"/>
      <c r="AL902" s="227"/>
      <c r="AM902" s="227"/>
      <c r="AN902" s="227"/>
      <c r="AO902" s="227"/>
      <c r="AP902" s="227"/>
      <c r="AQ902" s="227"/>
      <c r="AR902" s="227"/>
      <c r="AS902" s="227"/>
      <c r="AT902" s="227"/>
      <c r="AU902" s="227"/>
      <c r="AV902" s="227"/>
      <c r="AW902" s="227"/>
      <c r="AX902" s="227"/>
      <c r="AY902" s="227"/>
      <c r="AZ902" s="227"/>
      <c r="BA902" s="227"/>
      <c r="BB902" s="227"/>
    </row>
    <row r="903" spans="1:54" ht="12.6" customHeight="1" x14ac:dyDescent="0.25">
      <c r="A903" s="227"/>
      <c r="B903" s="227" t="s">
        <v>1745</v>
      </c>
      <c r="C903" s="227"/>
      <c r="D903" s="227"/>
      <c r="E903" s="227"/>
      <c r="F903" s="227"/>
      <c r="G903" s="227"/>
      <c r="H903" s="227"/>
      <c r="I903" s="227"/>
      <c r="J903" s="227"/>
      <c r="K903" s="227"/>
      <c r="L903" s="227"/>
      <c r="M903" s="227"/>
      <c r="N903" s="227"/>
      <c r="O903" s="227"/>
      <c r="P903" s="227"/>
      <c r="Q903" s="227"/>
      <c r="R903" s="227"/>
      <c r="S903" s="227"/>
      <c r="T903" s="227"/>
      <c r="U903" s="227"/>
      <c r="V903" s="227"/>
      <c r="W903" s="227"/>
      <c r="X903" s="227"/>
      <c r="Y903" s="227"/>
      <c r="Z903" s="227"/>
      <c r="AA903" s="227"/>
      <c r="AB903" s="227"/>
      <c r="AC903" s="227"/>
      <c r="AD903" s="227"/>
      <c r="AE903" s="227"/>
      <c r="AF903" s="227"/>
      <c r="AG903" s="227"/>
      <c r="AH903" s="227"/>
      <c r="AI903" s="227"/>
      <c r="AJ903" s="227"/>
      <c r="AK903" s="227"/>
      <c r="AL903" s="227"/>
      <c r="AM903" s="227"/>
      <c r="AN903" s="227"/>
      <c r="AO903" s="227"/>
      <c r="AP903" s="227"/>
      <c r="AQ903" s="227"/>
      <c r="AR903" s="227"/>
      <c r="AS903" s="227"/>
      <c r="AT903" s="227"/>
      <c r="AU903" s="227"/>
      <c r="AV903" s="227"/>
      <c r="AW903" s="227"/>
      <c r="AX903" s="227"/>
      <c r="AY903" s="227"/>
      <c r="AZ903" s="227"/>
      <c r="BA903" s="227"/>
      <c r="BB903" s="227"/>
    </row>
    <row r="904" spans="1:54" ht="12.6" customHeight="1" x14ac:dyDescent="0.25">
      <c r="A904" s="241"/>
      <c r="B904" s="242"/>
      <c r="C904" s="242"/>
      <c r="D904" s="242"/>
      <c r="E904" s="242"/>
      <c r="F904" s="242"/>
      <c r="G904" s="242"/>
      <c r="H904" s="242"/>
      <c r="I904" s="242"/>
      <c r="J904" s="242"/>
      <c r="K904" s="242"/>
      <c r="L904" s="242"/>
      <c r="M904" s="242"/>
      <c r="N904" s="242"/>
      <c r="O904" s="242"/>
      <c r="P904" s="242"/>
      <c r="Q904" s="249"/>
      <c r="R904" s="242"/>
      <c r="S904" s="268"/>
      <c r="T904" s="842" t="s">
        <v>1746</v>
      </c>
      <c r="U904" s="842"/>
      <c r="V904" s="842"/>
      <c r="W904" s="842"/>
      <c r="X904" s="842"/>
      <c r="Y904" s="842"/>
      <c r="Z904" s="842"/>
      <c r="AA904" s="768" t="s">
        <v>1747</v>
      </c>
      <c r="AB904" s="768"/>
      <c r="AC904" s="768"/>
      <c r="AD904" s="768"/>
      <c r="AE904" s="768"/>
      <c r="AF904" s="768"/>
      <c r="AG904" s="768"/>
      <c r="AH904" s="768"/>
      <c r="AI904" s="768"/>
      <c r="AJ904" s="768"/>
      <c r="AK904" s="768"/>
      <c r="AL904" s="768"/>
      <c r="AM904" s="768"/>
      <c r="AN904" s="768"/>
      <c r="AO904" s="768"/>
      <c r="AP904" s="768"/>
      <c r="AQ904" s="768"/>
      <c r="AR904" s="768"/>
      <c r="AS904" s="768"/>
      <c r="AT904" s="768"/>
      <c r="AU904" s="768"/>
      <c r="AV904" s="768"/>
      <c r="AW904" s="768"/>
      <c r="AX904" s="768"/>
      <c r="AY904" s="768"/>
      <c r="AZ904" s="768"/>
      <c r="BA904" s="768"/>
      <c r="BB904" s="768"/>
    </row>
    <row r="905" spans="1:54" ht="12.6" customHeight="1" x14ac:dyDescent="0.25">
      <c r="A905" s="243"/>
      <c r="B905" s="244"/>
      <c r="C905" s="244"/>
      <c r="D905" s="244"/>
      <c r="E905" s="244"/>
      <c r="F905" s="244"/>
      <c r="G905" s="244"/>
      <c r="H905" s="244"/>
      <c r="I905" s="244"/>
      <c r="J905" s="244"/>
      <c r="K905" s="244"/>
      <c r="L905" s="244"/>
      <c r="M905" s="244"/>
      <c r="N905" s="244"/>
      <c r="O905" s="244"/>
      <c r="P905" s="244"/>
      <c r="Q905" s="208"/>
      <c r="R905" s="211"/>
      <c r="S905" s="317"/>
      <c r="T905" s="842"/>
      <c r="U905" s="842"/>
      <c r="V905" s="842"/>
      <c r="W905" s="842"/>
      <c r="X905" s="842"/>
      <c r="Y905" s="842"/>
      <c r="Z905" s="842"/>
      <c r="AA905" s="745" t="s">
        <v>1748</v>
      </c>
      <c r="AB905" s="745"/>
      <c r="AC905" s="745"/>
      <c r="AD905" s="745"/>
      <c r="AE905" s="745"/>
      <c r="AF905" s="745"/>
      <c r="AG905" s="745"/>
      <c r="AH905" s="745"/>
      <c r="AI905" s="745"/>
      <c r="AJ905" s="745"/>
      <c r="AK905" s="745"/>
      <c r="AL905" s="745"/>
      <c r="AM905" s="745" t="s">
        <v>1749</v>
      </c>
      <c r="AN905" s="745"/>
      <c r="AO905" s="745"/>
      <c r="AP905" s="745"/>
      <c r="AQ905" s="745"/>
      <c r="AR905" s="745"/>
      <c r="AS905" s="745"/>
      <c r="AT905" s="745"/>
      <c r="AU905" s="745"/>
      <c r="AV905" s="745"/>
      <c r="AW905" s="745"/>
      <c r="AX905" s="745"/>
      <c r="AY905" s="745"/>
      <c r="AZ905" s="745"/>
      <c r="BA905" s="745"/>
      <c r="BB905" s="745"/>
    </row>
    <row r="906" spans="1:54" ht="12.6" customHeight="1" x14ac:dyDescent="0.25">
      <c r="A906" s="745" t="s">
        <v>1750</v>
      </c>
      <c r="B906" s="745"/>
      <c r="C906" s="745"/>
      <c r="D906" s="745"/>
      <c r="E906" s="745"/>
      <c r="F906" s="745"/>
      <c r="G906" s="745"/>
      <c r="H906" s="745"/>
      <c r="I906" s="745"/>
      <c r="J906" s="745"/>
      <c r="K906" s="745"/>
      <c r="L906" s="745"/>
      <c r="M906" s="745"/>
      <c r="N906" s="745"/>
      <c r="O906" s="745"/>
      <c r="P906" s="745"/>
      <c r="Q906" s="745"/>
      <c r="R906" s="745"/>
      <c r="S906" s="745"/>
      <c r="T906" s="745" t="s">
        <v>1590</v>
      </c>
      <c r="U906" s="745"/>
      <c r="V906" s="745"/>
      <c r="W906" s="745"/>
      <c r="X906" s="745"/>
      <c r="Y906" s="745"/>
      <c r="Z906" s="745"/>
      <c r="AA906" s="745" t="s">
        <v>1751</v>
      </c>
      <c r="AB906" s="745"/>
      <c r="AC906" s="745"/>
      <c r="AD906" s="745"/>
      <c r="AE906" s="745"/>
      <c r="AF906" s="745"/>
      <c r="AG906" s="745"/>
      <c r="AH906" s="745"/>
      <c r="AI906" s="745"/>
      <c r="AJ906" s="745"/>
      <c r="AK906" s="745"/>
      <c r="AL906" s="745"/>
      <c r="AM906" s="745" t="s">
        <v>1752</v>
      </c>
      <c r="AN906" s="745"/>
      <c r="AO906" s="745"/>
      <c r="AP906" s="745"/>
      <c r="AQ906" s="745"/>
      <c r="AR906" s="745"/>
      <c r="AS906" s="745"/>
      <c r="AT906" s="745"/>
      <c r="AU906" s="745"/>
      <c r="AV906" s="745"/>
      <c r="AW906" s="745"/>
      <c r="AX906" s="745"/>
      <c r="AY906" s="745"/>
      <c r="AZ906" s="745"/>
      <c r="BA906" s="745"/>
      <c r="BB906" s="745"/>
    </row>
    <row r="907" spans="1:54" ht="12.6" customHeight="1" x14ac:dyDescent="0.25">
      <c r="A907" s="243"/>
      <c r="B907" s="244"/>
      <c r="C907" s="244"/>
      <c r="D907" s="244"/>
      <c r="E907" s="244"/>
      <c r="F907" s="244"/>
      <c r="G907" s="244"/>
      <c r="H907" s="244"/>
      <c r="I907" s="244"/>
      <c r="J907" s="244"/>
      <c r="K907" s="244"/>
      <c r="L907" s="244"/>
      <c r="M907" s="244"/>
      <c r="N907" s="244"/>
      <c r="O907" s="244"/>
      <c r="P907" s="244"/>
      <c r="Q907" s="208"/>
      <c r="R907" s="211"/>
      <c r="S907" s="317"/>
      <c r="T907" s="745" t="s">
        <v>1753</v>
      </c>
      <c r="U907" s="745"/>
      <c r="V907" s="745"/>
      <c r="W907" s="745"/>
      <c r="X907" s="745"/>
      <c r="Y907" s="745"/>
      <c r="Z907" s="745"/>
      <c r="AA907" s="745" t="s">
        <v>1473</v>
      </c>
      <c r="AB907" s="745"/>
      <c r="AC907" s="745"/>
      <c r="AD907" s="745"/>
      <c r="AE907" s="745"/>
      <c r="AF907" s="745"/>
      <c r="AG907" s="745"/>
      <c r="AH907" s="745"/>
      <c r="AI907" s="745"/>
      <c r="AJ907" s="745"/>
      <c r="AK907" s="745"/>
      <c r="AL907" s="745"/>
      <c r="AM907" s="745" t="s">
        <v>1754</v>
      </c>
      <c r="AN907" s="745"/>
      <c r="AO907" s="745"/>
      <c r="AP907" s="745"/>
      <c r="AQ907" s="745"/>
      <c r="AR907" s="745"/>
      <c r="AS907" s="745"/>
      <c r="AT907" s="745"/>
      <c r="AU907" s="745"/>
      <c r="AV907" s="745"/>
      <c r="AW907" s="745"/>
      <c r="AX907" s="745"/>
      <c r="AY907" s="745"/>
      <c r="AZ907" s="745"/>
      <c r="BA907" s="745"/>
      <c r="BB907" s="745"/>
    </row>
    <row r="908" spans="1:54" ht="12.6" customHeight="1" x14ac:dyDescent="0.25">
      <c r="A908" s="750" t="s">
        <v>1323</v>
      </c>
      <c r="B908" s="750"/>
      <c r="C908" s="750"/>
      <c r="D908" s="750"/>
      <c r="E908" s="750"/>
      <c r="F908" s="750"/>
      <c r="G908" s="750"/>
      <c r="H908" s="750"/>
      <c r="I908" s="750"/>
      <c r="J908" s="750"/>
      <c r="K908" s="750"/>
      <c r="L908" s="750"/>
      <c r="M908" s="750"/>
      <c r="N908" s="750"/>
      <c r="O908" s="750"/>
      <c r="P908" s="750"/>
      <c r="Q908" s="750"/>
      <c r="R908" s="750"/>
      <c r="S908" s="750"/>
      <c r="T908" s="750" t="s">
        <v>1324</v>
      </c>
      <c r="U908" s="750"/>
      <c r="V908" s="750"/>
      <c r="W908" s="750"/>
      <c r="X908" s="750"/>
      <c r="Y908" s="750"/>
      <c r="Z908" s="750"/>
      <c r="AA908" s="750" t="s">
        <v>1325</v>
      </c>
      <c r="AB908" s="750"/>
      <c r="AC908" s="750"/>
      <c r="AD908" s="750"/>
      <c r="AE908" s="750"/>
      <c r="AF908" s="750"/>
      <c r="AG908" s="750"/>
      <c r="AH908" s="750"/>
      <c r="AI908" s="750"/>
      <c r="AJ908" s="750"/>
      <c r="AK908" s="750"/>
      <c r="AL908" s="750"/>
      <c r="AM908" s="750" t="s">
        <v>1326</v>
      </c>
      <c r="AN908" s="750"/>
      <c r="AO908" s="750"/>
      <c r="AP908" s="750"/>
      <c r="AQ908" s="750"/>
      <c r="AR908" s="750"/>
      <c r="AS908" s="750"/>
      <c r="AT908" s="750"/>
      <c r="AU908" s="750"/>
      <c r="AV908" s="750"/>
      <c r="AW908" s="750"/>
      <c r="AX908" s="750"/>
      <c r="AY908" s="750"/>
      <c r="AZ908" s="750"/>
      <c r="BA908" s="750"/>
      <c r="BB908" s="750"/>
    </row>
    <row r="909" spans="1:54" ht="24.75" customHeight="1" x14ac:dyDescent="0.25">
      <c r="A909" s="843" t="s">
        <v>1755</v>
      </c>
      <c r="B909" s="843"/>
      <c r="C909" s="843"/>
      <c r="D909" s="843"/>
      <c r="E909" s="843"/>
      <c r="F909" s="843"/>
      <c r="G909" s="843"/>
      <c r="H909" s="843"/>
      <c r="I909" s="843"/>
      <c r="J909" s="843"/>
      <c r="K909" s="843"/>
      <c r="L909" s="843"/>
      <c r="M909" s="843"/>
      <c r="N909" s="843"/>
      <c r="O909" s="843"/>
      <c r="P909" s="843"/>
      <c r="Q909" s="843"/>
      <c r="R909" s="843"/>
      <c r="S909" s="843"/>
      <c r="T909" s="794"/>
      <c r="U909" s="794"/>
      <c r="V909" s="794"/>
      <c r="W909" s="794"/>
      <c r="X909" s="794"/>
      <c r="Y909" s="794"/>
      <c r="Z909" s="794"/>
      <c r="AA909" s="804"/>
      <c r="AB909" s="804"/>
      <c r="AC909" s="804"/>
      <c r="AD909" s="804"/>
      <c r="AE909" s="804"/>
      <c r="AF909" s="804"/>
      <c r="AG909" s="804"/>
      <c r="AH909" s="804"/>
      <c r="AI909" s="804"/>
      <c r="AJ909" s="804"/>
      <c r="AK909" s="804"/>
      <c r="AL909" s="804"/>
      <c r="AM909" s="794"/>
      <c r="AN909" s="794"/>
      <c r="AO909" s="794"/>
      <c r="AP909" s="794"/>
      <c r="AQ909" s="794"/>
      <c r="AR909" s="794"/>
      <c r="AS909" s="794"/>
      <c r="AT909" s="794"/>
      <c r="AU909" s="794"/>
      <c r="AV909" s="794"/>
      <c r="AW909" s="794"/>
      <c r="AX909" s="794"/>
      <c r="AY909" s="794"/>
      <c r="AZ909" s="794"/>
      <c r="BA909" s="794"/>
      <c r="BB909" s="794"/>
    </row>
    <row r="910" spans="1:54" ht="24" customHeight="1" x14ac:dyDescent="0.25">
      <c r="A910" s="844" t="s">
        <v>1755</v>
      </c>
      <c r="B910" s="844"/>
      <c r="C910" s="844"/>
      <c r="D910" s="844"/>
      <c r="E910" s="844"/>
      <c r="F910" s="844"/>
      <c r="G910" s="844"/>
      <c r="H910" s="844"/>
      <c r="I910" s="844"/>
      <c r="J910" s="844"/>
      <c r="K910" s="844"/>
      <c r="L910" s="844"/>
      <c r="M910" s="844"/>
      <c r="N910" s="844"/>
      <c r="O910" s="844"/>
      <c r="P910" s="844"/>
      <c r="Q910" s="844" t="e">
        <f>SUM(#REF!)</f>
        <v>#REF!</v>
      </c>
      <c r="R910" s="844"/>
      <c r="S910" s="844"/>
      <c r="T910" s="794"/>
      <c r="U910" s="794"/>
      <c r="V910" s="794"/>
      <c r="W910" s="794"/>
      <c r="X910" s="794"/>
      <c r="Y910" s="794"/>
      <c r="Z910" s="794"/>
      <c r="AA910" s="804"/>
      <c r="AB910" s="804"/>
      <c r="AC910" s="804"/>
      <c r="AD910" s="804"/>
      <c r="AE910" s="804"/>
      <c r="AF910" s="804"/>
      <c r="AG910" s="804"/>
      <c r="AH910" s="804"/>
      <c r="AI910" s="804"/>
      <c r="AJ910" s="804"/>
      <c r="AK910" s="804"/>
      <c r="AL910" s="804"/>
      <c r="AM910" s="794"/>
      <c r="AN910" s="794"/>
      <c r="AO910" s="794"/>
      <c r="AP910" s="794"/>
      <c r="AQ910" s="794"/>
      <c r="AR910" s="794"/>
      <c r="AS910" s="794"/>
      <c r="AT910" s="794"/>
      <c r="AU910" s="794"/>
      <c r="AV910" s="794"/>
      <c r="AW910" s="794"/>
      <c r="AX910" s="794"/>
      <c r="AY910" s="794"/>
      <c r="AZ910" s="794"/>
      <c r="BA910" s="794"/>
      <c r="BB910" s="794"/>
    </row>
    <row r="911" spans="1:54" ht="12.6" customHeight="1" x14ac:dyDescent="0.25">
      <c r="A911" s="843" t="s">
        <v>1729</v>
      </c>
      <c r="B911" s="843"/>
      <c r="C911" s="843"/>
      <c r="D911" s="843"/>
      <c r="E911" s="843"/>
      <c r="F911" s="843"/>
      <c r="G911" s="843"/>
      <c r="H911" s="843"/>
      <c r="I911" s="843"/>
      <c r="J911" s="843"/>
      <c r="K911" s="843"/>
      <c r="L911" s="843"/>
      <c r="M911" s="843"/>
      <c r="N911" s="843"/>
      <c r="O911" s="843"/>
      <c r="P911" s="843"/>
      <c r="Q911" s="843" t="e">
        <f>SUM(#REF!)</f>
        <v>#REF!</v>
      </c>
      <c r="R911" s="843"/>
      <c r="S911" s="843"/>
      <c r="T911" s="794"/>
      <c r="U911" s="794"/>
      <c r="V911" s="794"/>
      <c r="W911" s="794"/>
      <c r="X911" s="794"/>
      <c r="Y911" s="794"/>
      <c r="Z911" s="794"/>
      <c r="AA911" s="804"/>
      <c r="AB911" s="804"/>
      <c r="AC911" s="804"/>
      <c r="AD911" s="804"/>
      <c r="AE911" s="804"/>
      <c r="AF911" s="804"/>
      <c r="AG911" s="804"/>
      <c r="AH911" s="804"/>
      <c r="AI911" s="804"/>
      <c r="AJ911" s="804"/>
      <c r="AK911" s="804"/>
      <c r="AL911" s="804"/>
      <c r="AM911" s="794"/>
      <c r="AN911" s="794"/>
      <c r="AO911" s="794"/>
      <c r="AP911" s="794"/>
      <c r="AQ911" s="794"/>
      <c r="AR911" s="794"/>
      <c r="AS911" s="794"/>
      <c r="AT911" s="794"/>
      <c r="AU911" s="794"/>
      <c r="AV911" s="794"/>
      <c r="AW911" s="794"/>
      <c r="AX911" s="794"/>
      <c r="AY911" s="794"/>
      <c r="AZ911" s="794"/>
      <c r="BA911" s="794"/>
      <c r="BB911" s="794"/>
    </row>
    <row r="912" spans="1:54" ht="12.6" customHeight="1" x14ac:dyDescent="0.25">
      <c r="A912" s="843" t="s">
        <v>1730</v>
      </c>
      <c r="B912" s="843"/>
      <c r="C912" s="843"/>
      <c r="D912" s="843"/>
      <c r="E912" s="843"/>
      <c r="F912" s="843"/>
      <c r="G912" s="843"/>
      <c r="H912" s="843"/>
      <c r="I912" s="843"/>
      <c r="J912" s="843"/>
      <c r="K912" s="843"/>
      <c r="L912" s="843"/>
      <c r="M912" s="843"/>
      <c r="N912" s="843"/>
      <c r="O912" s="843"/>
      <c r="P912" s="843"/>
      <c r="Q912" s="843" t="e">
        <f>SUM(#REF!)</f>
        <v>#REF!</v>
      </c>
      <c r="R912" s="843"/>
      <c r="S912" s="843"/>
      <c r="T912" s="794"/>
      <c r="U912" s="794"/>
      <c r="V912" s="794"/>
      <c r="W912" s="794"/>
      <c r="X912" s="794"/>
      <c r="Y912" s="794"/>
      <c r="Z912" s="794"/>
      <c r="AA912" s="804"/>
      <c r="AB912" s="804"/>
      <c r="AC912" s="804"/>
      <c r="AD912" s="804"/>
      <c r="AE912" s="804"/>
      <c r="AF912" s="804"/>
      <c r="AG912" s="804"/>
      <c r="AH912" s="804"/>
      <c r="AI912" s="804"/>
      <c r="AJ912" s="804"/>
      <c r="AK912" s="804"/>
      <c r="AL912" s="804"/>
      <c r="AM912" s="794"/>
      <c r="AN912" s="794"/>
      <c r="AO912" s="794"/>
      <c r="AP912" s="794"/>
      <c r="AQ912" s="794"/>
      <c r="AR912" s="794"/>
      <c r="AS912" s="794"/>
      <c r="AT912" s="794"/>
      <c r="AU912" s="794"/>
      <c r="AV912" s="794"/>
      <c r="AW912" s="794"/>
      <c r="AX912" s="794"/>
      <c r="AY912" s="794"/>
      <c r="AZ912" s="794"/>
      <c r="BA912" s="794"/>
      <c r="BB912" s="794"/>
    </row>
    <row r="913" spans="1:54" ht="12.6" customHeight="1" x14ac:dyDescent="0.25">
      <c r="A913" s="843" t="s">
        <v>1756</v>
      </c>
      <c r="B913" s="843"/>
      <c r="C913" s="843"/>
      <c r="D913" s="843"/>
      <c r="E913" s="843"/>
      <c r="F913" s="843"/>
      <c r="G913" s="843"/>
      <c r="H913" s="843"/>
      <c r="I913" s="843"/>
      <c r="J913" s="843"/>
      <c r="K913" s="843"/>
      <c r="L913" s="843"/>
      <c r="M913" s="843"/>
      <c r="N913" s="843"/>
      <c r="O913" s="843"/>
      <c r="P913" s="843"/>
      <c r="Q913" s="843" t="e">
        <f>SUM(#REF!)</f>
        <v>#REF!</v>
      </c>
      <c r="R913" s="843"/>
      <c r="S913" s="843"/>
      <c r="T913" s="794"/>
      <c r="U913" s="794"/>
      <c r="V913" s="794"/>
      <c r="W913" s="794"/>
      <c r="X913" s="794"/>
      <c r="Y913" s="794"/>
      <c r="Z913" s="794"/>
      <c r="AA913" s="804"/>
      <c r="AB913" s="804"/>
      <c r="AC913" s="804"/>
      <c r="AD913" s="804"/>
      <c r="AE913" s="804"/>
      <c r="AF913" s="804"/>
      <c r="AG913" s="804"/>
      <c r="AH913" s="804"/>
      <c r="AI913" s="804"/>
      <c r="AJ913" s="804"/>
      <c r="AK913" s="804"/>
      <c r="AL913" s="804"/>
      <c r="AM913" s="794"/>
      <c r="AN913" s="794"/>
      <c r="AO913" s="794"/>
      <c r="AP913" s="794"/>
      <c r="AQ913" s="794"/>
      <c r="AR913" s="794"/>
      <c r="AS913" s="794"/>
      <c r="AT913" s="794"/>
      <c r="AU913" s="794"/>
      <c r="AV913" s="794"/>
      <c r="AW913" s="794"/>
      <c r="AX913" s="794"/>
      <c r="AY913" s="794"/>
      <c r="AZ913" s="794"/>
      <c r="BA913" s="794"/>
      <c r="BB913" s="794"/>
    </row>
    <row r="914" spans="1:54" ht="12.6" customHeight="1" x14ac:dyDescent="0.25">
      <c r="A914" s="843" t="s">
        <v>1757</v>
      </c>
      <c r="B914" s="843"/>
      <c r="C914" s="843"/>
      <c r="D914" s="843"/>
      <c r="E914" s="843"/>
      <c r="F914" s="843"/>
      <c r="G914" s="843"/>
      <c r="H914" s="843"/>
      <c r="I914" s="843"/>
      <c r="J914" s="843"/>
      <c r="K914" s="843"/>
      <c r="L914" s="843"/>
      <c r="M914" s="843"/>
      <c r="N914" s="843"/>
      <c r="O914" s="843"/>
      <c r="P914" s="843"/>
      <c r="Q914" s="843" t="e">
        <f>SUM(#REF!)</f>
        <v>#REF!</v>
      </c>
      <c r="R914" s="843"/>
      <c r="S914" s="843"/>
      <c r="T914" s="794"/>
      <c r="U914" s="794"/>
      <c r="V914" s="794"/>
      <c r="W914" s="794"/>
      <c r="X914" s="794"/>
      <c r="Y914" s="794"/>
      <c r="Z914" s="794"/>
      <c r="AA914" s="804"/>
      <c r="AB914" s="804"/>
      <c r="AC914" s="804"/>
      <c r="AD914" s="804"/>
      <c r="AE914" s="804"/>
      <c r="AF914" s="804"/>
      <c r="AG914" s="804"/>
      <c r="AH914" s="804"/>
      <c r="AI914" s="804"/>
      <c r="AJ914" s="804"/>
      <c r="AK914" s="804"/>
      <c r="AL914" s="804"/>
      <c r="AM914" s="794"/>
      <c r="AN914" s="794"/>
      <c r="AO914" s="794"/>
      <c r="AP914" s="794"/>
      <c r="AQ914" s="794"/>
      <c r="AR914" s="794"/>
      <c r="AS914" s="794"/>
      <c r="AT914" s="794"/>
      <c r="AU914" s="794"/>
      <c r="AV914" s="794"/>
      <c r="AW914" s="794"/>
      <c r="AX914" s="794"/>
      <c r="AY914" s="794"/>
      <c r="AZ914" s="794"/>
      <c r="BA914" s="794"/>
      <c r="BB914" s="794"/>
    </row>
    <row r="915" spans="1:54" ht="12.6" customHeight="1" x14ac:dyDescent="0.25">
      <c r="A915" s="843" t="s">
        <v>1758</v>
      </c>
      <c r="B915" s="843"/>
      <c r="C915" s="843"/>
      <c r="D915" s="843"/>
      <c r="E915" s="843"/>
      <c r="F915" s="843"/>
      <c r="G915" s="843"/>
      <c r="H915" s="843"/>
      <c r="I915" s="843"/>
      <c r="J915" s="843"/>
      <c r="K915" s="843"/>
      <c r="L915" s="843"/>
      <c r="M915" s="843"/>
      <c r="N915" s="843"/>
      <c r="O915" s="843"/>
      <c r="P915" s="843"/>
      <c r="Q915" s="843" t="e">
        <f>SUM(#REF!)</f>
        <v>#REF!</v>
      </c>
      <c r="R915" s="843"/>
      <c r="S915" s="843"/>
      <c r="T915" s="794"/>
      <c r="U915" s="794"/>
      <c r="V915" s="794"/>
      <c r="W915" s="794"/>
      <c r="X915" s="794"/>
      <c r="Y915" s="794"/>
      <c r="Z915" s="794"/>
      <c r="AA915" s="804"/>
      <c r="AB915" s="804"/>
      <c r="AC915" s="804"/>
      <c r="AD915" s="804"/>
      <c r="AE915" s="804"/>
      <c r="AF915" s="804"/>
      <c r="AG915" s="804"/>
      <c r="AH915" s="804"/>
      <c r="AI915" s="804"/>
      <c r="AJ915" s="804"/>
      <c r="AK915" s="804"/>
      <c r="AL915" s="804"/>
      <c r="AM915" s="794"/>
      <c r="AN915" s="794"/>
      <c r="AO915" s="794"/>
      <c r="AP915" s="794"/>
      <c r="AQ915" s="794"/>
      <c r="AR915" s="794"/>
      <c r="AS915" s="794"/>
      <c r="AT915" s="794"/>
      <c r="AU915" s="794"/>
      <c r="AV915" s="794"/>
      <c r="AW915" s="794"/>
      <c r="AX915" s="794"/>
      <c r="AY915" s="794"/>
      <c r="AZ915" s="794"/>
      <c r="BA915" s="794"/>
      <c r="BB915" s="794"/>
    </row>
    <row r="916" spans="1:54" ht="12.6" customHeight="1" x14ac:dyDescent="0.25">
      <c r="A916" s="845" t="s">
        <v>1759</v>
      </c>
      <c r="B916" s="845"/>
      <c r="C916" s="845"/>
      <c r="D916" s="845"/>
      <c r="E916" s="845"/>
      <c r="F916" s="845"/>
      <c r="G916" s="845"/>
      <c r="H916" s="845"/>
      <c r="I916" s="845"/>
      <c r="J916" s="845"/>
      <c r="K916" s="845"/>
      <c r="L916" s="845"/>
      <c r="M916" s="845"/>
      <c r="N916" s="845"/>
      <c r="O916" s="845"/>
      <c r="P916" s="845"/>
      <c r="Q916" s="845" t="e">
        <f>SUM(#REF!)</f>
        <v>#REF!</v>
      </c>
      <c r="R916" s="845"/>
      <c r="S916" s="845"/>
      <c r="T916" s="794"/>
      <c r="U916" s="794"/>
      <c r="V916" s="794"/>
      <c r="W916" s="794"/>
      <c r="X916" s="794"/>
      <c r="Y916" s="794"/>
      <c r="Z916" s="794"/>
      <c r="AA916" s="804"/>
      <c r="AB916" s="804"/>
      <c r="AC916" s="804"/>
      <c r="AD916" s="804"/>
      <c r="AE916" s="804"/>
      <c r="AF916" s="804"/>
      <c r="AG916" s="804"/>
      <c r="AH916" s="804"/>
      <c r="AI916" s="804"/>
      <c r="AJ916" s="804"/>
      <c r="AK916" s="804"/>
      <c r="AL916" s="804"/>
      <c r="AM916" s="794"/>
      <c r="AN916" s="794"/>
      <c r="AO916" s="794"/>
      <c r="AP916" s="794"/>
      <c r="AQ916" s="794"/>
      <c r="AR916" s="794"/>
      <c r="AS916" s="794"/>
      <c r="AT916" s="794"/>
      <c r="AU916" s="794"/>
      <c r="AV916" s="794"/>
      <c r="AW916" s="794"/>
      <c r="AX916" s="794"/>
      <c r="AY916" s="794"/>
      <c r="AZ916" s="794"/>
      <c r="BA916" s="794"/>
      <c r="BB916" s="794"/>
    </row>
    <row r="917" spans="1:54" ht="12.6" customHeight="1" x14ac:dyDescent="0.25">
      <c r="A917" s="843" t="s">
        <v>1760</v>
      </c>
      <c r="B917" s="843"/>
      <c r="C917" s="843"/>
      <c r="D917" s="843"/>
      <c r="E917" s="843"/>
      <c r="F917" s="843"/>
      <c r="G917" s="843"/>
      <c r="H917" s="843"/>
      <c r="I917" s="843"/>
      <c r="J917" s="843"/>
      <c r="K917" s="843"/>
      <c r="L917" s="843"/>
      <c r="M917" s="843"/>
      <c r="N917" s="843"/>
      <c r="O917" s="843"/>
      <c r="P917" s="843"/>
      <c r="Q917" s="843" t="e">
        <f>SUM(#REF!)</f>
        <v>#REF!</v>
      </c>
      <c r="R917" s="843"/>
      <c r="S917" s="843"/>
      <c r="T917" s="794"/>
      <c r="U917" s="794"/>
      <c r="V917" s="794"/>
      <c r="W917" s="794"/>
      <c r="X917" s="794"/>
      <c r="Y917" s="794"/>
      <c r="Z917" s="794"/>
      <c r="AA917" s="804"/>
      <c r="AB917" s="804"/>
      <c r="AC917" s="804"/>
      <c r="AD917" s="804"/>
      <c r="AE917" s="804"/>
      <c r="AF917" s="804"/>
      <c r="AG917" s="804"/>
      <c r="AH917" s="804"/>
      <c r="AI917" s="804"/>
      <c r="AJ917" s="804"/>
      <c r="AK917" s="804"/>
      <c r="AL917" s="804"/>
      <c r="AM917" s="794"/>
      <c r="AN917" s="794"/>
      <c r="AO917" s="794"/>
      <c r="AP917" s="794"/>
      <c r="AQ917" s="794"/>
      <c r="AR917" s="794"/>
      <c r="AS917" s="794"/>
      <c r="AT917" s="794"/>
      <c r="AU917" s="794"/>
      <c r="AV917" s="794"/>
      <c r="AW917" s="794"/>
      <c r="AX917" s="794"/>
      <c r="AY917" s="794"/>
      <c r="AZ917" s="794"/>
      <c r="BA917" s="794"/>
      <c r="BB917" s="794"/>
    </row>
    <row r="918" spans="1:54" ht="26.25" customHeight="1" x14ac:dyDescent="0.25">
      <c r="A918" s="843" t="s">
        <v>1761</v>
      </c>
      <c r="B918" s="843"/>
      <c r="C918" s="843"/>
      <c r="D918" s="843"/>
      <c r="E918" s="843"/>
      <c r="F918" s="843"/>
      <c r="G918" s="843"/>
      <c r="H918" s="843"/>
      <c r="I918" s="843"/>
      <c r="J918" s="843"/>
      <c r="K918" s="843"/>
      <c r="L918" s="843"/>
      <c r="M918" s="843"/>
      <c r="N918" s="843"/>
      <c r="O918" s="843"/>
      <c r="P918" s="843"/>
      <c r="Q918" s="843" t="e">
        <f>SUM(#REF!)</f>
        <v>#REF!</v>
      </c>
      <c r="R918" s="843"/>
      <c r="S918" s="843"/>
      <c r="T918" s="794"/>
      <c r="U918" s="794"/>
      <c r="V918" s="794"/>
      <c r="W918" s="794"/>
      <c r="X918" s="794"/>
      <c r="Y918" s="794"/>
      <c r="Z918" s="794"/>
      <c r="AA918" s="804"/>
      <c r="AB918" s="804"/>
      <c r="AC918" s="804"/>
      <c r="AD918" s="804"/>
      <c r="AE918" s="804"/>
      <c r="AF918" s="804"/>
      <c r="AG918" s="804"/>
      <c r="AH918" s="804"/>
      <c r="AI918" s="804"/>
      <c r="AJ918" s="804"/>
      <c r="AK918" s="804"/>
      <c r="AL918" s="804"/>
      <c r="AM918" s="794"/>
      <c r="AN918" s="794"/>
      <c r="AO918" s="794"/>
      <c r="AP918" s="794"/>
      <c r="AQ918" s="794"/>
      <c r="AR918" s="794"/>
      <c r="AS918" s="794"/>
      <c r="AT918" s="794"/>
      <c r="AU918" s="794"/>
      <c r="AV918" s="794"/>
      <c r="AW918" s="794"/>
      <c r="AX918" s="794"/>
      <c r="AY918" s="794"/>
      <c r="AZ918" s="794"/>
      <c r="BA918" s="794"/>
      <c r="BB918" s="794"/>
    </row>
    <row r="919" spans="1:54" ht="12.6" customHeight="1" x14ac:dyDescent="0.25">
      <c r="A919" s="843" t="s">
        <v>1762</v>
      </c>
      <c r="B919" s="843"/>
      <c r="C919" s="843"/>
      <c r="D919" s="843"/>
      <c r="E919" s="843"/>
      <c r="F919" s="843"/>
      <c r="G919" s="843"/>
      <c r="H919" s="843"/>
      <c r="I919" s="843"/>
      <c r="J919" s="843"/>
      <c r="K919" s="843"/>
      <c r="L919" s="843"/>
      <c r="M919" s="843"/>
      <c r="N919" s="843"/>
      <c r="O919" s="843"/>
      <c r="P919" s="843"/>
      <c r="Q919" s="843" t="e">
        <f>SUM(#REF!)</f>
        <v>#REF!</v>
      </c>
      <c r="R919" s="843"/>
      <c r="S919" s="843"/>
      <c r="T919" s="794"/>
      <c r="U919" s="794"/>
      <c r="V919" s="794"/>
      <c r="W919" s="794"/>
      <c r="X919" s="794"/>
      <c r="Y919" s="794"/>
      <c r="Z919" s="794"/>
      <c r="AA919" s="804"/>
      <c r="AB919" s="804"/>
      <c r="AC919" s="804"/>
      <c r="AD919" s="804"/>
      <c r="AE919" s="804"/>
      <c r="AF919" s="804"/>
      <c r="AG919" s="804"/>
      <c r="AH919" s="804"/>
      <c r="AI919" s="804"/>
      <c r="AJ919" s="804"/>
      <c r="AK919" s="804"/>
      <c r="AL919" s="804"/>
      <c r="AM919" s="794"/>
      <c r="AN919" s="794"/>
      <c r="AO919" s="794"/>
      <c r="AP919" s="794"/>
      <c r="AQ919" s="794"/>
      <c r="AR919" s="794"/>
      <c r="AS919" s="794"/>
      <c r="AT919" s="794"/>
      <c r="AU919" s="794"/>
      <c r="AV919" s="794"/>
      <c r="AW919" s="794"/>
      <c r="AX919" s="794"/>
      <c r="AY919" s="794"/>
      <c r="AZ919" s="794"/>
      <c r="BA919" s="794"/>
      <c r="BB919" s="794"/>
    </row>
    <row r="920" spans="1:54" ht="12.6" customHeight="1" x14ac:dyDescent="0.25">
      <c r="A920" s="845" t="s">
        <v>1735</v>
      </c>
      <c r="B920" s="845"/>
      <c r="C920" s="845"/>
      <c r="D920" s="845"/>
      <c r="E920" s="845"/>
      <c r="F920" s="845"/>
      <c r="G920" s="845"/>
      <c r="H920" s="845"/>
      <c r="I920" s="845"/>
      <c r="J920" s="845"/>
      <c r="K920" s="845"/>
      <c r="L920" s="845"/>
      <c r="M920" s="845"/>
      <c r="N920" s="845"/>
      <c r="O920" s="845"/>
      <c r="P920" s="845"/>
      <c r="Q920" s="845" t="e">
        <f>SUM(#REF!)</f>
        <v>#REF!</v>
      </c>
      <c r="R920" s="845"/>
      <c r="S920" s="845"/>
      <c r="T920" s="794"/>
      <c r="U920" s="794"/>
      <c r="V920" s="794"/>
      <c r="W920" s="794"/>
      <c r="X920" s="794"/>
      <c r="Y920" s="794"/>
      <c r="Z920" s="794"/>
      <c r="AA920" s="804"/>
      <c r="AB920" s="804"/>
      <c r="AC920" s="804"/>
      <c r="AD920" s="804"/>
      <c r="AE920" s="804"/>
      <c r="AF920" s="804"/>
      <c r="AG920" s="804"/>
      <c r="AH920" s="804"/>
      <c r="AI920" s="804"/>
      <c r="AJ920" s="804"/>
      <c r="AK920" s="804"/>
      <c r="AL920" s="804"/>
      <c r="AM920" s="794"/>
      <c r="AN920" s="794"/>
      <c r="AO920" s="794"/>
      <c r="AP920" s="794"/>
      <c r="AQ920" s="794"/>
      <c r="AR920" s="794"/>
      <c r="AS920" s="794"/>
      <c r="AT920" s="794"/>
      <c r="AU920" s="794"/>
      <c r="AV920" s="794"/>
      <c r="AW920" s="794"/>
      <c r="AX920" s="794"/>
      <c r="AY920" s="794"/>
      <c r="AZ920" s="794"/>
      <c r="BA920" s="794"/>
      <c r="BB920" s="794"/>
    </row>
    <row r="921" spans="1:54" ht="12.6" customHeight="1" x14ac:dyDescent="0.25">
      <c r="A921" s="227" t="s">
        <v>1482</v>
      </c>
    </row>
    <row r="922" spans="1:54" ht="15" customHeight="1" x14ac:dyDescent="0.25">
      <c r="A922" s="763"/>
      <c r="B922" s="763"/>
      <c r="C922" s="763"/>
      <c r="D922" s="763"/>
      <c r="E922" s="763"/>
      <c r="F922" s="763"/>
      <c r="G922" s="763"/>
      <c r="H922" s="763"/>
      <c r="I922" s="763"/>
      <c r="J922" s="763"/>
      <c r="K922" s="763"/>
      <c r="L922" s="763"/>
      <c r="M922" s="763"/>
      <c r="N922" s="763"/>
      <c r="O922" s="763"/>
      <c r="P922" s="763"/>
      <c r="Q922" s="763"/>
      <c r="R922" s="763"/>
      <c r="S922" s="763"/>
      <c r="T922" s="763"/>
      <c r="U922" s="763"/>
      <c r="V922" s="763"/>
      <c r="W922" s="763"/>
      <c r="X922" s="763"/>
      <c r="Y922" s="763"/>
      <c r="Z922" s="763"/>
      <c r="AA922" s="763"/>
      <c r="AB922" s="763"/>
      <c r="AC922" s="763"/>
      <c r="AD922" s="763"/>
      <c r="AE922" s="763"/>
      <c r="AF922" s="763"/>
      <c r="AG922" s="763"/>
      <c r="AH922" s="763"/>
      <c r="AI922" s="763"/>
      <c r="AJ922" s="763"/>
      <c r="AK922" s="763"/>
      <c r="AL922" s="763"/>
      <c r="AM922" s="763"/>
      <c r="AN922" s="763"/>
      <c r="AO922" s="763"/>
      <c r="AP922" s="763"/>
      <c r="AQ922" s="763"/>
      <c r="AR922" s="763"/>
      <c r="AS922" s="763"/>
      <c r="AT922" s="763"/>
      <c r="AU922" s="763"/>
      <c r="AV922" s="763"/>
      <c r="AW922" s="763"/>
      <c r="AX922" s="763"/>
      <c r="AY922" s="265"/>
      <c r="AZ922" s="265"/>
      <c r="BA922" s="265"/>
      <c r="BB922" s="265"/>
    </row>
    <row r="923" spans="1:54" ht="15" customHeight="1" x14ac:dyDescent="0.25">
      <c r="A923" s="763"/>
      <c r="B923" s="763"/>
      <c r="C923" s="763"/>
      <c r="D923" s="763"/>
      <c r="E923" s="763"/>
      <c r="F923" s="763"/>
      <c r="G923" s="763"/>
      <c r="H923" s="763"/>
      <c r="I923" s="763"/>
      <c r="J923" s="763"/>
      <c r="K923" s="763"/>
      <c r="L923" s="763"/>
      <c r="M923" s="763"/>
      <c r="N923" s="763"/>
      <c r="O923" s="763"/>
      <c r="P923" s="763"/>
      <c r="Q923" s="763"/>
      <c r="R923" s="763"/>
      <c r="S923" s="763"/>
      <c r="T923" s="763"/>
      <c r="U923" s="763"/>
      <c r="V923" s="763"/>
      <c r="W923" s="763"/>
      <c r="X923" s="763"/>
      <c r="Y923" s="763"/>
      <c r="Z923" s="763"/>
      <c r="AA923" s="763"/>
      <c r="AB923" s="763"/>
      <c r="AC923" s="763"/>
      <c r="AD923" s="763"/>
      <c r="AE923" s="763"/>
      <c r="AF923" s="763"/>
      <c r="AG923" s="763"/>
      <c r="AH923" s="763"/>
      <c r="AI923" s="763"/>
      <c r="AJ923" s="763"/>
      <c r="AK923" s="763"/>
      <c r="AL923" s="763"/>
      <c r="AM923" s="763"/>
      <c r="AN923" s="763"/>
      <c r="AO923" s="763"/>
      <c r="AP923" s="763"/>
      <c r="AQ923" s="763"/>
      <c r="AR923" s="763"/>
      <c r="AS923" s="763"/>
      <c r="AT923" s="763"/>
      <c r="AU923" s="763"/>
      <c r="AV923" s="763"/>
      <c r="AW923" s="763"/>
      <c r="AX923" s="763"/>
      <c r="AY923" s="265"/>
      <c r="AZ923" s="265"/>
      <c r="BA923" s="265"/>
      <c r="BB923" s="265"/>
    </row>
    <row r="924" spans="1:54" s="225" customFormat="1" ht="12.6" customHeight="1" x14ac:dyDescent="0.25">
      <c r="A924" s="221" t="s">
        <v>1763</v>
      </c>
      <c r="B924" s="221"/>
      <c r="C924" s="221"/>
      <c r="D924" s="221"/>
      <c r="E924" s="221"/>
      <c r="F924" s="221"/>
      <c r="G924" s="221"/>
      <c r="H924" s="221"/>
      <c r="I924" s="221"/>
      <c r="J924" s="221"/>
      <c r="K924" s="221"/>
      <c r="L924" s="221"/>
      <c r="M924" s="221"/>
      <c r="N924" s="221"/>
      <c r="O924" s="221"/>
      <c r="P924" s="221"/>
      <c r="Q924" s="221"/>
      <c r="R924" s="221"/>
      <c r="S924" s="221"/>
      <c r="T924" s="221"/>
      <c r="U924" s="221"/>
      <c r="V924" s="221"/>
      <c r="W924" s="221"/>
      <c r="X924" s="221"/>
      <c r="Y924" s="221"/>
      <c r="Z924" s="221"/>
      <c r="AA924" s="221"/>
      <c r="AB924" s="221"/>
      <c r="AC924" s="221"/>
      <c r="AD924" s="221"/>
      <c r="AE924" s="221"/>
      <c r="AF924" s="221"/>
      <c r="AG924" s="221"/>
      <c r="AH924" s="221"/>
      <c r="AI924" s="221"/>
      <c r="AJ924" s="221"/>
      <c r="AK924" s="221"/>
      <c r="AL924" s="221"/>
      <c r="AM924" s="221"/>
      <c r="AN924" s="221"/>
      <c r="AO924" s="221"/>
      <c r="AP924" s="221"/>
      <c r="AQ924" s="221"/>
      <c r="AR924" s="221"/>
      <c r="AS924" s="221"/>
      <c r="AT924" s="221"/>
      <c r="AU924" s="221"/>
      <c r="AV924" s="221"/>
      <c r="AW924" s="221"/>
      <c r="AX924" s="221"/>
      <c r="AY924" s="221"/>
      <c r="AZ924" s="221"/>
      <c r="BA924" s="221"/>
      <c r="BB924" s="221"/>
    </row>
    <row r="925" spans="1:54" s="225" customFormat="1" ht="12.6" customHeight="1" x14ac:dyDescent="0.25">
      <c r="A925" s="221" t="s">
        <v>1764</v>
      </c>
      <c r="B925" s="221"/>
      <c r="C925" s="221"/>
      <c r="D925" s="221"/>
      <c r="E925" s="221"/>
      <c r="F925" s="221"/>
      <c r="G925" s="221"/>
      <c r="H925" s="221"/>
      <c r="I925" s="221"/>
      <c r="J925" s="221"/>
      <c r="K925" s="221"/>
      <c r="L925" s="221"/>
      <c r="M925" s="221"/>
      <c r="N925" s="221"/>
      <c r="O925" s="221"/>
      <c r="P925" s="221"/>
      <c r="Q925" s="221"/>
      <c r="R925" s="221"/>
      <c r="S925" s="221"/>
      <c r="T925" s="221"/>
      <c r="U925" s="221"/>
      <c r="V925" s="221"/>
      <c r="W925" s="221"/>
      <c r="X925" s="221"/>
      <c r="Y925" s="221"/>
      <c r="Z925" s="221"/>
      <c r="AA925" s="221"/>
      <c r="AB925" s="221"/>
      <c r="AC925" s="221"/>
      <c r="AD925" s="221"/>
      <c r="AE925" s="221"/>
      <c r="AF925" s="221"/>
      <c r="AG925" s="221"/>
      <c r="AH925" s="221"/>
      <c r="AI925" s="221"/>
      <c r="AJ925" s="221"/>
      <c r="AK925" s="221"/>
      <c r="AL925" s="221"/>
      <c r="AM925" s="221"/>
      <c r="AN925" s="221"/>
      <c r="AO925" s="221"/>
      <c r="AP925" s="221"/>
      <c r="AQ925" s="221"/>
      <c r="AR925" s="221"/>
      <c r="AS925" s="221"/>
      <c r="AT925" s="221"/>
      <c r="AU925" s="221"/>
      <c r="AV925" s="221"/>
      <c r="AW925" s="221"/>
      <c r="AX925" s="221"/>
      <c r="AY925" s="221"/>
      <c r="AZ925" s="221"/>
      <c r="BA925" s="221"/>
      <c r="BB925" s="221"/>
    </row>
    <row r="926" spans="1:54" ht="12.6" customHeight="1" x14ac:dyDescent="0.25">
      <c r="A926" s="227" t="s">
        <v>1482</v>
      </c>
    </row>
    <row r="927" spans="1:54" ht="15" customHeight="1" x14ac:dyDescent="0.25">
      <c r="A927" s="763"/>
      <c r="B927" s="763"/>
      <c r="C927" s="763"/>
      <c r="D927" s="763"/>
      <c r="E927" s="763"/>
      <c r="F927" s="763"/>
      <c r="G927" s="763"/>
      <c r="H927" s="763"/>
      <c r="I927" s="763"/>
      <c r="J927" s="763"/>
      <c r="K927" s="763"/>
      <c r="L927" s="763"/>
      <c r="M927" s="763"/>
      <c r="N927" s="763"/>
      <c r="O927" s="763"/>
      <c r="P927" s="763"/>
      <c r="Q927" s="763"/>
      <c r="R927" s="763"/>
      <c r="S927" s="763"/>
      <c r="T927" s="763"/>
      <c r="U927" s="763"/>
      <c r="V927" s="763"/>
      <c r="W927" s="763"/>
      <c r="X927" s="763"/>
      <c r="Y927" s="763"/>
      <c r="Z927" s="763"/>
      <c r="AA927" s="763"/>
      <c r="AB927" s="763"/>
      <c r="AC927" s="763"/>
      <c r="AD927" s="763"/>
      <c r="AE927" s="763"/>
      <c r="AF927" s="763"/>
      <c r="AG927" s="763"/>
      <c r="AH927" s="763"/>
      <c r="AI927" s="763"/>
      <c r="AJ927" s="763"/>
      <c r="AK927" s="763"/>
      <c r="AL927" s="763"/>
      <c r="AM927" s="763"/>
      <c r="AN927" s="763"/>
      <c r="AO927" s="763"/>
      <c r="AP927" s="763"/>
      <c r="AQ927" s="763"/>
      <c r="AR927" s="763"/>
      <c r="AS927" s="763"/>
      <c r="AT927" s="763"/>
      <c r="AU927" s="763"/>
      <c r="AV927" s="763"/>
      <c r="AW927" s="763"/>
      <c r="AX927" s="763"/>
      <c r="AY927" s="265"/>
      <c r="AZ927" s="265"/>
      <c r="BA927" s="265"/>
      <c r="BB927" s="265"/>
    </row>
    <row r="928" spans="1:54" ht="15" customHeight="1" x14ac:dyDescent="0.25">
      <c r="A928" s="763"/>
      <c r="B928" s="763"/>
      <c r="C928" s="763"/>
      <c r="D928" s="763"/>
      <c r="E928" s="763"/>
      <c r="F928" s="763"/>
      <c r="G928" s="763"/>
      <c r="H928" s="763"/>
      <c r="I928" s="763"/>
      <c r="J928" s="763"/>
      <c r="K928" s="763"/>
      <c r="L928" s="763"/>
      <c r="M928" s="763"/>
      <c r="N928" s="763"/>
      <c r="O928" s="763"/>
      <c r="P928" s="763"/>
      <c r="Q928" s="763"/>
      <c r="R928" s="763"/>
      <c r="S928" s="763"/>
      <c r="T928" s="763"/>
      <c r="U928" s="763"/>
      <c r="V928" s="763"/>
      <c r="W928" s="763"/>
      <c r="X928" s="763"/>
      <c r="Y928" s="763"/>
      <c r="Z928" s="763"/>
      <c r="AA928" s="763"/>
      <c r="AB928" s="763"/>
      <c r="AC928" s="763"/>
      <c r="AD928" s="763"/>
      <c r="AE928" s="763"/>
      <c r="AF928" s="763"/>
      <c r="AG928" s="763"/>
      <c r="AH928" s="763"/>
      <c r="AI928" s="763"/>
      <c r="AJ928" s="763"/>
      <c r="AK928" s="763"/>
      <c r="AL928" s="763"/>
      <c r="AM928" s="763"/>
      <c r="AN928" s="763"/>
      <c r="AO928" s="763"/>
      <c r="AP928" s="763"/>
      <c r="AQ928" s="763"/>
      <c r="AR928" s="763"/>
      <c r="AS928" s="763"/>
      <c r="AT928" s="763"/>
      <c r="AU928" s="763"/>
      <c r="AV928" s="763"/>
      <c r="AW928" s="763"/>
      <c r="AX928" s="763"/>
      <c r="AY928" s="265"/>
      <c r="AZ928" s="265"/>
      <c r="BA928" s="265"/>
      <c r="BB928" s="265"/>
    </row>
    <row r="929" spans="1:54" ht="12.6" customHeight="1" x14ac:dyDescent="0.25">
      <c r="A929" s="221" t="s">
        <v>1765</v>
      </c>
    </row>
    <row r="930" spans="1:54" ht="43.5" customHeight="1" x14ac:dyDescent="0.25">
      <c r="A930" s="846" t="s">
        <v>1766</v>
      </c>
      <c r="B930" s="846"/>
      <c r="C930" s="846"/>
      <c r="D930" s="846"/>
      <c r="E930" s="846"/>
      <c r="F930" s="846"/>
      <c r="G930" s="846"/>
      <c r="H930" s="846"/>
      <c r="I930" s="846"/>
      <c r="J930" s="846"/>
      <c r="K930" s="846"/>
      <c r="L930" s="846"/>
      <c r="M930" s="846"/>
      <c r="N930" s="846"/>
      <c r="O930" s="846"/>
      <c r="P930" s="846"/>
      <c r="Q930" s="846"/>
      <c r="R930" s="846"/>
      <c r="S930" s="846"/>
      <c r="T930" s="846"/>
      <c r="U930" s="846"/>
      <c r="V930" s="846"/>
      <c r="W930" s="846"/>
      <c r="X930" s="846"/>
      <c r="Y930" s="846"/>
      <c r="Z930" s="846"/>
      <c r="AA930" s="846"/>
      <c r="AB930" s="846"/>
      <c r="AC930" s="846"/>
      <c r="AD930" s="846"/>
      <c r="AE930" s="846"/>
      <c r="AF930" s="846"/>
      <c r="AG930" s="846"/>
      <c r="AH930" s="846"/>
      <c r="AI930" s="846"/>
      <c r="AJ930" s="846"/>
      <c r="AK930" s="846"/>
      <c r="AL930" s="846"/>
      <c r="AM930" s="846"/>
      <c r="AN930" s="846"/>
      <c r="AO930" s="846"/>
      <c r="AP930" s="846"/>
      <c r="AQ930" s="846"/>
      <c r="AR930" s="846"/>
      <c r="AS930" s="846"/>
      <c r="AT930" s="846"/>
      <c r="AU930" s="846"/>
      <c r="AV930" s="846"/>
      <c r="AW930" s="846"/>
      <c r="AX930" s="846"/>
      <c r="AY930" s="846"/>
      <c r="AZ930" s="846"/>
    </row>
    <row r="931" spans="1:54" ht="26.25" customHeight="1" x14ac:dyDescent="0.25">
      <c r="A931" s="847" t="s">
        <v>1767</v>
      </c>
      <c r="B931" s="847"/>
      <c r="C931" s="847"/>
      <c r="D931" s="847"/>
      <c r="E931" s="847"/>
      <c r="F931" s="847"/>
      <c r="G931" s="847"/>
      <c r="H931" s="847"/>
      <c r="I931" s="847"/>
      <c r="J931" s="847"/>
      <c r="K931" s="847"/>
      <c r="L931" s="847"/>
      <c r="M931" s="847"/>
      <c r="N931" s="847"/>
      <c r="O931" s="847"/>
      <c r="P931" s="847"/>
      <c r="Q931" s="847"/>
      <c r="R931" s="847"/>
      <c r="S931" s="847"/>
      <c r="T931" s="847"/>
      <c r="U931" s="847"/>
      <c r="V931" s="847"/>
      <c r="W931" s="847"/>
      <c r="X931" s="847"/>
      <c r="Y931" s="847"/>
      <c r="Z931" s="847"/>
      <c r="AA931" s="847"/>
      <c r="AB931" s="847"/>
      <c r="AC931" s="847"/>
      <c r="AD931" s="847"/>
      <c r="AE931" s="847" t="s">
        <v>1768</v>
      </c>
      <c r="AF931" s="847"/>
      <c r="AG931" s="847"/>
      <c r="AH931" s="847"/>
      <c r="AI931" s="847"/>
      <c r="AJ931" s="847"/>
      <c r="AK931" s="847"/>
      <c r="AL931" s="847"/>
      <c r="AM931" s="847"/>
      <c r="AN931" s="847"/>
      <c r="AO931" s="847"/>
      <c r="AP931" s="847"/>
      <c r="AQ931" s="847"/>
      <c r="AR931" s="847"/>
      <c r="AS931" s="847"/>
      <c r="AT931" s="847"/>
      <c r="AU931" s="847"/>
      <c r="AV931" s="847"/>
      <c r="AW931" s="847"/>
      <c r="AX931" s="847"/>
      <c r="AY931" s="318"/>
      <c r="AZ931" s="318"/>
      <c r="BA931" s="318"/>
      <c r="BB931" s="318"/>
    </row>
    <row r="932" spans="1:54" ht="38.25" customHeight="1" x14ac:dyDescent="0.25">
      <c r="A932" s="848" t="s">
        <v>1769</v>
      </c>
      <c r="B932" s="848"/>
      <c r="C932" s="848"/>
      <c r="D932" s="848"/>
      <c r="E932" s="848"/>
      <c r="F932" s="848"/>
      <c r="G932" s="848"/>
      <c r="H932" s="848"/>
      <c r="I932" s="848"/>
      <c r="J932" s="848"/>
      <c r="K932" s="848"/>
      <c r="L932" s="848"/>
      <c r="M932" s="848"/>
      <c r="N932" s="848"/>
      <c r="O932" s="848"/>
      <c r="P932" s="848"/>
      <c r="Q932" s="848"/>
      <c r="R932" s="848"/>
      <c r="S932" s="848"/>
      <c r="T932" s="849" t="s">
        <v>1770</v>
      </c>
      <c r="U932" s="849"/>
      <c r="V932" s="849"/>
      <c r="W932" s="849"/>
      <c r="X932" s="849" t="s">
        <v>1771</v>
      </c>
      <c r="Y932" s="849"/>
      <c r="Z932" s="849"/>
      <c r="AA932" s="849"/>
      <c r="AB932" s="849"/>
      <c r="AC932" s="849"/>
      <c r="AD932" s="849"/>
      <c r="AE932" s="849" t="s">
        <v>1770</v>
      </c>
      <c r="AF932" s="849"/>
      <c r="AG932" s="849"/>
      <c r="AH932" s="849"/>
      <c r="AI932" s="849" t="s">
        <v>1771</v>
      </c>
      <c r="AJ932" s="849"/>
      <c r="AK932" s="849"/>
      <c r="AL932" s="849"/>
      <c r="AM932" s="849"/>
      <c r="AN932" s="849"/>
      <c r="AO932" s="849"/>
      <c r="AP932" s="850" t="s">
        <v>1772</v>
      </c>
      <c r="AQ932" s="850"/>
      <c r="AR932" s="850"/>
      <c r="AS932" s="850"/>
      <c r="AT932" s="850"/>
      <c r="AU932" s="850"/>
      <c r="AV932" s="850"/>
      <c r="AW932" s="850"/>
      <c r="AX932" s="850"/>
      <c r="AY932" s="319"/>
      <c r="AZ932" s="319"/>
      <c r="BA932" s="319"/>
      <c r="BB932" s="319"/>
    </row>
    <row r="933" spans="1:54" ht="12.6" customHeight="1" x14ac:dyDescent="0.25">
      <c r="A933" s="843"/>
      <c r="B933" s="843"/>
      <c r="C933" s="843"/>
      <c r="D933" s="843"/>
      <c r="E933" s="843"/>
      <c r="F933" s="843"/>
      <c r="G933" s="843"/>
      <c r="H933" s="843"/>
      <c r="I933" s="843"/>
      <c r="J933" s="843"/>
      <c r="K933" s="843"/>
      <c r="L933" s="843"/>
      <c r="M933" s="843"/>
      <c r="N933" s="843"/>
      <c r="O933" s="843"/>
      <c r="P933" s="843"/>
      <c r="Q933" s="843"/>
      <c r="R933" s="843"/>
      <c r="S933" s="843"/>
      <c r="T933" s="851"/>
      <c r="U933" s="851"/>
      <c r="V933" s="851"/>
      <c r="W933" s="851"/>
      <c r="X933" s="851"/>
      <c r="Y933" s="851"/>
      <c r="Z933" s="851"/>
      <c r="AA933" s="851"/>
      <c r="AB933" s="851"/>
      <c r="AC933" s="851"/>
      <c r="AD933" s="851"/>
      <c r="AE933" s="851"/>
      <c r="AF933" s="851"/>
      <c r="AG933" s="851"/>
      <c r="AH933" s="851"/>
      <c r="AI933" s="851"/>
      <c r="AJ933" s="851"/>
      <c r="AK933" s="851"/>
      <c r="AL933" s="851"/>
      <c r="AM933" s="851"/>
      <c r="AN933" s="851"/>
      <c r="AO933" s="851"/>
      <c r="AP933" s="852"/>
      <c r="AQ933" s="852"/>
      <c r="AR933" s="852"/>
      <c r="AS933" s="852"/>
      <c r="AT933" s="852"/>
      <c r="AU933" s="852"/>
      <c r="AV933" s="852"/>
      <c r="AW933" s="852"/>
      <c r="AX933" s="852"/>
    </row>
    <row r="934" spans="1:54" ht="12.6" customHeight="1" x14ac:dyDescent="0.25">
      <c r="A934" s="843"/>
      <c r="B934" s="843"/>
      <c r="C934" s="843"/>
      <c r="D934" s="843"/>
      <c r="E934" s="843"/>
      <c r="F934" s="843"/>
      <c r="G934" s="843"/>
      <c r="H934" s="843"/>
      <c r="I934" s="843"/>
      <c r="J934" s="843"/>
      <c r="K934" s="843"/>
      <c r="L934" s="843"/>
      <c r="M934" s="843"/>
      <c r="N934" s="843"/>
      <c r="O934" s="843"/>
      <c r="P934" s="843"/>
      <c r="Q934" s="843"/>
      <c r="R934" s="843"/>
      <c r="S934" s="843"/>
      <c r="T934" s="851"/>
      <c r="U934" s="851"/>
      <c r="V934" s="851"/>
      <c r="W934" s="851"/>
      <c r="X934" s="851"/>
      <c r="Y934" s="851"/>
      <c r="Z934" s="851"/>
      <c r="AA934" s="851"/>
      <c r="AB934" s="851"/>
      <c r="AC934" s="851"/>
      <c r="AD934" s="851"/>
      <c r="AE934" s="851"/>
      <c r="AF934" s="851"/>
      <c r="AG934" s="851"/>
      <c r="AH934" s="851"/>
      <c r="AI934" s="851"/>
      <c r="AJ934" s="851"/>
      <c r="AK934" s="851"/>
      <c r="AL934" s="851"/>
      <c r="AM934" s="851"/>
      <c r="AN934" s="851"/>
      <c r="AO934" s="851"/>
      <c r="AP934" s="852"/>
      <c r="AQ934" s="852"/>
      <c r="AR934" s="852"/>
      <c r="AS934" s="852"/>
      <c r="AT934" s="852"/>
      <c r="AU934" s="852"/>
      <c r="AV934" s="852"/>
      <c r="AW934" s="852"/>
      <c r="AX934" s="852"/>
    </row>
    <row r="935" spans="1:54" ht="12.6" customHeight="1" x14ac:dyDescent="0.25">
      <c r="A935" s="843"/>
      <c r="B935" s="843"/>
      <c r="C935" s="843"/>
      <c r="D935" s="843"/>
      <c r="E935" s="843"/>
      <c r="F935" s="843"/>
      <c r="G935" s="843"/>
      <c r="H935" s="843"/>
      <c r="I935" s="843"/>
      <c r="J935" s="843"/>
      <c r="K935" s="843"/>
      <c r="L935" s="843"/>
      <c r="M935" s="843"/>
      <c r="N935" s="843"/>
      <c r="O935" s="843"/>
      <c r="P935" s="843"/>
      <c r="Q935" s="843"/>
      <c r="R935" s="843"/>
      <c r="S935" s="843"/>
      <c r="T935" s="851"/>
      <c r="U935" s="851"/>
      <c r="V935" s="851"/>
      <c r="W935" s="851"/>
      <c r="X935" s="851"/>
      <c r="Y935" s="851"/>
      <c r="Z935" s="851"/>
      <c r="AA935" s="851"/>
      <c r="AB935" s="851"/>
      <c r="AC935" s="851"/>
      <c r="AD935" s="851"/>
      <c r="AE935" s="851"/>
      <c r="AF935" s="851"/>
      <c r="AG935" s="851"/>
      <c r="AH935" s="851"/>
      <c r="AI935" s="851"/>
      <c r="AJ935" s="851"/>
      <c r="AK935" s="851"/>
      <c r="AL935" s="851"/>
      <c r="AM935" s="851"/>
      <c r="AN935" s="851"/>
      <c r="AO935" s="851"/>
      <c r="AP935" s="852"/>
      <c r="AQ935" s="852"/>
      <c r="AR935" s="852"/>
      <c r="AS935" s="852"/>
      <c r="AT935" s="852"/>
      <c r="AU935" s="852"/>
      <c r="AV935" s="852"/>
      <c r="AW935" s="852"/>
      <c r="AX935" s="852"/>
    </row>
    <row r="936" spans="1:54" ht="12.6" customHeight="1" x14ac:dyDescent="0.25">
      <c r="A936" s="843"/>
      <c r="B936" s="843"/>
      <c r="C936" s="843"/>
      <c r="D936" s="843"/>
      <c r="E936" s="843"/>
      <c r="F936" s="843"/>
      <c r="G936" s="843"/>
      <c r="H936" s="843"/>
      <c r="I936" s="843"/>
      <c r="J936" s="843"/>
      <c r="K936" s="843"/>
      <c r="L936" s="843"/>
      <c r="M936" s="843"/>
      <c r="N936" s="843"/>
      <c r="O936" s="843"/>
      <c r="P936" s="843"/>
      <c r="Q936" s="843"/>
      <c r="R936" s="843"/>
      <c r="S936" s="843"/>
      <c r="T936" s="851"/>
      <c r="U936" s="851"/>
      <c r="V936" s="851"/>
      <c r="W936" s="851"/>
      <c r="X936" s="851"/>
      <c r="Y936" s="851"/>
      <c r="Z936" s="851"/>
      <c r="AA936" s="851"/>
      <c r="AB936" s="851"/>
      <c r="AC936" s="851"/>
      <c r="AD936" s="851"/>
      <c r="AE936" s="851"/>
      <c r="AF936" s="851"/>
      <c r="AG936" s="851"/>
      <c r="AH936" s="851"/>
      <c r="AI936" s="851"/>
      <c r="AJ936" s="851"/>
      <c r="AK936" s="851"/>
      <c r="AL936" s="851"/>
      <c r="AM936" s="851"/>
      <c r="AN936" s="851"/>
      <c r="AO936" s="851"/>
      <c r="AP936" s="852"/>
      <c r="AQ936" s="852"/>
      <c r="AR936" s="852"/>
      <c r="AS936" s="852"/>
      <c r="AT936" s="852"/>
      <c r="AU936" s="852"/>
      <c r="AV936" s="852"/>
      <c r="AW936" s="852"/>
      <c r="AX936" s="852"/>
    </row>
    <row r="937" spans="1:54" ht="12.6" customHeight="1" x14ac:dyDescent="0.25">
      <c r="A937" s="843"/>
      <c r="B937" s="843"/>
      <c r="C937" s="843"/>
      <c r="D937" s="843"/>
      <c r="E937" s="843"/>
      <c r="F937" s="843"/>
      <c r="G937" s="843"/>
      <c r="H937" s="843"/>
      <c r="I937" s="843"/>
      <c r="J937" s="843"/>
      <c r="K937" s="843"/>
      <c r="L937" s="843"/>
      <c r="M937" s="843"/>
      <c r="N937" s="843"/>
      <c r="O937" s="843"/>
      <c r="P937" s="843"/>
      <c r="Q937" s="843"/>
      <c r="R937" s="843"/>
      <c r="S937" s="843"/>
      <c r="T937" s="851"/>
      <c r="U937" s="851"/>
      <c r="V937" s="851"/>
      <c r="W937" s="851"/>
      <c r="X937" s="851"/>
      <c r="Y937" s="851"/>
      <c r="Z937" s="851"/>
      <c r="AA937" s="851"/>
      <c r="AB937" s="851"/>
      <c r="AC937" s="851"/>
      <c r="AD937" s="851"/>
      <c r="AE937" s="851"/>
      <c r="AF937" s="851"/>
      <c r="AG937" s="851"/>
      <c r="AH937" s="851"/>
      <c r="AI937" s="851"/>
      <c r="AJ937" s="851"/>
      <c r="AK937" s="851"/>
      <c r="AL937" s="851"/>
      <c r="AM937" s="851"/>
      <c r="AN937" s="851"/>
      <c r="AO937" s="851"/>
      <c r="AP937" s="852"/>
      <c r="AQ937" s="852"/>
      <c r="AR937" s="852"/>
      <c r="AS937" s="852"/>
      <c r="AT937" s="852"/>
      <c r="AU937" s="852"/>
      <c r="AV937" s="852"/>
      <c r="AW937" s="852"/>
      <c r="AX937" s="852"/>
    </row>
    <row r="938" spans="1:54" ht="35.25" customHeight="1" x14ac:dyDescent="0.25">
      <c r="A938" s="846" t="s">
        <v>1773</v>
      </c>
      <c r="B938" s="846"/>
      <c r="C938" s="846"/>
      <c r="D938" s="846"/>
      <c r="E938" s="846"/>
      <c r="F938" s="846"/>
      <c r="G938" s="846"/>
      <c r="H938" s="846"/>
      <c r="I938" s="846"/>
      <c r="J938" s="846"/>
      <c r="K938" s="846"/>
      <c r="L938" s="846"/>
      <c r="M938" s="846"/>
      <c r="N938" s="846"/>
      <c r="O938" s="846"/>
      <c r="P938" s="846"/>
      <c r="Q938" s="846"/>
      <c r="R938" s="846"/>
      <c r="S938" s="846"/>
      <c r="T938" s="846"/>
      <c r="U938" s="846"/>
      <c r="V938" s="846"/>
      <c r="W938" s="846"/>
      <c r="X938" s="846"/>
      <c r="Y938" s="846"/>
      <c r="Z938" s="846"/>
      <c r="AA938" s="846"/>
      <c r="AB938" s="846"/>
      <c r="AC938" s="846"/>
      <c r="AD938" s="846"/>
      <c r="AE938" s="846"/>
      <c r="AF938" s="846"/>
      <c r="AG938" s="846"/>
      <c r="AH938" s="846"/>
      <c r="AI938" s="846"/>
      <c r="AJ938" s="846"/>
      <c r="AK938" s="846"/>
      <c r="AL938" s="846"/>
      <c r="AM938" s="846"/>
      <c r="AN938" s="846"/>
      <c r="AO938" s="846"/>
      <c r="AP938" s="846"/>
      <c r="AQ938" s="846"/>
      <c r="AR938" s="846"/>
      <c r="AS938" s="846"/>
      <c r="AT938" s="846"/>
      <c r="AU938" s="846"/>
      <c r="AV938" s="846"/>
      <c r="AW938" s="846"/>
      <c r="AX938" s="846"/>
      <c r="AY938" s="846"/>
      <c r="AZ938" s="846"/>
    </row>
    <row r="939" spans="1:54" ht="26.25" customHeight="1" x14ac:dyDescent="0.25">
      <c r="A939" s="847" t="s">
        <v>1767</v>
      </c>
      <c r="B939" s="847"/>
      <c r="C939" s="847"/>
      <c r="D939" s="847"/>
      <c r="E939" s="847"/>
      <c r="F939" s="847"/>
      <c r="G939" s="847"/>
      <c r="H939" s="847"/>
      <c r="I939" s="847"/>
      <c r="J939" s="847"/>
      <c r="K939" s="847"/>
      <c r="L939" s="847"/>
      <c r="M939" s="847"/>
      <c r="N939" s="847"/>
      <c r="O939" s="847"/>
      <c r="P939" s="847"/>
      <c r="Q939" s="847"/>
      <c r="R939" s="847"/>
      <c r="S939" s="847"/>
      <c r="T939" s="847"/>
      <c r="U939" s="847"/>
      <c r="V939" s="847"/>
      <c r="W939" s="847"/>
      <c r="X939" s="847"/>
      <c r="Y939" s="847"/>
      <c r="Z939" s="847"/>
      <c r="AA939" s="847"/>
      <c r="AB939" s="847"/>
      <c r="AC939" s="847"/>
      <c r="AD939" s="847"/>
      <c r="AE939" s="847" t="s">
        <v>1774</v>
      </c>
      <c r="AF939" s="847"/>
      <c r="AG939" s="847"/>
      <c r="AH939" s="847"/>
      <c r="AI939" s="847"/>
      <c r="AJ939" s="847"/>
      <c r="AK939" s="847"/>
      <c r="AL939" s="847"/>
      <c r="AM939" s="847"/>
      <c r="AN939" s="847"/>
      <c r="AO939" s="847"/>
      <c r="AP939" s="847"/>
      <c r="AQ939" s="847"/>
      <c r="AR939" s="847"/>
      <c r="AS939" s="847"/>
      <c r="AT939" s="847"/>
      <c r="AU939" s="847"/>
      <c r="AV939" s="847"/>
      <c r="AW939" s="847"/>
      <c r="AX939" s="847"/>
      <c r="AY939" s="318"/>
      <c r="AZ939" s="318"/>
      <c r="BA939" s="318"/>
      <c r="BB939" s="318"/>
    </row>
    <row r="940" spans="1:54" ht="38.25" customHeight="1" x14ac:dyDescent="0.25">
      <c r="A940" s="848" t="s">
        <v>1769</v>
      </c>
      <c r="B940" s="848"/>
      <c r="C940" s="848"/>
      <c r="D940" s="848"/>
      <c r="E940" s="848"/>
      <c r="F940" s="848"/>
      <c r="G940" s="848"/>
      <c r="H940" s="848"/>
      <c r="I940" s="848"/>
      <c r="J940" s="848"/>
      <c r="K940" s="848"/>
      <c r="L940" s="848"/>
      <c r="M940" s="848"/>
      <c r="N940" s="848"/>
      <c r="O940" s="848"/>
      <c r="P940" s="848"/>
      <c r="Q940" s="848"/>
      <c r="R940" s="848"/>
      <c r="S940" s="848"/>
      <c r="T940" s="849" t="s">
        <v>1770</v>
      </c>
      <c r="U940" s="849"/>
      <c r="V940" s="849"/>
      <c r="W940" s="849"/>
      <c r="X940" s="849" t="s">
        <v>1771</v>
      </c>
      <c r="Y940" s="849"/>
      <c r="Z940" s="849"/>
      <c r="AA940" s="849"/>
      <c r="AB940" s="849"/>
      <c r="AC940" s="849"/>
      <c r="AD940" s="849"/>
      <c r="AE940" s="849" t="s">
        <v>1770</v>
      </c>
      <c r="AF940" s="849"/>
      <c r="AG940" s="849"/>
      <c r="AH940" s="849"/>
      <c r="AI940" s="849" t="s">
        <v>1771</v>
      </c>
      <c r="AJ940" s="849"/>
      <c r="AK940" s="849"/>
      <c r="AL940" s="849"/>
      <c r="AM940" s="849"/>
      <c r="AN940" s="849"/>
      <c r="AO940" s="849"/>
      <c r="AP940" s="850" t="s">
        <v>1772</v>
      </c>
      <c r="AQ940" s="850"/>
      <c r="AR940" s="850"/>
      <c r="AS940" s="850"/>
      <c r="AT940" s="850"/>
      <c r="AU940" s="850"/>
      <c r="AV940" s="850"/>
      <c r="AW940" s="850"/>
      <c r="AX940" s="850"/>
      <c r="AY940" s="319"/>
      <c r="AZ940" s="319"/>
      <c r="BA940" s="319"/>
      <c r="BB940" s="319"/>
    </row>
    <row r="941" spans="1:54" ht="12.6" customHeight="1" x14ac:dyDescent="0.25">
      <c r="A941" s="843"/>
      <c r="B941" s="843"/>
      <c r="C941" s="843"/>
      <c r="D941" s="843"/>
      <c r="E941" s="843"/>
      <c r="F941" s="843"/>
      <c r="G941" s="843"/>
      <c r="H941" s="843"/>
      <c r="I941" s="843"/>
      <c r="J941" s="843"/>
      <c r="K941" s="843"/>
      <c r="L941" s="843"/>
      <c r="M941" s="843"/>
      <c r="N941" s="843"/>
      <c r="O941" s="843"/>
      <c r="P941" s="843"/>
      <c r="Q941" s="843"/>
      <c r="R941" s="843"/>
      <c r="S941" s="843"/>
      <c r="T941" s="851"/>
      <c r="U941" s="851"/>
      <c r="V941" s="851"/>
      <c r="W941" s="851"/>
      <c r="X941" s="851"/>
      <c r="Y941" s="851"/>
      <c r="Z941" s="851"/>
      <c r="AA941" s="851"/>
      <c r="AB941" s="851"/>
      <c r="AC941" s="851"/>
      <c r="AD941" s="851"/>
      <c r="AE941" s="851"/>
      <c r="AF941" s="851"/>
      <c r="AG941" s="851"/>
      <c r="AH941" s="851"/>
      <c r="AI941" s="851"/>
      <c r="AJ941" s="851"/>
      <c r="AK941" s="851"/>
      <c r="AL941" s="851"/>
      <c r="AM941" s="851"/>
      <c r="AN941" s="851"/>
      <c r="AO941" s="851"/>
      <c r="AP941" s="852"/>
      <c r="AQ941" s="852"/>
      <c r="AR941" s="852"/>
      <c r="AS941" s="852"/>
      <c r="AT941" s="852"/>
      <c r="AU941" s="852"/>
      <c r="AV941" s="852"/>
      <c r="AW941" s="852"/>
      <c r="AX941" s="852"/>
    </row>
    <row r="942" spans="1:54" ht="12.6" customHeight="1" x14ac:dyDescent="0.25">
      <c r="A942" s="843"/>
      <c r="B942" s="843"/>
      <c r="C942" s="843"/>
      <c r="D942" s="843"/>
      <c r="E942" s="843"/>
      <c r="F942" s="843"/>
      <c r="G942" s="843"/>
      <c r="H942" s="843"/>
      <c r="I942" s="843"/>
      <c r="J942" s="843"/>
      <c r="K942" s="843"/>
      <c r="L942" s="843"/>
      <c r="M942" s="843"/>
      <c r="N942" s="843"/>
      <c r="O942" s="843"/>
      <c r="P942" s="843"/>
      <c r="Q942" s="843"/>
      <c r="R942" s="843"/>
      <c r="S942" s="843"/>
      <c r="T942" s="851"/>
      <c r="U942" s="851"/>
      <c r="V942" s="851"/>
      <c r="W942" s="851"/>
      <c r="X942" s="851"/>
      <c r="Y942" s="851"/>
      <c r="Z942" s="851"/>
      <c r="AA942" s="851"/>
      <c r="AB942" s="851"/>
      <c r="AC942" s="851"/>
      <c r="AD942" s="851"/>
      <c r="AE942" s="851"/>
      <c r="AF942" s="851"/>
      <c r="AG942" s="851"/>
      <c r="AH942" s="851"/>
      <c r="AI942" s="851"/>
      <c r="AJ942" s="851"/>
      <c r="AK942" s="851"/>
      <c r="AL942" s="851"/>
      <c r="AM942" s="851"/>
      <c r="AN942" s="851"/>
      <c r="AO942" s="851"/>
      <c r="AP942" s="852"/>
      <c r="AQ942" s="852"/>
      <c r="AR942" s="852"/>
      <c r="AS942" s="852"/>
      <c r="AT942" s="852"/>
      <c r="AU942" s="852"/>
      <c r="AV942" s="852"/>
      <c r="AW942" s="852"/>
      <c r="AX942" s="852"/>
    </row>
    <row r="943" spans="1:54" ht="12.6" customHeight="1" x14ac:dyDescent="0.25">
      <c r="A943" s="843"/>
      <c r="B943" s="843"/>
      <c r="C943" s="843"/>
      <c r="D943" s="843"/>
      <c r="E943" s="843"/>
      <c r="F943" s="843"/>
      <c r="G943" s="843"/>
      <c r="H943" s="843"/>
      <c r="I943" s="843"/>
      <c r="J943" s="843"/>
      <c r="K943" s="843"/>
      <c r="L943" s="843"/>
      <c r="M943" s="843"/>
      <c r="N943" s="843"/>
      <c r="O943" s="843"/>
      <c r="P943" s="843"/>
      <c r="Q943" s="843"/>
      <c r="R943" s="843"/>
      <c r="S943" s="843"/>
      <c r="T943" s="851"/>
      <c r="U943" s="851"/>
      <c r="V943" s="851"/>
      <c r="W943" s="851"/>
      <c r="X943" s="851"/>
      <c r="Y943" s="851"/>
      <c r="Z943" s="851"/>
      <c r="AA943" s="851"/>
      <c r="AB943" s="851"/>
      <c r="AC943" s="851"/>
      <c r="AD943" s="851"/>
      <c r="AE943" s="851"/>
      <c r="AF943" s="851"/>
      <c r="AG943" s="851"/>
      <c r="AH943" s="851"/>
      <c r="AI943" s="851"/>
      <c r="AJ943" s="851"/>
      <c r="AK943" s="851"/>
      <c r="AL943" s="851"/>
      <c r="AM943" s="851"/>
      <c r="AN943" s="851"/>
      <c r="AO943" s="851"/>
      <c r="AP943" s="852"/>
      <c r="AQ943" s="852"/>
      <c r="AR943" s="852"/>
      <c r="AS943" s="852"/>
      <c r="AT943" s="852"/>
      <c r="AU943" s="852"/>
      <c r="AV943" s="852"/>
      <c r="AW943" s="852"/>
      <c r="AX943" s="852"/>
    </row>
    <row r="944" spans="1:54" ht="12.6" customHeight="1" x14ac:dyDescent="0.25">
      <c r="A944" s="843"/>
      <c r="B944" s="843"/>
      <c r="C944" s="843"/>
      <c r="D944" s="843"/>
      <c r="E944" s="843"/>
      <c r="F944" s="843"/>
      <c r="G944" s="843"/>
      <c r="H944" s="843"/>
      <c r="I944" s="843"/>
      <c r="J944" s="843"/>
      <c r="K944" s="843"/>
      <c r="L944" s="843"/>
      <c r="M944" s="843"/>
      <c r="N944" s="843"/>
      <c r="O944" s="843"/>
      <c r="P944" s="843"/>
      <c r="Q944" s="843"/>
      <c r="R944" s="843"/>
      <c r="S944" s="843"/>
      <c r="T944" s="851"/>
      <c r="U944" s="851"/>
      <c r="V944" s="851"/>
      <c r="W944" s="851"/>
      <c r="X944" s="851"/>
      <c r="Y944" s="851"/>
      <c r="Z944" s="851"/>
      <c r="AA944" s="851"/>
      <c r="AB944" s="851"/>
      <c r="AC944" s="851"/>
      <c r="AD944" s="851"/>
      <c r="AE944" s="851"/>
      <c r="AF944" s="851"/>
      <c r="AG944" s="851"/>
      <c r="AH944" s="851"/>
      <c r="AI944" s="851"/>
      <c r="AJ944" s="851"/>
      <c r="AK944" s="851"/>
      <c r="AL944" s="851"/>
      <c r="AM944" s="851"/>
      <c r="AN944" s="851"/>
      <c r="AO944" s="851"/>
      <c r="AP944" s="852"/>
      <c r="AQ944" s="852"/>
      <c r="AR944" s="852"/>
      <c r="AS944" s="852"/>
      <c r="AT944" s="852"/>
      <c r="AU944" s="852"/>
      <c r="AV944" s="852"/>
      <c r="AW944" s="852"/>
      <c r="AX944" s="852"/>
    </row>
    <row r="945" spans="1:54" ht="12.6" customHeight="1" x14ac:dyDescent="0.25">
      <c r="A945" s="843"/>
      <c r="B945" s="843"/>
      <c r="C945" s="843"/>
      <c r="D945" s="843"/>
      <c r="E945" s="843"/>
      <c r="F945" s="843"/>
      <c r="G945" s="843"/>
      <c r="H945" s="843"/>
      <c r="I945" s="843"/>
      <c r="J945" s="843"/>
      <c r="K945" s="843"/>
      <c r="L945" s="843"/>
      <c r="M945" s="843"/>
      <c r="N945" s="843"/>
      <c r="O945" s="843"/>
      <c r="P945" s="843"/>
      <c r="Q945" s="843"/>
      <c r="R945" s="843"/>
      <c r="S945" s="843"/>
      <c r="T945" s="851"/>
      <c r="U945" s="851"/>
      <c r="V945" s="851"/>
      <c r="W945" s="851"/>
      <c r="X945" s="851"/>
      <c r="Y945" s="851"/>
      <c r="Z945" s="851"/>
      <c r="AA945" s="851"/>
      <c r="AB945" s="851"/>
      <c r="AC945" s="851"/>
      <c r="AD945" s="851"/>
      <c r="AE945" s="851"/>
      <c r="AF945" s="851"/>
      <c r="AG945" s="851"/>
      <c r="AH945" s="851"/>
      <c r="AI945" s="851"/>
      <c r="AJ945" s="851"/>
      <c r="AK945" s="851"/>
      <c r="AL945" s="851"/>
      <c r="AM945" s="851"/>
      <c r="AN945" s="851"/>
      <c r="AO945" s="851"/>
      <c r="AP945" s="852"/>
      <c r="AQ945" s="852"/>
      <c r="AR945" s="852"/>
      <c r="AS945" s="852"/>
      <c r="AT945" s="852"/>
      <c r="AU945" s="852"/>
      <c r="AV945" s="852"/>
      <c r="AW945" s="852"/>
      <c r="AX945" s="852"/>
    </row>
    <row r="946" spans="1:54" ht="28.5" customHeight="1" x14ac:dyDescent="0.25">
      <c r="A946" s="846" t="s">
        <v>1775</v>
      </c>
      <c r="B946" s="846"/>
      <c r="C946" s="846"/>
      <c r="D946" s="846"/>
      <c r="E946" s="846"/>
      <c r="F946" s="846"/>
      <c r="G946" s="846"/>
      <c r="H946" s="846"/>
      <c r="I946" s="846"/>
      <c r="J946" s="846"/>
      <c r="K946" s="846"/>
      <c r="L946" s="846"/>
      <c r="M946" s="846"/>
      <c r="N946" s="846"/>
      <c r="O946" s="846"/>
      <c r="P946" s="846"/>
      <c r="Q946" s="846"/>
      <c r="R946" s="846"/>
      <c r="S946" s="846"/>
      <c r="T946" s="846"/>
      <c r="U946" s="846"/>
      <c r="V946" s="846"/>
      <c r="W946" s="846"/>
      <c r="X946" s="846"/>
      <c r="Y946" s="846"/>
      <c r="Z946" s="846"/>
      <c r="AA946" s="846"/>
      <c r="AB946" s="846"/>
      <c r="AC946" s="846"/>
      <c r="AD946" s="846"/>
      <c r="AE946" s="846"/>
      <c r="AF946" s="846"/>
      <c r="AG946" s="846"/>
      <c r="AH946" s="846"/>
      <c r="AI946" s="846"/>
      <c r="AJ946" s="846"/>
      <c r="AK946" s="846"/>
      <c r="AL946" s="846"/>
      <c r="AM946" s="846"/>
      <c r="AN946" s="846"/>
      <c r="AO946" s="846"/>
      <c r="AP946" s="846"/>
      <c r="AQ946" s="846"/>
      <c r="AR946" s="846"/>
      <c r="AS946" s="846"/>
      <c r="AT946" s="846"/>
      <c r="AU946" s="846"/>
      <c r="AV946" s="846"/>
      <c r="AW946" s="846"/>
      <c r="AX946" s="846"/>
      <c r="AY946" s="846"/>
      <c r="AZ946" s="846"/>
    </row>
    <row r="947" spans="1:54" ht="26.25" customHeight="1" x14ac:dyDescent="0.25">
      <c r="A947" s="847" t="s">
        <v>1767</v>
      </c>
      <c r="B947" s="847"/>
      <c r="C947" s="847"/>
      <c r="D947" s="847"/>
      <c r="E947" s="847"/>
      <c r="F947" s="847"/>
      <c r="G947" s="847"/>
      <c r="H947" s="847"/>
      <c r="I947" s="847"/>
      <c r="J947" s="847"/>
      <c r="K947" s="847"/>
      <c r="L947" s="847"/>
      <c r="M947" s="847"/>
      <c r="N947" s="847"/>
      <c r="O947" s="847"/>
      <c r="P947" s="847"/>
      <c r="Q947" s="847"/>
      <c r="R947" s="847"/>
      <c r="S947" s="847"/>
      <c r="T947" s="847"/>
      <c r="U947" s="847"/>
      <c r="V947" s="847"/>
      <c r="W947" s="847"/>
      <c r="X947" s="847"/>
      <c r="Y947" s="847"/>
      <c r="Z947" s="847"/>
      <c r="AA947" s="847"/>
      <c r="AB947" s="847"/>
      <c r="AC947" s="847"/>
      <c r="AD947" s="847"/>
      <c r="AE947" s="847" t="s">
        <v>1776</v>
      </c>
      <c r="AF947" s="847"/>
      <c r="AG947" s="847"/>
      <c r="AH947" s="847"/>
      <c r="AI947" s="847"/>
      <c r="AJ947" s="847"/>
      <c r="AK947" s="847"/>
      <c r="AL947" s="847"/>
      <c r="AM947" s="847"/>
      <c r="AN947" s="847"/>
      <c r="AO947" s="847"/>
      <c r="AP947" s="847"/>
      <c r="AQ947" s="847"/>
      <c r="AR947" s="847"/>
      <c r="AS947" s="847"/>
      <c r="AT947" s="847"/>
      <c r="AU947" s="847"/>
      <c r="AV947" s="847"/>
      <c r="AW947" s="847"/>
      <c r="AX947" s="847"/>
      <c r="AY947" s="318"/>
      <c r="AZ947" s="318"/>
      <c r="BA947" s="318"/>
      <c r="BB947" s="318"/>
    </row>
    <row r="948" spans="1:54" ht="38.25" customHeight="1" x14ac:dyDescent="0.25">
      <c r="A948" s="848" t="s">
        <v>1769</v>
      </c>
      <c r="B948" s="848"/>
      <c r="C948" s="848"/>
      <c r="D948" s="848"/>
      <c r="E948" s="848"/>
      <c r="F948" s="848"/>
      <c r="G948" s="848"/>
      <c r="H948" s="848"/>
      <c r="I948" s="848"/>
      <c r="J948" s="848"/>
      <c r="K948" s="848"/>
      <c r="L948" s="848"/>
      <c r="M948" s="848"/>
      <c r="N948" s="848"/>
      <c r="O948" s="848"/>
      <c r="P948" s="848"/>
      <c r="Q948" s="848"/>
      <c r="R948" s="848"/>
      <c r="S948" s="848"/>
      <c r="T948" s="849" t="s">
        <v>1770</v>
      </c>
      <c r="U948" s="849"/>
      <c r="V948" s="849"/>
      <c r="W948" s="849"/>
      <c r="X948" s="849" t="s">
        <v>1771</v>
      </c>
      <c r="Y948" s="849"/>
      <c r="Z948" s="849"/>
      <c r="AA948" s="849"/>
      <c r="AB948" s="849"/>
      <c r="AC948" s="849"/>
      <c r="AD948" s="849"/>
      <c r="AE948" s="849" t="s">
        <v>1770</v>
      </c>
      <c r="AF948" s="849"/>
      <c r="AG948" s="849"/>
      <c r="AH948" s="849"/>
      <c r="AI948" s="849" t="s">
        <v>1771</v>
      </c>
      <c r="AJ948" s="849"/>
      <c r="AK948" s="849"/>
      <c r="AL948" s="849"/>
      <c r="AM948" s="849"/>
      <c r="AN948" s="849"/>
      <c r="AO948" s="849"/>
      <c r="AP948" s="850" t="s">
        <v>1772</v>
      </c>
      <c r="AQ948" s="850"/>
      <c r="AR948" s="850"/>
      <c r="AS948" s="850"/>
      <c r="AT948" s="850"/>
      <c r="AU948" s="850"/>
      <c r="AV948" s="850"/>
      <c r="AW948" s="850"/>
      <c r="AX948" s="850"/>
      <c r="AY948" s="319"/>
      <c r="AZ948" s="319"/>
      <c r="BA948" s="319"/>
      <c r="BB948" s="319"/>
    </row>
    <row r="949" spans="1:54" ht="12.6" customHeight="1" x14ac:dyDescent="0.25">
      <c r="A949" s="843"/>
      <c r="B949" s="843"/>
      <c r="C949" s="843"/>
      <c r="D949" s="843"/>
      <c r="E949" s="843"/>
      <c r="F949" s="843"/>
      <c r="G949" s="843"/>
      <c r="H949" s="843"/>
      <c r="I949" s="843"/>
      <c r="J949" s="843"/>
      <c r="K949" s="843"/>
      <c r="L949" s="843"/>
      <c r="M949" s="843"/>
      <c r="N949" s="843"/>
      <c r="O949" s="843"/>
      <c r="P949" s="843"/>
      <c r="Q949" s="843"/>
      <c r="R949" s="843"/>
      <c r="S949" s="843"/>
      <c r="T949" s="851"/>
      <c r="U949" s="851"/>
      <c r="V949" s="851"/>
      <c r="W949" s="851"/>
      <c r="X949" s="851"/>
      <c r="Y949" s="851"/>
      <c r="Z949" s="851"/>
      <c r="AA949" s="851"/>
      <c r="AB949" s="851"/>
      <c r="AC949" s="851"/>
      <c r="AD949" s="851"/>
      <c r="AE949" s="851"/>
      <c r="AF949" s="851"/>
      <c r="AG949" s="851"/>
      <c r="AH949" s="851"/>
      <c r="AI949" s="851"/>
      <c r="AJ949" s="851"/>
      <c r="AK949" s="851"/>
      <c r="AL949" s="851"/>
      <c r="AM949" s="851"/>
      <c r="AN949" s="851"/>
      <c r="AO949" s="851"/>
      <c r="AP949" s="852"/>
      <c r="AQ949" s="852"/>
      <c r="AR949" s="852"/>
      <c r="AS949" s="852"/>
      <c r="AT949" s="852"/>
      <c r="AU949" s="852"/>
      <c r="AV949" s="852"/>
      <c r="AW949" s="852"/>
      <c r="AX949" s="852"/>
    </row>
    <row r="950" spans="1:54" ht="12.6" customHeight="1" x14ac:dyDescent="0.25">
      <c r="A950" s="843"/>
      <c r="B950" s="843"/>
      <c r="C950" s="843"/>
      <c r="D950" s="843"/>
      <c r="E950" s="843"/>
      <c r="F950" s="843"/>
      <c r="G950" s="843"/>
      <c r="H950" s="843"/>
      <c r="I950" s="843"/>
      <c r="J950" s="843"/>
      <c r="K950" s="843"/>
      <c r="L950" s="843"/>
      <c r="M950" s="843"/>
      <c r="N950" s="843"/>
      <c r="O950" s="843"/>
      <c r="P950" s="843"/>
      <c r="Q950" s="843"/>
      <c r="R950" s="843"/>
      <c r="S950" s="843"/>
      <c r="T950" s="851"/>
      <c r="U950" s="851"/>
      <c r="V950" s="851"/>
      <c r="W950" s="851"/>
      <c r="X950" s="851"/>
      <c r="Y950" s="851"/>
      <c r="Z950" s="851"/>
      <c r="AA950" s="851"/>
      <c r="AB950" s="851"/>
      <c r="AC950" s="851"/>
      <c r="AD950" s="851"/>
      <c r="AE950" s="851"/>
      <c r="AF950" s="851"/>
      <c r="AG950" s="851"/>
      <c r="AH950" s="851"/>
      <c r="AI950" s="851"/>
      <c r="AJ950" s="851"/>
      <c r="AK950" s="851"/>
      <c r="AL950" s="851"/>
      <c r="AM950" s="851"/>
      <c r="AN950" s="851"/>
      <c r="AO950" s="851"/>
      <c r="AP950" s="852"/>
      <c r="AQ950" s="852"/>
      <c r="AR950" s="852"/>
      <c r="AS950" s="852"/>
      <c r="AT950" s="852"/>
      <c r="AU950" s="852"/>
      <c r="AV950" s="852"/>
      <c r="AW950" s="852"/>
      <c r="AX950" s="852"/>
    </row>
    <row r="951" spans="1:54" ht="12.6" customHeight="1" x14ac:dyDescent="0.25">
      <c r="A951" s="843"/>
      <c r="B951" s="843"/>
      <c r="C951" s="843"/>
      <c r="D951" s="843"/>
      <c r="E951" s="843"/>
      <c r="F951" s="843"/>
      <c r="G951" s="843"/>
      <c r="H951" s="843"/>
      <c r="I951" s="843"/>
      <c r="J951" s="843"/>
      <c r="K951" s="843"/>
      <c r="L951" s="843"/>
      <c r="M951" s="843"/>
      <c r="N951" s="843"/>
      <c r="O951" s="843"/>
      <c r="P951" s="843"/>
      <c r="Q951" s="843"/>
      <c r="R951" s="843"/>
      <c r="S951" s="843"/>
      <c r="T951" s="851"/>
      <c r="U951" s="851"/>
      <c r="V951" s="851"/>
      <c r="W951" s="851"/>
      <c r="X951" s="851"/>
      <c r="Y951" s="851"/>
      <c r="Z951" s="851"/>
      <c r="AA951" s="851"/>
      <c r="AB951" s="851"/>
      <c r="AC951" s="851"/>
      <c r="AD951" s="851"/>
      <c r="AE951" s="851"/>
      <c r="AF951" s="851"/>
      <c r="AG951" s="851"/>
      <c r="AH951" s="851"/>
      <c r="AI951" s="851"/>
      <c r="AJ951" s="851"/>
      <c r="AK951" s="851"/>
      <c r="AL951" s="851"/>
      <c r="AM951" s="851"/>
      <c r="AN951" s="851"/>
      <c r="AO951" s="851"/>
      <c r="AP951" s="852"/>
      <c r="AQ951" s="852"/>
      <c r="AR951" s="852"/>
      <c r="AS951" s="852"/>
      <c r="AT951" s="852"/>
      <c r="AU951" s="852"/>
      <c r="AV951" s="852"/>
      <c r="AW951" s="852"/>
      <c r="AX951" s="852"/>
    </row>
    <row r="952" spans="1:54" ht="12.6" customHeight="1" x14ac:dyDescent="0.25">
      <c r="A952" s="843"/>
      <c r="B952" s="843"/>
      <c r="C952" s="843"/>
      <c r="D952" s="843"/>
      <c r="E952" s="843"/>
      <c r="F952" s="843"/>
      <c r="G952" s="843"/>
      <c r="H952" s="843"/>
      <c r="I952" s="843"/>
      <c r="J952" s="843"/>
      <c r="K952" s="843"/>
      <c r="L952" s="843"/>
      <c r="M952" s="843"/>
      <c r="N952" s="843"/>
      <c r="O952" s="843"/>
      <c r="P952" s="843"/>
      <c r="Q952" s="843"/>
      <c r="R952" s="843"/>
      <c r="S952" s="843"/>
      <c r="T952" s="851"/>
      <c r="U952" s="851"/>
      <c r="V952" s="851"/>
      <c r="W952" s="851"/>
      <c r="X952" s="851"/>
      <c r="Y952" s="851"/>
      <c r="Z952" s="851"/>
      <c r="AA952" s="851"/>
      <c r="AB952" s="851"/>
      <c r="AC952" s="851"/>
      <c r="AD952" s="851"/>
      <c r="AE952" s="851"/>
      <c r="AF952" s="851"/>
      <c r="AG952" s="851"/>
      <c r="AH952" s="851"/>
      <c r="AI952" s="851"/>
      <c r="AJ952" s="851"/>
      <c r="AK952" s="851"/>
      <c r="AL952" s="851"/>
      <c r="AM952" s="851"/>
      <c r="AN952" s="851"/>
      <c r="AO952" s="851"/>
      <c r="AP952" s="852"/>
      <c r="AQ952" s="852"/>
      <c r="AR952" s="852"/>
      <c r="AS952" s="852"/>
      <c r="AT952" s="852"/>
      <c r="AU952" s="852"/>
      <c r="AV952" s="852"/>
      <c r="AW952" s="852"/>
      <c r="AX952" s="852"/>
    </row>
    <row r="953" spans="1:54" ht="12.6" customHeight="1" x14ac:dyDescent="0.25">
      <c r="A953" s="843"/>
      <c r="B953" s="843"/>
      <c r="C953" s="843"/>
      <c r="D953" s="843"/>
      <c r="E953" s="843"/>
      <c r="F953" s="843"/>
      <c r="G953" s="843"/>
      <c r="H953" s="843"/>
      <c r="I953" s="843"/>
      <c r="J953" s="843"/>
      <c r="K953" s="843"/>
      <c r="L953" s="843"/>
      <c r="M953" s="843"/>
      <c r="N953" s="843"/>
      <c r="O953" s="843"/>
      <c r="P953" s="843"/>
      <c r="Q953" s="843"/>
      <c r="R953" s="843"/>
      <c r="S953" s="843"/>
      <c r="T953" s="851"/>
      <c r="U953" s="851"/>
      <c r="V953" s="851"/>
      <c r="W953" s="851"/>
      <c r="X953" s="851"/>
      <c r="Y953" s="851"/>
      <c r="Z953" s="851"/>
      <c r="AA953" s="851"/>
      <c r="AB953" s="851"/>
      <c r="AC953" s="851"/>
      <c r="AD953" s="851"/>
      <c r="AE953" s="851"/>
      <c r="AF953" s="851"/>
      <c r="AG953" s="851"/>
      <c r="AH953" s="851"/>
      <c r="AI953" s="851"/>
      <c r="AJ953" s="851"/>
      <c r="AK953" s="851"/>
      <c r="AL953" s="851"/>
      <c r="AM953" s="851"/>
      <c r="AN953" s="851"/>
      <c r="AO953" s="851"/>
      <c r="AP953" s="852"/>
      <c r="AQ953" s="852"/>
      <c r="AR953" s="852"/>
      <c r="AS953" s="852"/>
      <c r="AT953" s="852"/>
      <c r="AU953" s="852"/>
      <c r="AV953" s="852"/>
      <c r="AW953" s="852"/>
      <c r="AX953" s="852"/>
    </row>
    <row r="954" spans="1:54" ht="15" customHeight="1" x14ac:dyDescent="0.25">
      <c r="A954" s="227" t="s">
        <v>1777</v>
      </c>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c r="AA954" s="320"/>
      <c r="AB954" s="320"/>
      <c r="AC954" s="320"/>
      <c r="AD954" s="320"/>
      <c r="AE954" s="320"/>
      <c r="AF954" s="320"/>
      <c r="AG954" s="320"/>
      <c r="AH954" s="320"/>
      <c r="AI954" s="320"/>
      <c r="AJ954" s="320"/>
      <c r="AK954" s="320"/>
      <c r="AL954" s="320"/>
      <c r="AM954" s="320"/>
      <c r="AN954" s="320"/>
      <c r="AO954" s="320"/>
      <c r="AP954" s="320"/>
      <c r="AQ954" s="320"/>
      <c r="AR954" s="320"/>
      <c r="AS954" s="320"/>
      <c r="AT954" s="320"/>
      <c r="AU954" s="320"/>
      <c r="AV954" s="320"/>
      <c r="AW954" s="320"/>
      <c r="AX954" s="320"/>
      <c r="AY954" s="320"/>
      <c r="AZ954" s="320"/>
      <c r="BA954" s="320"/>
      <c r="BB954" s="320"/>
    </row>
    <row r="955" spans="1:54" ht="22.5" customHeight="1" x14ac:dyDescent="0.25">
      <c r="A955" s="853" t="s">
        <v>1778</v>
      </c>
      <c r="B955" s="853"/>
      <c r="C955" s="853"/>
      <c r="D955" s="853"/>
      <c r="E955" s="853"/>
      <c r="F955" s="853"/>
      <c r="G955" s="853"/>
      <c r="H955" s="853"/>
      <c r="I955" s="853"/>
      <c r="J955" s="853"/>
      <c r="K955" s="853"/>
      <c r="L955" s="853"/>
      <c r="M955" s="853"/>
      <c r="N955" s="853"/>
      <c r="O955" s="853"/>
      <c r="P955" s="853"/>
      <c r="Q955" s="853"/>
      <c r="R955" s="853"/>
      <c r="S955" s="853"/>
      <c r="T955" s="853"/>
      <c r="U955" s="853"/>
      <c r="V955" s="853"/>
      <c r="W955" s="853"/>
      <c r="X955" s="853"/>
      <c r="Y955" s="853"/>
      <c r="Z955" s="853"/>
      <c r="AA955" s="853"/>
      <c r="AB955" s="853"/>
      <c r="AC955" s="853"/>
      <c r="AD955" s="853"/>
      <c r="AE955" s="853"/>
      <c r="AF955" s="854" t="s">
        <v>1288</v>
      </c>
      <c r="AG955" s="854"/>
      <c r="AH955" s="854"/>
      <c r="AI955" s="854"/>
      <c r="AJ955" s="854"/>
      <c r="AK955" s="854"/>
      <c r="AL955" s="854"/>
      <c r="AM955" s="854"/>
      <c r="AN955" s="854"/>
      <c r="AO955" s="855" t="s">
        <v>1306</v>
      </c>
      <c r="AP955" s="855"/>
      <c r="AQ955" s="855"/>
      <c r="AR955" s="855"/>
      <c r="AS955" s="855"/>
      <c r="AT955" s="855"/>
      <c r="AU955" s="855"/>
      <c r="AV955" s="855"/>
      <c r="AW955" s="855"/>
      <c r="AX955" s="855"/>
      <c r="AY955" s="855"/>
      <c r="AZ955" s="855"/>
      <c r="BA955" s="855"/>
      <c r="BB955" s="855"/>
    </row>
    <row r="956" spans="1:54" ht="15" customHeight="1" x14ac:dyDescent="0.25">
      <c r="A956" s="856" t="s">
        <v>1779</v>
      </c>
      <c r="B956" s="856"/>
      <c r="C956" s="856"/>
      <c r="D956" s="856"/>
      <c r="E956" s="856"/>
      <c r="F956" s="856"/>
      <c r="G956" s="856"/>
      <c r="H956" s="856"/>
      <c r="I956" s="856"/>
      <c r="J956" s="856"/>
      <c r="K956" s="856"/>
      <c r="L956" s="856"/>
      <c r="M956" s="856"/>
      <c r="N956" s="856"/>
      <c r="O956" s="856"/>
      <c r="P956" s="856"/>
      <c r="Q956" s="856"/>
      <c r="R956" s="856"/>
      <c r="S956" s="856"/>
      <c r="T956" s="856"/>
      <c r="U956" s="856"/>
      <c r="V956" s="856"/>
      <c r="W956" s="856"/>
      <c r="X956" s="856"/>
      <c r="Y956" s="856"/>
      <c r="Z956" s="856"/>
      <c r="AA956" s="856"/>
      <c r="AB956" s="856"/>
      <c r="AC956" s="856"/>
      <c r="AD956" s="856"/>
      <c r="AE956" s="856"/>
      <c r="AF956" s="857">
        <f>SUVAHAVUJ!$N$77</f>
        <v>0</v>
      </c>
      <c r="AG956" s="857"/>
      <c r="AH956" s="857"/>
      <c r="AI956" s="857"/>
      <c r="AJ956" s="857"/>
      <c r="AK956" s="857"/>
      <c r="AL956" s="857"/>
      <c r="AM956" s="857"/>
      <c r="AN956" s="857"/>
      <c r="AO956" s="858">
        <f>SUVAHAVUJ!$X$77</f>
        <v>0</v>
      </c>
      <c r="AP956" s="858"/>
      <c r="AQ956" s="858"/>
      <c r="AR956" s="858"/>
      <c r="AS956" s="858"/>
      <c r="AT956" s="858"/>
      <c r="AU956" s="858"/>
      <c r="AV956" s="858"/>
      <c r="AW956" s="858"/>
      <c r="AX956" s="858"/>
      <c r="AY956" s="858"/>
      <c r="AZ956" s="858"/>
      <c r="BA956" s="858"/>
      <c r="BB956" s="858"/>
    </row>
    <row r="957" spans="1:54" ht="15" customHeight="1" x14ac:dyDescent="0.25">
      <c r="A957" s="859"/>
      <c r="B957" s="859"/>
      <c r="C957" s="859"/>
      <c r="D957" s="859"/>
      <c r="E957" s="859"/>
      <c r="F957" s="859"/>
      <c r="G957" s="859"/>
      <c r="H957" s="859"/>
      <c r="I957" s="859"/>
      <c r="J957" s="859"/>
      <c r="K957" s="859"/>
      <c r="L957" s="859"/>
      <c r="M957" s="859"/>
      <c r="N957" s="859"/>
      <c r="O957" s="859"/>
      <c r="P957" s="859"/>
      <c r="Q957" s="859"/>
      <c r="R957" s="859"/>
      <c r="S957" s="859"/>
      <c r="T957" s="859"/>
      <c r="U957" s="859"/>
      <c r="V957" s="859"/>
      <c r="W957" s="859"/>
      <c r="X957" s="859"/>
      <c r="Y957" s="859"/>
      <c r="Z957" s="859"/>
      <c r="AA957" s="859"/>
      <c r="AB957" s="859"/>
      <c r="AC957" s="859"/>
      <c r="AD957" s="859"/>
      <c r="AE957" s="859"/>
      <c r="AF957" s="860"/>
      <c r="AG957" s="860"/>
      <c r="AH957" s="860"/>
      <c r="AI957" s="860"/>
      <c r="AJ957" s="860"/>
      <c r="AK957" s="860"/>
      <c r="AL957" s="860"/>
      <c r="AM957" s="860"/>
      <c r="AN957" s="860"/>
      <c r="AO957" s="861"/>
      <c r="AP957" s="861"/>
      <c r="AQ957" s="861"/>
      <c r="AR957" s="861"/>
      <c r="AS957" s="861"/>
      <c r="AT957" s="861"/>
      <c r="AU957" s="861"/>
      <c r="AV957" s="861"/>
      <c r="AW957" s="861"/>
      <c r="AX957" s="861"/>
      <c r="AY957" s="861"/>
      <c r="AZ957" s="861"/>
      <c r="BA957" s="861"/>
      <c r="BB957" s="861"/>
    </row>
    <row r="958" spans="1:54" ht="15" customHeight="1" x14ac:dyDescent="0.25">
      <c r="A958" s="859"/>
      <c r="B958" s="859"/>
      <c r="C958" s="859"/>
      <c r="D958" s="859"/>
      <c r="E958" s="859"/>
      <c r="F958" s="859"/>
      <c r="G958" s="859"/>
      <c r="H958" s="859"/>
      <c r="I958" s="859"/>
      <c r="J958" s="859"/>
      <c r="K958" s="859"/>
      <c r="L958" s="859"/>
      <c r="M958" s="859"/>
      <c r="N958" s="859"/>
      <c r="O958" s="859"/>
      <c r="P958" s="859"/>
      <c r="Q958" s="859"/>
      <c r="R958" s="859"/>
      <c r="S958" s="859"/>
      <c r="T958" s="859"/>
      <c r="U958" s="859"/>
      <c r="V958" s="859"/>
      <c r="W958" s="859"/>
      <c r="X958" s="859"/>
      <c r="Y958" s="859"/>
      <c r="Z958" s="859"/>
      <c r="AA958" s="859"/>
      <c r="AB958" s="859"/>
      <c r="AC958" s="859"/>
      <c r="AD958" s="859"/>
      <c r="AE958" s="859"/>
      <c r="AF958" s="860"/>
      <c r="AG958" s="860"/>
      <c r="AH958" s="860"/>
      <c r="AI958" s="860"/>
      <c r="AJ958" s="860"/>
      <c r="AK958" s="860"/>
      <c r="AL958" s="860"/>
      <c r="AM958" s="860"/>
      <c r="AN958" s="860"/>
      <c r="AO958" s="861"/>
      <c r="AP958" s="861"/>
      <c r="AQ958" s="861"/>
      <c r="AR958" s="861"/>
      <c r="AS958" s="861"/>
      <c r="AT958" s="861"/>
      <c r="AU958" s="861"/>
      <c r="AV958" s="861"/>
      <c r="AW958" s="861"/>
      <c r="AX958" s="861"/>
      <c r="AY958" s="861"/>
      <c r="AZ958" s="861"/>
      <c r="BA958" s="861"/>
      <c r="BB958" s="861"/>
    </row>
    <row r="959" spans="1:54" ht="15" customHeight="1" x14ac:dyDescent="0.25">
      <c r="A959" s="856" t="s">
        <v>1780</v>
      </c>
      <c r="B959" s="856"/>
      <c r="C959" s="856"/>
      <c r="D959" s="856"/>
      <c r="E959" s="856"/>
      <c r="F959" s="856"/>
      <c r="G959" s="856"/>
      <c r="H959" s="856"/>
      <c r="I959" s="856"/>
      <c r="J959" s="856"/>
      <c r="K959" s="856"/>
      <c r="L959" s="856"/>
      <c r="M959" s="856"/>
      <c r="N959" s="856"/>
      <c r="O959" s="856"/>
      <c r="P959" s="856"/>
      <c r="Q959" s="856"/>
      <c r="R959" s="856"/>
      <c r="S959" s="856"/>
      <c r="T959" s="856"/>
      <c r="U959" s="856"/>
      <c r="V959" s="856"/>
      <c r="W959" s="856"/>
      <c r="X959" s="856"/>
      <c r="Y959" s="856"/>
      <c r="Z959" s="856"/>
      <c r="AA959" s="856"/>
      <c r="AB959" s="856"/>
      <c r="AC959" s="856"/>
      <c r="AD959" s="856"/>
      <c r="AE959" s="856"/>
      <c r="AF959" s="857">
        <f>SUVAHAVUJ!$N$78</f>
        <v>0</v>
      </c>
      <c r="AG959" s="857"/>
      <c r="AH959" s="857"/>
      <c r="AI959" s="857"/>
      <c r="AJ959" s="857"/>
      <c r="AK959" s="857"/>
      <c r="AL959" s="857"/>
      <c r="AM959" s="857"/>
      <c r="AN959" s="857"/>
      <c r="AO959" s="858">
        <f>SUVAHAVUJ!$X$78</f>
        <v>0</v>
      </c>
      <c r="AP959" s="858"/>
      <c r="AQ959" s="858"/>
      <c r="AR959" s="858"/>
      <c r="AS959" s="858"/>
      <c r="AT959" s="858"/>
      <c r="AU959" s="858"/>
      <c r="AV959" s="858"/>
      <c r="AW959" s="858"/>
      <c r="AX959" s="858"/>
      <c r="AY959" s="858"/>
      <c r="AZ959" s="858"/>
      <c r="BA959" s="858"/>
      <c r="BB959" s="858"/>
    </row>
    <row r="960" spans="1:54" ht="15" customHeight="1" x14ac:dyDescent="0.25">
      <c r="A960" s="859"/>
      <c r="B960" s="859"/>
      <c r="C960" s="859"/>
      <c r="D960" s="859"/>
      <c r="E960" s="859"/>
      <c r="F960" s="859"/>
      <c r="G960" s="859"/>
      <c r="H960" s="859"/>
      <c r="I960" s="859"/>
      <c r="J960" s="859"/>
      <c r="K960" s="859"/>
      <c r="L960" s="859"/>
      <c r="M960" s="859"/>
      <c r="N960" s="859"/>
      <c r="O960" s="859"/>
      <c r="P960" s="859"/>
      <c r="Q960" s="859"/>
      <c r="R960" s="859"/>
      <c r="S960" s="859"/>
      <c r="T960" s="859"/>
      <c r="U960" s="859"/>
      <c r="V960" s="859"/>
      <c r="W960" s="859"/>
      <c r="X960" s="859"/>
      <c r="Y960" s="859"/>
      <c r="Z960" s="859"/>
      <c r="AA960" s="859"/>
      <c r="AB960" s="859"/>
      <c r="AC960" s="859"/>
      <c r="AD960" s="859"/>
      <c r="AE960" s="859"/>
      <c r="AF960" s="860"/>
      <c r="AG960" s="860"/>
      <c r="AH960" s="860"/>
      <c r="AI960" s="860"/>
      <c r="AJ960" s="860"/>
      <c r="AK960" s="860"/>
      <c r="AL960" s="860"/>
      <c r="AM960" s="860"/>
      <c r="AN960" s="860"/>
      <c r="AO960" s="861"/>
      <c r="AP960" s="861"/>
      <c r="AQ960" s="861"/>
      <c r="AR960" s="861"/>
      <c r="AS960" s="861"/>
      <c r="AT960" s="861"/>
      <c r="AU960" s="861"/>
      <c r="AV960" s="861"/>
      <c r="AW960" s="861"/>
      <c r="AX960" s="861"/>
      <c r="AY960" s="861"/>
      <c r="AZ960" s="861"/>
      <c r="BA960" s="861"/>
      <c r="BB960" s="861"/>
    </row>
    <row r="961" spans="1:54" ht="15" customHeight="1" x14ac:dyDescent="0.25">
      <c r="A961" s="859"/>
      <c r="B961" s="859"/>
      <c r="C961" s="859"/>
      <c r="D961" s="859"/>
      <c r="E961" s="859"/>
      <c r="F961" s="859"/>
      <c r="G961" s="859"/>
      <c r="H961" s="859"/>
      <c r="I961" s="859"/>
      <c r="J961" s="859"/>
      <c r="K961" s="859"/>
      <c r="L961" s="859"/>
      <c r="M961" s="859"/>
      <c r="N961" s="859"/>
      <c r="O961" s="859"/>
      <c r="P961" s="859"/>
      <c r="Q961" s="859"/>
      <c r="R961" s="859"/>
      <c r="S961" s="859"/>
      <c r="T961" s="859"/>
      <c r="U961" s="859"/>
      <c r="V961" s="859"/>
      <c r="W961" s="859"/>
      <c r="X961" s="859"/>
      <c r="Y961" s="859"/>
      <c r="Z961" s="859"/>
      <c r="AA961" s="859"/>
      <c r="AB961" s="859"/>
      <c r="AC961" s="859"/>
      <c r="AD961" s="859"/>
      <c r="AE961" s="859"/>
      <c r="AF961" s="860"/>
      <c r="AG961" s="860"/>
      <c r="AH961" s="860"/>
      <c r="AI961" s="860"/>
      <c r="AJ961" s="860"/>
      <c r="AK961" s="860"/>
      <c r="AL961" s="860"/>
      <c r="AM961" s="860"/>
      <c r="AN961" s="860"/>
      <c r="AO961" s="861"/>
      <c r="AP961" s="861"/>
      <c r="AQ961" s="861"/>
      <c r="AR961" s="861"/>
      <c r="AS961" s="861"/>
      <c r="AT961" s="861"/>
      <c r="AU961" s="861"/>
      <c r="AV961" s="861"/>
      <c r="AW961" s="861"/>
      <c r="AX961" s="861"/>
      <c r="AY961" s="861"/>
      <c r="AZ961" s="861"/>
      <c r="BA961" s="861"/>
      <c r="BB961" s="861"/>
    </row>
    <row r="962" spans="1:54" ht="15" customHeight="1" x14ac:dyDescent="0.25">
      <c r="A962" s="859"/>
      <c r="B962" s="859"/>
      <c r="C962" s="859"/>
      <c r="D962" s="859"/>
      <c r="E962" s="859"/>
      <c r="F962" s="859"/>
      <c r="G962" s="859"/>
      <c r="H962" s="859"/>
      <c r="I962" s="859"/>
      <c r="J962" s="859"/>
      <c r="K962" s="859"/>
      <c r="L962" s="859"/>
      <c r="M962" s="859"/>
      <c r="N962" s="859"/>
      <c r="O962" s="859"/>
      <c r="P962" s="859"/>
      <c r="Q962" s="859"/>
      <c r="R962" s="859"/>
      <c r="S962" s="859"/>
      <c r="T962" s="859"/>
      <c r="U962" s="859"/>
      <c r="V962" s="859"/>
      <c r="W962" s="859"/>
      <c r="X962" s="859"/>
      <c r="Y962" s="859"/>
      <c r="Z962" s="859"/>
      <c r="AA962" s="859"/>
      <c r="AB962" s="859"/>
      <c r="AC962" s="859"/>
      <c r="AD962" s="859"/>
      <c r="AE962" s="859"/>
      <c r="AF962" s="860"/>
      <c r="AG962" s="860"/>
      <c r="AH962" s="860"/>
      <c r="AI962" s="860"/>
      <c r="AJ962" s="860"/>
      <c r="AK962" s="860"/>
      <c r="AL962" s="860"/>
      <c r="AM962" s="860"/>
      <c r="AN962" s="860"/>
      <c r="AO962" s="861"/>
      <c r="AP962" s="861"/>
      <c r="AQ962" s="861"/>
      <c r="AR962" s="861"/>
      <c r="AS962" s="861"/>
      <c r="AT962" s="861"/>
      <c r="AU962" s="861"/>
      <c r="AV962" s="861"/>
      <c r="AW962" s="861"/>
      <c r="AX962" s="861"/>
      <c r="AY962" s="861"/>
      <c r="AZ962" s="861"/>
      <c r="BA962" s="861"/>
      <c r="BB962" s="861"/>
    </row>
    <row r="963" spans="1:54" ht="15" customHeight="1" x14ac:dyDescent="0.25">
      <c r="A963" s="856" t="s">
        <v>1781</v>
      </c>
      <c r="B963" s="856"/>
      <c r="C963" s="856"/>
      <c r="D963" s="856"/>
      <c r="E963" s="856"/>
      <c r="F963" s="856"/>
      <c r="G963" s="856"/>
      <c r="H963" s="856"/>
      <c r="I963" s="856"/>
      <c r="J963" s="856"/>
      <c r="K963" s="856"/>
      <c r="L963" s="856"/>
      <c r="M963" s="856"/>
      <c r="N963" s="856"/>
      <c r="O963" s="856"/>
      <c r="P963" s="856"/>
      <c r="Q963" s="856"/>
      <c r="R963" s="856"/>
      <c r="S963" s="856"/>
      <c r="T963" s="856"/>
      <c r="U963" s="856"/>
      <c r="V963" s="856"/>
      <c r="W963" s="856"/>
      <c r="X963" s="856"/>
      <c r="Y963" s="856"/>
      <c r="Z963" s="856"/>
      <c r="AA963" s="856"/>
      <c r="AB963" s="856"/>
      <c r="AC963" s="856"/>
      <c r="AD963" s="856"/>
      <c r="AE963" s="856"/>
      <c r="AF963" s="857">
        <f>SUVAHAVUJ!$N$79</f>
        <v>0</v>
      </c>
      <c r="AG963" s="857"/>
      <c r="AH963" s="857"/>
      <c r="AI963" s="857"/>
      <c r="AJ963" s="857"/>
      <c r="AK963" s="857"/>
      <c r="AL963" s="857"/>
      <c r="AM963" s="857"/>
      <c r="AN963" s="857"/>
      <c r="AO963" s="858">
        <f>SUVAHAVUJ!$X$79</f>
        <v>0</v>
      </c>
      <c r="AP963" s="858"/>
      <c r="AQ963" s="858"/>
      <c r="AR963" s="858"/>
      <c r="AS963" s="858"/>
      <c r="AT963" s="858"/>
      <c r="AU963" s="858"/>
      <c r="AV963" s="858"/>
      <c r="AW963" s="858"/>
      <c r="AX963" s="858"/>
      <c r="AY963" s="858"/>
      <c r="AZ963" s="858"/>
      <c r="BA963" s="858"/>
      <c r="BB963" s="858"/>
    </row>
    <row r="964" spans="1:54" ht="15" customHeight="1" x14ac:dyDescent="0.25">
      <c r="A964" s="859"/>
      <c r="B964" s="859"/>
      <c r="C964" s="859"/>
      <c r="D964" s="859"/>
      <c r="E964" s="859"/>
      <c r="F964" s="859"/>
      <c r="G964" s="859"/>
      <c r="H964" s="859"/>
      <c r="I964" s="859"/>
      <c r="J964" s="859"/>
      <c r="K964" s="859"/>
      <c r="L964" s="859"/>
      <c r="M964" s="859"/>
      <c r="N964" s="859"/>
      <c r="O964" s="859"/>
      <c r="P964" s="859"/>
      <c r="Q964" s="859"/>
      <c r="R964" s="859"/>
      <c r="S964" s="859"/>
      <c r="T964" s="859"/>
      <c r="U964" s="859"/>
      <c r="V964" s="859"/>
      <c r="W964" s="859"/>
      <c r="X964" s="859"/>
      <c r="Y964" s="859"/>
      <c r="Z964" s="859"/>
      <c r="AA964" s="859"/>
      <c r="AB964" s="859"/>
      <c r="AC964" s="859"/>
      <c r="AD964" s="859"/>
      <c r="AE964" s="859"/>
      <c r="AF964" s="860"/>
      <c r="AG964" s="860"/>
      <c r="AH964" s="860"/>
      <c r="AI964" s="860"/>
      <c r="AJ964" s="860"/>
      <c r="AK964" s="860"/>
      <c r="AL964" s="860"/>
      <c r="AM964" s="860"/>
      <c r="AN964" s="860"/>
      <c r="AO964" s="861"/>
      <c r="AP964" s="861"/>
      <c r="AQ964" s="861"/>
      <c r="AR964" s="861"/>
      <c r="AS964" s="861"/>
      <c r="AT964" s="861"/>
      <c r="AU964" s="861"/>
      <c r="AV964" s="861"/>
      <c r="AW964" s="861"/>
      <c r="AX964" s="861"/>
      <c r="AY964" s="861"/>
      <c r="AZ964" s="861"/>
      <c r="BA964" s="861"/>
      <c r="BB964" s="861"/>
    </row>
    <row r="965" spans="1:54" ht="15" customHeight="1" x14ac:dyDescent="0.25">
      <c r="A965" s="859"/>
      <c r="B965" s="859"/>
      <c r="C965" s="859"/>
      <c r="D965" s="859"/>
      <c r="E965" s="859"/>
      <c r="F965" s="859"/>
      <c r="G965" s="859"/>
      <c r="H965" s="859"/>
      <c r="I965" s="859"/>
      <c r="J965" s="859"/>
      <c r="K965" s="859"/>
      <c r="L965" s="859"/>
      <c r="M965" s="859"/>
      <c r="N965" s="859"/>
      <c r="O965" s="859"/>
      <c r="P965" s="859"/>
      <c r="Q965" s="859"/>
      <c r="R965" s="859"/>
      <c r="S965" s="859"/>
      <c r="T965" s="859"/>
      <c r="U965" s="859"/>
      <c r="V965" s="859"/>
      <c r="W965" s="859"/>
      <c r="X965" s="859"/>
      <c r="Y965" s="859"/>
      <c r="Z965" s="859"/>
      <c r="AA965" s="859"/>
      <c r="AB965" s="859"/>
      <c r="AC965" s="859"/>
      <c r="AD965" s="859"/>
      <c r="AE965" s="859"/>
      <c r="AF965" s="860"/>
      <c r="AG965" s="860"/>
      <c r="AH965" s="860"/>
      <c r="AI965" s="860"/>
      <c r="AJ965" s="860"/>
      <c r="AK965" s="860"/>
      <c r="AL965" s="860"/>
      <c r="AM965" s="860"/>
      <c r="AN965" s="860"/>
      <c r="AO965" s="861"/>
      <c r="AP965" s="861"/>
      <c r="AQ965" s="861"/>
      <c r="AR965" s="861"/>
      <c r="AS965" s="861"/>
      <c r="AT965" s="861"/>
      <c r="AU965" s="861"/>
      <c r="AV965" s="861"/>
      <c r="AW965" s="861"/>
      <c r="AX965" s="861"/>
      <c r="AY965" s="861"/>
      <c r="AZ965" s="861"/>
      <c r="BA965" s="861"/>
      <c r="BB965" s="861"/>
    </row>
    <row r="966" spans="1:54" ht="15" customHeight="1" x14ac:dyDescent="0.25">
      <c r="A966" s="859"/>
      <c r="B966" s="859"/>
      <c r="C966" s="859"/>
      <c r="D966" s="859"/>
      <c r="E966" s="859"/>
      <c r="F966" s="859"/>
      <c r="G966" s="859"/>
      <c r="H966" s="859"/>
      <c r="I966" s="859"/>
      <c r="J966" s="859"/>
      <c r="K966" s="859"/>
      <c r="L966" s="859"/>
      <c r="M966" s="859"/>
      <c r="N966" s="859"/>
      <c r="O966" s="859"/>
      <c r="P966" s="859"/>
      <c r="Q966" s="859"/>
      <c r="R966" s="859"/>
      <c r="S966" s="859"/>
      <c r="T966" s="859"/>
      <c r="U966" s="859"/>
      <c r="V966" s="859"/>
      <c r="W966" s="859"/>
      <c r="X966" s="859"/>
      <c r="Y966" s="859"/>
      <c r="Z966" s="859"/>
      <c r="AA966" s="859"/>
      <c r="AB966" s="859"/>
      <c r="AC966" s="859"/>
      <c r="AD966" s="859"/>
      <c r="AE966" s="859"/>
      <c r="AF966" s="860"/>
      <c r="AG966" s="860"/>
      <c r="AH966" s="860"/>
      <c r="AI966" s="860"/>
      <c r="AJ966" s="860"/>
      <c r="AK966" s="860"/>
      <c r="AL966" s="860"/>
      <c r="AM966" s="860"/>
      <c r="AN966" s="860"/>
      <c r="AO966" s="861"/>
      <c r="AP966" s="861"/>
      <c r="AQ966" s="861"/>
      <c r="AR966" s="861"/>
      <c r="AS966" s="861"/>
      <c r="AT966" s="861"/>
      <c r="AU966" s="861"/>
      <c r="AV966" s="861"/>
      <c r="AW966" s="861"/>
      <c r="AX966" s="861"/>
      <c r="AY966" s="861"/>
      <c r="AZ966" s="861"/>
      <c r="BA966" s="861"/>
      <c r="BB966" s="861"/>
    </row>
    <row r="967" spans="1:54" ht="15" customHeight="1" x14ac:dyDescent="0.25">
      <c r="A967" s="856" t="s">
        <v>1782</v>
      </c>
      <c r="B967" s="856"/>
      <c r="C967" s="856"/>
      <c r="D967" s="856"/>
      <c r="E967" s="856"/>
      <c r="F967" s="856"/>
      <c r="G967" s="856"/>
      <c r="H967" s="856"/>
      <c r="I967" s="856"/>
      <c r="J967" s="856"/>
      <c r="K967" s="856"/>
      <c r="L967" s="856"/>
      <c r="M967" s="856"/>
      <c r="N967" s="856"/>
      <c r="O967" s="856"/>
      <c r="P967" s="856"/>
      <c r="Q967" s="856"/>
      <c r="R967" s="856"/>
      <c r="S967" s="856"/>
      <c r="T967" s="856"/>
      <c r="U967" s="856"/>
      <c r="V967" s="856"/>
      <c r="W967" s="856"/>
      <c r="X967" s="856"/>
      <c r="Y967" s="856"/>
      <c r="Z967" s="856"/>
      <c r="AA967" s="856"/>
      <c r="AB967" s="856"/>
      <c r="AC967" s="856"/>
      <c r="AD967" s="856"/>
      <c r="AE967" s="856"/>
      <c r="AF967" s="857">
        <f>SUVAHAVUJ!$N$80</f>
        <v>45926</v>
      </c>
      <c r="AG967" s="857"/>
      <c r="AH967" s="857"/>
      <c r="AI967" s="857"/>
      <c r="AJ967" s="857"/>
      <c r="AK967" s="857"/>
      <c r="AL967" s="857"/>
      <c r="AM967" s="857"/>
      <c r="AN967" s="857"/>
      <c r="AO967" s="858">
        <f>SUVAHAVUJ!$X$80</f>
        <v>52136</v>
      </c>
      <c r="AP967" s="858"/>
      <c r="AQ967" s="858"/>
      <c r="AR967" s="858"/>
      <c r="AS967" s="858"/>
      <c r="AT967" s="858"/>
      <c r="AU967" s="858"/>
      <c r="AV967" s="858"/>
      <c r="AW967" s="858"/>
      <c r="AX967" s="858"/>
      <c r="AY967" s="858"/>
      <c r="AZ967" s="858"/>
      <c r="BA967" s="858"/>
      <c r="BB967" s="858"/>
    </row>
    <row r="968" spans="1:54" ht="15" customHeight="1" x14ac:dyDescent="0.25">
      <c r="A968" s="859"/>
      <c r="B968" s="859"/>
      <c r="C968" s="859"/>
      <c r="D968" s="859"/>
      <c r="E968" s="859"/>
      <c r="F968" s="859"/>
      <c r="G968" s="859"/>
      <c r="H968" s="859"/>
      <c r="I968" s="859"/>
      <c r="J968" s="859"/>
      <c r="K968" s="859"/>
      <c r="L968" s="859"/>
      <c r="M968" s="859"/>
      <c r="N968" s="859"/>
      <c r="O968" s="859"/>
      <c r="P968" s="859"/>
      <c r="Q968" s="859"/>
      <c r="R968" s="859"/>
      <c r="S968" s="859"/>
      <c r="T968" s="859"/>
      <c r="U968" s="859"/>
      <c r="V968" s="859"/>
      <c r="W968" s="859"/>
      <c r="X968" s="859"/>
      <c r="Y968" s="859"/>
      <c r="Z968" s="859"/>
      <c r="AA968" s="859"/>
      <c r="AB968" s="859"/>
      <c r="AC968" s="859"/>
      <c r="AD968" s="859"/>
      <c r="AE968" s="859"/>
      <c r="AF968" s="860"/>
      <c r="AG968" s="860"/>
      <c r="AH968" s="860"/>
      <c r="AI968" s="860"/>
      <c r="AJ968" s="860"/>
      <c r="AK968" s="860"/>
      <c r="AL968" s="860"/>
      <c r="AM968" s="860"/>
      <c r="AN968" s="860"/>
      <c r="AO968" s="861"/>
      <c r="AP968" s="861"/>
      <c r="AQ968" s="861"/>
      <c r="AR968" s="861"/>
      <c r="AS968" s="861"/>
      <c r="AT968" s="861"/>
      <c r="AU968" s="861"/>
      <c r="AV968" s="861"/>
      <c r="AW968" s="861"/>
      <c r="AX968" s="861"/>
      <c r="AY968" s="861"/>
      <c r="AZ968" s="861"/>
      <c r="BA968" s="861"/>
      <c r="BB968" s="861"/>
    </row>
    <row r="969" spans="1:54" ht="15" customHeight="1" x14ac:dyDescent="0.25">
      <c r="A969" s="859"/>
      <c r="B969" s="859"/>
      <c r="C969" s="859"/>
      <c r="D969" s="859"/>
      <c r="E969" s="859"/>
      <c r="F969" s="859"/>
      <c r="G969" s="859"/>
      <c r="H969" s="859"/>
      <c r="I969" s="859"/>
      <c r="J969" s="859"/>
      <c r="K969" s="859"/>
      <c r="L969" s="859"/>
      <c r="M969" s="859"/>
      <c r="N969" s="859"/>
      <c r="O969" s="859"/>
      <c r="P969" s="859"/>
      <c r="Q969" s="859"/>
      <c r="R969" s="859"/>
      <c r="S969" s="859"/>
      <c r="T969" s="859"/>
      <c r="U969" s="859"/>
      <c r="V969" s="859"/>
      <c r="W969" s="859"/>
      <c r="X969" s="859"/>
      <c r="Y969" s="859"/>
      <c r="Z969" s="859"/>
      <c r="AA969" s="859"/>
      <c r="AB969" s="859"/>
      <c r="AC969" s="859"/>
      <c r="AD969" s="859"/>
      <c r="AE969" s="859"/>
      <c r="AF969" s="860"/>
      <c r="AG969" s="860"/>
      <c r="AH969" s="860"/>
      <c r="AI969" s="860"/>
      <c r="AJ969" s="860"/>
      <c r="AK969" s="860"/>
      <c r="AL969" s="860"/>
      <c r="AM969" s="860"/>
      <c r="AN969" s="860"/>
      <c r="AO969" s="861"/>
      <c r="AP969" s="861"/>
      <c r="AQ969" s="861"/>
      <c r="AR969" s="861"/>
      <c r="AS969" s="861"/>
      <c r="AT969" s="861"/>
      <c r="AU969" s="861"/>
      <c r="AV969" s="861"/>
      <c r="AW969" s="861"/>
      <c r="AX969" s="861"/>
      <c r="AY969" s="861"/>
      <c r="AZ969" s="861"/>
      <c r="BA969" s="861"/>
      <c r="BB969" s="861"/>
    </row>
    <row r="970" spans="1:54" ht="15" customHeight="1" x14ac:dyDescent="0.25">
      <c r="A970" s="859"/>
      <c r="B970" s="859"/>
      <c r="C970" s="859"/>
      <c r="D970" s="859"/>
      <c r="E970" s="859"/>
      <c r="F970" s="859"/>
      <c r="G970" s="859"/>
      <c r="H970" s="859"/>
      <c r="I970" s="859"/>
      <c r="J970" s="859"/>
      <c r="K970" s="859"/>
      <c r="L970" s="859"/>
      <c r="M970" s="859"/>
      <c r="N970" s="859"/>
      <c r="O970" s="859"/>
      <c r="P970" s="859"/>
      <c r="Q970" s="859"/>
      <c r="R970" s="859"/>
      <c r="S970" s="859"/>
      <c r="T970" s="859"/>
      <c r="U970" s="859"/>
      <c r="V970" s="859"/>
      <c r="W970" s="859"/>
      <c r="X970" s="859"/>
      <c r="Y970" s="859"/>
      <c r="Z970" s="859"/>
      <c r="AA970" s="859"/>
      <c r="AB970" s="859"/>
      <c r="AC970" s="859"/>
      <c r="AD970" s="859"/>
      <c r="AE970" s="859"/>
      <c r="AF970" s="860"/>
      <c r="AG970" s="860"/>
      <c r="AH970" s="860"/>
      <c r="AI970" s="860"/>
      <c r="AJ970" s="860"/>
      <c r="AK970" s="860"/>
      <c r="AL970" s="860"/>
      <c r="AM970" s="860"/>
      <c r="AN970" s="860"/>
      <c r="AO970" s="861"/>
      <c r="AP970" s="861"/>
      <c r="AQ970" s="861"/>
      <c r="AR970" s="861"/>
      <c r="AS970" s="861"/>
      <c r="AT970" s="861"/>
      <c r="AU970" s="861"/>
      <c r="AV970" s="861"/>
      <c r="AW970" s="861"/>
      <c r="AX970" s="861"/>
      <c r="AY970" s="861"/>
      <c r="AZ970" s="861"/>
      <c r="BA970" s="861"/>
      <c r="BB970" s="861"/>
    </row>
    <row r="971" spans="1:54" ht="15" customHeight="1" x14ac:dyDescent="0.25">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c r="AA971" s="321"/>
      <c r="AB971" s="321"/>
      <c r="AC971" s="321"/>
      <c r="AD971" s="321"/>
      <c r="AE971" s="321"/>
      <c r="AF971" s="322"/>
      <c r="AG971" s="322"/>
      <c r="AH971" s="322"/>
      <c r="AI971" s="322"/>
      <c r="AJ971" s="322"/>
      <c r="AK971" s="322"/>
      <c r="AL971" s="322"/>
      <c r="AM971" s="322"/>
      <c r="AN971" s="322"/>
      <c r="AO971" s="322"/>
      <c r="AP971" s="322"/>
      <c r="AQ971" s="322"/>
      <c r="AR971" s="322"/>
      <c r="AS971" s="322"/>
      <c r="AT971" s="322"/>
      <c r="AU971" s="322"/>
      <c r="AV971" s="322"/>
      <c r="AW971" s="322"/>
      <c r="AX971" s="322"/>
      <c r="AY971" s="322"/>
      <c r="AZ971" s="322"/>
      <c r="BA971" s="322"/>
      <c r="BB971" s="322"/>
    </row>
    <row r="972" spans="1:54" s="227" customFormat="1" ht="12.75" customHeight="1" x14ac:dyDescent="0.25">
      <c r="A972" s="227" t="s">
        <v>1482</v>
      </c>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c r="AA972" s="29"/>
      <c r="AB972" s="29"/>
      <c r="AC972" s="29"/>
      <c r="AD972" s="29"/>
      <c r="AE972" s="29"/>
      <c r="AF972" s="29"/>
      <c r="AG972" s="29"/>
      <c r="AH972" s="29"/>
      <c r="AI972" s="29"/>
      <c r="AJ972" s="29"/>
      <c r="AK972" s="29"/>
      <c r="AL972" s="29"/>
      <c r="AM972" s="29"/>
      <c r="AN972" s="29"/>
      <c r="AO972" s="29"/>
      <c r="AP972" s="29"/>
      <c r="AQ972" s="29"/>
      <c r="AR972" s="29"/>
      <c r="AS972" s="29"/>
      <c r="AT972" s="29"/>
      <c r="AU972" s="29"/>
      <c r="AV972" s="29"/>
      <c r="AW972" s="29"/>
      <c r="AX972" s="29"/>
      <c r="AY972" s="29"/>
      <c r="AZ972" s="29"/>
      <c r="BA972" s="29"/>
      <c r="BB972" s="29"/>
    </row>
    <row r="973" spans="1:54" ht="15" customHeight="1" x14ac:dyDescent="0.25">
      <c r="A973" s="763"/>
      <c r="B973" s="763"/>
      <c r="C973" s="763"/>
      <c r="D973" s="763"/>
      <c r="E973" s="763"/>
      <c r="F973" s="763"/>
      <c r="G973" s="763"/>
      <c r="H973" s="763"/>
      <c r="I973" s="763"/>
      <c r="J973" s="763"/>
      <c r="K973" s="763"/>
      <c r="L973" s="763"/>
      <c r="M973" s="763"/>
      <c r="N973" s="763"/>
      <c r="O973" s="763"/>
      <c r="P973" s="763"/>
      <c r="Q973" s="763"/>
      <c r="R973" s="763"/>
      <c r="S973" s="763"/>
      <c r="T973" s="763"/>
      <c r="U973" s="763"/>
      <c r="V973" s="763"/>
      <c r="W973" s="763"/>
      <c r="X973" s="763"/>
      <c r="Y973" s="763"/>
      <c r="Z973" s="763"/>
      <c r="AA973" s="763"/>
      <c r="AB973" s="763"/>
      <c r="AC973" s="763"/>
      <c r="AD973" s="763"/>
      <c r="AE973" s="763"/>
      <c r="AF973" s="763"/>
      <c r="AG973" s="763"/>
      <c r="AH973" s="763"/>
      <c r="AI973" s="763"/>
      <c r="AJ973" s="763"/>
      <c r="AK973" s="763"/>
      <c r="AL973" s="763"/>
      <c r="AM973" s="763"/>
      <c r="AN973" s="763"/>
      <c r="AO973" s="763"/>
      <c r="AP973" s="763"/>
      <c r="AQ973" s="763"/>
      <c r="AR973" s="763"/>
      <c r="AS973" s="763"/>
      <c r="AT973" s="763"/>
      <c r="AU973" s="763"/>
      <c r="AV973" s="763"/>
      <c r="AW973" s="763"/>
      <c r="AX973" s="763"/>
      <c r="AY973" s="265"/>
      <c r="AZ973" s="265"/>
      <c r="BA973" s="265"/>
      <c r="BB973" s="265"/>
    </row>
    <row r="974" spans="1:54" ht="15" customHeight="1" x14ac:dyDescent="0.25">
      <c r="A974" s="763"/>
      <c r="B974" s="763"/>
      <c r="C974" s="763"/>
      <c r="D974" s="763"/>
      <c r="E974" s="763"/>
      <c r="F974" s="763"/>
      <c r="G974" s="763"/>
      <c r="H974" s="763"/>
      <c r="I974" s="763"/>
      <c r="J974" s="763"/>
      <c r="K974" s="763"/>
      <c r="L974" s="763"/>
      <c r="M974" s="763"/>
      <c r="N974" s="763"/>
      <c r="O974" s="763"/>
      <c r="P974" s="763"/>
      <c r="Q974" s="763"/>
      <c r="R974" s="763"/>
      <c r="S974" s="763"/>
      <c r="T974" s="763"/>
      <c r="U974" s="763"/>
      <c r="V974" s="763"/>
      <c r="W974" s="763"/>
      <c r="X974" s="763"/>
      <c r="Y974" s="763"/>
      <c r="Z974" s="763"/>
      <c r="AA974" s="763"/>
      <c r="AB974" s="763"/>
      <c r="AC974" s="763"/>
      <c r="AD974" s="763"/>
      <c r="AE974" s="763"/>
      <c r="AF974" s="763"/>
      <c r="AG974" s="763"/>
      <c r="AH974" s="763"/>
      <c r="AI974" s="763"/>
      <c r="AJ974" s="763"/>
      <c r="AK974" s="763"/>
      <c r="AL974" s="763"/>
      <c r="AM974" s="763"/>
      <c r="AN974" s="763"/>
      <c r="AO974" s="763"/>
      <c r="AP974" s="763"/>
      <c r="AQ974" s="763"/>
      <c r="AR974" s="763"/>
      <c r="AS974" s="763"/>
      <c r="AT974" s="763"/>
      <c r="AU974" s="763"/>
      <c r="AV974" s="763"/>
      <c r="AW974" s="763"/>
      <c r="AX974" s="763"/>
      <c r="AY974" s="265"/>
      <c r="AZ974" s="265"/>
      <c r="BA974" s="265"/>
      <c r="BB974" s="265"/>
    </row>
    <row r="975" spans="1:54" ht="12.6" customHeight="1" x14ac:dyDescent="0.25">
      <c r="A975" s="227" t="s">
        <v>1783</v>
      </c>
    </row>
    <row r="976" spans="1:54" ht="12.6" customHeight="1" x14ac:dyDescent="0.25">
      <c r="A976" s="241"/>
      <c r="B976" s="242"/>
      <c r="C976" s="242"/>
      <c r="D976" s="242"/>
      <c r="E976" s="242"/>
      <c r="F976" s="242"/>
      <c r="G976" s="242"/>
      <c r="H976" s="268"/>
      <c r="I976" s="764" t="s">
        <v>1288</v>
      </c>
      <c r="J976" s="764"/>
      <c r="K976" s="764"/>
      <c r="L976" s="764"/>
      <c r="M976" s="764"/>
      <c r="N976" s="764"/>
      <c r="O976" s="764"/>
      <c r="P976" s="764"/>
      <c r="Q976" s="764"/>
      <c r="R976" s="764"/>
      <c r="S976" s="764"/>
      <c r="T976" s="764"/>
      <c r="U976" s="764"/>
      <c r="V976" s="764"/>
      <c r="W976" s="764"/>
      <c r="X976" s="764"/>
      <c r="Y976" s="764"/>
      <c r="Z976" s="764"/>
      <c r="AA976" s="764"/>
      <c r="AB976" s="764"/>
      <c r="AC976" s="768" t="s">
        <v>1784</v>
      </c>
      <c r="AD976" s="768"/>
      <c r="AE976" s="768"/>
      <c r="AF976" s="768"/>
      <c r="AG976" s="768"/>
      <c r="AH976" s="768"/>
      <c r="AI976" s="768"/>
      <c r="AJ976" s="768"/>
      <c r="AK976" s="768"/>
      <c r="AL976" s="768"/>
      <c r="AM976" s="768"/>
      <c r="AN976" s="768"/>
      <c r="AO976" s="768"/>
      <c r="AP976" s="768"/>
      <c r="AQ976" s="768"/>
      <c r="AR976" s="768"/>
      <c r="AS976" s="768"/>
      <c r="AT976" s="768"/>
      <c r="AU976" s="768"/>
      <c r="AV976" s="768"/>
      <c r="AW976" s="768"/>
      <c r="AX976" s="768"/>
      <c r="AY976" s="768"/>
      <c r="AZ976" s="768"/>
      <c r="BA976" s="768"/>
      <c r="BB976" s="768"/>
    </row>
    <row r="977" spans="1:54" ht="12.6" customHeight="1" x14ac:dyDescent="0.25">
      <c r="A977" s="243"/>
      <c r="B977" s="244"/>
      <c r="C977" s="244"/>
      <c r="D977" s="244"/>
      <c r="E977" s="244"/>
      <c r="F977" s="244"/>
      <c r="G977" s="244"/>
      <c r="H977" s="269"/>
      <c r="I977" s="251"/>
      <c r="J977" s="312"/>
      <c r="K977" s="312"/>
      <c r="L977" s="312"/>
      <c r="M977" s="312"/>
      <c r="N977" s="312"/>
      <c r="O977" s="312"/>
      <c r="P977" s="312"/>
      <c r="Q977" s="312"/>
      <c r="R977" s="312"/>
      <c r="S977" s="312"/>
      <c r="T977" s="312"/>
      <c r="U977" s="312"/>
      <c r="V977" s="312"/>
      <c r="W977" s="312"/>
      <c r="X977" s="312"/>
      <c r="Y977" s="312"/>
      <c r="Z977" s="312"/>
      <c r="AA977" s="312"/>
      <c r="AB977" s="312"/>
      <c r="AC977" s="750" t="s">
        <v>1486</v>
      </c>
      <c r="AD977" s="750"/>
      <c r="AE977" s="750"/>
      <c r="AF977" s="750"/>
      <c r="AG977" s="750"/>
      <c r="AH977" s="750"/>
      <c r="AI977" s="750"/>
      <c r="AJ977" s="750"/>
      <c r="AK977" s="750"/>
      <c r="AL977" s="750"/>
      <c r="AM977" s="750"/>
      <c r="AN977" s="750"/>
      <c r="AO977" s="750"/>
      <c r="AP977" s="750"/>
      <c r="AQ977" s="750"/>
      <c r="AR977" s="750"/>
      <c r="AS977" s="750"/>
      <c r="AT977" s="750"/>
      <c r="AU977" s="750"/>
      <c r="AV977" s="750"/>
      <c r="AW977" s="750"/>
      <c r="AX977" s="750"/>
      <c r="AY977" s="750"/>
      <c r="AZ977" s="750"/>
      <c r="BA977" s="750"/>
      <c r="BB977" s="750"/>
    </row>
    <row r="978" spans="1:54" ht="12.6" customHeight="1" x14ac:dyDescent="0.25">
      <c r="A978" s="745" t="s">
        <v>156</v>
      </c>
      <c r="B978" s="745"/>
      <c r="C978" s="745"/>
      <c r="D978" s="745"/>
      <c r="E978" s="745"/>
      <c r="F978" s="745"/>
      <c r="G978" s="745"/>
      <c r="H978" s="745"/>
      <c r="I978" s="749" t="s">
        <v>1785</v>
      </c>
      <c r="J978" s="749"/>
      <c r="K978" s="749"/>
      <c r="L978" s="749"/>
      <c r="M978" s="749"/>
      <c r="N978" s="749"/>
      <c r="O978" s="749"/>
      <c r="P978" s="749"/>
      <c r="Q978" s="749"/>
      <c r="R978" s="749"/>
      <c r="S978" s="749"/>
      <c r="T978" s="749"/>
      <c r="U978" s="749"/>
      <c r="V978" s="749"/>
      <c r="W978" s="749"/>
      <c r="X978" s="749"/>
      <c r="Y978" s="749"/>
      <c r="Z978" s="749"/>
      <c r="AA978" s="749"/>
      <c r="AB978" s="749"/>
      <c r="AC978" s="750" t="s">
        <v>1785</v>
      </c>
      <c r="AD978" s="750"/>
      <c r="AE978" s="750"/>
      <c r="AF978" s="750"/>
      <c r="AG978" s="750"/>
      <c r="AH978" s="750"/>
      <c r="AI978" s="750"/>
      <c r="AJ978" s="750"/>
      <c r="AK978" s="750"/>
      <c r="AL978" s="750"/>
      <c r="AM978" s="750"/>
      <c r="AN978" s="750"/>
      <c r="AO978" s="750"/>
      <c r="AP978" s="750"/>
      <c r="AQ978" s="750"/>
      <c r="AR978" s="750"/>
      <c r="AS978" s="750"/>
      <c r="AT978" s="750"/>
      <c r="AU978" s="750"/>
      <c r="AV978" s="750"/>
      <c r="AW978" s="750"/>
      <c r="AX978" s="750"/>
      <c r="AY978" s="750"/>
      <c r="AZ978" s="750"/>
      <c r="BA978" s="750"/>
      <c r="BB978" s="750"/>
    </row>
    <row r="979" spans="1:54" s="227" customFormat="1" ht="12.6" customHeight="1" x14ac:dyDescent="0.25">
      <c r="A979" s="745" t="s">
        <v>1786</v>
      </c>
      <c r="B979" s="745"/>
      <c r="C979" s="745"/>
      <c r="D979" s="745"/>
      <c r="E979" s="745"/>
      <c r="F979" s="745"/>
      <c r="G979" s="745"/>
      <c r="H979" s="745"/>
      <c r="I979" s="768" t="s">
        <v>1787</v>
      </c>
      <c r="J979" s="768"/>
      <c r="K979" s="768"/>
      <c r="L979" s="768"/>
      <c r="M979" s="768"/>
      <c r="N979" s="768"/>
      <c r="O979" s="768" t="s">
        <v>1788</v>
      </c>
      <c r="P979" s="768"/>
      <c r="Q979" s="768"/>
      <c r="R979" s="768"/>
      <c r="S979" s="768"/>
      <c r="T979" s="768"/>
      <c r="U979" s="768"/>
      <c r="V979" s="768"/>
      <c r="W979" s="768" t="s">
        <v>1789</v>
      </c>
      <c r="X979" s="768"/>
      <c r="Y979" s="768"/>
      <c r="Z979" s="768"/>
      <c r="AA979" s="768"/>
      <c r="AB979" s="768"/>
      <c r="AC979" s="768" t="s">
        <v>1787</v>
      </c>
      <c r="AD979" s="768"/>
      <c r="AE979" s="768"/>
      <c r="AF979" s="768"/>
      <c r="AG979" s="768"/>
      <c r="AH979" s="768"/>
      <c r="AI979" s="768" t="s">
        <v>1788</v>
      </c>
      <c r="AJ979" s="768"/>
      <c r="AK979" s="768"/>
      <c r="AL979" s="768"/>
      <c r="AM979" s="768"/>
      <c r="AN979" s="768"/>
      <c r="AO979" s="768"/>
      <c r="AP979" s="768"/>
      <c r="AQ979" s="768" t="s">
        <v>1789</v>
      </c>
      <c r="AR979" s="768"/>
      <c r="AS979" s="768"/>
      <c r="AT979" s="768"/>
      <c r="AU979" s="768"/>
      <c r="AV979" s="768"/>
      <c r="AW979" s="768"/>
      <c r="AX979" s="768"/>
      <c r="AY979" s="768"/>
      <c r="AZ979" s="768"/>
      <c r="BA979" s="768"/>
      <c r="BB979" s="768"/>
    </row>
    <row r="980" spans="1:54" ht="12.6" customHeight="1" x14ac:dyDescent="0.25">
      <c r="A980" s="243"/>
      <c r="B980" s="244"/>
      <c r="C980" s="244"/>
      <c r="D980" s="244"/>
      <c r="E980" s="244"/>
      <c r="F980" s="244"/>
      <c r="G980" s="244"/>
      <c r="H980" s="269"/>
      <c r="I980" s="745" t="s">
        <v>1790</v>
      </c>
      <c r="J980" s="745"/>
      <c r="K980" s="745"/>
      <c r="L980" s="745"/>
      <c r="M980" s="745"/>
      <c r="N980" s="745"/>
      <c r="O980" s="745" t="s">
        <v>1791</v>
      </c>
      <c r="P980" s="745"/>
      <c r="Q980" s="745"/>
      <c r="R980" s="745"/>
      <c r="S980" s="745"/>
      <c r="T980" s="745"/>
      <c r="U980" s="745"/>
      <c r="V980" s="745"/>
      <c r="W980" s="745" t="s">
        <v>1792</v>
      </c>
      <c r="X980" s="745"/>
      <c r="Y980" s="745"/>
      <c r="Z980" s="745"/>
      <c r="AA980" s="745"/>
      <c r="AB980" s="745"/>
      <c r="AC980" s="745" t="s">
        <v>1790</v>
      </c>
      <c r="AD980" s="745"/>
      <c r="AE980" s="745"/>
      <c r="AF980" s="745"/>
      <c r="AG980" s="745"/>
      <c r="AH980" s="745"/>
      <c r="AI980" s="745" t="s">
        <v>1791</v>
      </c>
      <c r="AJ980" s="745"/>
      <c r="AK980" s="745"/>
      <c r="AL980" s="745"/>
      <c r="AM980" s="745"/>
      <c r="AN980" s="745"/>
      <c r="AO980" s="745"/>
      <c r="AP980" s="745"/>
      <c r="AQ980" s="745" t="s">
        <v>1792</v>
      </c>
      <c r="AR980" s="745"/>
      <c r="AS980" s="745"/>
      <c r="AT980" s="745"/>
      <c r="AU980" s="745"/>
      <c r="AV980" s="745"/>
      <c r="AW980" s="745"/>
      <c r="AX980" s="745"/>
      <c r="AY980" s="745"/>
      <c r="AZ980" s="745"/>
      <c r="BA980" s="745"/>
      <c r="BB980" s="745"/>
    </row>
    <row r="981" spans="1:54" ht="12.6" customHeight="1" x14ac:dyDescent="0.25">
      <c r="A981" s="243"/>
      <c r="B981" s="244"/>
      <c r="C981" s="244"/>
      <c r="D981" s="244"/>
      <c r="E981" s="244"/>
      <c r="F981" s="244"/>
      <c r="G981" s="244"/>
      <c r="H981" s="269"/>
      <c r="I981" s="745" t="s">
        <v>1600</v>
      </c>
      <c r="J981" s="745"/>
      <c r="K981" s="745"/>
      <c r="L981" s="745"/>
      <c r="M981" s="745"/>
      <c r="N981" s="745"/>
      <c r="O981" s="745" t="s">
        <v>1600</v>
      </c>
      <c r="P981" s="745"/>
      <c r="Q981" s="745"/>
      <c r="R981" s="745"/>
      <c r="S981" s="745"/>
      <c r="T981" s="745"/>
      <c r="U981" s="745"/>
      <c r="V981" s="745"/>
      <c r="W981" s="745"/>
      <c r="X981" s="745"/>
      <c r="Y981" s="745"/>
      <c r="Z981" s="745"/>
      <c r="AA981" s="745"/>
      <c r="AB981" s="745"/>
      <c r="AC981" s="745" t="s">
        <v>1600</v>
      </c>
      <c r="AD981" s="745"/>
      <c r="AE981" s="745"/>
      <c r="AF981" s="745"/>
      <c r="AG981" s="745"/>
      <c r="AH981" s="745"/>
      <c r="AI981" s="745" t="s">
        <v>1600</v>
      </c>
      <c r="AJ981" s="745"/>
      <c r="AK981" s="745"/>
      <c r="AL981" s="745"/>
      <c r="AM981" s="745"/>
      <c r="AN981" s="745"/>
      <c r="AO981" s="745"/>
      <c r="AP981" s="745"/>
      <c r="AQ981" s="745"/>
      <c r="AR981" s="745"/>
      <c r="AS981" s="745"/>
      <c r="AT981" s="745"/>
      <c r="AU981" s="745"/>
      <c r="AV981" s="745"/>
      <c r="AW981" s="745"/>
      <c r="AX981" s="745"/>
      <c r="AY981" s="745"/>
      <c r="AZ981" s="745"/>
      <c r="BA981" s="745"/>
      <c r="BB981" s="745"/>
    </row>
    <row r="982" spans="1:54" ht="12.6" customHeight="1" x14ac:dyDescent="0.25">
      <c r="A982" s="750" t="s">
        <v>1323</v>
      </c>
      <c r="B982" s="750"/>
      <c r="C982" s="750"/>
      <c r="D982" s="750"/>
      <c r="E982" s="750"/>
      <c r="F982" s="750"/>
      <c r="G982" s="750"/>
      <c r="H982" s="750"/>
      <c r="I982" s="750" t="s">
        <v>1324</v>
      </c>
      <c r="J982" s="750"/>
      <c r="K982" s="750"/>
      <c r="L982" s="750"/>
      <c r="M982" s="750"/>
      <c r="N982" s="750"/>
      <c r="O982" s="750" t="s">
        <v>1325</v>
      </c>
      <c r="P982" s="750"/>
      <c r="Q982" s="750"/>
      <c r="R982" s="750"/>
      <c r="S982" s="750"/>
      <c r="T982" s="750"/>
      <c r="U982" s="750"/>
      <c r="V982" s="750"/>
      <c r="W982" s="750" t="s">
        <v>1326</v>
      </c>
      <c r="X982" s="750"/>
      <c r="Y982" s="750"/>
      <c r="Z982" s="750"/>
      <c r="AA982" s="750"/>
      <c r="AB982" s="750"/>
      <c r="AC982" s="750" t="s">
        <v>1327</v>
      </c>
      <c r="AD982" s="750"/>
      <c r="AE982" s="750"/>
      <c r="AF982" s="750"/>
      <c r="AG982" s="750"/>
      <c r="AH982" s="750"/>
      <c r="AI982" s="750" t="s">
        <v>1333</v>
      </c>
      <c r="AJ982" s="750"/>
      <c r="AK982" s="750"/>
      <c r="AL982" s="750"/>
      <c r="AM982" s="750"/>
      <c r="AN982" s="750"/>
      <c r="AO982" s="750"/>
      <c r="AP982" s="750"/>
      <c r="AQ982" s="750" t="s">
        <v>1468</v>
      </c>
      <c r="AR982" s="750"/>
      <c r="AS982" s="750"/>
      <c r="AT982" s="750"/>
      <c r="AU982" s="750"/>
      <c r="AV982" s="750"/>
      <c r="AW982" s="750"/>
      <c r="AX982" s="750"/>
      <c r="AY982" s="750"/>
      <c r="AZ982" s="750"/>
      <c r="BA982" s="750"/>
      <c r="BB982" s="750"/>
    </row>
    <row r="983" spans="1:54" ht="12.6" customHeight="1" x14ac:dyDescent="0.25">
      <c r="A983" s="253" t="s">
        <v>1793</v>
      </c>
      <c r="B983" s="246"/>
      <c r="C983" s="246"/>
      <c r="D983" s="246"/>
      <c r="E983" s="246"/>
      <c r="F983" s="246"/>
      <c r="G983" s="246"/>
      <c r="H983" s="248"/>
      <c r="I983" s="811"/>
      <c r="J983" s="811"/>
      <c r="K983" s="811"/>
      <c r="L983" s="811"/>
      <c r="M983" s="811"/>
      <c r="N983" s="811"/>
      <c r="O983" s="811"/>
      <c r="P983" s="811"/>
      <c r="Q983" s="811"/>
      <c r="R983" s="811"/>
      <c r="S983" s="811"/>
      <c r="T983" s="811"/>
      <c r="U983" s="811"/>
      <c r="V983" s="811"/>
      <c r="W983" s="811"/>
      <c r="X983" s="811"/>
      <c r="Y983" s="811"/>
      <c r="Z983" s="811"/>
      <c r="AA983" s="811"/>
      <c r="AB983" s="811"/>
      <c r="AC983" s="811"/>
      <c r="AD983" s="811"/>
      <c r="AE983" s="811"/>
      <c r="AF983" s="811"/>
      <c r="AG983" s="811"/>
      <c r="AH983" s="811"/>
      <c r="AI983" s="811"/>
      <c r="AJ983" s="811"/>
      <c r="AK983" s="811"/>
      <c r="AL983" s="811"/>
      <c r="AM983" s="811"/>
      <c r="AN983" s="811"/>
      <c r="AO983" s="811"/>
      <c r="AP983" s="811"/>
      <c r="AQ983" s="811"/>
      <c r="AR983" s="811"/>
      <c r="AS983" s="811"/>
      <c r="AT983" s="811"/>
      <c r="AU983" s="811"/>
      <c r="AV983" s="811"/>
      <c r="AW983" s="811"/>
      <c r="AX983" s="811"/>
      <c r="AY983" s="811"/>
      <c r="AZ983" s="811"/>
      <c r="BA983" s="811"/>
      <c r="BB983" s="811"/>
    </row>
    <row r="984" spans="1:54" ht="12.6" customHeight="1" x14ac:dyDescent="0.25">
      <c r="A984" s="253" t="s">
        <v>1794</v>
      </c>
      <c r="B984" s="246"/>
      <c r="C984" s="246"/>
      <c r="D984" s="246"/>
      <c r="E984" s="246"/>
      <c r="F984" s="246"/>
      <c r="G984" s="246"/>
      <c r="H984" s="248"/>
      <c r="I984" s="811"/>
      <c r="J984" s="811"/>
      <c r="K984" s="811"/>
      <c r="L984" s="811"/>
      <c r="M984" s="811"/>
      <c r="N984" s="811"/>
      <c r="O984" s="709"/>
      <c r="P984" s="709"/>
      <c r="Q984" s="709"/>
      <c r="R984" s="709"/>
      <c r="S984" s="709"/>
      <c r="T984" s="709"/>
      <c r="U984" s="709"/>
      <c r="V984" s="709"/>
      <c r="W984" s="709"/>
      <c r="X984" s="709"/>
      <c r="Y984" s="709"/>
      <c r="Z984" s="709"/>
      <c r="AA984" s="709"/>
      <c r="AB984" s="709"/>
      <c r="AC984" s="709"/>
      <c r="AD984" s="709"/>
      <c r="AE984" s="709"/>
      <c r="AF984" s="709"/>
      <c r="AG984" s="709"/>
      <c r="AH984" s="709"/>
      <c r="AI984" s="709"/>
      <c r="AJ984" s="709"/>
      <c r="AK984" s="709"/>
      <c r="AL984" s="709"/>
      <c r="AM984" s="709"/>
      <c r="AN984" s="709"/>
      <c r="AO984" s="709"/>
      <c r="AP984" s="709"/>
      <c r="AQ984" s="709"/>
      <c r="AR984" s="709"/>
      <c r="AS984" s="709"/>
      <c r="AT984" s="709"/>
      <c r="AU984" s="709"/>
      <c r="AV984" s="709"/>
      <c r="AW984" s="709"/>
      <c r="AX984" s="709"/>
      <c r="AY984" s="709"/>
      <c r="AZ984" s="709"/>
      <c r="BA984" s="709"/>
      <c r="BB984" s="709"/>
    </row>
    <row r="985" spans="1:54" s="227" customFormat="1" ht="12.6" customHeight="1" x14ac:dyDescent="0.25">
      <c r="A985" s="311" t="s">
        <v>1328</v>
      </c>
      <c r="B985" s="246"/>
      <c r="C985" s="246"/>
      <c r="D985" s="246"/>
      <c r="E985" s="246"/>
      <c r="F985" s="246"/>
      <c r="G985" s="246"/>
      <c r="H985" s="248"/>
      <c r="I985" s="709"/>
      <c r="J985" s="709"/>
      <c r="K985" s="709"/>
      <c r="L985" s="709"/>
      <c r="M985" s="709"/>
      <c r="N985" s="709"/>
      <c r="O985" s="709"/>
      <c r="P985" s="709"/>
      <c r="Q985" s="709"/>
      <c r="R985" s="709"/>
      <c r="S985" s="709"/>
      <c r="T985" s="709"/>
      <c r="U985" s="709"/>
      <c r="V985" s="709"/>
      <c r="W985" s="862"/>
      <c r="X985" s="862"/>
      <c r="Y985" s="862"/>
      <c r="Z985" s="862"/>
      <c r="AA985" s="862"/>
      <c r="AB985" s="862"/>
      <c r="AC985" s="709"/>
      <c r="AD985" s="709"/>
      <c r="AE985" s="709"/>
      <c r="AF985" s="709"/>
      <c r="AG985" s="709"/>
      <c r="AH985" s="709"/>
      <c r="AI985" s="709"/>
      <c r="AJ985" s="709"/>
      <c r="AK985" s="709"/>
      <c r="AL985" s="709"/>
      <c r="AM985" s="709"/>
      <c r="AN985" s="709"/>
      <c r="AO985" s="709"/>
      <c r="AP985" s="709"/>
      <c r="AQ985" s="709"/>
      <c r="AR985" s="709"/>
      <c r="AS985" s="709"/>
      <c r="AT985" s="709"/>
      <c r="AU985" s="709"/>
      <c r="AV985" s="709"/>
      <c r="AW985" s="709"/>
      <c r="AX985" s="709"/>
      <c r="AY985" s="709"/>
      <c r="AZ985" s="709"/>
      <c r="BA985" s="709"/>
      <c r="BB985" s="709"/>
    </row>
    <row r="986" spans="1:54" ht="12.6" customHeight="1" x14ac:dyDescent="0.25">
      <c r="A986" s="227" t="s">
        <v>1344</v>
      </c>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c r="AA986" s="29"/>
      <c r="AB986" s="29"/>
      <c r="AC986" s="29"/>
      <c r="AD986" s="29"/>
      <c r="AE986" s="29"/>
      <c r="AF986" s="29"/>
      <c r="AG986" s="29"/>
      <c r="AH986" s="29"/>
      <c r="AI986" s="29"/>
      <c r="AJ986" s="29"/>
      <c r="AK986" s="29"/>
      <c r="AL986" s="29"/>
      <c r="AM986" s="29"/>
      <c r="AN986" s="29"/>
      <c r="AO986" s="29"/>
      <c r="AP986" s="29"/>
      <c r="AQ986" s="29"/>
      <c r="AR986" s="29"/>
      <c r="AS986" s="29"/>
      <c r="AT986" s="29"/>
      <c r="AU986" s="29"/>
      <c r="AV986" s="29"/>
      <c r="AW986" s="29"/>
      <c r="AX986" s="29"/>
      <c r="AY986" s="29"/>
      <c r="AZ986" s="29"/>
      <c r="BA986" s="29"/>
      <c r="BB986" s="29"/>
    </row>
    <row r="987" spans="1:54" ht="15" customHeight="1" x14ac:dyDescent="0.25">
      <c r="A987" s="763"/>
      <c r="B987" s="763"/>
      <c r="C987" s="763"/>
      <c r="D987" s="763"/>
      <c r="E987" s="763"/>
      <c r="F987" s="763"/>
      <c r="G987" s="763"/>
      <c r="H987" s="763"/>
      <c r="I987" s="763"/>
      <c r="J987" s="763"/>
      <c r="K987" s="763"/>
      <c r="L987" s="763"/>
      <c r="M987" s="763"/>
      <c r="N987" s="763"/>
      <c r="O987" s="763"/>
      <c r="P987" s="763"/>
      <c r="Q987" s="763"/>
      <c r="R987" s="763"/>
      <c r="S987" s="763"/>
      <c r="T987" s="763"/>
      <c r="U987" s="763"/>
      <c r="V987" s="763"/>
      <c r="W987" s="763"/>
      <c r="X987" s="763"/>
      <c r="Y987" s="763"/>
      <c r="Z987" s="763"/>
      <c r="AA987" s="763"/>
      <c r="AB987" s="763"/>
      <c r="AC987" s="763"/>
      <c r="AD987" s="763"/>
      <c r="AE987" s="763"/>
      <c r="AF987" s="763"/>
      <c r="AG987" s="763"/>
      <c r="AH987" s="763"/>
      <c r="AI987" s="763"/>
      <c r="AJ987" s="763"/>
      <c r="AK987" s="763"/>
      <c r="AL987" s="763"/>
      <c r="AM987" s="763"/>
      <c r="AN987" s="763"/>
      <c r="AO987" s="763"/>
      <c r="AP987" s="763"/>
      <c r="AQ987" s="763"/>
      <c r="AR987" s="763"/>
      <c r="AS987" s="763"/>
      <c r="AT987" s="763"/>
      <c r="AU987" s="763"/>
      <c r="AV987" s="763"/>
      <c r="AW987" s="763"/>
      <c r="AX987" s="763"/>
      <c r="AY987" s="265"/>
      <c r="AZ987" s="265"/>
      <c r="BA987" s="265"/>
      <c r="BB987" s="265"/>
    </row>
    <row r="988" spans="1:54" ht="15" customHeight="1" x14ac:dyDescent="0.25">
      <c r="A988" s="763"/>
      <c r="B988" s="763"/>
      <c r="C988" s="763"/>
      <c r="D988" s="763"/>
      <c r="E988" s="763"/>
      <c r="F988" s="763"/>
      <c r="G988" s="763"/>
      <c r="H988" s="763"/>
      <c r="I988" s="763"/>
      <c r="J988" s="763"/>
      <c r="K988" s="763"/>
      <c r="L988" s="763"/>
      <c r="M988" s="763"/>
      <c r="N988" s="763"/>
      <c r="O988" s="763"/>
      <c r="P988" s="763"/>
      <c r="Q988" s="763"/>
      <c r="R988" s="763"/>
      <c r="S988" s="763"/>
      <c r="T988" s="763"/>
      <c r="U988" s="763"/>
      <c r="V988" s="763"/>
      <c r="W988" s="763"/>
      <c r="X988" s="763"/>
      <c r="Y988" s="763"/>
      <c r="Z988" s="763"/>
      <c r="AA988" s="763"/>
      <c r="AB988" s="763"/>
      <c r="AC988" s="763"/>
      <c r="AD988" s="763"/>
      <c r="AE988" s="763"/>
      <c r="AF988" s="763"/>
      <c r="AG988" s="763"/>
      <c r="AH988" s="763"/>
      <c r="AI988" s="763"/>
      <c r="AJ988" s="763"/>
      <c r="AK988" s="763"/>
      <c r="AL988" s="763"/>
      <c r="AM988" s="763"/>
      <c r="AN988" s="763"/>
      <c r="AO988" s="763"/>
      <c r="AP988" s="763"/>
      <c r="AQ988" s="763"/>
      <c r="AR988" s="763"/>
      <c r="AS988" s="763"/>
      <c r="AT988" s="763"/>
      <c r="AU988" s="763"/>
      <c r="AV988" s="763"/>
      <c r="AW988" s="763"/>
      <c r="AX988" s="763"/>
      <c r="AY988" s="265"/>
      <c r="AZ988" s="265"/>
      <c r="BA988" s="265"/>
      <c r="BB988" s="265"/>
    </row>
    <row r="989" spans="1:54" s="227" customFormat="1" ht="12.6" customHeight="1" x14ac:dyDescent="0.25">
      <c r="A989" s="301"/>
      <c r="B989" s="302"/>
      <c r="C989" s="302"/>
      <c r="D989" s="302"/>
      <c r="E989" s="302"/>
      <c r="F989" s="302"/>
      <c r="G989" s="302"/>
      <c r="H989" s="302"/>
      <c r="I989" s="302"/>
      <c r="J989" s="302"/>
      <c r="K989" s="302"/>
      <c r="L989" s="302"/>
      <c r="M989" s="302"/>
      <c r="N989" s="302"/>
      <c r="O989" s="302"/>
      <c r="P989" s="302"/>
      <c r="Q989" s="302"/>
      <c r="R989" s="302"/>
      <c r="S989" s="302"/>
      <c r="T989" s="302"/>
      <c r="U989" s="302"/>
      <c r="V989" s="302"/>
      <c r="W989" s="302"/>
      <c r="X989" s="302"/>
      <c r="Y989" s="302"/>
      <c r="Z989" s="302"/>
      <c r="AA989" s="302"/>
      <c r="AB989" s="302"/>
      <c r="AC989" s="302"/>
      <c r="AD989" s="302"/>
      <c r="AE989" s="302"/>
      <c r="AF989" s="302"/>
      <c r="AG989" s="302"/>
      <c r="AH989" s="302"/>
      <c r="AI989" s="302"/>
      <c r="AJ989" s="302"/>
      <c r="AK989" s="302"/>
      <c r="AL989" s="302"/>
      <c r="AM989" s="302"/>
      <c r="AN989" s="302"/>
      <c r="AO989" s="302"/>
      <c r="AP989" s="302"/>
      <c r="AQ989" s="302"/>
      <c r="AR989" s="302"/>
      <c r="AS989" s="302"/>
      <c r="AT989" s="302"/>
      <c r="AU989" s="302"/>
      <c r="AV989" s="302"/>
      <c r="AW989" s="302"/>
      <c r="AX989" s="302"/>
      <c r="AY989" s="302"/>
      <c r="AZ989" s="302"/>
      <c r="BA989" s="302"/>
      <c r="BB989" s="303"/>
    </row>
    <row r="990" spans="1:54" s="227" customFormat="1" ht="12.6" customHeight="1" x14ac:dyDescent="0.25">
      <c r="A990" s="301"/>
      <c r="B990" s="302"/>
      <c r="C990" s="302"/>
      <c r="D990" s="302"/>
      <c r="E990" s="302"/>
      <c r="F990" s="302"/>
      <c r="G990" s="302"/>
      <c r="H990" s="302"/>
      <c r="I990" s="302"/>
      <c r="J990" s="302"/>
      <c r="K990" s="302"/>
      <c r="L990" s="302"/>
      <c r="M990" s="302"/>
      <c r="N990" s="302"/>
      <c r="O990" s="302"/>
      <c r="P990" s="302"/>
      <c r="Q990" s="302"/>
      <c r="R990" s="302"/>
      <c r="S990" s="302"/>
      <c r="T990" s="302"/>
      <c r="U990" s="302"/>
      <c r="V990" s="302"/>
      <c r="W990" s="302"/>
      <c r="X990" s="302"/>
      <c r="Y990" s="302"/>
      <c r="Z990" s="302"/>
      <c r="AA990" s="302"/>
      <c r="AB990" s="302"/>
      <c r="AC990" s="302"/>
      <c r="AD990" s="302"/>
      <c r="AE990" s="302"/>
      <c r="AF990" s="302"/>
      <c r="AG990" s="302"/>
      <c r="AH990" s="302"/>
      <c r="AI990" s="302"/>
      <c r="AJ990" s="302"/>
      <c r="AK990" s="302"/>
      <c r="AL990" s="302"/>
      <c r="AM990" s="302"/>
      <c r="AN990" s="302"/>
      <c r="AO990" s="302"/>
      <c r="AP990" s="302"/>
      <c r="AQ990" s="302"/>
      <c r="AR990" s="302"/>
      <c r="AS990" s="302"/>
      <c r="AT990" s="302"/>
      <c r="AU990" s="302"/>
      <c r="AV990" s="302"/>
      <c r="AW990" s="302"/>
      <c r="AX990" s="302"/>
      <c r="AY990" s="302"/>
      <c r="AZ990" s="302"/>
      <c r="BA990" s="302"/>
      <c r="BB990" s="303"/>
    </row>
    <row r="991" spans="1:54" s="227" customFormat="1" ht="12.6" customHeight="1" x14ac:dyDescent="0.25">
      <c r="A991" s="301"/>
      <c r="B991" s="302"/>
      <c r="C991" s="302"/>
      <c r="D991" s="302"/>
      <c r="E991" s="302"/>
      <c r="F991" s="302"/>
      <c r="G991" s="302"/>
      <c r="H991" s="302"/>
      <c r="I991" s="302"/>
      <c r="J991" s="302"/>
      <c r="K991" s="302"/>
      <c r="L991" s="302"/>
      <c r="M991" s="302"/>
      <c r="N991" s="302"/>
      <c r="O991" s="302"/>
      <c r="P991" s="302"/>
      <c r="Q991" s="302"/>
      <c r="R991" s="302"/>
      <c r="S991" s="302"/>
      <c r="T991" s="302"/>
      <c r="U991" s="302"/>
      <c r="V991" s="302"/>
      <c r="W991" s="302"/>
      <c r="X991" s="302"/>
      <c r="Y991" s="302"/>
      <c r="Z991" s="302"/>
      <c r="AA991" s="302"/>
      <c r="AB991" s="302"/>
      <c r="AC991" s="302"/>
      <c r="AD991" s="302"/>
      <c r="AE991" s="302"/>
      <c r="AF991" s="302"/>
      <c r="AG991" s="302"/>
      <c r="AH991" s="302"/>
      <c r="AI991" s="302"/>
      <c r="AJ991" s="302"/>
      <c r="AK991" s="302"/>
      <c r="AL991" s="302"/>
      <c r="AM991" s="302"/>
      <c r="AN991" s="302"/>
      <c r="AO991" s="302"/>
      <c r="AP991" s="302"/>
      <c r="AQ991" s="302"/>
      <c r="AR991" s="302"/>
      <c r="AS991" s="302"/>
      <c r="AT991" s="302"/>
      <c r="AU991" s="302"/>
      <c r="AV991" s="302"/>
      <c r="AW991" s="302"/>
      <c r="AX991" s="302"/>
      <c r="AY991" s="302"/>
      <c r="AZ991" s="302"/>
      <c r="BA991" s="302"/>
      <c r="BB991" s="303"/>
    </row>
    <row r="992" spans="1:54" s="227" customFormat="1" ht="12.6" customHeight="1" x14ac:dyDescent="0.25">
      <c r="A992" s="301"/>
      <c r="B992" s="302"/>
      <c r="C992" s="302"/>
      <c r="D992" s="302"/>
      <c r="E992" s="302"/>
      <c r="F992" s="302"/>
      <c r="G992" s="302"/>
      <c r="H992" s="302"/>
      <c r="I992" s="302"/>
      <c r="J992" s="302"/>
      <c r="K992" s="302"/>
      <c r="L992" s="302"/>
      <c r="M992" s="302"/>
      <c r="N992" s="302"/>
      <c r="O992" s="302"/>
      <c r="P992" s="302"/>
      <c r="Q992" s="302"/>
      <c r="R992" s="302"/>
      <c r="S992" s="302"/>
      <c r="T992" s="302"/>
      <c r="U992" s="302"/>
      <c r="V992" s="302"/>
      <c r="W992" s="302"/>
      <c r="X992" s="302"/>
      <c r="Y992" s="302"/>
      <c r="Z992" s="302"/>
      <c r="AA992" s="302"/>
      <c r="AB992" s="302"/>
      <c r="AC992" s="302"/>
      <c r="AD992" s="302"/>
      <c r="AE992" s="302"/>
      <c r="AF992" s="302"/>
      <c r="AG992" s="302"/>
      <c r="AH992" s="302"/>
      <c r="AI992" s="302"/>
      <c r="AJ992" s="302"/>
      <c r="AK992" s="302"/>
      <c r="AL992" s="302"/>
      <c r="AM992" s="302"/>
      <c r="AN992" s="302"/>
      <c r="AO992" s="302"/>
      <c r="AP992" s="302"/>
      <c r="AQ992" s="302"/>
      <c r="AR992" s="302"/>
      <c r="AS992" s="302"/>
      <c r="AT992" s="302"/>
      <c r="AU992" s="302"/>
      <c r="AV992" s="302"/>
      <c r="AW992" s="302"/>
      <c r="AX992" s="302"/>
      <c r="AY992" s="302"/>
      <c r="AZ992" s="302"/>
      <c r="BA992" s="302"/>
      <c r="BB992" s="303"/>
    </row>
    <row r="993" spans="1:54" s="227" customFormat="1" ht="12.6" customHeight="1" x14ac:dyDescent="0.25">
      <c r="A993" s="301"/>
      <c r="B993" s="302"/>
      <c r="C993" s="302"/>
      <c r="D993" s="302"/>
      <c r="E993" s="302"/>
      <c r="F993" s="302"/>
      <c r="G993" s="302"/>
      <c r="H993" s="302"/>
      <c r="I993" s="302"/>
      <c r="J993" s="302"/>
      <c r="K993" s="302"/>
      <c r="L993" s="302"/>
      <c r="M993" s="302"/>
      <c r="N993" s="302"/>
      <c r="O993" s="302"/>
      <c r="P993" s="302"/>
      <c r="Q993" s="302"/>
      <c r="R993" s="302"/>
      <c r="S993" s="302"/>
      <c r="T993" s="302"/>
      <c r="U993" s="302"/>
      <c r="V993" s="302"/>
      <c r="W993" s="302"/>
      <c r="X993" s="302"/>
      <c r="Y993" s="302"/>
      <c r="Z993" s="302"/>
      <c r="AA993" s="302"/>
      <c r="AB993" s="302"/>
      <c r="AC993" s="302"/>
      <c r="AD993" s="302"/>
      <c r="AE993" s="302"/>
      <c r="AF993" s="302"/>
      <c r="AG993" s="302"/>
      <c r="AH993" s="302"/>
      <c r="AI993" s="302"/>
      <c r="AJ993" s="302"/>
      <c r="AK993" s="302"/>
      <c r="AL993" s="302"/>
      <c r="AM993" s="302"/>
      <c r="AN993" s="302"/>
      <c r="AO993" s="302"/>
      <c r="AP993" s="302"/>
      <c r="AQ993" s="302"/>
      <c r="AR993" s="302"/>
      <c r="AS993" s="302"/>
      <c r="AT993" s="302"/>
      <c r="AU993" s="302"/>
      <c r="AV993" s="302"/>
      <c r="AW993" s="302"/>
      <c r="AX993" s="302"/>
      <c r="AY993" s="302"/>
      <c r="AZ993" s="302"/>
      <c r="BA993" s="302"/>
      <c r="BB993" s="303"/>
    </row>
    <row r="994" spans="1:54" s="227" customFormat="1" ht="12.6" customHeight="1" x14ac:dyDescent="0.25">
      <c r="A994" s="301"/>
      <c r="B994" s="302"/>
      <c r="C994" s="302"/>
      <c r="D994" s="302"/>
      <c r="E994" s="302"/>
      <c r="F994" s="302"/>
      <c r="G994" s="302"/>
      <c r="H994" s="302"/>
      <c r="I994" s="302"/>
      <c r="J994" s="302"/>
      <c r="K994" s="302"/>
      <c r="L994" s="302"/>
      <c r="M994" s="302"/>
      <c r="N994" s="302"/>
      <c r="O994" s="302"/>
      <c r="P994" s="302"/>
      <c r="Q994" s="302"/>
      <c r="R994" s="302"/>
      <c r="S994" s="302"/>
      <c r="T994" s="302"/>
      <c r="U994" s="302"/>
      <c r="V994" s="302"/>
      <c r="W994" s="302"/>
      <c r="X994" s="302"/>
      <c r="Y994" s="302"/>
      <c r="Z994" s="302"/>
      <c r="AA994" s="302"/>
      <c r="AB994" s="302"/>
      <c r="AC994" s="302"/>
      <c r="AD994" s="302"/>
      <c r="AE994" s="302"/>
      <c r="AF994" s="302"/>
      <c r="AG994" s="302"/>
      <c r="AH994" s="302"/>
      <c r="AI994" s="302"/>
      <c r="AJ994" s="302"/>
      <c r="AK994" s="302"/>
      <c r="AL994" s="302"/>
      <c r="AM994" s="302"/>
      <c r="AN994" s="302"/>
      <c r="AO994" s="302"/>
      <c r="AP994" s="302"/>
      <c r="AQ994" s="302"/>
      <c r="AR994" s="302"/>
      <c r="AS994" s="302"/>
      <c r="AT994" s="302"/>
      <c r="AU994" s="302"/>
      <c r="AV994" s="302"/>
      <c r="AW994" s="302"/>
      <c r="AX994" s="302"/>
      <c r="AY994" s="302"/>
      <c r="AZ994" s="302"/>
      <c r="BA994" s="302"/>
      <c r="BB994" s="303"/>
    </row>
    <row r="995" spans="1:54" s="227" customFormat="1" ht="12.6" customHeight="1" x14ac:dyDescent="0.25">
      <c r="A995" s="301"/>
      <c r="B995" s="302"/>
      <c r="C995" s="302"/>
      <c r="D995" s="302"/>
      <c r="E995" s="302"/>
      <c r="F995" s="302"/>
      <c r="G995" s="302"/>
      <c r="H995" s="302"/>
      <c r="I995" s="302"/>
      <c r="J995" s="302"/>
      <c r="K995" s="302"/>
      <c r="L995" s="302"/>
      <c r="M995" s="302"/>
      <c r="N995" s="302"/>
      <c r="O995" s="302"/>
      <c r="P995" s="302"/>
      <c r="Q995" s="302"/>
      <c r="R995" s="302"/>
      <c r="S995" s="302"/>
      <c r="T995" s="302"/>
      <c r="U995" s="302"/>
      <c r="V995" s="302"/>
      <c r="W995" s="302"/>
      <c r="X995" s="302"/>
      <c r="Y995" s="302"/>
      <c r="Z995" s="302"/>
      <c r="AA995" s="302"/>
      <c r="AB995" s="302"/>
      <c r="AC995" s="302"/>
      <c r="AD995" s="302"/>
      <c r="AE995" s="302"/>
      <c r="AF995" s="302"/>
      <c r="AG995" s="302"/>
      <c r="AH995" s="302"/>
      <c r="AI995" s="302"/>
      <c r="AJ995" s="302"/>
      <c r="AK995" s="302"/>
      <c r="AL995" s="302"/>
      <c r="AM995" s="302"/>
      <c r="AN995" s="302"/>
      <c r="AO995" s="302"/>
      <c r="AP995" s="302"/>
      <c r="AQ995" s="302"/>
      <c r="AR995" s="302"/>
      <c r="AS995" s="302"/>
      <c r="AT995" s="302"/>
      <c r="AU995" s="302"/>
      <c r="AV995" s="302"/>
      <c r="AW995" s="302"/>
      <c r="AX995" s="302"/>
      <c r="AY995" s="302"/>
      <c r="AZ995" s="302"/>
      <c r="BA995" s="302"/>
      <c r="BB995" s="303"/>
    </row>
    <row r="996" spans="1:54" s="227" customFormat="1" ht="12.6" customHeight="1" x14ac:dyDescent="0.25">
      <c r="A996" s="301"/>
      <c r="B996" s="302"/>
      <c r="C996" s="302"/>
      <c r="D996" s="302"/>
      <c r="E996" s="302"/>
      <c r="F996" s="302"/>
      <c r="G996" s="302"/>
      <c r="H996" s="302"/>
      <c r="I996" s="302"/>
      <c r="J996" s="302"/>
      <c r="K996" s="302"/>
      <c r="L996" s="302"/>
      <c r="M996" s="302"/>
      <c r="N996" s="302"/>
      <c r="O996" s="302"/>
      <c r="P996" s="302"/>
      <c r="Q996" s="302"/>
      <c r="R996" s="302"/>
      <c r="S996" s="302"/>
      <c r="T996" s="302"/>
      <c r="U996" s="302"/>
      <c r="V996" s="302"/>
      <c r="W996" s="302"/>
      <c r="X996" s="302"/>
      <c r="Y996" s="302"/>
      <c r="Z996" s="302"/>
      <c r="AA996" s="302"/>
      <c r="AB996" s="302"/>
      <c r="AC996" s="302"/>
      <c r="AD996" s="302"/>
      <c r="AE996" s="302"/>
      <c r="AF996" s="302"/>
      <c r="AG996" s="302"/>
      <c r="AH996" s="302"/>
      <c r="AI996" s="302"/>
      <c r="AJ996" s="302"/>
      <c r="AK996" s="302"/>
      <c r="AL996" s="302"/>
      <c r="AM996" s="302"/>
      <c r="AN996" s="302"/>
      <c r="AO996" s="302"/>
      <c r="AP996" s="302"/>
      <c r="AQ996" s="302"/>
      <c r="AR996" s="302"/>
      <c r="AS996" s="302"/>
      <c r="AT996" s="302"/>
      <c r="AU996" s="302"/>
      <c r="AV996" s="302"/>
      <c r="AW996" s="302"/>
      <c r="AX996" s="302"/>
      <c r="AY996" s="302"/>
      <c r="AZ996" s="302"/>
      <c r="BA996" s="302"/>
      <c r="BB996" s="303"/>
    </row>
    <row r="997" spans="1:54" s="227" customFormat="1" ht="12.6" customHeight="1" x14ac:dyDescent="0.25">
      <c r="A997" s="301"/>
      <c r="B997" s="302"/>
      <c r="C997" s="302"/>
      <c r="D997" s="302"/>
      <c r="E997" s="302"/>
      <c r="F997" s="302"/>
      <c r="G997" s="302"/>
      <c r="H997" s="302"/>
      <c r="I997" s="302"/>
      <c r="J997" s="302"/>
      <c r="K997" s="302"/>
      <c r="L997" s="302"/>
      <c r="M997" s="302"/>
      <c r="N997" s="302"/>
      <c r="O997" s="302"/>
      <c r="P997" s="302"/>
      <c r="Q997" s="302"/>
      <c r="R997" s="302"/>
      <c r="S997" s="302"/>
      <c r="T997" s="302"/>
      <c r="U997" s="302"/>
      <c r="V997" s="302"/>
      <c r="W997" s="302"/>
      <c r="X997" s="302"/>
      <c r="Y997" s="302"/>
      <c r="Z997" s="302"/>
      <c r="AA997" s="302"/>
      <c r="AB997" s="302"/>
      <c r="AC997" s="302"/>
      <c r="AD997" s="302"/>
      <c r="AE997" s="302"/>
      <c r="AF997" s="302"/>
      <c r="AG997" s="302"/>
      <c r="AH997" s="302"/>
      <c r="AI997" s="302"/>
      <c r="AJ997" s="302"/>
      <c r="AK997" s="302"/>
      <c r="AL997" s="302"/>
      <c r="AM997" s="302"/>
      <c r="AN997" s="302"/>
      <c r="AO997" s="302"/>
      <c r="AP997" s="302"/>
      <c r="AQ997" s="302"/>
      <c r="AR997" s="302"/>
      <c r="AS997" s="302"/>
      <c r="AT997" s="302"/>
      <c r="AU997" s="302"/>
      <c r="AV997" s="302"/>
      <c r="AW997" s="302"/>
      <c r="AX997" s="302"/>
      <c r="AY997" s="302"/>
      <c r="AZ997" s="302"/>
      <c r="BA997" s="302"/>
      <c r="BB997" s="303"/>
    </row>
    <row r="998" spans="1:54" s="227" customFormat="1" ht="12.6" customHeight="1" x14ac:dyDescent="0.25">
      <c r="A998" s="301"/>
      <c r="B998" s="302"/>
      <c r="C998" s="302"/>
      <c r="D998" s="302"/>
      <c r="E998" s="302"/>
      <c r="F998" s="302"/>
      <c r="G998" s="302"/>
      <c r="H998" s="302"/>
      <c r="I998" s="302"/>
      <c r="J998" s="302"/>
      <c r="K998" s="302"/>
      <c r="L998" s="302"/>
      <c r="M998" s="302"/>
      <c r="N998" s="302"/>
      <c r="O998" s="302"/>
      <c r="P998" s="302"/>
      <c r="Q998" s="302"/>
      <c r="R998" s="302"/>
      <c r="S998" s="302"/>
      <c r="T998" s="302"/>
      <c r="U998" s="302"/>
      <c r="V998" s="302"/>
      <c r="W998" s="302"/>
      <c r="X998" s="302"/>
      <c r="Y998" s="302"/>
      <c r="Z998" s="302"/>
      <c r="AA998" s="302"/>
      <c r="AB998" s="302"/>
      <c r="AC998" s="302"/>
      <c r="AD998" s="302"/>
      <c r="AE998" s="302"/>
      <c r="AF998" s="302"/>
      <c r="AG998" s="302"/>
      <c r="AH998" s="302"/>
      <c r="AI998" s="302"/>
      <c r="AJ998" s="302"/>
      <c r="AK998" s="302"/>
      <c r="AL998" s="302"/>
      <c r="AM998" s="302"/>
      <c r="AN998" s="302"/>
      <c r="AO998" s="302"/>
      <c r="AP998" s="302"/>
      <c r="AQ998" s="302"/>
      <c r="AR998" s="302"/>
      <c r="AS998" s="302"/>
      <c r="AT998" s="302"/>
      <c r="AU998" s="302"/>
      <c r="AV998" s="302"/>
      <c r="AW998" s="302"/>
      <c r="AX998" s="302"/>
      <c r="AY998" s="302"/>
      <c r="AZ998" s="302"/>
      <c r="BA998" s="302"/>
      <c r="BB998" s="303"/>
    </row>
    <row r="999" spans="1:54" s="227" customFormat="1" ht="12.6" customHeight="1" x14ac:dyDescent="0.25">
      <c r="A999" s="301"/>
      <c r="B999" s="302"/>
      <c r="C999" s="302"/>
      <c r="D999" s="302"/>
      <c r="E999" s="302"/>
      <c r="F999" s="302"/>
      <c r="G999" s="302"/>
      <c r="H999" s="302"/>
      <c r="I999" s="302"/>
      <c r="J999" s="302"/>
      <c r="K999" s="302"/>
      <c r="L999" s="302"/>
      <c r="M999" s="302"/>
      <c r="N999" s="302"/>
      <c r="O999" s="302"/>
      <c r="P999" s="302"/>
      <c r="Q999" s="302"/>
      <c r="R999" s="302"/>
      <c r="S999" s="302"/>
      <c r="T999" s="302"/>
      <c r="U999" s="302"/>
      <c r="V999" s="302"/>
      <c r="W999" s="302"/>
      <c r="X999" s="302"/>
      <c r="Y999" s="302"/>
      <c r="Z999" s="302"/>
      <c r="AA999" s="302"/>
      <c r="AB999" s="302"/>
      <c r="AC999" s="302"/>
      <c r="AD999" s="302"/>
      <c r="AE999" s="302"/>
      <c r="AF999" s="302"/>
      <c r="AG999" s="302"/>
      <c r="AH999" s="302"/>
      <c r="AI999" s="302"/>
      <c r="AJ999" s="302"/>
      <c r="AK999" s="302"/>
      <c r="AL999" s="302"/>
      <c r="AM999" s="302"/>
      <c r="AN999" s="302"/>
      <c r="AO999" s="302"/>
      <c r="AP999" s="302"/>
      <c r="AQ999" s="302"/>
      <c r="AR999" s="302"/>
      <c r="AS999" s="302"/>
      <c r="AT999" s="302"/>
      <c r="AU999" s="302"/>
      <c r="AV999" s="302"/>
      <c r="AW999" s="302"/>
      <c r="AX999" s="302"/>
      <c r="AY999" s="302"/>
      <c r="AZ999" s="302"/>
      <c r="BA999" s="302"/>
      <c r="BB999" s="303"/>
    </row>
    <row r="1000" spans="1:54" s="227" customFormat="1" ht="12.6" customHeight="1" x14ac:dyDescent="0.25">
      <c r="A1000" s="301"/>
      <c r="B1000" s="302"/>
      <c r="C1000" s="302"/>
      <c r="D1000" s="302"/>
      <c r="E1000" s="302"/>
      <c r="F1000" s="302"/>
      <c r="G1000" s="302"/>
      <c r="H1000" s="302"/>
      <c r="I1000" s="302"/>
      <c r="J1000" s="302"/>
      <c r="K1000" s="302"/>
      <c r="L1000" s="302"/>
      <c r="M1000" s="302"/>
      <c r="N1000" s="302"/>
      <c r="O1000" s="302"/>
      <c r="P1000" s="302"/>
      <c r="Q1000" s="302"/>
      <c r="R1000" s="302"/>
      <c r="S1000" s="302"/>
      <c r="T1000" s="302"/>
      <c r="U1000" s="302"/>
      <c r="V1000" s="302"/>
      <c r="W1000" s="302"/>
      <c r="X1000" s="302"/>
      <c r="Y1000" s="302"/>
      <c r="Z1000" s="302"/>
      <c r="AA1000" s="302"/>
      <c r="AB1000" s="302"/>
      <c r="AC1000" s="302"/>
      <c r="AD1000" s="302"/>
      <c r="AE1000" s="302"/>
      <c r="AF1000" s="302"/>
      <c r="AG1000" s="302"/>
      <c r="AH1000" s="302"/>
      <c r="AI1000" s="302"/>
      <c r="AJ1000" s="302"/>
      <c r="AK1000" s="302"/>
      <c r="AL1000" s="302"/>
      <c r="AM1000" s="302"/>
      <c r="AN1000" s="302"/>
      <c r="AO1000" s="302"/>
      <c r="AP1000" s="302"/>
      <c r="AQ1000" s="302"/>
      <c r="AR1000" s="302"/>
      <c r="AS1000" s="302"/>
      <c r="AT1000" s="302"/>
      <c r="AU1000" s="302"/>
      <c r="AV1000" s="302"/>
      <c r="AW1000" s="302"/>
      <c r="AX1000" s="302"/>
      <c r="AY1000" s="302"/>
      <c r="AZ1000" s="302"/>
      <c r="BA1000" s="302"/>
      <c r="BB1000" s="303"/>
    </row>
    <row r="1001" spans="1:54" s="227" customFormat="1" ht="12.6" customHeight="1" x14ac:dyDescent="0.25">
      <c r="A1001" s="301"/>
      <c r="B1001" s="302"/>
      <c r="C1001" s="302"/>
      <c r="D1001" s="302"/>
      <c r="E1001" s="302"/>
      <c r="F1001" s="302"/>
      <c r="G1001" s="302"/>
      <c r="H1001" s="302"/>
      <c r="I1001" s="302"/>
      <c r="J1001" s="302"/>
      <c r="K1001" s="302"/>
      <c r="L1001" s="302"/>
      <c r="M1001" s="302"/>
      <c r="N1001" s="302"/>
      <c r="O1001" s="302"/>
      <c r="P1001" s="302"/>
      <c r="Q1001" s="302"/>
      <c r="R1001" s="302"/>
      <c r="S1001" s="302"/>
      <c r="T1001" s="302"/>
      <c r="U1001" s="302"/>
      <c r="V1001" s="302"/>
      <c r="W1001" s="302"/>
      <c r="X1001" s="302"/>
      <c r="Y1001" s="302"/>
      <c r="Z1001" s="302"/>
      <c r="AA1001" s="302"/>
      <c r="AB1001" s="302"/>
      <c r="AC1001" s="302"/>
      <c r="AD1001" s="302"/>
      <c r="AE1001" s="302"/>
      <c r="AF1001" s="302"/>
      <c r="AG1001" s="302"/>
      <c r="AH1001" s="302"/>
      <c r="AI1001" s="302"/>
      <c r="AJ1001" s="302"/>
      <c r="AK1001" s="302"/>
      <c r="AL1001" s="302"/>
      <c r="AM1001" s="302"/>
      <c r="AN1001" s="302"/>
      <c r="AO1001" s="302"/>
      <c r="AP1001" s="302"/>
      <c r="AQ1001" s="302"/>
      <c r="AR1001" s="302"/>
      <c r="AS1001" s="302"/>
      <c r="AT1001" s="302"/>
      <c r="AU1001" s="302"/>
      <c r="AV1001" s="302"/>
      <c r="AW1001" s="302"/>
      <c r="AX1001" s="302"/>
      <c r="AY1001" s="302"/>
      <c r="AZ1001" s="302"/>
      <c r="BA1001" s="302"/>
      <c r="BB1001" s="303"/>
    </row>
    <row r="1002" spans="1:54" s="227" customFormat="1" ht="12.6" customHeight="1" x14ac:dyDescent="0.25">
      <c r="A1002" s="301"/>
      <c r="B1002" s="302"/>
      <c r="C1002" s="302"/>
      <c r="D1002" s="302"/>
      <c r="E1002" s="302"/>
      <c r="F1002" s="302"/>
      <c r="G1002" s="302"/>
      <c r="H1002" s="302"/>
      <c r="I1002" s="302"/>
      <c r="J1002" s="302"/>
      <c r="K1002" s="302"/>
      <c r="L1002" s="302"/>
      <c r="M1002" s="302"/>
      <c r="N1002" s="302"/>
      <c r="O1002" s="302"/>
      <c r="P1002" s="302"/>
      <c r="Q1002" s="302"/>
      <c r="R1002" s="302"/>
      <c r="S1002" s="302"/>
      <c r="T1002" s="302"/>
      <c r="U1002" s="302"/>
      <c r="V1002" s="302"/>
      <c r="W1002" s="302"/>
      <c r="X1002" s="302"/>
      <c r="Y1002" s="302"/>
      <c r="Z1002" s="302"/>
      <c r="AA1002" s="302"/>
      <c r="AB1002" s="302"/>
      <c r="AC1002" s="302"/>
      <c r="AD1002" s="302"/>
      <c r="AE1002" s="302"/>
      <c r="AF1002" s="302"/>
      <c r="AG1002" s="302"/>
      <c r="AH1002" s="302"/>
      <c r="AI1002" s="302"/>
      <c r="AJ1002" s="302"/>
      <c r="AK1002" s="302"/>
      <c r="AL1002" s="302"/>
      <c r="AM1002" s="302"/>
      <c r="AN1002" s="302"/>
      <c r="AO1002" s="302"/>
      <c r="AP1002" s="302"/>
      <c r="AQ1002" s="302"/>
      <c r="AR1002" s="302"/>
      <c r="AS1002" s="302"/>
      <c r="AT1002" s="302"/>
      <c r="AU1002" s="302"/>
      <c r="AV1002" s="302"/>
      <c r="AW1002" s="302"/>
      <c r="AX1002" s="302"/>
      <c r="AY1002" s="302"/>
      <c r="AZ1002" s="302"/>
      <c r="BA1002" s="302"/>
      <c r="BB1002" s="303"/>
    </row>
    <row r="1003" spans="1:54" s="227" customFormat="1" ht="12.6" customHeight="1" x14ac:dyDescent="0.25">
      <c r="A1003" s="301"/>
      <c r="B1003" s="302"/>
      <c r="C1003" s="302"/>
      <c r="D1003" s="302"/>
      <c r="E1003" s="302"/>
      <c r="F1003" s="302"/>
      <c r="G1003" s="302"/>
      <c r="H1003" s="302"/>
      <c r="I1003" s="302"/>
      <c r="J1003" s="302"/>
      <c r="K1003" s="302"/>
      <c r="L1003" s="302"/>
      <c r="M1003" s="302"/>
      <c r="N1003" s="302"/>
      <c r="O1003" s="302"/>
      <c r="P1003" s="302"/>
      <c r="Q1003" s="302"/>
      <c r="R1003" s="302"/>
      <c r="S1003" s="302"/>
      <c r="T1003" s="302"/>
      <c r="U1003" s="302"/>
      <c r="V1003" s="302"/>
      <c r="W1003" s="302"/>
      <c r="X1003" s="302"/>
      <c r="Y1003" s="302"/>
      <c r="Z1003" s="302"/>
      <c r="AA1003" s="302"/>
      <c r="AB1003" s="302"/>
      <c r="AC1003" s="302"/>
      <c r="AD1003" s="302"/>
      <c r="AE1003" s="302"/>
      <c r="AF1003" s="302"/>
      <c r="AG1003" s="302"/>
      <c r="AH1003" s="302"/>
      <c r="AI1003" s="302"/>
      <c r="AJ1003" s="302"/>
      <c r="AK1003" s="302"/>
      <c r="AL1003" s="302"/>
      <c r="AM1003" s="302"/>
      <c r="AN1003" s="302"/>
      <c r="AO1003" s="302"/>
      <c r="AP1003" s="302"/>
      <c r="AQ1003" s="302"/>
      <c r="AR1003" s="302"/>
      <c r="AS1003" s="302"/>
      <c r="AT1003" s="302"/>
      <c r="AU1003" s="302"/>
      <c r="AV1003" s="302"/>
      <c r="AW1003" s="302"/>
      <c r="AX1003" s="302"/>
      <c r="AY1003" s="302"/>
      <c r="AZ1003" s="302"/>
      <c r="BA1003" s="302"/>
      <c r="BB1003" s="303"/>
    </row>
    <row r="1004" spans="1:54" s="227" customFormat="1" ht="12.6" customHeight="1" x14ac:dyDescent="0.25">
      <c r="A1004" s="301"/>
      <c r="B1004" s="302"/>
      <c r="C1004" s="302"/>
      <c r="D1004" s="302"/>
      <c r="E1004" s="302"/>
      <c r="F1004" s="302"/>
      <c r="G1004" s="302"/>
      <c r="H1004" s="302"/>
      <c r="I1004" s="302"/>
      <c r="J1004" s="302"/>
      <c r="K1004" s="302"/>
      <c r="L1004" s="302"/>
      <c r="M1004" s="302"/>
      <c r="N1004" s="302"/>
      <c r="O1004" s="302"/>
      <c r="P1004" s="302"/>
      <c r="Q1004" s="302"/>
      <c r="R1004" s="302"/>
      <c r="S1004" s="302"/>
      <c r="T1004" s="302"/>
      <c r="U1004" s="302"/>
      <c r="V1004" s="302"/>
      <c r="W1004" s="302"/>
      <c r="X1004" s="302"/>
      <c r="Y1004" s="302"/>
      <c r="Z1004" s="302"/>
      <c r="AA1004" s="302"/>
      <c r="AB1004" s="302"/>
      <c r="AC1004" s="302"/>
      <c r="AD1004" s="302"/>
      <c r="AE1004" s="302"/>
      <c r="AF1004" s="302"/>
      <c r="AG1004" s="302"/>
      <c r="AH1004" s="302"/>
      <c r="AI1004" s="302"/>
      <c r="AJ1004" s="302"/>
      <c r="AK1004" s="302"/>
      <c r="AL1004" s="302"/>
      <c r="AM1004" s="302"/>
      <c r="AN1004" s="302"/>
      <c r="AO1004" s="302"/>
      <c r="AP1004" s="302"/>
      <c r="AQ1004" s="302"/>
      <c r="AR1004" s="302"/>
      <c r="AS1004" s="302"/>
      <c r="AT1004" s="302"/>
      <c r="AU1004" s="302"/>
      <c r="AV1004" s="302"/>
      <c r="AW1004" s="302"/>
      <c r="AX1004" s="302"/>
      <c r="AY1004" s="302"/>
      <c r="AZ1004" s="302"/>
      <c r="BA1004" s="302"/>
      <c r="BB1004" s="303"/>
    </row>
    <row r="1005" spans="1:54" s="227" customFormat="1" ht="12.6" customHeight="1" x14ac:dyDescent="0.25">
      <c r="A1005" s="301"/>
      <c r="B1005" s="302"/>
      <c r="C1005" s="302"/>
      <c r="D1005" s="302"/>
      <c r="E1005" s="302"/>
      <c r="F1005" s="302"/>
      <c r="G1005" s="302"/>
      <c r="H1005" s="302"/>
      <c r="I1005" s="302"/>
      <c r="J1005" s="302"/>
      <c r="K1005" s="302"/>
      <c r="L1005" s="302"/>
      <c r="M1005" s="302"/>
      <c r="N1005" s="302"/>
      <c r="O1005" s="302"/>
      <c r="P1005" s="302"/>
      <c r="Q1005" s="302"/>
      <c r="R1005" s="302"/>
      <c r="S1005" s="302"/>
      <c r="T1005" s="302"/>
      <c r="U1005" s="302"/>
      <c r="V1005" s="302"/>
      <c r="W1005" s="302"/>
      <c r="X1005" s="302"/>
      <c r="Y1005" s="302"/>
      <c r="Z1005" s="302"/>
      <c r="AA1005" s="302"/>
      <c r="AB1005" s="302"/>
      <c r="AC1005" s="302"/>
      <c r="AD1005" s="302"/>
      <c r="AE1005" s="302"/>
      <c r="AF1005" s="302"/>
      <c r="AG1005" s="302"/>
      <c r="AH1005" s="302"/>
      <c r="AI1005" s="302"/>
      <c r="AJ1005" s="302"/>
      <c r="AK1005" s="302"/>
      <c r="AL1005" s="302"/>
      <c r="AM1005" s="302"/>
      <c r="AN1005" s="302"/>
      <c r="AO1005" s="302"/>
      <c r="AP1005" s="302"/>
      <c r="AQ1005" s="302"/>
      <c r="AR1005" s="302"/>
      <c r="AS1005" s="302"/>
      <c r="AT1005" s="302"/>
      <c r="AU1005" s="302"/>
      <c r="AV1005" s="302"/>
      <c r="AW1005" s="302"/>
      <c r="AX1005" s="302"/>
      <c r="AY1005" s="302"/>
      <c r="AZ1005" s="302"/>
      <c r="BA1005" s="302"/>
      <c r="BB1005" s="303"/>
    </row>
    <row r="1006" spans="1:54" s="228" customFormat="1" ht="12.6" customHeight="1" x14ac:dyDescent="0.25">
      <c r="A1006" s="220" t="s">
        <v>1795</v>
      </c>
      <c r="B1006" s="220"/>
      <c r="C1006" s="220"/>
      <c r="D1006" s="220"/>
      <c r="E1006" s="220"/>
      <c r="F1006" s="220"/>
      <c r="G1006" s="220"/>
      <c r="H1006" s="220"/>
      <c r="I1006" s="220"/>
      <c r="J1006" s="220"/>
      <c r="K1006" s="220"/>
      <c r="L1006" s="220"/>
      <c r="M1006" s="220"/>
      <c r="N1006" s="220"/>
      <c r="O1006" s="220"/>
      <c r="P1006" s="220"/>
      <c r="Q1006" s="220"/>
      <c r="R1006" s="220"/>
      <c r="S1006" s="220"/>
      <c r="T1006" s="220"/>
      <c r="U1006" s="220"/>
      <c r="V1006" s="220"/>
      <c r="W1006" s="220"/>
      <c r="X1006" s="220"/>
      <c r="Y1006" s="220"/>
      <c r="Z1006" s="220"/>
      <c r="AA1006" s="220"/>
      <c r="AB1006" s="220"/>
      <c r="AC1006" s="220"/>
      <c r="AD1006" s="220"/>
      <c r="AE1006" s="220"/>
      <c r="AF1006" s="220"/>
      <c r="AG1006" s="220"/>
      <c r="AH1006" s="220"/>
      <c r="AI1006" s="220"/>
      <c r="AJ1006" s="220"/>
      <c r="AK1006" s="220"/>
      <c r="AL1006" s="220"/>
      <c r="AM1006" s="220"/>
      <c r="AN1006" s="220"/>
      <c r="AO1006" s="220"/>
      <c r="AP1006" s="220"/>
      <c r="AQ1006" s="220"/>
      <c r="AR1006" s="220"/>
      <c r="AS1006" s="220"/>
      <c r="AT1006" s="220"/>
      <c r="AU1006" s="220"/>
      <c r="AV1006" s="220"/>
      <c r="AW1006" s="220"/>
      <c r="AX1006" s="220"/>
      <c r="AY1006" s="220"/>
      <c r="AZ1006" s="220"/>
      <c r="BA1006" s="220"/>
      <c r="BB1006" s="220"/>
    </row>
    <row r="1007" spans="1:54" s="227" customFormat="1" ht="12.6" customHeight="1" x14ac:dyDescent="0.25">
      <c r="A1007" s="301"/>
      <c r="B1007" s="302"/>
      <c r="C1007" s="302"/>
      <c r="D1007" s="302"/>
      <c r="E1007" s="302"/>
      <c r="F1007" s="302"/>
      <c r="G1007" s="302"/>
      <c r="H1007" s="302"/>
      <c r="I1007" s="302"/>
      <c r="J1007" s="302"/>
      <c r="K1007" s="302"/>
      <c r="L1007" s="302"/>
      <c r="M1007" s="302"/>
      <c r="N1007" s="302"/>
      <c r="O1007" s="302"/>
      <c r="P1007" s="302"/>
      <c r="Q1007" s="302"/>
      <c r="R1007" s="302"/>
      <c r="S1007" s="302"/>
      <c r="T1007" s="302"/>
      <c r="U1007" s="302"/>
      <c r="V1007" s="302"/>
      <c r="W1007" s="302"/>
      <c r="X1007" s="302"/>
      <c r="Y1007" s="302"/>
      <c r="Z1007" s="302"/>
      <c r="AA1007" s="302"/>
      <c r="AB1007" s="302"/>
      <c r="AC1007" s="302"/>
      <c r="AD1007" s="302"/>
      <c r="AE1007" s="302"/>
      <c r="AF1007" s="302"/>
      <c r="AG1007" s="302"/>
      <c r="AH1007" s="302"/>
      <c r="AI1007" s="302"/>
      <c r="AJ1007" s="302"/>
      <c r="AK1007" s="302"/>
      <c r="AL1007" s="302"/>
      <c r="AM1007" s="302"/>
      <c r="AN1007" s="302"/>
      <c r="AO1007" s="302"/>
      <c r="AP1007" s="302"/>
      <c r="AQ1007" s="302"/>
      <c r="AR1007" s="302"/>
      <c r="AS1007" s="302"/>
      <c r="AT1007" s="302"/>
      <c r="AU1007" s="302"/>
      <c r="AV1007" s="302"/>
      <c r="AW1007" s="302"/>
      <c r="AX1007" s="302"/>
      <c r="AY1007" s="302"/>
      <c r="AZ1007" s="302"/>
      <c r="BA1007" s="302"/>
      <c r="BB1007" s="303"/>
    </row>
    <row r="1008" spans="1:54" ht="12.6" customHeight="1" x14ac:dyDescent="0.25">
      <c r="A1008" s="227" t="s">
        <v>1796</v>
      </c>
      <c r="B1008" s="29"/>
      <c r="C1008" s="29"/>
      <c r="D1008" s="29"/>
      <c r="E1008" s="29"/>
      <c r="F1008" s="29"/>
      <c r="G1008" s="29"/>
      <c r="H1008" s="29"/>
      <c r="I1008" s="29"/>
      <c r="J1008" s="29"/>
      <c r="K1008" s="29"/>
      <c r="L1008" s="29"/>
      <c r="M1008" s="29"/>
      <c r="N1008" s="29"/>
      <c r="O1008" s="29"/>
      <c r="P1008" s="29"/>
      <c r="Q1008" s="29"/>
      <c r="R1008" s="29"/>
      <c r="S1008" s="29"/>
      <c r="T1008" s="29"/>
      <c r="U1008" s="29"/>
      <c r="V1008" s="29"/>
      <c r="W1008" s="29"/>
      <c r="X1008" s="29"/>
      <c r="Y1008" s="29"/>
      <c r="Z1008" s="29"/>
      <c r="AA1008" s="29"/>
      <c r="AB1008" s="29"/>
      <c r="AC1008" s="29"/>
      <c r="AD1008" s="29"/>
      <c r="AE1008" s="29"/>
      <c r="AF1008" s="29"/>
      <c r="AG1008" s="29"/>
      <c r="AH1008" s="29"/>
      <c r="AI1008" s="29"/>
      <c r="AJ1008" s="29"/>
      <c r="AK1008" s="29"/>
      <c r="AL1008" s="29"/>
      <c r="AM1008" s="29"/>
      <c r="AN1008" s="29"/>
      <c r="AO1008" s="29"/>
      <c r="AP1008" s="29"/>
      <c r="AQ1008" s="29"/>
      <c r="AR1008" s="29"/>
      <c r="AS1008" s="29"/>
      <c r="AT1008" s="29"/>
      <c r="AU1008" s="29"/>
      <c r="AV1008" s="29"/>
      <c r="AW1008" s="29"/>
      <c r="AX1008" s="29"/>
      <c r="AY1008" s="29"/>
      <c r="AZ1008" s="29"/>
      <c r="BA1008" s="29"/>
      <c r="BB1008" s="29"/>
    </row>
    <row r="1009" spans="1:63" ht="12.6" customHeight="1" x14ac:dyDescent="0.25">
      <c r="A1009" s="29" t="s">
        <v>1316</v>
      </c>
    </row>
    <row r="1010" spans="1:63" ht="12.6" customHeight="1" x14ac:dyDescent="0.25">
      <c r="A1010" s="768"/>
      <c r="B1010" s="768"/>
      <c r="C1010" s="768"/>
      <c r="D1010" s="768"/>
      <c r="E1010" s="768"/>
      <c r="F1010" s="768"/>
      <c r="G1010" s="768"/>
      <c r="H1010" s="768"/>
      <c r="I1010" s="768"/>
      <c r="J1010" s="768"/>
      <c r="K1010" s="768"/>
      <c r="L1010" s="768"/>
      <c r="M1010" s="768"/>
      <c r="N1010" s="768"/>
      <c r="O1010" s="768"/>
      <c r="P1010" s="768"/>
      <c r="Q1010" s="768"/>
      <c r="R1010" s="768"/>
      <c r="S1010" s="768"/>
      <c r="T1010" s="768"/>
      <c r="U1010" s="768"/>
      <c r="V1010" s="768"/>
      <c r="W1010" s="768"/>
      <c r="X1010" s="768"/>
      <c r="Y1010" s="768"/>
      <c r="Z1010" s="768"/>
      <c r="AA1010" s="768"/>
      <c r="AB1010" s="768"/>
      <c r="AC1010" s="768"/>
      <c r="AD1010" s="768"/>
      <c r="AE1010" s="768"/>
      <c r="AF1010" s="768"/>
      <c r="AG1010" s="768"/>
      <c r="AH1010" s="768"/>
      <c r="AI1010" s="807" t="s">
        <v>1720</v>
      </c>
      <c r="AJ1010" s="807"/>
      <c r="AK1010" s="807"/>
      <c r="AL1010" s="807"/>
      <c r="AM1010" s="807"/>
      <c r="AN1010" s="807"/>
      <c r="AO1010" s="807"/>
      <c r="AP1010" s="807"/>
      <c r="AQ1010" s="807"/>
      <c r="AR1010" s="807"/>
      <c r="AS1010" s="807"/>
      <c r="AT1010" s="807"/>
      <c r="AU1010" s="807"/>
      <c r="AV1010" s="807"/>
      <c r="AW1010" s="807"/>
      <c r="AX1010" s="807"/>
      <c r="AY1010" s="807"/>
      <c r="AZ1010" s="807"/>
      <c r="BA1010" s="807"/>
      <c r="BB1010" s="807"/>
      <c r="BG1010" s="863">
        <f>SUM(SUVAHAVUJ!N102)</f>
        <v>155402</v>
      </c>
      <c r="BH1010" s="863"/>
      <c r="BI1010" s="863"/>
      <c r="BJ1010" s="863"/>
      <c r="BK1010" s="863"/>
    </row>
    <row r="1011" spans="1:63" ht="12.6" customHeight="1" x14ac:dyDescent="0.25">
      <c r="A1011" s="745" t="s">
        <v>1287</v>
      </c>
      <c r="B1011" s="745"/>
      <c r="C1011" s="745"/>
      <c r="D1011" s="745"/>
      <c r="E1011" s="745"/>
      <c r="F1011" s="745"/>
      <c r="G1011" s="745"/>
      <c r="H1011" s="745"/>
      <c r="I1011" s="745"/>
      <c r="J1011" s="745"/>
      <c r="K1011" s="745"/>
      <c r="L1011" s="745"/>
      <c r="M1011" s="745"/>
      <c r="N1011" s="745"/>
      <c r="O1011" s="745"/>
      <c r="P1011" s="745"/>
      <c r="Q1011" s="745"/>
      <c r="R1011" s="745"/>
      <c r="S1011" s="745"/>
      <c r="T1011" s="745"/>
      <c r="U1011" s="745"/>
      <c r="V1011" s="745"/>
      <c r="W1011" s="745"/>
      <c r="X1011" s="745"/>
      <c r="Y1011" s="745"/>
      <c r="Z1011" s="745"/>
      <c r="AA1011" s="745"/>
      <c r="AB1011" s="745"/>
      <c r="AC1011" s="745"/>
      <c r="AD1011" s="745"/>
      <c r="AE1011" s="745"/>
      <c r="AF1011" s="745"/>
      <c r="AG1011" s="745"/>
      <c r="AH1011" s="745"/>
      <c r="AI1011" s="828" t="s">
        <v>1721</v>
      </c>
      <c r="AJ1011" s="828"/>
      <c r="AK1011" s="828"/>
      <c r="AL1011" s="828"/>
      <c r="AM1011" s="828"/>
      <c r="AN1011" s="828"/>
      <c r="AO1011" s="828"/>
      <c r="AP1011" s="828"/>
      <c r="AQ1011" s="828"/>
      <c r="AR1011" s="828"/>
      <c r="AS1011" s="828"/>
      <c r="AT1011" s="828"/>
      <c r="AU1011" s="828"/>
      <c r="AV1011" s="828"/>
      <c r="AW1011" s="828"/>
      <c r="AX1011" s="828"/>
      <c r="AY1011" s="828"/>
      <c r="AZ1011" s="828"/>
      <c r="BA1011" s="828"/>
      <c r="BB1011" s="828"/>
    </row>
    <row r="1012" spans="1:63" ht="12.6" customHeight="1" x14ac:dyDescent="0.25">
      <c r="A1012" s="745"/>
      <c r="B1012" s="745"/>
      <c r="C1012" s="745"/>
      <c r="D1012" s="745"/>
      <c r="E1012" s="745"/>
      <c r="F1012" s="745"/>
      <c r="G1012" s="745"/>
      <c r="H1012" s="745"/>
      <c r="I1012" s="745"/>
      <c r="J1012" s="745"/>
      <c r="K1012" s="745"/>
      <c r="L1012" s="745"/>
      <c r="M1012" s="745"/>
      <c r="N1012" s="745"/>
      <c r="O1012" s="745"/>
      <c r="P1012" s="745"/>
      <c r="Q1012" s="745"/>
      <c r="R1012" s="745"/>
      <c r="S1012" s="745"/>
      <c r="T1012" s="745"/>
      <c r="U1012" s="745"/>
      <c r="V1012" s="745"/>
      <c r="W1012" s="745"/>
      <c r="X1012" s="745"/>
      <c r="Y1012" s="745"/>
      <c r="Z1012" s="745"/>
      <c r="AA1012" s="745"/>
      <c r="AB1012" s="745"/>
      <c r="AC1012" s="745"/>
      <c r="AD1012" s="745"/>
      <c r="AE1012" s="745"/>
      <c r="AF1012" s="745"/>
      <c r="AG1012" s="745"/>
      <c r="AH1012" s="745"/>
      <c r="AI1012" s="828" t="s">
        <v>1486</v>
      </c>
      <c r="AJ1012" s="828"/>
      <c r="AK1012" s="828"/>
      <c r="AL1012" s="828"/>
      <c r="AM1012" s="828"/>
      <c r="AN1012" s="828"/>
      <c r="AO1012" s="828"/>
      <c r="AP1012" s="828"/>
      <c r="AQ1012" s="828"/>
      <c r="AR1012" s="828"/>
      <c r="AS1012" s="828"/>
      <c r="AT1012" s="828"/>
      <c r="AU1012" s="828"/>
      <c r="AV1012" s="828"/>
      <c r="AW1012" s="828"/>
      <c r="AX1012" s="828"/>
      <c r="AY1012" s="828"/>
      <c r="AZ1012" s="828"/>
      <c r="BA1012" s="828"/>
      <c r="BB1012" s="828"/>
    </row>
    <row r="1013" spans="1:63" ht="12.6" customHeight="1" x14ac:dyDescent="0.25">
      <c r="A1013" s="311" t="s">
        <v>1797</v>
      </c>
      <c r="B1013" s="304"/>
      <c r="C1013" s="304"/>
      <c r="D1013" s="304"/>
      <c r="E1013" s="304"/>
      <c r="F1013" s="304"/>
      <c r="G1013" s="304"/>
      <c r="H1013" s="304"/>
      <c r="I1013" s="304"/>
      <c r="J1013" s="304"/>
      <c r="K1013" s="304"/>
      <c r="L1013" s="304"/>
      <c r="M1013" s="304"/>
      <c r="N1013" s="304"/>
      <c r="O1013" s="304"/>
      <c r="P1013" s="304"/>
      <c r="Q1013" s="304"/>
      <c r="R1013" s="304"/>
      <c r="S1013" s="304"/>
      <c r="T1013" s="304"/>
      <c r="U1013" s="304"/>
      <c r="V1013" s="304"/>
      <c r="W1013" s="304"/>
      <c r="X1013" s="304"/>
      <c r="Y1013" s="304"/>
      <c r="Z1013" s="304"/>
      <c r="AA1013" s="304"/>
      <c r="AB1013" s="304"/>
      <c r="AC1013" s="304"/>
      <c r="AD1013" s="304"/>
      <c r="AE1013" s="304"/>
      <c r="AF1013" s="304"/>
      <c r="AG1013" s="304"/>
      <c r="AH1013" s="323"/>
      <c r="AI1013" s="864">
        <f>SUM(IF(BG1010&gt;=0,BG1010,0))</f>
        <v>155402</v>
      </c>
      <c r="AJ1013" s="864"/>
      <c r="AK1013" s="864"/>
      <c r="AL1013" s="864"/>
      <c r="AM1013" s="864"/>
      <c r="AN1013" s="864"/>
      <c r="AO1013" s="864"/>
      <c r="AP1013" s="864"/>
      <c r="AQ1013" s="864"/>
      <c r="AR1013" s="864"/>
      <c r="AS1013" s="864"/>
      <c r="AT1013" s="864"/>
      <c r="AU1013" s="864"/>
      <c r="AV1013" s="864"/>
      <c r="AW1013" s="864"/>
      <c r="AX1013" s="864"/>
      <c r="AY1013" s="864"/>
      <c r="AZ1013" s="864"/>
      <c r="BA1013" s="864"/>
      <c r="BB1013" s="864"/>
    </row>
    <row r="1014" spans="1:63" ht="12.6" customHeight="1" x14ac:dyDescent="0.25">
      <c r="A1014" s="243" t="s">
        <v>1798</v>
      </c>
      <c r="B1014" s="244"/>
      <c r="C1014" s="244"/>
      <c r="D1014" s="244"/>
      <c r="E1014" s="244"/>
      <c r="F1014" s="244"/>
      <c r="G1014" s="244"/>
      <c r="H1014" s="244"/>
      <c r="I1014" s="244"/>
      <c r="J1014" s="244"/>
      <c r="K1014" s="244"/>
      <c r="L1014" s="244"/>
      <c r="M1014" s="244"/>
      <c r="N1014" s="244"/>
      <c r="O1014" s="244"/>
      <c r="P1014" s="244"/>
      <c r="Q1014" s="244"/>
      <c r="R1014" s="244"/>
      <c r="S1014" s="244"/>
      <c r="T1014" s="244"/>
      <c r="U1014" s="244"/>
      <c r="V1014" s="244"/>
      <c r="W1014" s="244"/>
      <c r="X1014" s="244"/>
      <c r="Y1014" s="244"/>
      <c r="Z1014" s="244"/>
      <c r="AA1014" s="244"/>
      <c r="AB1014" s="244"/>
      <c r="AC1014" s="244"/>
      <c r="AD1014" s="244"/>
      <c r="AE1014" s="244"/>
      <c r="AF1014" s="244"/>
      <c r="AG1014" s="244"/>
      <c r="AH1014" s="269"/>
      <c r="AI1014" s="865">
        <f>SUM(AI1013)</f>
        <v>155402</v>
      </c>
      <c r="AJ1014" s="865"/>
      <c r="AK1014" s="865"/>
      <c r="AL1014" s="865"/>
      <c r="AM1014" s="865"/>
      <c r="AN1014" s="865"/>
      <c r="AO1014" s="865"/>
      <c r="AP1014" s="865"/>
      <c r="AQ1014" s="865"/>
      <c r="AR1014" s="865"/>
      <c r="AS1014" s="865"/>
      <c r="AT1014" s="865"/>
      <c r="AU1014" s="865"/>
      <c r="AV1014" s="865"/>
      <c r="AW1014" s="865"/>
      <c r="AX1014" s="865"/>
      <c r="AY1014" s="865"/>
      <c r="AZ1014" s="865"/>
      <c r="BA1014" s="865"/>
      <c r="BB1014" s="865"/>
    </row>
    <row r="1015" spans="1:63" ht="12.6" customHeight="1" x14ac:dyDescent="0.25">
      <c r="A1015" s="253" t="s">
        <v>1799</v>
      </c>
      <c r="B1015" s="246"/>
      <c r="C1015" s="246"/>
      <c r="D1015" s="246"/>
      <c r="E1015" s="246"/>
      <c r="F1015" s="246"/>
      <c r="G1015" s="246"/>
      <c r="H1015" s="246"/>
      <c r="I1015" s="246"/>
      <c r="J1015" s="246"/>
      <c r="K1015" s="246"/>
      <c r="L1015" s="246"/>
      <c r="M1015" s="246"/>
      <c r="N1015" s="246"/>
      <c r="O1015" s="246"/>
      <c r="P1015" s="246"/>
      <c r="Q1015" s="246"/>
      <c r="R1015" s="246"/>
      <c r="S1015" s="246"/>
      <c r="T1015" s="246"/>
      <c r="U1015" s="246"/>
      <c r="V1015" s="246"/>
      <c r="W1015" s="246"/>
      <c r="X1015" s="246"/>
      <c r="Y1015" s="246"/>
      <c r="Z1015" s="246"/>
      <c r="AA1015" s="246"/>
      <c r="AB1015" s="246"/>
      <c r="AC1015" s="246"/>
      <c r="AD1015" s="246"/>
      <c r="AE1015" s="246"/>
      <c r="AF1015" s="246"/>
      <c r="AG1015" s="246"/>
      <c r="AH1015" s="248"/>
      <c r="AI1015" s="866"/>
      <c r="AJ1015" s="866"/>
      <c r="AK1015" s="866"/>
      <c r="AL1015" s="866"/>
      <c r="AM1015" s="866"/>
      <c r="AN1015" s="866"/>
      <c r="AO1015" s="866"/>
      <c r="AP1015" s="866"/>
      <c r="AQ1015" s="866"/>
      <c r="AR1015" s="866"/>
      <c r="AS1015" s="866"/>
      <c r="AT1015" s="866"/>
      <c r="AU1015" s="866"/>
      <c r="AV1015" s="866"/>
      <c r="AW1015" s="866"/>
      <c r="AX1015" s="866"/>
      <c r="AY1015" s="866"/>
      <c r="AZ1015" s="866"/>
      <c r="BA1015" s="866"/>
      <c r="BB1015" s="866"/>
    </row>
    <row r="1016" spans="1:63" ht="12.6" customHeight="1" x14ac:dyDescent="0.25">
      <c r="A1016" s="253" t="s">
        <v>1800</v>
      </c>
      <c r="B1016" s="246"/>
      <c r="C1016" s="246"/>
      <c r="D1016" s="246"/>
      <c r="E1016" s="246"/>
      <c r="F1016" s="246"/>
      <c r="G1016" s="246"/>
      <c r="H1016" s="246"/>
      <c r="I1016" s="246"/>
      <c r="J1016" s="246"/>
      <c r="K1016" s="246"/>
      <c r="L1016" s="246"/>
      <c r="M1016" s="246"/>
      <c r="N1016" s="246"/>
      <c r="O1016" s="246"/>
      <c r="P1016" s="246"/>
      <c r="Q1016" s="246"/>
      <c r="R1016" s="246"/>
      <c r="S1016" s="246"/>
      <c r="T1016" s="246"/>
      <c r="U1016" s="246"/>
      <c r="V1016" s="246"/>
      <c r="W1016" s="246"/>
      <c r="X1016" s="246"/>
      <c r="Y1016" s="246"/>
      <c r="Z1016" s="246"/>
      <c r="AA1016" s="246"/>
      <c r="AB1016" s="246"/>
      <c r="AC1016" s="246"/>
      <c r="AD1016" s="246"/>
      <c r="AE1016" s="246"/>
      <c r="AF1016" s="246"/>
      <c r="AG1016" s="246"/>
      <c r="AH1016" s="248"/>
      <c r="AI1016" s="866"/>
      <c r="AJ1016" s="866"/>
      <c r="AK1016" s="866"/>
      <c r="AL1016" s="866"/>
      <c r="AM1016" s="866"/>
      <c r="AN1016" s="866"/>
      <c r="AO1016" s="866"/>
      <c r="AP1016" s="866"/>
      <c r="AQ1016" s="866"/>
      <c r="AR1016" s="866"/>
      <c r="AS1016" s="866"/>
      <c r="AT1016" s="866"/>
      <c r="AU1016" s="866"/>
      <c r="AV1016" s="866"/>
      <c r="AW1016" s="866"/>
      <c r="AX1016" s="866"/>
      <c r="AY1016" s="866"/>
      <c r="AZ1016" s="866"/>
      <c r="BA1016" s="866"/>
      <c r="BB1016" s="866"/>
    </row>
    <row r="1017" spans="1:63" ht="12.6" customHeight="1" x14ac:dyDescent="0.25">
      <c r="A1017" s="253" t="s">
        <v>1801</v>
      </c>
      <c r="B1017" s="246"/>
      <c r="C1017" s="246"/>
      <c r="D1017" s="246"/>
      <c r="E1017" s="246"/>
      <c r="F1017" s="246"/>
      <c r="G1017" s="246"/>
      <c r="H1017" s="246"/>
      <c r="I1017" s="246"/>
      <c r="J1017" s="246"/>
      <c r="K1017" s="246"/>
      <c r="L1017" s="246"/>
      <c r="M1017" s="246"/>
      <c r="N1017" s="246"/>
      <c r="O1017" s="246"/>
      <c r="P1017" s="246"/>
      <c r="Q1017" s="246"/>
      <c r="R1017" s="246"/>
      <c r="S1017" s="246"/>
      <c r="T1017" s="246"/>
      <c r="U1017" s="246"/>
      <c r="V1017" s="246"/>
      <c r="W1017" s="246"/>
      <c r="X1017" s="246"/>
      <c r="Y1017" s="246"/>
      <c r="Z1017" s="246"/>
      <c r="AA1017" s="246"/>
      <c r="AB1017" s="246"/>
      <c r="AC1017" s="246"/>
      <c r="AD1017" s="246"/>
      <c r="AE1017" s="246"/>
      <c r="AF1017" s="246"/>
      <c r="AG1017" s="246"/>
      <c r="AH1017" s="248"/>
      <c r="AI1017" s="866"/>
      <c r="AJ1017" s="866"/>
      <c r="AK1017" s="866"/>
      <c r="AL1017" s="866"/>
      <c r="AM1017" s="866"/>
      <c r="AN1017" s="866"/>
      <c r="AO1017" s="866"/>
      <c r="AP1017" s="866"/>
      <c r="AQ1017" s="866"/>
      <c r="AR1017" s="866"/>
      <c r="AS1017" s="866"/>
      <c r="AT1017" s="866"/>
      <c r="AU1017" s="866"/>
      <c r="AV1017" s="866"/>
      <c r="AW1017" s="866"/>
      <c r="AX1017" s="866"/>
      <c r="AY1017" s="866"/>
      <c r="AZ1017" s="866"/>
      <c r="BA1017" s="866"/>
      <c r="BB1017" s="866"/>
    </row>
    <row r="1018" spans="1:63" ht="12.6" customHeight="1" x14ac:dyDescent="0.25">
      <c r="A1018" s="253" t="s">
        <v>1802</v>
      </c>
      <c r="B1018" s="246"/>
      <c r="C1018" s="246"/>
      <c r="D1018" s="246"/>
      <c r="E1018" s="246"/>
      <c r="F1018" s="246"/>
      <c r="G1018" s="246"/>
      <c r="H1018" s="246"/>
      <c r="I1018" s="246"/>
      <c r="J1018" s="246"/>
      <c r="K1018" s="246"/>
      <c r="L1018" s="246"/>
      <c r="M1018" s="246"/>
      <c r="N1018" s="246"/>
      <c r="O1018" s="246"/>
      <c r="P1018" s="246"/>
      <c r="Q1018" s="246"/>
      <c r="R1018" s="246"/>
      <c r="S1018" s="246"/>
      <c r="T1018" s="246"/>
      <c r="U1018" s="246"/>
      <c r="V1018" s="246"/>
      <c r="W1018" s="246"/>
      <c r="X1018" s="246"/>
      <c r="Y1018" s="246"/>
      <c r="Z1018" s="246"/>
      <c r="AA1018" s="246"/>
      <c r="AB1018" s="246"/>
      <c r="AC1018" s="246"/>
      <c r="AD1018" s="246"/>
      <c r="AE1018" s="246"/>
      <c r="AF1018" s="246"/>
      <c r="AG1018" s="246"/>
      <c r="AH1018" s="248"/>
      <c r="AI1018" s="866"/>
      <c r="AJ1018" s="866"/>
      <c r="AK1018" s="866"/>
      <c r="AL1018" s="866"/>
      <c r="AM1018" s="866"/>
      <c r="AN1018" s="866"/>
      <c r="AO1018" s="866"/>
      <c r="AP1018" s="866"/>
      <c r="AQ1018" s="866"/>
      <c r="AR1018" s="866"/>
      <c r="AS1018" s="866"/>
      <c r="AT1018" s="866"/>
      <c r="AU1018" s="866"/>
      <c r="AV1018" s="866"/>
      <c r="AW1018" s="866"/>
      <c r="AX1018" s="866"/>
      <c r="AY1018" s="866"/>
      <c r="AZ1018" s="866"/>
      <c r="BA1018" s="866"/>
      <c r="BB1018" s="866"/>
    </row>
    <row r="1019" spans="1:63" ht="12.6" customHeight="1" x14ac:dyDescent="0.25">
      <c r="A1019" s="253" t="s">
        <v>1803</v>
      </c>
      <c r="B1019" s="246"/>
      <c r="C1019" s="246"/>
      <c r="D1019" s="246"/>
      <c r="E1019" s="246"/>
      <c r="F1019" s="246"/>
      <c r="G1019" s="246"/>
      <c r="H1019" s="246"/>
      <c r="I1019" s="246"/>
      <c r="J1019" s="246"/>
      <c r="K1019" s="246"/>
      <c r="L1019" s="246"/>
      <c r="M1019" s="246"/>
      <c r="N1019" s="246"/>
      <c r="O1019" s="246"/>
      <c r="P1019" s="246"/>
      <c r="Q1019" s="246"/>
      <c r="R1019" s="246"/>
      <c r="S1019" s="246"/>
      <c r="T1019" s="246"/>
      <c r="U1019" s="246"/>
      <c r="V1019" s="246"/>
      <c r="W1019" s="246"/>
      <c r="X1019" s="246"/>
      <c r="Y1019" s="246"/>
      <c r="Z1019" s="246"/>
      <c r="AA1019" s="246"/>
      <c r="AB1019" s="246"/>
      <c r="AC1019" s="246"/>
      <c r="AD1019" s="246"/>
      <c r="AE1019" s="246"/>
      <c r="AF1019" s="246"/>
      <c r="AG1019" s="246"/>
      <c r="AH1019" s="248"/>
      <c r="AI1019" s="866"/>
      <c r="AJ1019" s="866"/>
      <c r="AK1019" s="866"/>
      <c r="AL1019" s="866"/>
      <c r="AM1019" s="866"/>
      <c r="AN1019" s="866"/>
      <c r="AO1019" s="866"/>
      <c r="AP1019" s="866"/>
      <c r="AQ1019" s="866"/>
      <c r="AR1019" s="866"/>
      <c r="AS1019" s="866"/>
      <c r="AT1019" s="866"/>
      <c r="AU1019" s="866"/>
      <c r="AV1019" s="866"/>
      <c r="AW1019" s="866"/>
      <c r="AX1019" s="866"/>
      <c r="AY1019" s="866"/>
      <c r="AZ1019" s="866"/>
      <c r="BA1019" s="866"/>
      <c r="BB1019" s="866"/>
    </row>
    <row r="1020" spans="1:63" ht="12.6" customHeight="1" x14ac:dyDescent="0.25">
      <c r="A1020" s="253" t="s">
        <v>1804</v>
      </c>
      <c r="B1020" s="246"/>
      <c r="C1020" s="246"/>
      <c r="D1020" s="246"/>
      <c r="E1020" s="246"/>
      <c r="F1020" s="246"/>
      <c r="G1020" s="246"/>
      <c r="H1020" s="246"/>
      <c r="I1020" s="246"/>
      <c r="J1020" s="246"/>
      <c r="K1020" s="246"/>
      <c r="L1020" s="246"/>
      <c r="M1020" s="246"/>
      <c r="N1020" s="246"/>
      <c r="O1020" s="246"/>
      <c r="P1020" s="246"/>
      <c r="Q1020" s="246"/>
      <c r="R1020" s="246"/>
      <c r="S1020" s="246"/>
      <c r="T1020" s="246"/>
      <c r="U1020" s="246"/>
      <c r="V1020" s="246"/>
      <c r="W1020" s="246"/>
      <c r="X1020" s="246"/>
      <c r="Y1020" s="246"/>
      <c r="Z1020" s="246"/>
      <c r="AA1020" s="246"/>
      <c r="AB1020" s="246"/>
      <c r="AC1020" s="246"/>
      <c r="AD1020" s="246"/>
      <c r="AE1020" s="246"/>
      <c r="AF1020" s="246"/>
      <c r="AG1020" s="246"/>
      <c r="AH1020" s="248"/>
      <c r="AI1020" s="866"/>
      <c r="AJ1020" s="866"/>
      <c r="AK1020" s="866"/>
      <c r="AL1020" s="866"/>
      <c r="AM1020" s="866"/>
      <c r="AN1020" s="866"/>
      <c r="AO1020" s="866"/>
      <c r="AP1020" s="866"/>
      <c r="AQ1020" s="866"/>
      <c r="AR1020" s="866"/>
      <c r="AS1020" s="866"/>
      <c r="AT1020" s="866"/>
      <c r="AU1020" s="866"/>
      <c r="AV1020" s="866"/>
      <c r="AW1020" s="866"/>
      <c r="AX1020" s="866"/>
      <c r="AY1020" s="866"/>
      <c r="AZ1020" s="866"/>
      <c r="BA1020" s="866"/>
      <c r="BB1020" s="866"/>
    </row>
    <row r="1021" spans="1:63" ht="12.6" customHeight="1" x14ac:dyDescent="0.25">
      <c r="A1021" s="253" t="s">
        <v>1805</v>
      </c>
      <c r="B1021" s="246"/>
      <c r="C1021" s="246"/>
      <c r="D1021" s="246"/>
      <c r="E1021" s="246"/>
      <c r="F1021" s="246"/>
      <c r="G1021" s="246"/>
      <c r="H1021" s="246"/>
      <c r="I1021" s="246"/>
      <c r="J1021" s="246"/>
      <c r="K1021" s="246"/>
      <c r="L1021" s="246"/>
      <c r="M1021" s="246"/>
      <c r="N1021" s="246"/>
      <c r="O1021" s="246"/>
      <c r="P1021" s="246"/>
      <c r="Q1021" s="246"/>
      <c r="R1021" s="246"/>
      <c r="S1021" s="246"/>
      <c r="T1021" s="246"/>
      <c r="U1021" s="246"/>
      <c r="V1021" s="246"/>
      <c r="W1021" s="246"/>
      <c r="X1021" s="246"/>
      <c r="Y1021" s="246"/>
      <c r="Z1021" s="246"/>
      <c r="AA1021" s="246"/>
      <c r="AB1021" s="246"/>
      <c r="AC1021" s="246"/>
      <c r="AD1021" s="246"/>
      <c r="AE1021" s="246"/>
      <c r="AF1021" s="246"/>
      <c r="AG1021" s="246"/>
      <c r="AH1021" s="248"/>
      <c r="AI1021" s="866"/>
      <c r="AJ1021" s="866"/>
      <c r="AK1021" s="866"/>
      <c r="AL1021" s="866"/>
      <c r="AM1021" s="866"/>
      <c r="AN1021" s="866"/>
      <c r="AO1021" s="866"/>
      <c r="AP1021" s="866"/>
      <c r="AQ1021" s="866"/>
      <c r="AR1021" s="866"/>
      <c r="AS1021" s="866"/>
      <c r="AT1021" s="866"/>
      <c r="AU1021" s="866"/>
      <c r="AV1021" s="866"/>
      <c r="AW1021" s="866"/>
      <c r="AX1021" s="866"/>
      <c r="AY1021" s="866"/>
      <c r="AZ1021" s="866"/>
      <c r="BA1021" s="866"/>
      <c r="BB1021" s="866"/>
    </row>
    <row r="1022" spans="1:63" ht="12.6" customHeight="1" x14ac:dyDescent="0.25">
      <c r="A1022" s="253" t="s">
        <v>1806</v>
      </c>
      <c r="B1022" s="246"/>
      <c r="C1022" s="246"/>
      <c r="D1022" s="246"/>
      <c r="E1022" s="246"/>
      <c r="F1022" s="246"/>
      <c r="G1022" s="246"/>
      <c r="H1022" s="246"/>
      <c r="I1022" s="246"/>
      <c r="J1022" s="246"/>
      <c r="K1022" s="246"/>
      <c r="L1022" s="246"/>
      <c r="M1022" s="246"/>
      <c r="N1022" s="246"/>
      <c r="O1022" s="246"/>
      <c r="P1022" s="246"/>
      <c r="Q1022" s="246"/>
      <c r="R1022" s="246"/>
      <c r="S1022" s="246"/>
      <c r="T1022" s="246"/>
      <c r="U1022" s="246"/>
      <c r="V1022" s="246"/>
      <c r="W1022" s="246"/>
      <c r="X1022" s="246"/>
      <c r="Y1022" s="246"/>
      <c r="Z1022" s="246"/>
      <c r="AA1022" s="246"/>
      <c r="AB1022" s="246"/>
      <c r="AC1022" s="246"/>
      <c r="AD1022" s="246"/>
      <c r="AE1022" s="246"/>
      <c r="AF1022" s="246"/>
      <c r="AG1022" s="246"/>
      <c r="AH1022" s="248"/>
      <c r="AI1022" s="866"/>
      <c r="AJ1022" s="866"/>
      <c r="AK1022" s="866"/>
      <c r="AL1022" s="866"/>
      <c r="AM1022" s="866"/>
      <c r="AN1022" s="866"/>
      <c r="AO1022" s="866"/>
      <c r="AP1022" s="866"/>
      <c r="AQ1022" s="866"/>
      <c r="AR1022" s="866"/>
      <c r="AS1022" s="866"/>
      <c r="AT1022" s="866"/>
      <c r="AU1022" s="866"/>
      <c r="AV1022" s="866"/>
      <c r="AW1022" s="866"/>
      <c r="AX1022" s="866"/>
      <c r="AY1022" s="866"/>
      <c r="AZ1022" s="866"/>
      <c r="BA1022" s="866"/>
      <c r="BB1022" s="866"/>
    </row>
    <row r="1023" spans="1:63" ht="12.6" customHeight="1" x14ac:dyDescent="0.25">
      <c r="A1023" s="253" t="s">
        <v>1328</v>
      </c>
      <c r="B1023" s="246"/>
      <c r="C1023" s="246"/>
      <c r="D1023" s="246"/>
      <c r="E1023" s="246"/>
      <c r="F1023" s="246"/>
      <c r="G1023" s="246"/>
      <c r="H1023" s="246"/>
      <c r="I1023" s="246"/>
      <c r="J1023" s="246"/>
      <c r="K1023" s="246"/>
      <c r="L1023" s="246"/>
      <c r="M1023" s="246"/>
      <c r="N1023" s="246"/>
      <c r="O1023" s="246"/>
      <c r="P1023" s="246"/>
      <c r="Q1023" s="246"/>
      <c r="R1023" s="246"/>
      <c r="S1023" s="246"/>
      <c r="T1023" s="246"/>
      <c r="U1023" s="246"/>
      <c r="V1023" s="246"/>
      <c r="W1023" s="246"/>
      <c r="X1023" s="246"/>
      <c r="Y1023" s="246"/>
      <c r="Z1023" s="246"/>
      <c r="AA1023" s="246"/>
      <c r="AB1023" s="246"/>
      <c r="AC1023" s="246"/>
      <c r="AD1023" s="246"/>
      <c r="AE1023" s="246"/>
      <c r="AF1023" s="246"/>
      <c r="AG1023" s="246"/>
      <c r="AH1023" s="248"/>
      <c r="AI1023" s="864">
        <f>SUM(AI1015:BB1022)</f>
        <v>0</v>
      </c>
      <c r="AJ1023" s="864"/>
      <c r="AK1023" s="864"/>
      <c r="AL1023" s="864"/>
      <c r="AM1023" s="864"/>
      <c r="AN1023" s="864"/>
      <c r="AO1023" s="864"/>
      <c r="AP1023" s="864"/>
      <c r="AQ1023" s="864"/>
      <c r="AR1023" s="864"/>
      <c r="AS1023" s="864"/>
      <c r="AT1023" s="864"/>
      <c r="AU1023" s="864"/>
      <c r="AV1023" s="864"/>
      <c r="AW1023" s="864"/>
      <c r="AX1023" s="864"/>
      <c r="AY1023" s="864"/>
      <c r="AZ1023" s="864"/>
      <c r="BA1023" s="864"/>
      <c r="BB1023" s="864"/>
    </row>
    <row r="1024" spans="1:63" ht="12.6" customHeight="1" x14ac:dyDescent="0.25">
      <c r="AI1024" s="207"/>
      <c r="AJ1024" s="207"/>
      <c r="AK1024" s="207"/>
      <c r="AL1024" s="207"/>
      <c r="AM1024" s="207"/>
      <c r="AN1024" s="207"/>
      <c r="AO1024" s="207"/>
      <c r="AP1024" s="207"/>
      <c r="AQ1024" s="207"/>
      <c r="AR1024" s="207"/>
      <c r="AS1024" s="207"/>
      <c r="AT1024" s="207"/>
      <c r="AU1024" s="207"/>
      <c r="AV1024" s="207"/>
      <c r="AW1024" s="207"/>
      <c r="AX1024" s="207"/>
      <c r="AY1024" s="207"/>
      <c r="AZ1024" s="207"/>
      <c r="BA1024" s="207"/>
      <c r="BB1024" s="207"/>
    </row>
    <row r="1025" spans="1:54" ht="12.6" customHeight="1" x14ac:dyDescent="0.25">
      <c r="A1025" s="29" t="s">
        <v>1329</v>
      </c>
      <c r="AI1025" s="207"/>
      <c r="AJ1025" s="207"/>
      <c r="AK1025" s="207"/>
      <c r="AL1025" s="207"/>
      <c r="AM1025" s="207"/>
      <c r="AN1025" s="207"/>
      <c r="AO1025" s="207"/>
      <c r="AP1025" s="207"/>
      <c r="AQ1025" s="207"/>
      <c r="AR1025" s="207"/>
      <c r="AS1025" s="207"/>
      <c r="AT1025" s="207"/>
      <c r="AU1025" s="207"/>
      <c r="AV1025" s="207"/>
      <c r="AW1025" s="207"/>
      <c r="AX1025" s="207"/>
      <c r="AY1025" s="207"/>
      <c r="AZ1025" s="207"/>
      <c r="BA1025" s="207"/>
      <c r="BB1025" s="207"/>
    </row>
    <row r="1026" spans="1:54" ht="12.6" customHeight="1" x14ac:dyDescent="0.25">
      <c r="A1026" s="768"/>
      <c r="B1026" s="768"/>
      <c r="C1026" s="768"/>
      <c r="D1026" s="768"/>
      <c r="E1026" s="768"/>
      <c r="F1026" s="768"/>
      <c r="G1026" s="768"/>
      <c r="H1026" s="768"/>
      <c r="I1026" s="768"/>
      <c r="J1026" s="768"/>
      <c r="K1026" s="768"/>
      <c r="L1026" s="768"/>
      <c r="M1026" s="768"/>
      <c r="N1026" s="768"/>
      <c r="O1026" s="768"/>
      <c r="P1026" s="768"/>
      <c r="Q1026" s="768"/>
      <c r="R1026" s="768"/>
      <c r="S1026" s="768"/>
      <c r="T1026" s="768"/>
      <c r="U1026" s="768"/>
      <c r="V1026" s="768"/>
      <c r="W1026" s="768"/>
      <c r="X1026" s="768"/>
      <c r="Y1026" s="768"/>
      <c r="Z1026" s="768"/>
      <c r="AA1026" s="768"/>
      <c r="AB1026" s="768"/>
      <c r="AC1026" s="768"/>
      <c r="AD1026" s="768"/>
      <c r="AE1026" s="768"/>
      <c r="AF1026" s="768"/>
      <c r="AG1026" s="768"/>
      <c r="AH1026" s="768"/>
      <c r="AI1026" s="867" t="s">
        <v>1720</v>
      </c>
      <c r="AJ1026" s="867"/>
      <c r="AK1026" s="867"/>
      <c r="AL1026" s="867"/>
      <c r="AM1026" s="867"/>
      <c r="AN1026" s="867"/>
      <c r="AO1026" s="867"/>
      <c r="AP1026" s="867"/>
      <c r="AQ1026" s="867"/>
      <c r="AR1026" s="867"/>
      <c r="AS1026" s="867"/>
      <c r="AT1026" s="867"/>
      <c r="AU1026" s="867"/>
      <c r="AV1026" s="867"/>
      <c r="AW1026" s="867"/>
      <c r="AX1026" s="867"/>
      <c r="AY1026" s="867"/>
      <c r="AZ1026" s="867"/>
      <c r="BA1026" s="867"/>
      <c r="BB1026" s="867"/>
    </row>
    <row r="1027" spans="1:54" ht="12.6" customHeight="1" x14ac:dyDescent="0.25">
      <c r="A1027" s="745" t="s">
        <v>1287</v>
      </c>
      <c r="B1027" s="745"/>
      <c r="C1027" s="745"/>
      <c r="D1027" s="745"/>
      <c r="E1027" s="745"/>
      <c r="F1027" s="745"/>
      <c r="G1027" s="745"/>
      <c r="H1027" s="745"/>
      <c r="I1027" s="745"/>
      <c r="J1027" s="745"/>
      <c r="K1027" s="745"/>
      <c r="L1027" s="745"/>
      <c r="M1027" s="745"/>
      <c r="N1027" s="745"/>
      <c r="O1027" s="745"/>
      <c r="P1027" s="745"/>
      <c r="Q1027" s="745"/>
      <c r="R1027" s="745"/>
      <c r="S1027" s="745"/>
      <c r="T1027" s="745"/>
      <c r="U1027" s="745"/>
      <c r="V1027" s="745"/>
      <c r="W1027" s="745"/>
      <c r="X1027" s="745"/>
      <c r="Y1027" s="745"/>
      <c r="Z1027" s="745"/>
      <c r="AA1027" s="745"/>
      <c r="AB1027" s="745"/>
      <c r="AC1027" s="745"/>
      <c r="AD1027" s="745"/>
      <c r="AE1027" s="745"/>
      <c r="AF1027" s="745"/>
      <c r="AG1027" s="745"/>
      <c r="AH1027" s="745"/>
      <c r="AI1027" s="868" t="s">
        <v>1721</v>
      </c>
      <c r="AJ1027" s="868"/>
      <c r="AK1027" s="868"/>
      <c r="AL1027" s="868"/>
      <c r="AM1027" s="868"/>
      <c r="AN1027" s="868"/>
      <c r="AO1027" s="868"/>
      <c r="AP1027" s="868"/>
      <c r="AQ1027" s="868"/>
      <c r="AR1027" s="868"/>
      <c r="AS1027" s="868"/>
      <c r="AT1027" s="868"/>
      <c r="AU1027" s="868"/>
      <c r="AV1027" s="868"/>
      <c r="AW1027" s="868"/>
      <c r="AX1027" s="868"/>
      <c r="AY1027" s="868"/>
      <c r="AZ1027" s="868"/>
      <c r="BA1027" s="868"/>
      <c r="BB1027" s="868"/>
    </row>
    <row r="1028" spans="1:54" ht="12.6" customHeight="1" x14ac:dyDescent="0.25">
      <c r="A1028" s="745"/>
      <c r="B1028" s="745"/>
      <c r="C1028" s="745"/>
      <c r="D1028" s="745"/>
      <c r="E1028" s="745"/>
      <c r="F1028" s="745"/>
      <c r="G1028" s="745"/>
      <c r="H1028" s="745"/>
      <c r="I1028" s="745"/>
      <c r="J1028" s="745"/>
      <c r="K1028" s="745"/>
      <c r="L1028" s="745"/>
      <c r="M1028" s="745"/>
      <c r="N1028" s="745"/>
      <c r="O1028" s="745"/>
      <c r="P1028" s="745"/>
      <c r="Q1028" s="745"/>
      <c r="R1028" s="745"/>
      <c r="S1028" s="745"/>
      <c r="T1028" s="745"/>
      <c r="U1028" s="745"/>
      <c r="V1028" s="745"/>
      <c r="W1028" s="745"/>
      <c r="X1028" s="745"/>
      <c r="Y1028" s="745"/>
      <c r="Z1028" s="745"/>
      <c r="AA1028" s="745"/>
      <c r="AB1028" s="745"/>
      <c r="AC1028" s="745"/>
      <c r="AD1028" s="745"/>
      <c r="AE1028" s="745"/>
      <c r="AF1028" s="745"/>
      <c r="AG1028" s="745"/>
      <c r="AH1028" s="745"/>
      <c r="AI1028" s="868" t="s">
        <v>1486</v>
      </c>
      <c r="AJ1028" s="868"/>
      <c r="AK1028" s="868"/>
      <c r="AL1028" s="868"/>
      <c r="AM1028" s="868"/>
      <c r="AN1028" s="868"/>
      <c r="AO1028" s="868"/>
      <c r="AP1028" s="868"/>
      <c r="AQ1028" s="868"/>
      <c r="AR1028" s="868"/>
      <c r="AS1028" s="868"/>
      <c r="AT1028" s="868"/>
      <c r="AU1028" s="868"/>
      <c r="AV1028" s="868"/>
      <c r="AW1028" s="868"/>
      <c r="AX1028" s="868"/>
      <c r="AY1028" s="868"/>
      <c r="AZ1028" s="868"/>
      <c r="BA1028" s="868"/>
      <c r="BB1028" s="868"/>
    </row>
    <row r="1029" spans="1:54" ht="12.6" customHeight="1" x14ac:dyDescent="0.25">
      <c r="A1029" s="311" t="s">
        <v>1807</v>
      </c>
      <c r="B1029" s="304"/>
      <c r="C1029" s="304"/>
      <c r="D1029" s="304"/>
      <c r="E1029" s="304"/>
      <c r="F1029" s="304"/>
      <c r="G1029" s="304"/>
      <c r="H1029" s="304"/>
      <c r="I1029" s="304"/>
      <c r="J1029" s="304"/>
      <c r="K1029" s="304"/>
      <c r="L1029" s="304"/>
      <c r="M1029" s="304"/>
      <c r="N1029" s="304"/>
      <c r="O1029" s="304"/>
      <c r="P1029" s="304"/>
      <c r="Q1029" s="304"/>
      <c r="R1029" s="304"/>
      <c r="S1029" s="304"/>
      <c r="T1029" s="304"/>
      <c r="U1029" s="304"/>
      <c r="V1029" s="304"/>
      <c r="W1029" s="304"/>
      <c r="X1029" s="304"/>
      <c r="Y1029" s="304"/>
      <c r="Z1029" s="304"/>
      <c r="AA1029" s="304"/>
      <c r="AB1029" s="304"/>
      <c r="AC1029" s="304"/>
      <c r="AD1029" s="304"/>
      <c r="AE1029" s="304"/>
      <c r="AF1029" s="304"/>
      <c r="AG1029" s="304"/>
      <c r="AH1029" s="323"/>
      <c r="AI1029" s="869">
        <f>SUM(IF(BG1010&lt;=0,BG1010,0))*-1</f>
        <v>0</v>
      </c>
      <c r="AJ1029" s="869"/>
      <c r="AK1029" s="869"/>
      <c r="AL1029" s="869"/>
      <c r="AM1029" s="869"/>
      <c r="AN1029" s="869"/>
      <c r="AO1029" s="869"/>
      <c r="AP1029" s="869"/>
      <c r="AQ1029" s="869"/>
      <c r="AR1029" s="869"/>
      <c r="AS1029" s="869"/>
      <c r="AT1029" s="869"/>
      <c r="AU1029" s="869"/>
      <c r="AV1029" s="869"/>
      <c r="AW1029" s="869"/>
      <c r="AX1029" s="869"/>
      <c r="AY1029" s="869"/>
      <c r="AZ1029" s="869"/>
      <c r="BA1029" s="869"/>
      <c r="BB1029" s="869"/>
    </row>
    <row r="1030" spans="1:54" ht="12.6" customHeight="1" x14ac:dyDescent="0.25">
      <c r="A1030" s="243" t="s">
        <v>1808</v>
      </c>
      <c r="B1030" s="244"/>
      <c r="C1030" s="244"/>
      <c r="D1030" s="244"/>
      <c r="E1030" s="244"/>
      <c r="F1030" s="244"/>
      <c r="G1030" s="244"/>
      <c r="H1030" s="244"/>
      <c r="I1030" s="244"/>
      <c r="J1030" s="244"/>
      <c r="K1030" s="244"/>
      <c r="L1030" s="244"/>
      <c r="M1030" s="244"/>
      <c r="N1030" s="244"/>
      <c r="O1030" s="244"/>
      <c r="P1030" s="244"/>
      <c r="Q1030" s="244"/>
      <c r="R1030" s="244"/>
      <c r="S1030" s="244"/>
      <c r="T1030" s="244"/>
      <c r="U1030" s="244"/>
      <c r="V1030" s="244"/>
      <c r="W1030" s="244"/>
      <c r="X1030" s="244"/>
      <c r="Y1030" s="244"/>
      <c r="Z1030" s="244"/>
      <c r="AA1030" s="244"/>
      <c r="AB1030" s="244"/>
      <c r="AC1030" s="244"/>
      <c r="AD1030" s="244"/>
      <c r="AE1030" s="244"/>
      <c r="AF1030" s="244"/>
      <c r="AG1030" s="244"/>
      <c r="AH1030" s="269"/>
      <c r="AI1030" s="870">
        <f>SUM(AI1029)</f>
        <v>0</v>
      </c>
      <c r="AJ1030" s="870"/>
      <c r="AK1030" s="870"/>
      <c r="AL1030" s="870"/>
      <c r="AM1030" s="870"/>
      <c r="AN1030" s="870"/>
      <c r="AO1030" s="870"/>
      <c r="AP1030" s="870"/>
      <c r="AQ1030" s="870"/>
      <c r="AR1030" s="870"/>
      <c r="AS1030" s="870"/>
      <c r="AT1030" s="870"/>
      <c r="AU1030" s="870"/>
      <c r="AV1030" s="870"/>
      <c r="AW1030" s="870"/>
      <c r="AX1030" s="870"/>
      <c r="AY1030" s="870"/>
      <c r="AZ1030" s="870"/>
      <c r="BA1030" s="870"/>
      <c r="BB1030" s="870"/>
    </row>
    <row r="1031" spans="1:54" ht="12.6" customHeight="1" x14ac:dyDescent="0.25">
      <c r="A1031" s="253" t="s">
        <v>1809</v>
      </c>
      <c r="B1031" s="246"/>
      <c r="C1031" s="246"/>
      <c r="D1031" s="246"/>
      <c r="E1031" s="246"/>
      <c r="F1031" s="246"/>
      <c r="G1031" s="246"/>
      <c r="H1031" s="246"/>
      <c r="I1031" s="246"/>
      <c r="J1031" s="246"/>
      <c r="K1031" s="246"/>
      <c r="L1031" s="246"/>
      <c r="M1031" s="246"/>
      <c r="N1031" s="246"/>
      <c r="O1031" s="246"/>
      <c r="P1031" s="246"/>
      <c r="Q1031" s="246"/>
      <c r="R1031" s="246"/>
      <c r="S1031" s="246"/>
      <c r="T1031" s="246"/>
      <c r="U1031" s="246"/>
      <c r="V1031" s="246"/>
      <c r="W1031" s="246"/>
      <c r="X1031" s="246"/>
      <c r="Y1031" s="246"/>
      <c r="Z1031" s="246"/>
      <c r="AA1031" s="246"/>
      <c r="AB1031" s="246"/>
      <c r="AC1031" s="246"/>
      <c r="AD1031" s="246"/>
      <c r="AE1031" s="246"/>
      <c r="AF1031" s="246"/>
      <c r="AG1031" s="246"/>
      <c r="AH1031" s="248"/>
      <c r="AI1031" s="871"/>
      <c r="AJ1031" s="871"/>
      <c r="AK1031" s="871"/>
      <c r="AL1031" s="871"/>
      <c r="AM1031" s="871"/>
      <c r="AN1031" s="871"/>
      <c r="AO1031" s="871"/>
      <c r="AP1031" s="871"/>
      <c r="AQ1031" s="871"/>
      <c r="AR1031" s="871"/>
      <c r="AS1031" s="871"/>
      <c r="AT1031" s="871"/>
      <c r="AU1031" s="871"/>
      <c r="AV1031" s="871"/>
      <c r="AW1031" s="871"/>
      <c r="AX1031" s="871"/>
      <c r="AY1031" s="871"/>
      <c r="AZ1031" s="871"/>
      <c r="BA1031" s="871"/>
      <c r="BB1031" s="871"/>
    </row>
    <row r="1032" spans="1:54" ht="12.6" customHeight="1" x14ac:dyDescent="0.25">
      <c r="A1032" s="253" t="s">
        <v>1810</v>
      </c>
      <c r="B1032" s="246"/>
      <c r="C1032" s="246"/>
      <c r="D1032" s="246"/>
      <c r="E1032" s="246"/>
      <c r="F1032" s="246"/>
      <c r="G1032" s="246"/>
      <c r="H1032" s="246"/>
      <c r="I1032" s="246"/>
      <c r="J1032" s="246"/>
      <c r="K1032" s="246"/>
      <c r="L1032" s="246"/>
      <c r="M1032" s="246"/>
      <c r="N1032" s="246"/>
      <c r="O1032" s="246"/>
      <c r="P1032" s="246"/>
      <c r="Q1032" s="246"/>
      <c r="R1032" s="246"/>
      <c r="S1032" s="246"/>
      <c r="T1032" s="246"/>
      <c r="U1032" s="246"/>
      <c r="V1032" s="246"/>
      <c r="W1032" s="246"/>
      <c r="X1032" s="246"/>
      <c r="Y1032" s="246"/>
      <c r="Z1032" s="246"/>
      <c r="AA1032" s="246"/>
      <c r="AB1032" s="246"/>
      <c r="AC1032" s="246"/>
      <c r="AD1032" s="246"/>
      <c r="AE1032" s="246"/>
      <c r="AF1032" s="246"/>
      <c r="AG1032" s="246"/>
      <c r="AH1032" s="248"/>
      <c r="AI1032" s="871"/>
      <c r="AJ1032" s="871"/>
      <c r="AK1032" s="871"/>
      <c r="AL1032" s="871"/>
      <c r="AM1032" s="871"/>
      <c r="AN1032" s="871"/>
      <c r="AO1032" s="871"/>
      <c r="AP1032" s="871"/>
      <c r="AQ1032" s="871"/>
      <c r="AR1032" s="871"/>
      <c r="AS1032" s="871"/>
      <c r="AT1032" s="871"/>
      <c r="AU1032" s="871"/>
      <c r="AV1032" s="871"/>
      <c r="AW1032" s="871"/>
      <c r="AX1032" s="871"/>
      <c r="AY1032" s="871"/>
      <c r="AZ1032" s="871"/>
      <c r="BA1032" s="871"/>
      <c r="BB1032" s="871"/>
    </row>
    <row r="1033" spans="1:54" ht="12.6" customHeight="1" x14ac:dyDescent="0.25">
      <c r="A1033" s="253" t="s">
        <v>1811</v>
      </c>
      <c r="B1033" s="246"/>
      <c r="C1033" s="246"/>
      <c r="D1033" s="246"/>
      <c r="E1033" s="246"/>
      <c r="F1033" s="246"/>
      <c r="G1033" s="246"/>
      <c r="H1033" s="246"/>
      <c r="I1033" s="246"/>
      <c r="J1033" s="246"/>
      <c r="K1033" s="246"/>
      <c r="L1033" s="246"/>
      <c r="M1033" s="246"/>
      <c r="N1033" s="246"/>
      <c r="O1033" s="246"/>
      <c r="P1033" s="246"/>
      <c r="Q1033" s="246"/>
      <c r="R1033" s="246"/>
      <c r="S1033" s="246"/>
      <c r="T1033" s="246"/>
      <c r="U1033" s="246"/>
      <c r="V1033" s="246"/>
      <c r="W1033" s="246"/>
      <c r="X1033" s="246"/>
      <c r="Y1033" s="246"/>
      <c r="Z1033" s="246"/>
      <c r="AA1033" s="246"/>
      <c r="AB1033" s="246"/>
      <c r="AC1033" s="246"/>
      <c r="AD1033" s="246"/>
      <c r="AE1033" s="246"/>
      <c r="AF1033" s="246"/>
      <c r="AG1033" s="246"/>
      <c r="AH1033" s="248"/>
      <c r="AI1033" s="871"/>
      <c r="AJ1033" s="871"/>
      <c r="AK1033" s="871"/>
      <c r="AL1033" s="871"/>
      <c r="AM1033" s="871"/>
      <c r="AN1033" s="871"/>
      <c r="AO1033" s="871"/>
      <c r="AP1033" s="871"/>
      <c r="AQ1033" s="871"/>
      <c r="AR1033" s="871"/>
      <c r="AS1033" s="871"/>
      <c r="AT1033" s="871"/>
      <c r="AU1033" s="871"/>
      <c r="AV1033" s="871"/>
      <c r="AW1033" s="871"/>
      <c r="AX1033" s="871"/>
      <c r="AY1033" s="871"/>
      <c r="AZ1033" s="871"/>
      <c r="BA1033" s="871"/>
      <c r="BB1033" s="871"/>
    </row>
    <row r="1034" spans="1:54" ht="12.6" customHeight="1" x14ac:dyDescent="0.25">
      <c r="A1034" s="253" t="s">
        <v>1812</v>
      </c>
      <c r="B1034" s="246"/>
      <c r="C1034" s="246"/>
      <c r="D1034" s="246"/>
      <c r="E1034" s="246"/>
      <c r="F1034" s="246"/>
      <c r="G1034" s="246"/>
      <c r="H1034" s="246"/>
      <c r="I1034" s="246"/>
      <c r="J1034" s="246"/>
      <c r="K1034" s="246"/>
      <c r="L1034" s="246"/>
      <c r="M1034" s="246"/>
      <c r="N1034" s="246"/>
      <c r="O1034" s="246"/>
      <c r="P1034" s="246"/>
      <c r="Q1034" s="246"/>
      <c r="R1034" s="246"/>
      <c r="S1034" s="246"/>
      <c r="T1034" s="246"/>
      <c r="U1034" s="246"/>
      <c r="V1034" s="246"/>
      <c r="W1034" s="246"/>
      <c r="X1034" s="246"/>
      <c r="Y1034" s="246"/>
      <c r="Z1034" s="246"/>
      <c r="AA1034" s="246"/>
      <c r="AB1034" s="246"/>
      <c r="AC1034" s="246"/>
      <c r="AD1034" s="246"/>
      <c r="AE1034" s="246"/>
      <c r="AF1034" s="246"/>
      <c r="AG1034" s="246"/>
      <c r="AH1034" s="248"/>
      <c r="AI1034" s="871"/>
      <c r="AJ1034" s="871"/>
      <c r="AK1034" s="871"/>
      <c r="AL1034" s="871"/>
      <c r="AM1034" s="871"/>
      <c r="AN1034" s="871"/>
      <c r="AO1034" s="871"/>
      <c r="AP1034" s="871"/>
      <c r="AQ1034" s="871"/>
      <c r="AR1034" s="871"/>
      <c r="AS1034" s="871"/>
      <c r="AT1034" s="871"/>
      <c r="AU1034" s="871"/>
      <c r="AV1034" s="871"/>
      <c r="AW1034" s="871"/>
      <c r="AX1034" s="871"/>
      <c r="AY1034" s="871"/>
      <c r="AZ1034" s="871"/>
      <c r="BA1034" s="871"/>
      <c r="BB1034" s="871"/>
    </row>
    <row r="1035" spans="1:54" ht="12.6" customHeight="1" x14ac:dyDescent="0.25">
      <c r="A1035" s="253" t="s">
        <v>1813</v>
      </c>
      <c r="B1035" s="246"/>
      <c r="C1035" s="246"/>
      <c r="D1035" s="246"/>
      <c r="E1035" s="246"/>
      <c r="F1035" s="246"/>
      <c r="G1035" s="246"/>
      <c r="H1035" s="246"/>
      <c r="I1035" s="246"/>
      <c r="J1035" s="246"/>
      <c r="K1035" s="246"/>
      <c r="L1035" s="246"/>
      <c r="M1035" s="246"/>
      <c r="N1035" s="246"/>
      <c r="O1035" s="246"/>
      <c r="P1035" s="246"/>
      <c r="Q1035" s="246"/>
      <c r="R1035" s="246"/>
      <c r="S1035" s="246"/>
      <c r="T1035" s="246"/>
      <c r="U1035" s="246"/>
      <c r="V1035" s="246"/>
      <c r="W1035" s="246"/>
      <c r="X1035" s="246"/>
      <c r="Y1035" s="246"/>
      <c r="Z1035" s="246"/>
      <c r="AA1035" s="246"/>
      <c r="AB1035" s="246"/>
      <c r="AC1035" s="246"/>
      <c r="AD1035" s="246"/>
      <c r="AE1035" s="246"/>
      <c r="AF1035" s="246"/>
      <c r="AG1035" s="246"/>
      <c r="AH1035" s="248"/>
      <c r="AI1035" s="871"/>
      <c r="AJ1035" s="871"/>
      <c r="AK1035" s="871"/>
      <c r="AL1035" s="871"/>
      <c r="AM1035" s="871"/>
      <c r="AN1035" s="871"/>
      <c r="AO1035" s="871"/>
      <c r="AP1035" s="871"/>
      <c r="AQ1035" s="871"/>
      <c r="AR1035" s="871"/>
      <c r="AS1035" s="871"/>
      <c r="AT1035" s="871"/>
      <c r="AU1035" s="871"/>
      <c r="AV1035" s="871"/>
      <c r="AW1035" s="871"/>
      <c r="AX1035" s="871"/>
      <c r="AY1035" s="871"/>
      <c r="AZ1035" s="871"/>
      <c r="BA1035" s="871"/>
      <c r="BB1035" s="871"/>
    </row>
    <row r="1036" spans="1:54" ht="12.6" customHeight="1" x14ac:dyDescent="0.25">
      <c r="A1036" s="253" t="s">
        <v>1806</v>
      </c>
      <c r="B1036" s="246"/>
      <c r="C1036" s="246"/>
      <c r="D1036" s="246"/>
      <c r="E1036" s="246"/>
      <c r="F1036" s="246"/>
      <c r="G1036" s="246"/>
      <c r="H1036" s="246"/>
      <c r="I1036" s="246"/>
      <c r="J1036" s="246"/>
      <c r="K1036" s="246"/>
      <c r="L1036" s="246"/>
      <c r="M1036" s="246"/>
      <c r="N1036" s="246"/>
      <c r="O1036" s="246"/>
      <c r="P1036" s="246"/>
      <c r="Q1036" s="246"/>
      <c r="R1036" s="246"/>
      <c r="S1036" s="246"/>
      <c r="T1036" s="246"/>
      <c r="U1036" s="246"/>
      <c r="V1036" s="246"/>
      <c r="W1036" s="246"/>
      <c r="X1036" s="246"/>
      <c r="Y1036" s="246"/>
      <c r="Z1036" s="246"/>
      <c r="AA1036" s="246"/>
      <c r="AB1036" s="246"/>
      <c r="AC1036" s="246"/>
      <c r="AD1036" s="246"/>
      <c r="AE1036" s="246"/>
      <c r="AF1036" s="246"/>
      <c r="AG1036" s="246"/>
      <c r="AH1036" s="248"/>
      <c r="AI1036" s="871"/>
      <c r="AJ1036" s="871"/>
      <c r="AK1036" s="871"/>
      <c r="AL1036" s="871"/>
      <c r="AM1036" s="871"/>
      <c r="AN1036" s="871"/>
      <c r="AO1036" s="871"/>
      <c r="AP1036" s="871"/>
      <c r="AQ1036" s="871"/>
      <c r="AR1036" s="871"/>
      <c r="AS1036" s="871"/>
      <c r="AT1036" s="871"/>
      <c r="AU1036" s="871"/>
      <c r="AV1036" s="871"/>
      <c r="AW1036" s="871"/>
      <c r="AX1036" s="871"/>
      <c r="AY1036" s="871"/>
      <c r="AZ1036" s="871"/>
      <c r="BA1036" s="871"/>
      <c r="BB1036" s="871"/>
    </row>
    <row r="1037" spans="1:54" ht="12.6" customHeight="1" x14ac:dyDescent="0.25">
      <c r="A1037" s="258" t="s">
        <v>1328</v>
      </c>
      <c r="B1037" s="247"/>
      <c r="C1037" s="247"/>
      <c r="D1037" s="247"/>
      <c r="E1037" s="247"/>
      <c r="F1037" s="247"/>
      <c r="G1037" s="247"/>
      <c r="H1037" s="247"/>
      <c r="I1037" s="247"/>
      <c r="J1037" s="247"/>
      <c r="K1037" s="247"/>
      <c r="L1037" s="247"/>
      <c r="M1037" s="247"/>
      <c r="N1037" s="247"/>
      <c r="O1037" s="247"/>
      <c r="P1037" s="247"/>
      <c r="Q1037" s="247"/>
      <c r="R1037" s="247"/>
      <c r="S1037" s="247"/>
      <c r="T1037" s="247"/>
      <c r="U1037" s="247"/>
      <c r="V1037" s="247"/>
      <c r="W1037" s="247"/>
      <c r="X1037" s="247"/>
      <c r="Y1037" s="247"/>
      <c r="Z1037" s="247"/>
      <c r="AA1037" s="247"/>
      <c r="AB1037" s="247"/>
      <c r="AC1037" s="247"/>
      <c r="AD1037" s="247"/>
      <c r="AE1037" s="247"/>
      <c r="AF1037" s="247"/>
      <c r="AG1037" s="247"/>
      <c r="AH1037" s="252"/>
      <c r="AI1037" s="872">
        <f>SUM(AI1031:BB1036)</f>
        <v>0</v>
      </c>
      <c r="AJ1037" s="872"/>
      <c r="AK1037" s="872"/>
      <c r="AL1037" s="872"/>
      <c r="AM1037" s="872"/>
      <c r="AN1037" s="872"/>
      <c r="AO1037" s="872"/>
      <c r="AP1037" s="872"/>
      <c r="AQ1037" s="872"/>
      <c r="AR1037" s="872"/>
      <c r="AS1037" s="872"/>
      <c r="AT1037" s="872"/>
      <c r="AU1037" s="872"/>
      <c r="AV1037" s="872"/>
      <c r="AW1037" s="872"/>
      <c r="AX1037" s="872"/>
      <c r="AY1037" s="872"/>
      <c r="AZ1037" s="872"/>
      <c r="BA1037" s="872"/>
      <c r="BB1037" s="872"/>
    </row>
    <row r="1038" spans="1:54" ht="12.6" customHeight="1" x14ac:dyDescent="0.25">
      <c r="A1038" s="227" t="s">
        <v>1344</v>
      </c>
    </row>
    <row r="1039" spans="1:54" ht="15" customHeight="1" x14ac:dyDescent="0.25">
      <c r="A1039" s="763"/>
      <c r="B1039" s="763"/>
      <c r="C1039" s="763"/>
      <c r="D1039" s="763"/>
      <c r="E1039" s="763"/>
      <c r="F1039" s="763"/>
      <c r="G1039" s="763"/>
      <c r="H1039" s="763"/>
      <c r="I1039" s="763"/>
      <c r="J1039" s="763"/>
      <c r="K1039" s="763"/>
      <c r="L1039" s="763"/>
      <c r="M1039" s="763"/>
      <c r="N1039" s="763"/>
      <c r="O1039" s="763"/>
      <c r="P1039" s="763"/>
      <c r="Q1039" s="763"/>
      <c r="R1039" s="763"/>
      <c r="S1039" s="763"/>
      <c r="T1039" s="763"/>
      <c r="U1039" s="763"/>
      <c r="V1039" s="763"/>
      <c r="W1039" s="763"/>
      <c r="X1039" s="763"/>
      <c r="Y1039" s="763"/>
      <c r="Z1039" s="763"/>
      <c r="AA1039" s="763"/>
      <c r="AB1039" s="763"/>
      <c r="AC1039" s="763"/>
      <c r="AD1039" s="763"/>
      <c r="AE1039" s="763"/>
      <c r="AF1039" s="763"/>
      <c r="AG1039" s="763"/>
      <c r="AH1039" s="763"/>
      <c r="AI1039" s="763"/>
      <c r="AJ1039" s="763"/>
      <c r="AK1039" s="763"/>
      <c r="AL1039" s="763"/>
      <c r="AM1039" s="763"/>
      <c r="AN1039" s="763"/>
      <c r="AO1039" s="763"/>
      <c r="AP1039" s="763"/>
      <c r="AQ1039" s="763"/>
      <c r="AR1039" s="763"/>
      <c r="AS1039" s="763"/>
      <c r="AT1039" s="763"/>
      <c r="AU1039" s="763"/>
      <c r="AV1039" s="763"/>
      <c r="AW1039" s="763"/>
      <c r="AX1039" s="763"/>
      <c r="AY1039" s="265"/>
      <c r="AZ1039" s="265"/>
      <c r="BA1039" s="265"/>
      <c r="BB1039" s="265"/>
    </row>
    <row r="1040" spans="1:54" ht="15" customHeight="1" x14ac:dyDescent="0.25">
      <c r="A1040" s="763"/>
      <c r="B1040" s="763"/>
      <c r="C1040" s="763"/>
      <c r="D1040" s="763"/>
      <c r="E1040" s="763"/>
      <c r="F1040" s="763"/>
      <c r="G1040" s="763"/>
      <c r="H1040" s="763"/>
      <c r="I1040" s="763"/>
      <c r="J1040" s="763"/>
      <c r="K1040" s="763"/>
      <c r="L1040" s="763"/>
      <c r="M1040" s="763"/>
      <c r="N1040" s="763"/>
      <c r="O1040" s="763"/>
      <c r="P1040" s="763"/>
      <c r="Q1040" s="763"/>
      <c r="R1040" s="763"/>
      <c r="S1040" s="763"/>
      <c r="T1040" s="763"/>
      <c r="U1040" s="763"/>
      <c r="V1040" s="763"/>
      <c r="W1040" s="763"/>
      <c r="X1040" s="763"/>
      <c r="Y1040" s="763"/>
      <c r="Z1040" s="763"/>
      <c r="AA1040" s="763"/>
      <c r="AB1040" s="763"/>
      <c r="AC1040" s="763"/>
      <c r="AD1040" s="763"/>
      <c r="AE1040" s="763"/>
      <c r="AF1040" s="763"/>
      <c r="AG1040" s="763"/>
      <c r="AH1040" s="763"/>
      <c r="AI1040" s="763"/>
      <c r="AJ1040" s="763"/>
      <c r="AK1040" s="763"/>
      <c r="AL1040" s="763"/>
      <c r="AM1040" s="763"/>
      <c r="AN1040" s="763"/>
      <c r="AO1040" s="763"/>
      <c r="AP1040" s="763"/>
      <c r="AQ1040" s="763"/>
      <c r="AR1040" s="763"/>
      <c r="AS1040" s="763"/>
      <c r="AT1040" s="763"/>
      <c r="AU1040" s="763"/>
      <c r="AV1040" s="763"/>
      <c r="AW1040" s="763"/>
      <c r="AX1040" s="763"/>
      <c r="AY1040" s="265"/>
      <c r="AZ1040" s="265"/>
      <c r="BA1040" s="265"/>
      <c r="BB1040" s="265"/>
    </row>
    <row r="1041" spans="1:54" ht="0.75" customHeight="1" x14ac:dyDescent="0.25"/>
    <row r="1042" spans="1:54" s="208" customFormat="1" ht="12" hidden="1" customHeight="1" x14ac:dyDescent="0.25"/>
    <row r="1043" spans="1:54" s="227" customFormat="1" ht="12.6" customHeight="1" x14ac:dyDescent="0.25">
      <c r="A1043" s="227" t="s">
        <v>1814</v>
      </c>
      <c r="B1043" s="29"/>
      <c r="C1043" s="29"/>
      <c r="D1043" s="29"/>
      <c r="E1043" s="29"/>
      <c r="F1043" s="29"/>
      <c r="G1043" s="29"/>
      <c r="H1043" s="29"/>
      <c r="I1043" s="29"/>
      <c r="J1043" s="29"/>
      <c r="K1043" s="29"/>
      <c r="L1043" s="29"/>
      <c r="M1043" s="29"/>
      <c r="N1043" s="29"/>
      <c r="O1043" s="29"/>
      <c r="P1043" s="29"/>
      <c r="Q1043" s="29"/>
      <c r="R1043" s="29"/>
      <c r="S1043" s="29"/>
      <c r="T1043" s="29"/>
      <c r="U1043" s="29"/>
      <c r="V1043" s="29"/>
      <c r="W1043" s="29"/>
      <c r="X1043" s="29"/>
      <c r="Y1043" s="29"/>
      <c r="Z1043" s="29"/>
      <c r="AA1043" s="29"/>
      <c r="AB1043" s="29"/>
      <c r="AC1043" s="29"/>
      <c r="AD1043" s="29"/>
      <c r="AE1043" s="29"/>
      <c r="AF1043" s="29"/>
      <c r="AG1043" s="29"/>
      <c r="AH1043" s="29"/>
      <c r="AI1043" s="29"/>
      <c r="AJ1043" s="29"/>
      <c r="AK1043" s="29"/>
      <c r="AL1043" s="29"/>
      <c r="AM1043" s="29"/>
      <c r="AN1043" s="29"/>
      <c r="AO1043" s="29"/>
      <c r="AP1043" s="29"/>
      <c r="AQ1043" s="29"/>
      <c r="AR1043" s="29"/>
      <c r="AS1043" s="29"/>
      <c r="AT1043" s="29"/>
      <c r="AU1043" s="29"/>
      <c r="AV1043" s="29"/>
      <c r="AW1043" s="29"/>
      <c r="AX1043" s="29"/>
      <c r="AY1043" s="29"/>
      <c r="AZ1043" s="29"/>
      <c r="BA1043" s="29"/>
      <c r="BB1043" s="29"/>
    </row>
    <row r="1044" spans="1:54" ht="12.6" customHeight="1" x14ac:dyDescent="0.25">
      <c r="A1044" s="29" t="s">
        <v>1316</v>
      </c>
    </row>
    <row r="1045" spans="1:54" ht="12.6" customHeight="1" x14ac:dyDescent="0.25">
      <c r="A1045" s="241"/>
      <c r="B1045" s="242"/>
      <c r="C1045" s="242"/>
      <c r="D1045" s="242"/>
      <c r="E1045" s="242"/>
      <c r="F1045" s="242"/>
      <c r="G1045" s="242"/>
      <c r="H1045" s="242"/>
      <c r="I1045" s="242"/>
      <c r="J1045" s="242"/>
      <c r="K1045" s="242"/>
      <c r="L1045" s="268"/>
      <c r="M1045" s="807" t="s">
        <v>1815</v>
      </c>
      <c r="N1045" s="807"/>
      <c r="O1045" s="807"/>
      <c r="P1045" s="807"/>
      <c r="Q1045" s="807"/>
      <c r="R1045" s="807"/>
      <c r="S1045" s="807"/>
      <c r="T1045" s="807"/>
      <c r="U1045" s="807"/>
      <c r="V1045" s="807"/>
      <c r="W1045" s="807"/>
      <c r="X1045" s="807"/>
      <c r="Y1045" s="807"/>
      <c r="Z1045" s="807"/>
      <c r="AA1045" s="807"/>
      <c r="AB1045" s="807"/>
      <c r="AC1045" s="807"/>
      <c r="AD1045" s="807"/>
      <c r="AE1045" s="807"/>
      <c r="AF1045" s="807"/>
      <c r="AG1045" s="807"/>
      <c r="AH1045" s="807"/>
      <c r="AI1045" s="807"/>
      <c r="AJ1045" s="807"/>
      <c r="AK1045" s="807"/>
      <c r="AL1045" s="807"/>
      <c r="AM1045" s="807"/>
      <c r="AN1045" s="807"/>
      <c r="AO1045" s="807"/>
      <c r="AP1045" s="807"/>
      <c r="AQ1045" s="807"/>
      <c r="AR1045" s="807"/>
      <c r="AS1045" s="807"/>
      <c r="AT1045" s="807"/>
      <c r="AU1045" s="807"/>
      <c r="AV1045" s="807"/>
      <c r="AW1045" s="807"/>
      <c r="AX1045" s="807"/>
      <c r="AY1045" s="807"/>
      <c r="AZ1045" s="807"/>
      <c r="BA1045" s="807"/>
      <c r="BB1045" s="807"/>
    </row>
    <row r="1046" spans="1:54" ht="12.6" customHeight="1" x14ac:dyDescent="0.25">
      <c r="A1046" s="243"/>
      <c r="B1046" s="244"/>
      <c r="C1046" s="244"/>
      <c r="D1046" s="244"/>
      <c r="E1046" s="244"/>
      <c r="F1046" s="244"/>
      <c r="G1046" s="244"/>
      <c r="H1046" s="244"/>
      <c r="I1046" s="244"/>
      <c r="J1046" s="244"/>
      <c r="K1046" s="244"/>
      <c r="L1046" s="269"/>
      <c r="M1046" s="241"/>
      <c r="N1046" s="242"/>
      <c r="O1046" s="242"/>
      <c r="P1046" s="242"/>
      <c r="Q1046" s="242"/>
      <c r="R1046" s="242"/>
      <c r="S1046" s="242"/>
      <c r="T1046" s="268"/>
      <c r="U1046" s="241"/>
      <c r="V1046" s="242"/>
      <c r="W1046" s="242"/>
      <c r="X1046" s="242"/>
      <c r="Y1046" s="242"/>
      <c r="Z1046" s="242"/>
      <c r="AA1046" s="268"/>
      <c r="AB1046" s="241"/>
      <c r="AC1046" s="242"/>
      <c r="AD1046" s="242"/>
      <c r="AE1046" s="242"/>
      <c r="AF1046" s="242"/>
      <c r="AG1046" s="242"/>
      <c r="AH1046" s="268"/>
      <c r="AI1046" s="241"/>
      <c r="AJ1046" s="242"/>
      <c r="AK1046" s="242"/>
      <c r="AL1046" s="242"/>
      <c r="AM1046" s="242"/>
      <c r="AN1046" s="242"/>
      <c r="AO1046" s="268"/>
      <c r="AP1046" s="807" t="s">
        <v>1522</v>
      </c>
      <c r="AQ1046" s="807"/>
      <c r="AR1046" s="807"/>
      <c r="AS1046" s="807"/>
      <c r="AT1046" s="807"/>
      <c r="AU1046" s="807"/>
      <c r="AV1046" s="807"/>
      <c r="AW1046" s="807"/>
      <c r="AX1046" s="807"/>
      <c r="AY1046" s="807"/>
      <c r="AZ1046" s="807"/>
      <c r="BA1046" s="807"/>
      <c r="BB1046" s="807"/>
    </row>
    <row r="1047" spans="1:54" ht="12.6" customHeight="1" x14ac:dyDescent="0.25">
      <c r="A1047" s="745" t="s">
        <v>1287</v>
      </c>
      <c r="B1047" s="745"/>
      <c r="C1047" s="745"/>
      <c r="D1047" s="745"/>
      <c r="E1047" s="745"/>
      <c r="F1047" s="745"/>
      <c r="G1047" s="745"/>
      <c r="H1047" s="745"/>
      <c r="I1047" s="745"/>
      <c r="J1047" s="745"/>
      <c r="K1047" s="745"/>
      <c r="L1047" s="745"/>
      <c r="M1047" s="745" t="s">
        <v>1472</v>
      </c>
      <c r="N1047" s="745"/>
      <c r="O1047" s="745"/>
      <c r="P1047" s="745"/>
      <c r="Q1047" s="745"/>
      <c r="R1047" s="745"/>
      <c r="S1047" s="745"/>
      <c r="T1047" s="745"/>
      <c r="U1047" s="745" t="s">
        <v>1624</v>
      </c>
      <c r="V1047" s="745"/>
      <c r="W1047" s="745"/>
      <c r="X1047" s="745"/>
      <c r="Y1047" s="745"/>
      <c r="Z1047" s="745"/>
      <c r="AA1047" s="745"/>
      <c r="AB1047" s="745" t="s">
        <v>1816</v>
      </c>
      <c r="AC1047" s="745"/>
      <c r="AD1047" s="745"/>
      <c r="AE1047" s="745"/>
      <c r="AF1047" s="745"/>
      <c r="AG1047" s="745"/>
      <c r="AH1047" s="745"/>
      <c r="AI1047" s="745" t="s">
        <v>1817</v>
      </c>
      <c r="AJ1047" s="745"/>
      <c r="AK1047" s="745"/>
      <c r="AL1047" s="745"/>
      <c r="AM1047" s="745"/>
      <c r="AN1047" s="745"/>
      <c r="AO1047" s="745"/>
      <c r="AP1047" s="828" t="s">
        <v>1587</v>
      </c>
      <c r="AQ1047" s="828"/>
      <c r="AR1047" s="828"/>
      <c r="AS1047" s="828"/>
      <c r="AT1047" s="828"/>
      <c r="AU1047" s="828"/>
      <c r="AV1047" s="828"/>
      <c r="AW1047" s="828"/>
      <c r="AX1047" s="828"/>
      <c r="AY1047" s="828"/>
      <c r="AZ1047" s="828"/>
      <c r="BA1047" s="828"/>
      <c r="BB1047" s="828"/>
    </row>
    <row r="1048" spans="1:54" ht="12.6" customHeight="1" x14ac:dyDescent="0.25">
      <c r="A1048" s="243"/>
      <c r="B1048" s="244"/>
      <c r="C1048" s="244"/>
      <c r="D1048" s="244"/>
      <c r="E1048" s="244"/>
      <c r="F1048" s="244"/>
      <c r="G1048" s="244"/>
      <c r="H1048" s="244"/>
      <c r="I1048" s="244"/>
      <c r="J1048" s="244"/>
      <c r="K1048" s="244"/>
      <c r="L1048" s="269"/>
      <c r="M1048" s="745" t="s">
        <v>1473</v>
      </c>
      <c r="N1048" s="745"/>
      <c r="O1048" s="745"/>
      <c r="P1048" s="745"/>
      <c r="Q1048" s="745"/>
      <c r="R1048" s="745"/>
      <c r="S1048" s="745"/>
      <c r="T1048" s="745"/>
      <c r="U1048" s="243"/>
      <c r="V1048" s="244"/>
      <c r="W1048" s="244"/>
      <c r="X1048" s="244"/>
      <c r="Y1048" s="244"/>
      <c r="Z1048" s="244"/>
      <c r="AA1048" s="269"/>
      <c r="AB1048" s="243"/>
      <c r="AC1048" s="244"/>
      <c r="AD1048" s="244"/>
      <c r="AE1048" s="244"/>
      <c r="AF1048" s="244"/>
      <c r="AG1048" s="244"/>
      <c r="AH1048" s="269"/>
      <c r="AI1048" s="243"/>
      <c r="AJ1048" s="244"/>
      <c r="AK1048" s="244"/>
      <c r="AL1048" s="244"/>
      <c r="AM1048" s="244"/>
      <c r="AN1048" s="244"/>
      <c r="AO1048" s="269"/>
      <c r="AP1048" s="828" t="s">
        <v>1524</v>
      </c>
      <c r="AQ1048" s="828"/>
      <c r="AR1048" s="828"/>
      <c r="AS1048" s="828"/>
      <c r="AT1048" s="828"/>
      <c r="AU1048" s="828"/>
      <c r="AV1048" s="828"/>
      <c r="AW1048" s="828"/>
      <c r="AX1048" s="828"/>
      <c r="AY1048" s="828"/>
      <c r="AZ1048" s="828"/>
      <c r="BA1048" s="828"/>
      <c r="BB1048" s="828"/>
    </row>
    <row r="1049" spans="1:54" ht="12.6" customHeight="1" x14ac:dyDescent="0.25">
      <c r="A1049" s="243"/>
      <c r="B1049" s="244"/>
      <c r="C1049" s="244"/>
      <c r="D1049" s="244"/>
      <c r="E1049" s="244"/>
      <c r="F1049" s="244"/>
      <c r="G1049" s="244"/>
      <c r="H1049" s="244"/>
      <c r="I1049" s="244"/>
      <c r="J1049" s="244"/>
      <c r="K1049" s="244"/>
      <c r="L1049" s="269"/>
      <c r="M1049" s="243"/>
      <c r="N1049" s="244"/>
      <c r="O1049" s="244"/>
      <c r="P1049" s="244"/>
      <c r="Q1049" s="244"/>
      <c r="R1049" s="244"/>
      <c r="S1049" s="244"/>
      <c r="T1049" s="269"/>
      <c r="U1049" s="243"/>
      <c r="V1049" s="244"/>
      <c r="W1049" s="244"/>
      <c r="X1049" s="244"/>
      <c r="Y1049" s="244"/>
      <c r="Z1049" s="244"/>
      <c r="AA1049" s="269"/>
      <c r="AB1049" s="243"/>
      <c r="AC1049" s="244"/>
      <c r="AD1049" s="244"/>
      <c r="AE1049" s="244"/>
      <c r="AF1049" s="244"/>
      <c r="AG1049" s="244"/>
      <c r="AH1049" s="269"/>
      <c r="AI1049" s="243"/>
      <c r="AJ1049" s="244"/>
      <c r="AK1049" s="244"/>
      <c r="AL1049" s="244"/>
      <c r="AM1049" s="244"/>
      <c r="AN1049" s="244"/>
      <c r="AO1049" s="269"/>
      <c r="AP1049" s="828" t="s">
        <v>1525</v>
      </c>
      <c r="AQ1049" s="828"/>
      <c r="AR1049" s="828"/>
      <c r="AS1049" s="828"/>
      <c r="AT1049" s="828"/>
      <c r="AU1049" s="828"/>
      <c r="AV1049" s="828"/>
      <c r="AW1049" s="828"/>
      <c r="AX1049" s="828"/>
      <c r="AY1049" s="828"/>
      <c r="AZ1049" s="828"/>
      <c r="BA1049" s="828"/>
      <c r="BB1049" s="828"/>
    </row>
    <row r="1050" spans="1:54" ht="12.6" customHeight="1" x14ac:dyDescent="0.25">
      <c r="A1050" s="750" t="s">
        <v>1323</v>
      </c>
      <c r="B1050" s="750"/>
      <c r="C1050" s="750"/>
      <c r="D1050" s="750"/>
      <c r="E1050" s="750"/>
      <c r="F1050" s="750"/>
      <c r="G1050" s="750"/>
      <c r="H1050" s="750"/>
      <c r="I1050" s="750"/>
      <c r="J1050" s="750"/>
      <c r="K1050" s="750"/>
      <c r="L1050" s="750"/>
      <c r="M1050" s="749" t="s">
        <v>1818</v>
      </c>
      <c r="N1050" s="749"/>
      <c r="O1050" s="749"/>
      <c r="P1050" s="749"/>
      <c r="Q1050" s="829" t="s">
        <v>1819</v>
      </c>
      <c r="R1050" s="829"/>
      <c r="S1050" s="829"/>
      <c r="T1050" s="829"/>
      <c r="U1050" s="749" t="s">
        <v>1820</v>
      </c>
      <c r="V1050" s="749"/>
      <c r="W1050" s="749"/>
      <c r="X1050" s="749"/>
      <c r="Y1050" s="829" t="s">
        <v>1821</v>
      </c>
      <c r="Z1050" s="829"/>
      <c r="AA1050" s="829"/>
      <c r="AB1050" s="749" t="s">
        <v>1822</v>
      </c>
      <c r="AC1050" s="749"/>
      <c r="AD1050" s="749"/>
      <c r="AE1050" s="749"/>
      <c r="AF1050" s="829" t="s">
        <v>1823</v>
      </c>
      <c r="AG1050" s="829"/>
      <c r="AH1050" s="829"/>
      <c r="AI1050" s="749" t="s">
        <v>1824</v>
      </c>
      <c r="AJ1050" s="749"/>
      <c r="AK1050" s="749"/>
      <c r="AL1050" s="749"/>
      <c r="AM1050" s="829" t="s">
        <v>1825</v>
      </c>
      <c r="AN1050" s="829"/>
      <c r="AO1050" s="829"/>
      <c r="AP1050" s="749" t="s">
        <v>1826</v>
      </c>
      <c r="AQ1050" s="749"/>
      <c r="AR1050" s="749"/>
      <c r="AS1050" s="749"/>
      <c r="AT1050" s="749"/>
      <c r="AU1050" s="749"/>
      <c r="AV1050" s="749"/>
      <c r="AW1050" s="829" t="s">
        <v>1827</v>
      </c>
      <c r="AX1050" s="829"/>
      <c r="AY1050" s="829"/>
      <c r="AZ1050" s="829"/>
      <c r="BA1050" s="829"/>
      <c r="BB1050" s="829"/>
    </row>
    <row r="1051" spans="1:54" ht="12.6" customHeight="1" x14ac:dyDescent="0.25">
      <c r="A1051" s="873" t="s">
        <v>1828</v>
      </c>
      <c r="B1051" s="873"/>
      <c r="C1051" s="873"/>
      <c r="D1051" s="873"/>
      <c r="E1051" s="873"/>
      <c r="F1051" s="873"/>
      <c r="G1051" s="873"/>
      <c r="H1051" s="873"/>
      <c r="I1051" s="873"/>
      <c r="J1051" s="873"/>
      <c r="K1051" s="873"/>
      <c r="L1051" s="873"/>
      <c r="M1051" s="760"/>
      <c r="N1051" s="760"/>
      <c r="O1051" s="760"/>
      <c r="P1051" s="760"/>
      <c r="Q1051" s="760"/>
      <c r="R1051" s="760"/>
      <c r="S1051" s="760"/>
      <c r="T1051" s="760"/>
      <c r="U1051" s="874"/>
      <c r="V1051" s="874"/>
      <c r="W1051" s="874"/>
      <c r="X1051" s="874"/>
      <c r="Y1051" s="874"/>
      <c r="Z1051" s="874"/>
      <c r="AA1051" s="874"/>
      <c r="AB1051" s="874"/>
      <c r="AC1051" s="874"/>
      <c r="AD1051" s="874"/>
      <c r="AE1051" s="874"/>
      <c r="AF1051" s="874"/>
      <c r="AG1051" s="874"/>
      <c r="AH1051" s="874"/>
      <c r="AI1051" s="874"/>
      <c r="AJ1051" s="874"/>
      <c r="AK1051" s="874"/>
      <c r="AL1051" s="874"/>
      <c r="AM1051" s="874"/>
      <c r="AN1051" s="874"/>
      <c r="AO1051" s="874"/>
      <c r="AP1051" s="875">
        <f>SUM(SUVAHAVUJ!N120)</f>
        <v>0</v>
      </c>
      <c r="AQ1051" s="875"/>
      <c r="AR1051" s="875"/>
      <c r="AS1051" s="875"/>
      <c r="AT1051" s="875"/>
      <c r="AU1051" s="875"/>
      <c r="AV1051" s="875"/>
      <c r="AW1051" s="875">
        <f>SUM(SUVAHAVUJ!X120)</f>
        <v>0</v>
      </c>
      <c r="AX1051" s="875"/>
      <c r="AY1051" s="875"/>
      <c r="AZ1051" s="875"/>
      <c r="BA1051" s="875"/>
      <c r="BB1051" s="875"/>
    </row>
    <row r="1052" spans="1:54" ht="12.6" customHeight="1" x14ac:dyDescent="0.25">
      <c r="A1052" s="708"/>
      <c r="B1052" s="708"/>
      <c r="C1052" s="708"/>
      <c r="D1052" s="708"/>
      <c r="E1052" s="708"/>
      <c r="F1052" s="708"/>
      <c r="G1052" s="708"/>
      <c r="H1052" s="708"/>
      <c r="I1052" s="708"/>
      <c r="J1052" s="708"/>
      <c r="K1052" s="708"/>
      <c r="L1052" s="708"/>
      <c r="M1052" s="751"/>
      <c r="N1052" s="751"/>
      <c r="O1052" s="751"/>
      <c r="P1052" s="751"/>
      <c r="Q1052" s="751"/>
      <c r="R1052" s="751"/>
      <c r="S1052" s="751"/>
      <c r="T1052" s="751"/>
      <c r="U1052" s="751"/>
      <c r="V1052" s="751"/>
      <c r="W1052" s="751"/>
      <c r="X1052" s="751"/>
      <c r="Y1052" s="751"/>
      <c r="Z1052" s="751"/>
      <c r="AA1052" s="751"/>
      <c r="AB1052" s="751"/>
      <c r="AC1052" s="751"/>
      <c r="AD1052" s="751"/>
      <c r="AE1052" s="751"/>
      <c r="AF1052" s="751"/>
      <c r="AG1052" s="751"/>
      <c r="AH1052" s="751"/>
      <c r="AI1052" s="751"/>
      <c r="AJ1052" s="751"/>
      <c r="AK1052" s="751"/>
      <c r="AL1052" s="751"/>
      <c r="AM1052" s="751"/>
      <c r="AN1052" s="751"/>
      <c r="AO1052" s="751"/>
      <c r="AP1052" s="876"/>
      <c r="AQ1052" s="876"/>
      <c r="AR1052" s="876"/>
      <c r="AS1052" s="876"/>
      <c r="AT1052" s="876"/>
      <c r="AU1052" s="876"/>
      <c r="AV1052" s="876"/>
      <c r="AW1052" s="876"/>
      <c r="AX1052" s="876"/>
      <c r="AY1052" s="876"/>
      <c r="AZ1052" s="876"/>
      <c r="BA1052" s="876"/>
      <c r="BB1052" s="876"/>
    </row>
    <row r="1053" spans="1:54" ht="12.6" customHeight="1" x14ac:dyDescent="0.25">
      <c r="A1053" s="708"/>
      <c r="B1053" s="708"/>
      <c r="C1053" s="708"/>
      <c r="D1053" s="708"/>
      <c r="E1053" s="708"/>
      <c r="F1053" s="708"/>
      <c r="G1053" s="708"/>
      <c r="H1053" s="708"/>
      <c r="I1053" s="708"/>
      <c r="J1053" s="708"/>
      <c r="K1053" s="708"/>
      <c r="L1053" s="708"/>
      <c r="M1053" s="751"/>
      <c r="N1053" s="751"/>
      <c r="O1053" s="751"/>
      <c r="P1053" s="751"/>
      <c r="Q1053" s="751"/>
      <c r="R1053" s="751"/>
      <c r="S1053" s="751"/>
      <c r="T1053" s="751"/>
      <c r="U1053" s="751"/>
      <c r="V1053" s="751"/>
      <c r="W1053" s="751"/>
      <c r="X1053" s="751"/>
      <c r="Y1053" s="751"/>
      <c r="Z1053" s="751"/>
      <c r="AA1053" s="751"/>
      <c r="AB1053" s="751"/>
      <c r="AC1053" s="751"/>
      <c r="AD1053" s="751"/>
      <c r="AE1053" s="751"/>
      <c r="AF1053" s="751"/>
      <c r="AG1053" s="751"/>
      <c r="AH1053" s="751"/>
      <c r="AI1053" s="751"/>
      <c r="AJ1053" s="751"/>
      <c r="AK1053" s="751"/>
      <c r="AL1053" s="751"/>
      <c r="AM1053" s="751"/>
      <c r="AN1053" s="751"/>
      <c r="AO1053" s="751"/>
      <c r="AP1053" s="876"/>
      <c r="AQ1053" s="876"/>
      <c r="AR1053" s="876"/>
      <c r="AS1053" s="876"/>
      <c r="AT1053" s="876"/>
      <c r="AU1053" s="876"/>
      <c r="AV1053" s="876"/>
      <c r="AW1053" s="876"/>
      <c r="AX1053" s="876"/>
      <c r="AY1053" s="876"/>
      <c r="AZ1053" s="876"/>
      <c r="BA1053" s="876"/>
      <c r="BB1053" s="876"/>
    </row>
    <row r="1054" spans="1:54" ht="12.6" customHeight="1" x14ac:dyDescent="0.25">
      <c r="A1054" s="817" t="s">
        <v>1829</v>
      </c>
      <c r="B1054" s="817"/>
      <c r="C1054" s="817"/>
      <c r="D1054" s="817"/>
      <c r="E1054" s="817"/>
      <c r="F1054" s="817"/>
      <c r="G1054" s="817"/>
      <c r="H1054" s="817"/>
      <c r="I1054" s="817"/>
      <c r="J1054" s="817"/>
      <c r="K1054" s="817"/>
      <c r="L1054" s="817"/>
      <c r="M1054" s="751"/>
      <c r="N1054" s="751"/>
      <c r="O1054" s="751"/>
      <c r="P1054" s="751"/>
      <c r="Q1054" s="751"/>
      <c r="R1054" s="751"/>
      <c r="S1054" s="751"/>
      <c r="T1054" s="751"/>
      <c r="U1054" s="751"/>
      <c r="V1054" s="751"/>
      <c r="W1054" s="751"/>
      <c r="X1054" s="751"/>
      <c r="Y1054" s="751"/>
      <c r="Z1054" s="751"/>
      <c r="AA1054" s="751"/>
      <c r="AB1054" s="751"/>
      <c r="AC1054" s="751"/>
      <c r="AD1054" s="751"/>
      <c r="AE1054" s="751"/>
      <c r="AF1054" s="751"/>
      <c r="AG1054" s="751"/>
      <c r="AH1054" s="751"/>
      <c r="AI1054" s="751"/>
      <c r="AJ1054" s="751"/>
      <c r="AK1054" s="751"/>
      <c r="AL1054" s="751"/>
      <c r="AM1054" s="751"/>
      <c r="AN1054" s="751"/>
      <c r="AO1054" s="751"/>
      <c r="AP1054" s="875">
        <f>SUM(SUVAHAVUJ!N138)</f>
        <v>14434</v>
      </c>
      <c r="AQ1054" s="875"/>
      <c r="AR1054" s="875"/>
      <c r="AS1054" s="875"/>
      <c r="AT1054" s="875"/>
      <c r="AU1054" s="875"/>
      <c r="AV1054" s="875"/>
      <c r="AW1054" s="875">
        <f>SUM(SUVAHAVUJ!X138)</f>
        <v>19678</v>
      </c>
      <c r="AX1054" s="875"/>
      <c r="AY1054" s="875"/>
      <c r="AZ1054" s="875"/>
      <c r="BA1054" s="875"/>
      <c r="BB1054" s="875"/>
    </row>
    <row r="1055" spans="1:54" ht="12.6" customHeight="1" x14ac:dyDescent="0.25">
      <c r="A1055" s="877" t="s">
        <v>1830</v>
      </c>
      <c r="B1055" s="877"/>
      <c r="C1055" s="877"/>
      <c r="D1055" s="877"/>
      <c r="E1055" s="877"/>
      <c r="F1055" s="877"/>
      <c r="G1055" s="877"/>
      <c r="H1055" s="877"/>
      <c r="I1055" s="877"/>
      <c r="J1055" s="877"/>
      <c r="K1055" s="877"/>
      <c r="L1055" s="877"/>
      <c r="M1055" s="751"/>
      <c r="N1055" s="751"/>
      <c r="O1055" s="751"/>
      <c r="P1055" s="751"/>
      <c r="Q1055" s="751"/>
      <c r="R1055" s="751"/>
      <c r="S1055" s="751"/>
      <c r="T1055" s="751"/>
      <c r="U1055" s="751"/>
      <c r="V1055" s="751"/>
      <c r="W1055" s="751"/>
      <c r="X1055" s="751"/>
      <c r="Y1055" s="751"/>
      <c r="Z1055" s="751"/>
      <c r="AA1055" s="751"/>
      <c r="AB1055" s="751"/>
      <c r="AC1055" s="751"/>
      <c r="AD1055" s="751"/>
      <c r="AE1055" s="751"/>
      <c r="AF1055" s="751"/>
      <c r="AG1055" s="751"/>
      <c r="AH1055" s="751"/>
      <c r="AI1055" s="751"/>
      <c r="AJ1055" s="751"/>
      <c r="AK1055" s="751"/>
      <c r="AL1055" s="751"/>
      <c r="AM1055" s="751"/>
      <c r="AN1055" s="751"/>
      <c r="AO1055" s="751"/>
      <c r="AP1055" s="875">
        <f>SUM(SUVAHAVUJ!N139)</f>
        <v>14434</v>
      </c>
      <c r="AQ1055" s="875"/>
      <c r="AR1055" s="875"/>
      <c r="AS1055" s="875"/>
      <c r="AT1055" s="875"/>
      <c r="AU1055" s="875"/>
      <c r="AV1055" s="875"/>
      <c r="AW1055" s="875">
        <f>SUM(SUVAHAVUJ!X139)</f>
        <v>19678</v>
      </c>
      <c r="AX1055" s="875"/>
      <c r="AY1055" s="875"/>
      <c r="AZ1055" s="875"/>
      <c r="BA1055" s="875"/>
      <c r="BB1055" s="875"/>
    </row>
    <row r="1056" spans="1:54" ht="12.6" customHeight="1" x14ac:dyDescent="0.25">
      <c r="A1056" s="878" t="s">
        <v>1831</v>
      </c>
      <c r="B1056" s="878"/>
      <c r="C1056" s="878"/>
      <c r="D1056" s="878"/>
      <c r="E1056" s="878"/>
      <c r="F1056" s="878"/>
      <c r="G1056" s="878"/>
      <c r="H1056" s="878"/>
      <c r="I1056" s="878"/>
      <c r="J1056" s="878"/>
      <c r="K1056" s="878"/>
      <c r="L1056" s="878"/>
      <c r="M1056" s="751"/>
      <c r="N1056" s="751"/>
      <c r="O1056" s="751"/>
      <c r="P1056" s="751"/>
      <c r="Q1056" s="751"/>
      <c r="R1056" s="751"/>
      <c r="S1056" s="751"/>
      <c r="T1056" s="751"/>
      <c r="U1056" s="751"/>
      <c r="V1056" s="751"/>
      <c r="W1056" s="751"/>
      <c r="X1056" s="751"/>
      <c r="Y1056" s="751"/>
      <c r="Z1056" s="751"/>
      <c r="AA1056" s="751"/>
      <c r="AB1056" s="751"/>
      <c r="AC1056" s="751"/>
      <c r="AD1056" s="751"/>
      <c r="AE1056" s="751"/>
      <c r="AF1056" s="751"/>
      <c r="AG1056" s="751"/>
      <c r="AH1056" s="751"/>
      <c r="AI1056" s="751"/>
      <c r="AJ1056" s="751"/>
      <c r="AK1056" s="751"/>
      <c r="AL1056" s="751"/>
      <c r="AM1056" s="751"/>
      <c r="AN1056" s="751"/>
      <c r="AO1056" s="751"/>
      <c r="AP1056" s="876"/>
      <c r="AQ1056" s="876"/>
      <c r="AR1056" s="876"/>
      <c r="AS1056" s="876"/>
      <c r="AT1056" s="876"/>
      <c r="AU1056" s="876"/>
      <c r="AV1056" s="876"/>
      <c r="AW1056" s="876"/>
      <c r="AX1056" s="876"/>
      <c r="AY1056" s="876"/>
      <c r="AZ1056" s="876"/>
      <c r="BA1056" s="876"/>
      <c r="BB1056" s="876"/>
    </row>
    <row r="1057" spans="1:54" ht="12.6" customHeight="1" x14ac:dyDescent="0.25">
      <c r="A1057" s="324" t="s">
        <v>1832</v>
      </c>
      <c r="B1057" s="325"/>
      <c r="C1057" s="325"/>
      <c r="D1057" s="325"/>
      <c r="E1057" s="325"/>
      <c r="F1057" s="325"/>
      <c r="G1057" s="325"/>
      <c r="H1057" s="325"/>
      <c r="I1057" s="325"/>
      <c r="J1057" s="325"/>
      <c r="K1057" s="325"/>
      <c r="L1057" s="326"/>
      <c r="M1057" s="751"/>
      <c r="N1057" s="751"/>
      <c r="O1057" s="751"/>
      <c r="P1057" s="751"/>
      <c r="Q1057" s="751"/>
      <c r="R1057" s="751"/>
      <c r="S1057" s="751"/>
      <c r="T1057" s="751"/>
      <c r="U1057" s="751"/>
      <c r="V1057" s="751"/>
      <c r="W1057" s="751"/>
      <c r="X1057" s="751"/>
      <c r="Y1057" s="751"/>
      <c r="Z1057" s="751"/>
      <c r="AA1057" s="751"/>
      <c r="AB1057" s="751"/>
      <c r="AC1057" s="751"/>
      <c r="AD1057" s="751"/>
      <c r="AE1057" s="751"/>
      <c r="AF1057" s="751"/>
      <c r="AG1057" s="751"/>
      <c r="AH1057" s="751"/>
      <c r="AI1057" s="751"/>
      <c r="AJ1057" s="751"/>
      <c r="AK1057" s="751"/>
      <c r="AL1057" s="751"/>
      <c r="AM1057" s="751"/>
      <c r="AN1057" s="751"/>
      <c r="AO1057" s="751"/>
      <c r="AP1057" s="876"/>
      <c r="AQ1057" s="876"/>
      <c r="AR1057" s="876"/>
      <c r="AS1057" s="876"/>
      <c r="AT1057" s="876"/>
      <c r="AU1057" s="876"/>
      <c r="AV1057" s="876"/>
      <c r="AW1057" s="876"/>
      <c r="AX1057" s="876"/>
      <c r="AY1057" s="876"/>
      <c r="AZ1057" s="876"/>
      <c r="BA1057" s="876"/>
      <c r="BB1057" s="876"/>
    </row>
    <row r="1058" spans="1:54" ht="12.6" customHeight="1" x14ac:dyDescent="0.25">
      <c r="A1058" s="324" t="s">
        <v>1833</v>
      </c>
      <c r="B1058" s="325"/>
      <c r="C1058" s="325"/>
      <c r="D1058" s="325"/>
      <c r="E1058" s="325"/>
      <c r="F1058" s="325"/>
      <c r="G1058" s="325"/>
      <c r="H1058" s="325"/>
      <c r="I1058" s="325"/>
      <c r="J1058" s="325"/>
      <c r="K1058" s="325"/>
      <c r="L1058" s="326"/>
      <c r="M1058" s="751"/>
      <c r="N1058" s="751"/>
      <c r="O1058" s="751"/>
      <c r="P1058" s="751"/>
      <c r="Q1058" s="751"/>
      <c r="R1058" s="751"/>
      <c r="S1058" s="751"/>
      <c r="T1058" s="751"/>
      <c r="U1058" s="751"/>
      <c r="V1058" s="751"/>
      <c r="W1058" s="751"/>
      <c r="X1058" s="751"/>
      <c r="Y1058" s="751"/>
      <c r="Z1058" s="751"/>
      <c r="AA1058" s="751"/>
      <c r="AB1058" s="751"/>
      <c r="AC1058" s="751"/>
      <c r="AD1058" s="751"/>
      <c r="AE1058" s="751"/>
      <c r="AF1058" s="751"/>
      <c r="AG1058" s="751"/>
      <c r="AH1058" s="751"/>
      <c r="AI1058" s="751"/>
      <c r="AJ1058" s="751"/>
      <c r="AK1058" s="751"/>
      <c r="AL1058" s="751"/>
      <c r="AM1058" s="751"/>
      <c r="AN1058" s="751"/>
      <c r="AO1058" s="751"/>
      <c r="AP1058" s="876"/>
      <c r="AQ1058" s="876"/>
      <c r="AR1058" s="876"/>
      <c r="AS1058" s="876"/>
      <c r="AT1058" s="876"/>
      <c r="AU1058" s="876"/>
      <c r="AV1058" s="876"/>
      <c r="AW1058" s="876"/>
      <c r="AX1058" s="876"/>
      <c r="AY1058" s="876"/>
      <c r="AZ1058" s="876"/>
      <c r="BA1058" s="876"/>
      <c r="BB1058" s="876"/>
    </row>
    <row r="1059" spans="1:54" ht="12.6" customHeight="1" x14ac:dyDescent="0.25">
      <c r="A1059" s="324" t="s">
        <v>1834</v>
      </c>
      <c r="B1059" s="325"/>
      <c r="C1059" s="325"/>
      <c r="D1059" s="325"/>
      <c r="E1059" s="325"/>
      <c r="F1059" s="325"/>
      <c r="G1059" s="325"/>
      <c r="H1059" s="325"/>
      <c r="I1059" s="325"/>
      <c r="J1059" s="325"/>
      <c r="K1059" s="325"/>
      <c r="L1059" s="326"/>
      <c r="M1059" s="751"/>
      <c r="N1059" s="751"/>
      <c r="O1059" s="751"/>
      <c r="P1059" s="751"/>
      <c r="Q1059" s="751"/>
      <c r="R1059" s="751"/>
      <c r="S1059" s="751"/>
      <c r="T1059" s="751"/>
      <c r="U1059" s="751"/>
      <c r="V1059" s="751"/>
      <c r="W1059" s="751"/>
      <c r="X1059" s="751"/>
      <c r="Y1059" s="751"/>
      <c r="Z1059" s="751"/>
      <c r="AA1059" s="751"/>
      <c r="AB1059" s="751"/>
      <c r="AC1059" s="751"/>
      <c r="AD1059" s="751"/>
      <c r="AE1059" s="751"/>
      <c r="AF1059" s="751"/>
      <c r="AG1059" s="751"/>
      <c r="AH1059" s="751"/>
      <c r="AI1059" s="751"/>
      <c r="AJ1059" s="751"/>
      <c r="AK1059" s="751"/>
      <c r="AL1059" s="751"/>
      <c r="AM1059" s="751"/>
      <c r="AN1059" s="751"/>
      <c r="AO1059" s="751"/>
      <c r="AP1059" s="876"/>
      <c r="AQ1059" s="876"/>
      <c r="AR1059" s="876"/>
      <c r="AS1059" s="876"/>
      <c r="AT1059" s="876"/>
      <c r="AU1059" s="876"/>
      <c r="AV1059" s="876"/>
      <c r="AW1059" s="876"/>
      <c r="AX1059" s="876"/>
      <c r="AY1059" s="876"/>
      <c r="AZ1059" s="876"/>
      <c r="BA1059" s="876"/>
      <c r="BB1059" s="876"/>
    </row>
    <row r="1060" spans="1:54" ht="12.6" customHeight="1" x14ac:dyDescent="0.25">
      <c r="A1060" s="324" t="s">
        <v>1835</v>
      </c>
      <c r="B1060" s="325"/>
      <c r="C1060" s="325"/>
      <c r="D1060" s="325"/>
      <c r="E1060" s="325"/>
      <c r="F1060" s="325"/>
      <c r="G1060" s="325"/>
      <c r="H1060" s="325"/>
      <c r="I1060" s="325"/>
      <c r="J1060" s="325"/>
      <c r="K1060" s="325"/>
      <c r="L1060" s="326"/>
      <c r="M1060" s="751"/>
      <c r="N1060" s="751"/>
      <c r="O1060" s="751"/>
      <c r="P1060" s="751"/>
      <c r="Q1060" s="751"/>
      <c r="R1060" s="751"/>
      <c r="S1060" s="751"/>
      <c r="T1060" s="751"/>
      <c r="U1060" s="751"/>
      <c r="V1060" s="751"/>
      <c r="W1060" s="751"/>
      <c r="X1060" s="751"/>
      <c r="Y1060" s="751"/>
      <c r="Z1060" s="751"/>
      <c r="AA1060" s="751"/>
      <c r="AB1060" s="751"/>
      <c r="AC1060" s="751"/>
      <c r="AD1060" s="751"/>
      <c r="AE1060" s="751"/>
      <c r="AF1060" s="751"/>
      <c r="AG1060" s="751"/>
      <c r="AH1060" s="751"/>
      <c r="AI1060" s="751"/>
      <c r="AJ1060" s="751"/>
      <c r="AK1060" s="751"/>
      <c r="AL1060" s="751"/>
      <c r="AM1060" s="751"/>
      <c r="AN1060" s="751"/>
      <c r="AO1060" s="751"/>
      <c r="AP1060" s="876"/>
      <c r="AQ1060" s="876"/>
      <c r="AR1060" s="876"/>
      <c r="AS1060" s="876"/>
      <c r="AT1060" s="876"/>
      <c r="AU1060" s="876"/>
      <c r="AV1060" s="876"/>
      <c r="AW1060" s="876"/>
      <c r="AX1060" s="876"/>
      <c r="AY1060" s="876"/>
      <c r="AZ1060" s="876"/>
      <c r="BA1060" s="876"/>
      <c r="BB1060" s="876"/>
    </row>
    <row r="1061" spans="1:54" ht="12.6" customHeight="1" x14ac:dyDescent="0.25">
      <c r="A1061" s="878" t="s">
        <v>1836</v>
      </c>
      <c r="B1061" s="878"/>
      <c r="C1061" s="878"/>
      <c r="D1061" s="878"/>
      <c r="E1061" s="878"/>
      <c r="F1061" s="878"/>
      <c r="G1061" s="878"/>
      <c r="H1061" s="878"/>
      <c r="I1061" s="878"/>
      <c r="J1061" s="878"/>
      <c r="K1061" s="878"/>
      <c r="L1061" s="878"/>
      <c r="M1061" s="751"/>
      <c r="N1061" s="751"/>
      <c r="O1061" s="751"/>
      <c r="P1061" s="751"/>
      <c r="Q1061" s="751"/>
      <c r="R1061" s="751"/>
      <c r="S1061" s="751"/>
      <c r="T1061" s="751"/>
      <c r="U1061" s="751"/>
      <c r="V1061" s="751"/>
      <c r="W1061" s="751"/>
      <c r="X1061" s="751"/>
      <c r="Y1061" s="751"/>
      <c r="Z1061" s="751"/>
      <c r="AA1061" s="751"/>
      <c r="AB1061" s="751"/>
      <c r="AC1061" s="751"/>
      <c r="AD1061" s="751"/>
      <c r="AE1061" s="751"/>
      <c r="AF1061" s="751"/>
      <c r="AG1061" s="751"/>
      <c r="AH1061" s="751"/>
      <c r="AI1061" s="751"/>
      <c r="AJ1061" s="751"/>
      <c r="AK1061" s="751"/>
      <c r="AL1061" s="751"/>
      <c r="AM1061" s="751"/>
      <c r="AN1061" s="751"/>
      <c r="AO1061" s="751"/>
      <c r="AP1061" s="876"/>
      <c r="AQ1061" s="876"/>
      <c r="AR1061" s="876"/>
      <c r="AS1061" s="876"/>
      <c r="AT1061" s="876"/>
      <c r="AU1061" s="876"/>
      <c r="AV1061" s="876"/>
      <c r="AW1061" s="876"/>
      <c r="AX1061" s="876"/>
      <c r="AY1061" s="876"/>
      <c r="AZ1061" s="876"/>
      <c r="BA1061" s="876"/>
      <c r="BB1061" s="876"/>
    </row>
    <row r="1062" spans="1:54" ht="12.6" customHeight="1" x14ac:dyDescent="0.25">
      <c r="A1062" s="878" t="s">
        <v>1837</v>
      </c>
      <c r="B1062" s="878"/>
      <c r="C1062" s="878"/>
      <c r="D1062" s="878"/>
      <c r="E1062" s="878"/>
      <c r="F1062" s="878"/>
      <c r="G1062" s="878"/>
      <c r="H1062" s="878"/>
      <c r="I1062" s="878"/>
      <c r="J1062" s="878"/>
      <c r="K1062" s="878"/>
      <c r="L1062" s="878"/>
      <c r="M1062" s="751"/>
      <c r="N1062" s="751"/>
      <c r="O1062" s="751"/>
      <c r="P1062" s="751"/>
      <c r="Q1062" s="751"/>
      <c r="R1062" s="751"/>
      <c r="S1062" s="751"/>
      <c r="T1062" s="751"/>
      <c r="U1062" s="751"/>
      <c r="V1062" s="751"/>
      <c r="W1062" s="751"/>
      <c r="X1062" s="751"/>
      <c r="Y1062" s="751"/>
      <c r="Z1062" s="751"/>
      <c r="AA1062" s="751"/>
      <c r="AB1062" s="751"/>
      <c r="AC1062" s="751"/>
      <c r="AD1062" s="751"/>
      <c r="AE1062" s="751"/>
      <c r="AF1062" s="751"/>
      <c r="AG1062" s="751"/>
      <c r="AH1062" s="751"/>
      <c r="AI1062" s="751"/>
      <c r="AJ1062" s="751"/>
      <c r="AK1062" s="751"/>
      <c r="AL1062" s="751"/>
      <c r="AM1062" s="751"/>
      <c r="AN1062" s="751"/>
      <c r="AO1062" s="751"/>
      <c r="AP1062" s="876"/>
      <c r="AQ1062" s="876"/>
      <c r="AR1062" s="876"/>
      <c r="AS1062" s="876"/>
      <c r="AT1062" s="876"/>
      <c r="AU1062" s="876"/>
      <c r="AV1062" s="876"/>
      <c r="AW1062" s="876"/>
      <c r="AX1062" s="876"/>
      <c r="AY1062" s="876"/>
      <c r="AZ1062" s="876"/>
      <c r="BA1062" s="876"/>
      <c r="BB1062" s="876"/>
    </row>
    <row r="1063" spans="1:54" ht="12.6" customHeight="1" x14ac:dyDescent="0.25">
      <c r="A1063" s="878" t="s">
        <v>1838</v>
      </c>
      <c r="B1063" s="878"/>
      <c r="C1063" s="878"/>
      <c r="D1063" s="878"/>
      <c r="E1063" s="878"/>
      <c r="F1063" s="878"/>
      <c r="G1063" s="878"/>
      <c r="H1063" s="878"/>
      <c r="I1063" s="878"/>
      <c r="J1063" s="878"/>
      <c r="K1063" s="878"/>
      <c r="L1063" s="878"/>
      <c r="M1063" s="751"/>
      <c r="N1063" s="751"/>
      <c r="O1063" s="751"/>
      <c r="P1063" s="751"/>
      <c r="Q1063" s="751"/>
      <c r="R1063" s="751"/>
      <c r="S1063" s="751"/>
      <c r="T1063" s="751"/>
      <c r="U1063" s="751"/>
      <c r="V1063" s="751"/>
      <c r="W1063" s="751"/>
      <c r="X1063" s="751"/>
      <c r="Y1063" s="751"/>
      <c r="Z1063" s="751"/>
      <c r="AA1063" s="751"/>
      <c r="AB1063" s="751"/>
      <c r="AC1063" s="751"/>
      <c r="AD1063" s="751"/>
      <c r="AE1063" s="751"/>
      <c r="AF1063" s="751"/>
      <c r="AG1063" s="751"/>
      <c r="AH1063" s="751"/>
      <c r="AI1063" s="751"/>
      <c r="AJ1063" s="751"/>
      <c r="AK1063" s="751"/>
      <c r="AL1063" s="751"/>
      <c r="AM1063" s="751"/>
      <c r="AN1063" s="751"/>
      <c r="AO1063" s="751"/>
      <c r="AP1063" s="876"/>
      <c r="AQ1063" s="876"/>
      <c r="AR1063" s="876"/>
      <c r="AS1063" s="876"/>
      <c r="AT1063" s="876"/>
      <c r="AU1063" s="876"/>
      <c r="AV1063" s="876"/>
      <c r="AW1063" s="876"/>
      <c r="AX1063" s="876"/>
      <c r="AY1063" s="876"/>
      <c r="AZ1063" s="876"/>
      <c r="BA1063" s="876"/>
      <c r="BB1063" s="876"/>
    </row>
    <row r="1064" spans="1:54" ht="12.6" customHeight="1" x14ac:dyDescent="0.25">
      <c r="A1064" s="878" t="s">
        <v>1839</v>
      </c>
      <c r="B1064" s="878"/>
      <c r="C1064" s="878"/>
      <c r="D1064" s="878"/>
      <c r="E1064" s="878"/>
      <c r="F1064" s="878"/>
      <c r="G1064" s="878"/>
      <c r="H1064" s="878"/>
      <c r="I1064" s="878"/>
      <c r="J1064" s="878"/>
      <c r="K1064" s="878"/>
      <c r="L1064" s="878"/>
      <c r="M1064" s="751"/>
      <c r="N1064" s="751"/>
      <c r="O1064" s="751"/>
      <c r="P1064" s="751"/>
      <c r="Q1064" s="751"/>
      <c r="R1064" s="751"/>
      <c r="S1064" s="751"/>
      <c r="T1064" s="751"/>
      <c r="U1064" s="751"/>
      <c r="V1064" s="751"/>
      <c r="W1064" s="751"/>
      <c r="X1064" s="751"/>
      <c r="Y1064" s="751"/>
      <c r="Z1064" s="751"/>
      <c r="AA1064" s="751"/>
      <c r="AB1064" s="751"/>
      <c r="AC1064" s="751"/>
      <c r="AD1064" s="751"/>
      <c r="AE1064" s="751"/>
      <c r="AF1064" s="751"/>
      <c r="AG1064" s="751"/>
      <c r="AH1064" s="751"/>
      <c r="AI1064" s="751"/>
      <c r="AJ1064" s="751"/>
      <c r="AK1064" s="751"/>
      <c r="AL1064" s="751"/>
      <c r="AM1064" s="751"/>
      <c r="AN1064" s="751"/>
      <c r="AO1064" s="751"/>
      <c r="AP1064" s="876"/>
      <c r="AQ1064" s="876"/>
      <c r="AR1064" s="876"/>
      <c r="AS1064" s="876"/>
      <c r="AT1064" s="876"/>
      <c r="AU1064" s="876"/>
      <c r="AV1064" s="876"/>
      <c r="AW1064" s="876"/>
      <c r="AX1064" s="876"/>
      <c r="AY1064" s="876"/>
      <c r="AZ1064" s="876"/>
      <c r="BA1064" s="876"/>
      <c r="BB1064" s="876"/>
    </row>
    <row r="1065" spans="1:54" ht="12.6" customHeight="1" x14ac:dyDescent="0.25">
      <c r="A1065" s="879" t="s">
        <v>1840</v>
      </c>
      <c r="B1065" s="879"/>
      <c r="C1065" s="879"/>
      <c r="D1065" s="879"/>
      <c r="E1065" s="879"/>
      <c r="F1065" s="879"/>
      <c r="G1065" s="879"/>
      <c r="H1065" s="879"/>
      <c r="I1065" s="879"/>
      <c r="J1065" s="879"/>
      <c r="K1065" s="879"/>
      <c r="L1065" s="879"/>
      <c r="M1065" s="769"/>
      <c r="N1065" s="769"/>
      <c r="O1065" s="769"/>
      <c r="P1065" s="769"/>
      <c r="Q1065" s="769"/>
      <c r="R1065" s="769"/>
      <c r="S1065" s="769"/>
      <c r="T1065" s="769"/>
      <c r="U1065" s="769"/>
      <c r="V1065" s="769"/>
      <c r="W1065" s="769"/>
      <c r="X1065" s="769"/>
      <c r="Y1065" s="769"/>
      <c r="Z1065" s="769"/>
      <c r="AA1065" s="769"/>
      <c r="AB1065" s="751"/>
      <c r="AC1065" s="751"/>
      <c r="AD1065" s="751"/>
      <c r="AE1065" s="751"/>
      <c r="AF1065" s="751"/>
      <c r="AG1065" s="751"/>
      <c r="AH1065" s="751"/>
      <c r="AI1065" s="769"/>
      <c r="AJ1065" s="769"/>
      <c r="AK1065" s="769"/>
      <c r="AL1065" s="769"/>
      <c r="AM1065" s="769"/>
      <c r="AN1065" s="769"/>
      <c r="AO1065" s="769"/>
      <c r="AP1065" s="876"/>
      <c r="AQ1065" s="876"/>
      <c r="AR1065" s="876"/>
      <c r="AS1065" s="876"/>
      <c r="AT1065" s="876"/>
      <c r="AU1065" s="876"/>
      <c r="AV1065" s="876"/>
      <c r="AW1065" s="876"/>
      <c r="AX1065" s="876"/>
      <c r="AY1065" s="876"/>
      <c r="AZ1065" s="876"/>
      <c r="BA1065" s="876"/>
      <c r="BB1065" s="876"/>
    </row>
    <row r="1066" spans="1:54" ht="12.6" customHeight="1" x14ac:dyDescent="0.25">
      <c r="A1066" s="878" t="s">
        <v>1841</v>
      </c>
      <c r="B1066" s="878"/>
      <c r="C1066" s="878"/>
      <c r="D1066" s="878"/>
      <c r="E1066" s="878"/>
      <c r="F1066" s="878"/>
      <c r="G1066" s="878"/>
      <c r="H1066" s="878"/>
      <c r="I1066" s="878"/>
      <c r="J1066" s="878"/>
      <c r="K1066" s="878"/>
      <c r="L1066" s="878"/>
      <c r="M1066" s="751"/>
      <c r="N1066" s="751"/>
      <c r="O1066" s="751"/>
      <c r="P1066" s="751"/>
      <c r="Q1066" s="751"/>
      <c r="R1066" s="751"/>
      <c r="S1066" s="751"/>
      <c r="T1066" s="751"/>
      <c r="U1066" s="751"/>
      <c r="V1066" s="751"/>
      <c r="W1066" s="751"/>
      <c r="X1066" s="751"/>
      <c r="Y1066" s="751"/>
      <c r="Z1066" s="751"/>
      <c r="AA1066" s="751"/>
      <c r="AB1066" s="751"/>
      <c r="AC1066" s="751"/>
      <c r="AD1066" s="751"/>
      <c r="AE1066" s="751"/>
      <c r="AF1066" s="751"/>
      <c r="AG1066" s="751"/>
      <c r="AH1066" s="751"/>
      <c r="AI1066" s="751"/>
      <c r="AJ1066" s="751"/>
      <c r="AK1066" s="751"/>
      <c r="AL1066" s="751"/>
      <c r="AM1066" s="751"/>
      <c r="AN1066" s="751"/>
      <c r="AO1066" s="751"/>
      <c r="AP1066" s="876"/>
      <c r="AQ1066" s="876"/>
      <c r="AR1066" s="876"/>
      <c r="AS1066" s="876"/>
      <c r="AT1066" s="876"/>
      <c r="AU1066" s="876"/>
      <c r="AV1066" s="876"/>
      <c r="AW1066" s="876"/>
      <c r="AX1066" s="876"/>
      <c r="AY1066" s="876"/>
      <c r="AZ1066" s="876"/>
      <c r="BA1066" s="876"/>
      <c r="BB1066" s="876"/>
    </row>
    <row r="1067" spans="1:54" ht="12.6" customHeight="1" x14ac:dyDescent="0.25">
      <c r="A1067" s="227" t="s">
        <v>1344</v>
      </c>
    </row>
    <row r="1068" spans="1:54" ht="15" customHeight="1" x14ac:dyDescent="0.25">
      <c r="A1068" s="763"/>
      <c r="B1068" s="763"/>
      <c r="C1068" s="763"/>
      <c r="D1068" s="763"/>
      <c r="E1068" s="763"/>
      <c r="F1068" s="763"/>
      <c r="G1068" s="763"/>
      <c r="H1068" s="763"/>
      <c r="I1068" s="763"/>
      <c r="J1068" s="763"/>
      <c r="K1068" s="763"/>
      <c r="L1068" s="763"/>
      <c r="M1068" s="763"/>
      <c r="N1068" s="763"/>
      <c r="O1068" s="763"/>
      <c r="P1068" s="763"/>
      <c r="Q1068" s="763"/>
      <c r="R1068" s="763"/>
      <c r="S1068" s="763"/>
      <c r="T1068" s="763"/>
      <c r="U1068" s="763"/>
      <c r="V1068" s="763"/>
      <c r="W1068" s="763"/>
      <c r="X1068" s="763"/>
      <c r="Y1068" s="763"/>
      <c r="Z1068" s="763"/>
      <c r="AA1068" s="763"/>
      <c r="AB1068" s="763"/>
      <c r="AC1068" s="763"/>
      <c r="AD1068" s="763"/>
      <c r="AE1068" s="763"/>
      <c r="AF1068" s="763"/>
      <c r="AG1068" s="763"/>
      <c r="AH1068" s="763"/>
      <c r="AI1068" s="763"/>
      <c r="AJ1068" s="763"/>
      <c r="AK1068" s="763"/>
      <c r="AL1068" s="763"/>
      <c r="AM1068" s="763"/>
      <c r="AN1068" s="763"/>
      <c r="AO1068" s="763"/>
      <c r="AP1068" s="763"/>
      <c r="AQ1068" s="763"/>
      <c r="AR1068" s="763"/>
      <c r="AS1068" s="763"/>
      <c r="AT1068" s="763"/>
      <c r="AU1068" s="763"/>
      <c r="AV1068" s="763"/>
      <c r="AW1068" s="763"/>
      <c r="AX1068" s="763"/>
      <c r="AY1068" s="265"/>
      <c r="AZ1068" s="265"/>
      <c r="BA1068" s="265"/>
      <c r="BB1068" s="265"/>
    </row>
    <row r="1069" spans="1:54" ht="15" customHeight="1" x14ac:dyDescent="0.25">
      <c r="A1069" s="763"/>
      <c r="B1069" s="763"/>
      <c r="C1069" s="763"/>
      <c r="D1069" s="763"/>
      <c r="E1069" s="763"/>
      <c r="F1069" s="763"/>
      <c r="G1069" s="763"/>
      <c r="H1069" s="763"/>
      <c r="I1069" s="763"/>
      <c r="J1069" s="763"/>
      <c r="K1069" s="763"/>
      <c r="L1069" s="763"/>
      <c r="M1069" s="763"/>
      <c r="N1069" s="763"/>
      <c r="O1069" s="763"/>
      <c r="P1069" s="763"/>
      <c r="Q1069" s="763"/>
      <c r="R1069" s="763"/>
      <c r="S1069" s="763"/>
      <c r="T1069" s="763"/>
      <c r="U1069" s="763"/>
      <c r="V1069" s="763"/>
      <c r="W1069" s="763"/>
      <c r="X1069" s="763"/>
      <c r="Y1069" s="763"/>
      <c r="Z1069" s="763"/>
      <c r="AA1069" s="763"/>
      <c r="AB1069" s="763"/>
      <c r="AC1069" s="763"/>
      <c r="AD1069" s="763"/>
      <c r="AE1069" s="763"/>
      <c r="AF1069" s="763"/>
      <c r="AG1069" s="763"/>
      <c r="AH1069" s="763"/>
      <c r="AI1069" s="763"/>
      <c r="AJ1069" s="763"/>
      <c r="AK1069" s="763"/>
      <c r="AL1069" s="763"/>
      <c r="AM1069" s="763"/>
      <c r="AN1069" s="763"/>
      <c r="AO1069" s="763"/>
      <c r="AP1069" s="763"/>
      <c r="AQ1069" s="763"/>
      <c r="AR1069" s="763"/>
      <c r="AS1069" s="763"/>
      <c r="AT1069" s="763"/>
      <c r="AU1069" s="763"/>
      <c r="AV1069" s="763"/>
      <c r="AW1069" s="763"/>
      <c r="AX1069" s="763"/>
      <c r="AY1069" s="265"/>
      <c r="AZ1069" s="265"/>
      <c r="BA1069" s="265"/>
      <c r="BB1069" s="265"/>
    </row>
    <row r="1070" spans="1:54" ht="12.6" customHeight="1" x14ac:dyDescent="0.25">
      <c r="A1070" s="227" t="s">
        <v>1842</v>
      </c>
    </row>
    <row r="1071" spans="1:54" ht="12.6" customHeight="1" x14ac:dyDescent="0.25">
      <c r="A1071" s="298"/>
      <c r="B1071" s="299"/>
      <c r="C1071" s="299"/>
      <c r="D1071" s="299"/>
      <c r="E1071" s="299"/>
      <c r="F1071" s="299"/>
      <c r="G1071" s="299"/>
      <c r="H1071" s="299"/>
      <c r="I1071" s="299"/>
      <c r="J1071" s="299"/>
      <c r="K1071" s="299"/>
      <c r="L1071" s="299"/>
      <c r="M1071" s="299"/>
      <c r="N1071" s="299"/>
      <c r="O1071" s="299"/>
      <c r="P1071" s="299"/>
      <c r="Q1071" s="299"/>
      <c r="R1071" s="299"/>
      <c r="S1071" s="300"/>
      <c r="T1071" s="298"/>
      <c r="U1071" s="299"/>
      <c r="V1071" s="299"/>
      <c r="W1071" s="299"/>
      <c r="X1071" s="299"/>
      <c r="Y1071" s="299"/>
      <c r="Z1071" s="299"/>
      <c r="AA1071" s="299"/>
      <c r="AB1071" s="299"/>
      <c r="AC1071" s="299"/>
      <c r="AD1071" s="299"/>
      <c r="AE1071" s="299"/>
      <c r="AF1071" s="300"/>
      <c r="AG1071" s="768" t="s">
        <v>1720</v>
      </c>
      <c r="AH1071" s="768"/>
      <c r="AI1071" s="768"/>
      <c r="AJ1071" s="768"/>
      <c r="AK1071" s="768"/>
      <c r="AL1071" s="768"/>
      <c r="AM1071" s="768"/>
      <c r="AN1071" s="768"/>
      <c r="AO1071" s="768"/>
      <c r="AP1071" s="768"/>
      <c r="AQ1071" s="768"/>
      <c r="AR1071" s="768"/>
      <c r="AS1071" s="768"/>
      <c r="AT1071" s="768"/>
      <c r="AU1071" s="768"/>
      <c r="AV1071" s="768"/>
      <c r="AW1071" s="768"/>
      <c r="AX1071" s="768"/>
      <c r="AY1071" s="768"/>
      <c r="AZ1071" s="768"/>
      <c r="BA1071" s="768"/>
      <c r="BB1071" s="768"/>
    </row>
    <row r="1072" spans="1:54" ht="12.6" customHeight="1" x14ac:dyDescent="0.25">
      <c r="A1072" s="745" t="s">
        <v>1287</v>
      </c>
      <c r="B1072" s="745"/>
      <c r="C1072" s="745"/>
      <c r="D1072" s="745"/>
      <c r="E1072" s="745"/>
      <c r="F1072" s="745"/>
      <c r="G1072" s="745"/>
      <c r="H1072" s="745"/>
      <c r="I1072" s="745"/>
      <c r="J1072" s="745"/>
      <c r="K1072" s="745"/>
      <c r="L1072" s="745"/>
      <c r="M1072" s="745"/>
      <c r="N1072" s="745"/>
      <c r="O1072" s="745"/>
      <c r="P1072" s="745"/>
      <c r="Q1072" s="745"/>
      <c r="R1072" s="745"/>
      <c r="S1072" s="745"/>
      <c r="T1072" s="745" t="s">
        <v>1288</v>
      </c>
      <c r="U1072" s="745"/>
      <c r="V1072" s="745"/>
      <c r="W1072" s="745"/>
      <c r="X1072" s="745"/>
      <c r="Y1072" s="745"/>
      <c r="Z1072" s="745"/>
      <c r="AA1072" s="745"/>
      <c r="AB1072" s="745"/>
      <c r="AC1072" s="745"/>
      <c r="AD1072" s="745"/>
      <c r="AE1072" s="745"/>
      <c r="AF1072" s="745"/>
      <c r="AG1072" s="745" t="s">
        <v>1721</v>
      </c>
      <c r="AH1072" s="745"/>
      <c r="AI1072" s="745"/>
      <c r="AJ1072" s="745"/>
      <c r="AK1072" s="745"/>
      <c r="AL1072" s="745"/>
      <c r="AM1072" s="745"/>
      <c r="AN1072" s="745"/>
      <c r="AO1072" s="745"/>
      <c r="AP1072" s="745"/>
      <c r="AQ1072" s="745"/>
      <c r="AR1072" s="745"/>
      <c r="AS1072" s="745"/>
      <c r="AT1072" s="745"/>
      <c r="AU1072" s="745"/>
      <c r="AV1072" s="745"/>
      <c r="AW1072" s="745"/>
      <c r="AX1072" s="745"/>
      <c r="AY1072" s="745"/>
      <c r="AZ1072" s="745"/>
      <c r="BA1072" s="745"/>
      <c r="BB1072" s="745"/>
    </row>
    <row r="1073" spans="1:54" ht="12.6" customHeight="1" x14ac:dyDescent="0.25">
      <c r="A1073" s="313"/>
      <c r="B1073" s="314"/>
      <c r="C1073" s="314"/>
      <c r="D1073" s="314"/>
      <c r="E1073" s="314"/>
      <c r="F1073" s="314"/>
      <c r="G1073" s="314"/>
      <c r="H1073" s="314"/>
      <c r="I1073" s="314"/>
      <c r="J1073" s="314"/>
      <c r="K1073" s="314"/>
      <c r="L1073" s="314"/>
      <c r="M1073" s="314"/>
      <c r="N1073" s="314"/>
      <c r="O1073" s="314"/>
      <c r="P1073" s="314"/>
      <c r="Q1073" s="314"/>
      <c r="R1073" s="314"/>
      <c r="S1073" s="315"/>
      <c r="T1073" s="313"/>
      <c r="U1073" s="314"/>
      <c r="V1073" s="314"/>
      <c r="W1073" s="314"/>
      <c r="X1073" s="314"/>
      <c r="Y1073" s="314"/>
      <c r="Z1073" s="314"/>
      <c r="AA1073" s="314"/>
      <c r="AB1073" s="314"/>
      <c r="AC1073" s="314"/>
      <c r="AD1073" s="314"/>
      <c r="AE1073" s="314"/>
      <c r="AF1073" s="315"/>
      <c r="AG1073" s="750" t="s">
        <v>1486</v>
      </c>
      <c r="AH1073" s="750"/>
      <c r="AI1073" s="750"/>
      <c r="AJ1073" s="750"/>
      <c r="AK1073" s="750"/>
      <c r="AL1073" s="750"/>
      <c r="AM1073" s="750"/>
      <c r="AN1073" s="750"/>
      <c r="AO1073" s="750"/>
      <c r="AP1073" s="750"/>
      <c r="AQ1073" s="750"/>
      <c r="AR1073" s="750"/>
      <c r="AS1073" s="750"/>
      <c r="AT1073" s="750"/>
      <c r="AU1073" s="750"/>
      <c r="AV1073" s="750"/>
      <c r="AW1073" s="750"/>
      <c r="AX1073" s="750"/>
      <c r="AY1073" s="750"/>
      <c r="AZ1073" s="750"/>
      <c r="BA1073" s="750"/>
      <c r="BB1073" s="750"/>
    </row>
    <row r="1074" spans="1:54" ht="12.6" customHeight="1" x14ac:dyDescent="0.25">
      <c r="A1074" s="880" t="s">
        <v>1843</v>
      </c>
      <c r="B1074" s="880"/>
      <c r="C1074" s="880"/>
      <c r="D1074" s="880"/>
      <c r="E1074" s="880"/>
      <c r="F1074" s="880"/>
      <c r="G1074" s="880"/>
      <c r="H1074" s="880"/>
      <c r="I1074" s="880"/>
      <c r="J1074" s="880"/>
      <c r="K1074" s="880"/>
      <c r="L1074" s="880"/>
      <c r="M1074" s="880"/>
      <c r="N1074" s="880"/>
      <c r="O1074" s="880"/>
      <c r="P1074" s="880"/>
      <c r="Q1074" s="880"/>
      <c r="R1074" s="880"/>
      <c r="S1074" s="880"/>
      <c r="T1074" s="826">
        <f>SUM(SUVAHAVUJ!N104)</f>
        <v>1323</v>
      </c>
      <c r="U1074" s="826"/>
      <c r="V1074" s="826"/>
      <c r="W1074" s="826"/>
      <c r="X1074" s="826"/>
      <c r="Y1074" s="826"/>
      <c r="Z1074" s="826"/>
      <c r="AA1074" s="826"/>
      <c r="AB1074" s="826"/>
      <c r="AC1074" s="826"/>
      <c r="AD1074" s="826"/>
      <c r="AE1074" s="826"/>
      <c r="AF1074" s="826"/>
      <c r="AG1074" s="881">
        <f>(SUVAHAVUJ!X104)</f>
        <v>1238</v>
      </c>
      <c r="AH1074" s="881"/>
      <c r="AI1074" s="881"/>
      <c r="AJ1074" s="881"/>
      <c r="AK1074" s="881"/>
      <c r="AL1074" s="881"/>
      <c r="AM1074" s="881"/>
      <c r="AN1074" s="881"/>
      <c r="AO1074" s="881"/>
      <c r="AP1074" s="881"/>
      <c r="AQ1074" s="881"/>
      <c r="AR1074" s="881"/>
      <c r="AS1074" s="881"/>
      <c r="AT1074" s="881"/>
      <c r="AU1074" s="881"/>
      <c r="AV1074" s="881"/>
      <c r="AW1074" s="881"/>
      <c r="AX1074" s="881"/>
      <c r="AY1074" s="881"/>
      <c r="AZ1074" s="881"/>
      <c r="BA1074" s="881"/>
      <c r="BB1074" s="881"/>
    </row>
    <row r="1075" spans="1:54" ht="12.6" customHeight="1" x14ac:dyDescent="0.25">
      <c r="A1075" s="257" t="s">
        <v>1844</v>
      </c>
      <c r="B1075" s="249"/>
      <c r="C1075" s="249"/>
      <c r="D1075" s="249"/>
      <c r="E1075" s="249"/>
      <c r="F1075" s="249"/>
      <c r="G1075" s="249"/>
      <c r="H1075" s="249"/>
      <c r="I1075" s="249"/>
      <c r="J1075" s="249"/>
      <c r="K1075" s="249"/>
      <c r="L1075" s="249"/>
      <c r="M1075" s="249"/>
      <c r="N1075" s="249"/>
      <c r="O1075" s="249"/>
      <c r="P1075" s="249"/>
      <c r="Q1075" s="249"/>
      <c r="R1075" s="249"/>
      <c r="S1075" s="250"/>
      <c r="T1075" s="819"/>
      <c r="U1075" s="819"/>
      <c r="V1075" s="819"/>
      <c r="W1075" s="819"/>
      <c r="X1075" s="819"/>
      <c r="Y1075" s="819"/>
      <c r="Z1075" s="819"/>
      <c r="AA1075" s="819"/>
      <c r="AB1075" s="819"/>
      <c r="AC1075" s="819"/>
      <c r="AD1075" s="819"/>
      <c r="AE1075" s="819"/>
      <c r="AF1075" s="819"/>
      <c r="AG1075" s="819"/>
      <c r="AH1075" s="819"/>
      <c r="AI1075" s="819"/>
      <c r="AJ1075" s="819"/>
      <c r="AK1075" s="819"/>
      <c r="AL1075" s="819"/>
      <c r="AM1075" s="819"/>
      <c r="AN1075" s="819"/>
      <c r="AO1075" s="819"/>
      <c r="AP1075" s="819"/>
      <c r="AQ1075" s="819"/>
      <c r="AR1075" s="819"/>
      <c r="AS1075" s="819"/>
      <c r="AT1075" s="819"/>
      <c r="AU1075" s="819"/>
      <c r="AV1075" s="819"/>
      <c r="AW1075" s="819"/>
      <c r="AX1075" s="819"/>
      <c r="AY1075" s="819"/>
      <c r="AZ1075" s="819"/>
      <c r="BA1075" s="819"/>
      <c r="BB1075" s="819"/>
    </row>
    <row r="1076" spans="1:54" ht="12.6" customHeight="1" x14ac:dyDescent="0.25">
      <c r="A1076" s="258" t="s">
        <v>1845</v>
      </c>
      <c r="B1076" s="247"/>
      <c r="C1076" s="247"/>
      <c r="D1076" s="247"/>
      <c r="E1076" s="247"/>
      <c r="F1076" s="247"/>
      <c r="G1076" s="247"/>
      <c r="H1076" s="247"/>
      <c r="I1076" s="247"/>
      <c r="J1076" s="247"/>
      <c r="K1076" s="247"/>
      <c r="L1076" s="247"/>
      <c r="M1076" s="247"/>
      <c r="N1076" s="247"/>
      <c r="O1076" s="247"/>
      <c r="P1076" s="247"/>
      <c r="Q1076" s="247"/>
      <c r="R1076" s="247"/>
      <c r="S1076" s="252"/>
      <c r="T1076" s="819"/>
      <c r="U1076" s="819"/>
      <c r="V1076" s="819"/>
      <c r="W1076" s="819"/>
      <c r="X1076" s="819"/>
      <c r="Y1076" s="819"/>
      <c r="Z1076" s="819"/>
      <c r="AA1076" s="819"/>
      <c r="AB1076" s="819"/>
      <c r="AC1076" s="819"/>
      <c r="AD1076" s="819"/>
      <c r="AE1076" s="819"/>
      <c r="AF1076" s="819"/>
      <c r="AG1076" s="819"/>
      <c r="AH1076" s="819"/>
      <c r="AI1076" s="819"/>
      <c r="AJ1076" s="819"/>
      <c r="AK1076" s="819"/>
      <c r="AL1076" s="819"/>
      <c r="AM1076" s="819"/>
      <c r="AN1076" s="819"/>
      <c r="AO1076" s="819"/>
      <c r="AP1076" s="819"/>
      <c r="AQ1076" s="819"/>
      <c r="AR1076" s="819"/>
      <c r="AS1076" s="819"/>
      <c r="AT1076" s="819"/>
      <c r="AU1076" s="819"/>
      <c r="AV1076" s="819"/>
      <c r="AW1076" s="819"/>
      <c r="AX1076" s="819"/>
      <c r="AY1076" s="819"/>
      <c r="AZ1076" s="819"/>
      <c r="BA1076" s="819"/>
      <c r="BB1076" s="819"/>
    </row>
    <row r="1077" spans="1:54" ht="12.6" customHeight="1" x14ac:dyDescent="0.25">
      <c r="A1077" s="257" t="s">
        <v>1844</v>
      </c>
      <c r="B1077" s="249"/>
      <c r="C1077" s="249"/>
      <c r="D1077" s="249"/>
      <c r="E1077" s="249"/>
      <c r="F1077" s="249"/>
      <c r="G1077" s="249"/>
      <c r="H1077" s="249"/>
      <c r="I1077" s="249"/>
      <c r="J1077" s="249"/>
      <c r="K1077" s="249"/>
      <c r="L1077" s="249"/>
      <c r="M1077" s="249"/>
      <c r="N1077" s="249"/>
      <c r="O1077" s="249"/>
      <c r="P1077" s="249"/>
      <c r="Q1077" s="249"/>
      <c r="R1077" s="249"/>
      <c r="S1077" s="250"/>
      <c r="T1077" s="820">
        <f>SUM(T1074-T1075)</f>
        <v>1323</v>
      </c>
      <c r="U1077" s="820"/>
      <c r="V1077" s="820"/>
      <c r="W1077" s="820"/>
      <c r="X1077" s="820"/>
      <c r="Y1077" s="820"/>
      <c r="Z1077" s="820"/>
      <c r="AA1077" s="820"/>
      <c r="AB1077" s="820"/>
      <c r="AC1077" s="820"/>
      <c r="AD1077" s="820"/>
      <c r="AE1077" s="820"/>
      <c r="AF1077" s="820"/>
      <c r="AG1077" s="820">
        <f>SUM(AG1074-AG1075)</f>
        <v>1238</v>
      </c>
      <c r="AH1077" s="820"/>
      <c r="AI1077" s="820"/>
      <c r="AJ1077" s="820"/>
      <c r="AK1077" s="820"/>
      <c r="AL1077" s="820"/>
      <c r="AM1077" s="820"/>
      <c r="AN1077" s="820"/>
      <c r="AO1077" s="820"/>
      <c r="AP1077" s="820"/>
      <c r="AQ1077" s="820"/>
      <c r="AR1077" s="820"/>
      <c r="AS1077" s="820"/>
      <c r="AT1077" s="820"/>
      <c r="AU1077" s="820"/>
      <c r="AV1077" s="820"/>
      <c r="AW1077" s="820"/>
      <c r="AX1077" s="820"/>
      <c r="AY1077" s="820"/>
      <c r="AZ1077" s="820"/>
      <c r="BA1077" s="820"/>
      <c r="BB1077" s="820"/>
    </row>
    <row r="1078" spans="1:54" ht="12.6" customHeight="1" x14ac:dyDescent="0.25">
      <c r="A1078" s="258" t="s">
        <v>1846</v>
      </c>
      <c r="B1078" s="247"/>
      <c r="C1078" s="247"/>
      <c r="D1078" s="247"/>
      <c r="E1078" s="247"/>
      <c r="F1078" s="247"/>
      <c r="G1078" s="247"/>
      <c r="H1078" s="247"/>
      <c r="I1078" s="247"/>
      <c r="J1078" s="247"/>
      <c r="K1078" s="247"/>
      <c r="L1078" s="247"/>
      <c r="M1078" s="247"/>
      <c r="N1078" s="247"/>
      <c r="O1078" s="247"/>
      <c r="P1078" s="247"/>
      <c r="Q1078" s="247"/>
      <c r="R1078" s="247"/>
      <c r="S1078" s="252"/>
      <c r="T1078" s="820"/>
      <c r="U1078" s="820"/>
      <c r="V1078" s="820"/>
      <c r="W1078" s="820"/>
      <c r="X1078" s="820"/>
      <c r="Y1078" s="820"/>
      <c r="Z1078" s="820"/>
      <c r="AA1078" s="820"/>
      <c r="AB1078" s="820"/>
      <c r="AC1078" s="820"/>
      <c r="AD1078" s="820"/>
      <c r="AE1078" s="820"/>
      <c r="AF1078" s="820"/>
      <c r="AG1078" s="820"/>
      <c r="AH1078" s="820"/>
      <c r="AI1078" s="820"/>
      <c r="AJ1078" s="820"/>
      <c r="AK1078" s="820"/>
      <c r="AL1078" s="820"/>
      <c r="AM1078" s="820"/>
      <c r="AN1078" s="820"/>
      <c r="AO1078" s="820"/>
      <c r="AP1078" s="820"/>
      <c r="AQ1078" s="820"/>
      <c r="AR1078" s="820"/>
      <c r="AS1078" s="820"/>
      <c r="AT1078" s="820"/>
      <c r="AU1078" s="820"/>
      <c r="AV1078" s="820"/>
      <c r="AW1078" s="820"/>
      <c r="AX1078" s="820"/>
      <c r="AY1078" s="820"/>
      <c r="AZ1078" s="820"/>
      <c r="BA1078" s="820"/>
      <c r="BB1078" s="820"/>
    </row>
    <row r="1079" spans="1:54" ht="12.6" customHeight="1" x14ac:dyDescent="0.25">
      <c r="A1079" s="304" t="s">
        <v>1847</v>
      </c>
      <c r="B1079" s="246"/>
      <c r="C1079" s="246"/>
      <c r="D1079" s="246"/>
      <c r="E1079" s="246"/>
      <c r="F1079" s="246"/>
      <c r="G1079" s="246"/>
      <c r="H1079" s="246"/>
      <c r="I1079" s="246"/>
      <c r="J1079" s="246"/>
      <c r="K1079" s="246"/>
      <c r="L1079" s="246"/>
      <c r="M1079" s="246"/>
      <c r="N1079" s="246"/>
      <c r="O1079" s="246"/>
      <c r="P1079" s="246"/>
      <c r="Q1079" s="246"/>
      <c r="R1079" s="246"/>
      <c r="S1079" s="248"/>
      <c r="T1079" s="826">
        <f>SUM(SUVAHAVUJ!N124)</f>
        <v>113360</v>
      </c>
      <c r="U1079" s="826"/>
      <c r="V1079" s="826"/>
      <c r="W1079" s="826"/>
      <c r="X1079" s="826"/>
      <c r="Y1079" s="826"/>
      <c r="Z1079" s="826"/>
      <c r="AA1079" s="826"/>
      <c r="AB1079" s="826"/>
      <c r="AC1079" s="826"/>
      <c r="AD1079" s="826"/>
      <c r="AE1079" s="826"/>
      <c r="AF1079" s="826"/>
      <c r="AG1079" s="881">
        <f>SUM(SUVAHAVUJ!X124)</f>
        <v>134935</v>
      </c>
      <c r="AH1079" s="881"/>
      <c r="AI1079" s="881"/>
      <c r="AJ1079" s="881"/>
      <c r="AK1079" s="881"/>
      <c r="AL1079" s="881"/>
      <c r="AM1079" s="881"/>
      <c r="AN1079" s="881"/>
      <c r="AO1079" s="881"/>
      <c r="AP1079" s="881"/>
      <c r="AQ1079" s="881"/>
      <c r="AR1079" s="881"/>
      <c r="AS1079" s="881"/>
      <c r="AT1079" s="881"/>
      <c r="AU1079" s="881"/>
      <c r="AV1079" s="881"/>
      <c r="AW1079" s="881"/>
      <c r="AX1079" s="881"/>
      <c r="AY1079" s="881"/>
      <c r="AZ1079" s="881"/>
      <c r="BA1079" s="881"/>
      <c r="BB1079" s="881"/>
    </row>
    <row r="1080" spans="1:54" ht="12.6" customHeight="1" x14ac:dyDescent="0.25">
      <c r="A1080" s="257" t="s">
        <v>1844</v>
      </c>
      <c r="B1080" s="249"/>
      <c r="C1080" s="249"/>
      <c r="D1080" s="249"/>
      <c r="E1080" s="249"/>
      <c r="F1080" s="249"/>
      <c r="G1080" s="249"/>
      <c r="H1080" s="249"/>
      <c r="I1080" s="249"/>
      <c r="J1080" s="249"/>
      <c r="K1080" s="249"/>
      <c r="L1080" s="249"/>
      <c r="M1080" s="249"/>
      <c r="N1080" s="249"/>
      <c r="O1080" s="249"/>
      <c r="P1080" s="249"/>
      <c r="Q1080" s="249"/>
      <c r="R1080" s="249"/>
      <c r="S1080" s="250"/>
      <c r="T1080" s="820"/>
      <c r="U1080" s="820"/>
      <c r="V1080" s="820"/>
      <c r="W1080" s="820"/>
      <c r="X1080" s="820"/>
      <c r="Y1080" s="820"/>
      <c r="Z1080" s="820"/>
      <c r="AA1080" s="820"/>
      <c r="AB1080" s="820"/>
      <c r="AC1080" s="820"/>
      <c r="AD1080" s="820"/>
      <c r="AE1080" s="820"/>
      <c r="AF1080" s="820"/>
      <c r="AG1080" s="820">
        <f>SUM(AG1079-AG1082)</f>
        <v>134935</v>
      </c>
      <c r="AH1080" s="820"/>
      <c r="AI1080" s="820"/>
      <c r="AJ1080" s="820"/>
      <c r="AK1080" s="820"/>
      <c r="AL1080" s="820"/>
      <c r="AM1080" s="820"/>
      <c r="AN1080" s="820"/>
      <c r="AO1080" s="820"/>
      <c r="AP1080" s="820"/>
      <c r="AQ1080" s="820"/>
      <c r="AR1080" s="820"/>
      <c r="AS1080" s="820"/>
      <c r="AT1080" s="820"/>
      <c r="AU1080" s="820"/>
      <c r="AV1080" s="820"/>
      <c r="AW1080" s="820"/>
      <c r="AX1080" s="820"/>
      <c r="AY1080" s="820"/>
      <c r="AZ1080" s="820"/>
      <c r="BA1080" s="820"/>
      <c r="BB1080" s="820"/>
    </row>
    <row r="1081" spans="1:54" ht="12.6" customHeight="1" x14ac:dyDescent="0.25">
      <c r="A1081" s="258" t="s">
        <v>1848</v>
      </c>
      <c r="B1081" s="247"/>
      <c r="C1081" s="247"/>
      <c r="D1081" s="247"/>
      <c r="E1081" s="247"/>
      <c r="F1081" s="247"/>
      <c r="G1081" s="247"/>
      <c r="H1081" s="247"/>
      <c r="I1081" s="247"/>
      <c r="J1081" s="247"/>
      <c r="K1081" s="247"/>
      <c r="L1081" s="247"/>
      <c r="M1081" s="247"/>
      <c r="N1081" s="247"/>
      <c r="O1081" s="247"/>
      <c r="P1081" s="247"/>
      <c r="Q1081" s="247"/>
      <c r="R1081" s="247"/>
      <c r="S1081" s="252"/>
      <c r="T1081" s="820"/>
      <c r="U1081" s="820"/>
      <c r="V1081" s="820"/>
      <c r="W1081" s="820"/>
      <c r="X1081" s="820"/>
      <c r="Y1081" s="820"/>
      <c r="Z1081" s="820"/>
      <c r="AA1081" s="820"/>
      <c r="AB1081" s="820"/>
      <c r="AC1081" s="820"/>
      <c r="AD1081" s="820"/>
      <c r="AE1081" s="820"/>
      <c r="AF1081" s="820"/>
      <c r="AG1081" s="820"/>
      <c r="AH1081" s="820"/>
      <c r="AI1081" s="820"/>
      <c r="AJ1081" s="820"/>
      <c r="AK1081" s="820"/>
      <c r="AL1081" s="820"/>
      <c r="AM1081" s="820"/>
      <c r="AN1081" s="820"/>
      <c r="AO1081" s="820"/>
      <c r="AP1081" s="820"/>
      <c r="AQ1081" s="820"/>
      <c r="AR1081" s="820"/>
      <c r="AS1081" s="820"/>
      <c r="AT1081" s="820"/>
      <c r="AU1081" s="820"/>
      <c r="AV1081" s="820"/>
      <c r="AW1081" s="820"/>
      <c r="AX1081" s="820"/>
      <c r="AY1081" s="820"/>
      <c r="AZ1081" s="820"/>
      <c r="BA1081" s="820"/>
      <c r="BB1081" s="820"/>
    </row>
    <row r="1082" spans="1:54" ht="12.6" customHeight="1" x14ac:dyDescent="0.25">
      <c r="A1082" s="253" t="s">
        <v>1849</v>
      </c>
      <c r="B1082" s="246"/>
      <c r="C1082" s="246"/>
      <c r="D1082" s="246"/>
      <c r="E1082" s="246"/>
      <c r="F1082" s="246"/>
      <c r="G1082" s="246"/>
      <c r="H1082" s="246"/>
      <c r="I1082" s="246"/>
      <c r="J1082" s="246"/>
      <c r="K1082" s="246"/>
      <c r="L1082" s="246"/>
      <c r="M1082" s="246"/>
      <c r="N1082" s="246"/>
      <c r="O1082" s="246"/>
      <c r="P1082" s="246"/>
      <c r="Q1082" s="246"/>
      <c r="R1082" s="246"/>
      <c r="S1082" s="248"/>
      <c r="T1082" s="819"/>
      <c r="U1082" s="819"/>
      <c r="V1082" s="819"/>
      <c r="W1082" s="819"/>
      <c r="X1082" s="819"/>
      <c r="Y1082" s="819"/>
      <c r="Z1082" s="819"/>
      <c r="AA1082" s="819"/>
      <c r="AB1082" s="819"/>
      <c r="AC1082" s="819"/>
      <c r="AD1082" s="819"/>
      <c r="AE1082" s="819"/>
      <c r="AF1082" s="819"/>
      <c r="AG1082" s="819"/>
      <c r="AH1082" s="819"/>
      <c r="AI1082" s="819"/>
      <c r="AJ1082" s="819"/>
      <c r="AK1082" s="819"/>
      <c r="AL1082" s="819"/>
      <c r="AM1082" s="819"/>
      <c r="AN1082" s="819"/>
      <c r="AO1082" s="819"/>
      <c r="AP1082" s="819"/>
      <c r="AQ1082" s="819"/>
      <c r="AR1082" s="819"/>
      <c r="AS1082" s="819"/>
      <c r="AT1082" s="819"/>
      <c r="AU1082" s="819"/>
      <c r="AV1082" s="819"/>
      <c r="AW1082" s="819"/>
      <c r="AX1082" s="819"/>
      <c r="AY1082" s="819"/>
      <c r="AZ1082" s="819"/>
      <c r="BA1082" s="819"/>
      <c r="BB1082" s="819"/>
    </row>
    <row r="1083" spans="1:54" ht="12.6" customHeight="1" x14ac:dyDescent="0.25">
      <c r="A1083" s="227" t="s">
        <v>1344</v>
      </c>
    </row>
    <row r="1084" spans="1:54" ht="15" customHeight="1" x14ac:dyDescent="0.25">
      <c r="A1084" s="763"/>
      <c r="B1084" s="763"/>
      <c r="C1084" s="763"/>
      <c r="D1084" s="763"/>
      <c r="E1084" s="763"/>
      <c r="F1084" s="763"/>
      <c r="G1084" s="763"/>
      <c r="H1084" s="763"/>
      <c r="I1084" s="763"/>
      <c r="J1084" s="763"/>
      <c r="K1084" s="763"/>
      <c r="L1084" s="763"/>
      <c r="M1084" s="763"/>
      <c r="N1084" s="763"/>
      <c r="O1084" s="763"/>
      <c r="P1084" s="763"/>
      <c r="Q1084" s="763"/>
      <c r="R1084" s="763"/>
      <c r="S1084" s="763"/>
      <c r="T1084" s="763"/>
      <c r="U1084" s="763"/>
      <c r="V1084" s="763"/>
      <c r="W1084" s="763"/>
      <c r="X1084" s="763"/>
      <c r="Y1084" s="763"/>
      <c r="Z1084" s="763"/>
      <c r="AA1084" s="763"/>
      <c r="AB1084" s="763"/>
      <c r="AC1084" s="763"/>
      <c r="AD1084" s="763"/>
      <c r="AE1084" s="763"/>
      <c r="AF1084" s="763"/>
      <c r="AG1084" s="763"/>
      <c r="AH1084" s="763"/>
      <c r="AI1084" s="763"/>
      <c r="AJ1084" s="763"/>
      <c r="AK1084" s="763"/>
      <c r="AL1084" s="763"/>
      <c r="AM1084" s="763"/>
      <c r="AN1084" s="763"/>
      <c r="AO1084" s="763"/>
      <c r="AP1084" s="763"/>
      <c r="AQ1084" s="763"/>
      <c r="AR1084" s="763"/>
      <c r="AS1084" s="763"/>
      <c r="AT1084" s="763"/>
      <c r="AU1084" s="763"/>
      <c r="AV1084" s="763"/>
      <c r="AW1084" s="763"/>
      <c r="AX1084" s="763"/>
      <c r="AY1084" s="265"/>
      <c r="AZ1084" s="265"/>
      <c r="BA1084" s="265"/>
      <c r="BB1084" s="265"/>
    </row>
    <row r="1085" spans="1:54" ht="15" customHeight="1" x14ac:dyDescent="0.25">
      <c r="A1085" s="763"/>
      <c r="B1085" s="763"/>
      <c r="C1085" s="763"/>
      <c r="D1085" s="763"/>
      <c r="E1085" s="763"/>
      <c r="F1085" s="763"/>
      <c r="G1085" s="763"/>
      <c r="H1085" s="763"/>
      <c r="I1085" s="763"/>
      <c r="J1085" s="763"/>
      <c r="K1085" s="763"/>
      <c r="L1085" s="763"/>
      <c r="M1085" s="763"/>
      <c r="N1085" s="763"/>
      <c r="O1085" s="763"/>
      <c r="P1085" s="763"/>
      <c r="Q1085" s="763"/>
      <c r="R1085" s="763"/>
      <c r="S1085" s="763"/>
      <c r="T1085" s="763"/>
      <c r="U1085" s="763"/>
      <c r="V1085" s="763"/>
      <c r="W1085" s="763"/>
      <c r="X1085" s="763"/>
      <c r="Y1085" s="763"/>
      <c r="Z1085" s="763"/>
      <c r="AA1085" s="763"/>
      <c r="AB1085" s="763"/>
      <c r="AC1085" s="763"/>
      <c r="AD1085" s="763"/>
      <c r="AE1085" s="763"/>
      <c r="AF1085" s="763"/>
      <c r="AG1085" s="763"/>
      <c r="AH1085" s="763"/>
      <c r="AI1085" s="763"/>
      <c r="AJ1085" s="763"/>
      <c r="AK1085" s="763"/>
      <c r="AL1085" s="763"/>
      <c r="AM1085" s="763"/>
      <c r="AN1085" s="763"/>
      <c r="AO1085" s="763"/>
      <c r="AP1085" s="763"/>
      <c r="AQ1085" s="763"/>
      <c r="AR1085" s="763"/>
      <c r="AS1085" s="763"/>
      <c r="AT1085" s="763"/>
      <c r="AU1085" s="763"/>
      <c r="AV1085" s="763"/>
      <c r="AW1085" s="763"/>
      <c r="AX1085" s="763"/>
      <c r="AY1085" s="265"/>
      <c r="AZ1085" s="265"/>
      <c r="BA1085" s="265"/>
      <c r="BB1085" s="265"/>
    </row>
    <row r="1086" spans="1:54" s="208" customFormat="1" ht="12" customHeight="1" x14ac:dyDescent="0.25"/>
    <row r="1087" spans="1:54" ht="27.75" customHeight="1" x14ac:dyDescent="0.25">
      <c r="A1087" s="839" t="s">
        <v>1850</v>
      </c>
      <c r="B1087" s="839"/>
      <c r="C1087" s="839"/>
      <c r="D1087" s="839"/>
      <c r="E1087" s="839"/>
      <c r="F1087" s="839"/>
      <c r="G1087" s="839"/>
      <c r="H1087" s="839"/>
      <c r="I1087" s="839"/>
      <c r="J1087" s="839"/>
      <c r="K1087" s="839"/>
      <c r="L1087" s="839"/>
      <c r="M1087" s="839"/>
      <c r="N1087" s="839"/>
      <c r="O1087" s="839"/>
      <c r="P1087" s="839"/>
      <c r="Q1087" s="839"/>
      <c r="R1087" s="839"/>
      <c r="S1087" s="839"/>
      <c r="T1087" s="839"/>
      <c r="U1087" s="839"/>
      <c r="V1087" s="839"/>
      <c r="W1087" s="839"/>
      <c r="X1087" s="839"/>
      <c r="Y1087" s="839"/>
      <c r="Z1087" s="839"/>
      <c r="AA1087" s="839"/>
      <c r="AB1087" s="839"/>
      <c r="AC1087" s="839"/>
      <c r="AD1087" s="839"/>
      <c r="AE1087" s="839"/>
      <c r="AF1087" s="839"/>
      <c r="AG1087" s="839"/>
      <c r="AH1087" s="839"/>
      <c r="AI1087" s="839"/>
      <c r="AJ1087" s="839"/>
      <c r="AK1087" s="839"/>
      <c r="AL1087" s="839"/>
      <c r="AM1087" s="839"/>
      <c r="AN1087" s="839"/>
      <c r="AO1087" s="839"/>
      <c r="AP1087" s="839"/>
      <c r="AQ1087" s="839"/>
      <c r="AR1087" s="839"/>
      <c r="AS1087" s="839"/>
      <c r="AT1087" s="839"/>
      <c r="AU1087" s="839"/>
      <c r="AV1087" s="839"/>
      <c r="AW1087" s="839"/>
      <c r="AX1087" s="839"/>
      <c r="AY1087" s="839"/>
      <c r="AZ1087" s="839"/>
      <c r="BA1087" s="839"/>
    </row>
    <row r="1088" spans="1:54" ht="12.6" customHeight="1" x14ac:dyDescent="0.25">
      <c r="A1088" s="227"/>
    </row>
    <row r="1089" spans="1:54" ht="12.6" customHeight="1" x14ac:dyDescent="0.25">
      <c r="A1089" s="298"/>
      <c r="B1089" s="299"/>
      <c r="C1089" s="299"/>
      <c r="D1089" s="299"/>
      <c r="E1089" s="299"/>
      <c r="F1089" s="299"/>
      <c r="G1089" s="299"/>
      <c r="H1089" s="299"/>
      <c r="I1089" s="299"/>
      <c r="J1089" s="299"/>
      <c r="K1089" s="299"/>
      <c r="L1089" s="299"/>
      <c r="M1089" s="299"/>
      <c r="N1089" s="299"/>
      <c r="O1089" s="299"/>
      <c r="P1089" s="299"/>
      <c r="Q1089" s="299"/>
      <c r="R1089" s="299"/>
      <c r="S1089" s="299"/>
      <c r="T1089" s="299"/>
      <c r="U1089" s="299"/>
      <c r="V1089" s="299"/>
      <c r="W1089" s="299"/>
      <c r="X1089" s="300"/>
      <c r="Y1089" s="298"/>
      <c r="Z1089" s="299"/>
      <c r="AA1089" s="299"/>
      <c r="AB1089" s="299"/>
      <c r="AC1089" s="299"/>
      <c r="AD1089" s="299"/>
      <c r="AE1089" s="299"/>
      <c r="AF1089" s="299"/>
      <c r="AG1089" s="249"/>
      <c r="AH1089" s="299"/>
      <c r="AI1089" s="299"/>
      <c r="AJ1089" s="299"/>
      <c r="AK1089" s="300"/>
      <c r="AL1089" s="768" t="s">
        <v>1720</v>
      </c>
      <c r="AM1089" s="768"/>
      <c r="AN1089" s="768"/>
      <c r="AO1089" s="768"/>
      <c r="AP1089" s="768"/>
      <c r="AQ1089" s="768"/>
      <c r="AR1089" s="768"/>
      <c r="AS1089" s="768"/>
      <c r="AT1089" s="768"/>
      <c r="AU1089" s="768"/>
      <c r="AV1089" s="768"/>
      <c r="AW1089" s="768"/>
      <c r="AX1089" s="768"/>
      <c r="AY1089" s="768"/>
      <c r="AZ1089" s="768"/>
      <c r="BA1089" s="768"/>
      <c r="BB1089" s="768"/>
    </row>
    <row r="1090" spans="1:54" ht="12.6" customHeight="1" x14ac:dyDescent="0.25">
      <c r="A1090" s="745" t="s">
        <v>1287</v>
      </c>
      <c r="B1090" s="745"/>
      <c r="C1090" s="745"/>
      <c r="D1090" s="745"/>
      <c r="E1090" s="745"/>
      <c r="F1090" s="745"/>
      <c r="G1090" s="745"/>
      <c r="H1090" s="745"/>
      <c r="I1090" s="745"/>
      <c r="J1090" s="745"/>
      <c r="K1090" s="745"/>
      <c r="L1090" s="745"/>
      <c r="M1090" s="745"/>
      <c r="N1090" s="745"/>
      <c r="O1090" s="745"/>
      <c r="P1090" s="745"/>
      <c r="Q1090" s="745"/>
      <c r="R1090" s="745"/>
      <c r="S1090" s="745"/>
      <c r="T1090" s="745"/>
      <c r="U1090" s="745"/>
      <c r="V1090" s="745"/>
      <c r="W1090" s="745"/>
      <c r="X1090" s="745"/>
      <c r="Y1090" s="745" t="s">
        <v>1851</v>
      </c>
      <c r="Z1090" s="745"/>
      <c r="AA1090" s="745"/>
      <c r="AB1090" s="745"/>
      <c r="AC1090" s="745"/>
      <c r="AD1090" s="745"/>
      <c r="AE1090" s="745"/>
      <c r="AF1090" s="745"/>
      <c r="AG1090" s="745"/>
      <c r="AH1090" s="745"/>
      <c r="AI1090" s="745"/>
      <c r="AJ1090" s="745"/>
      <c r="AK1090" s="745"/>
      <c r="AL1090" s="745" t="s">
        <v>1721</v>
      </c>
      <c r="AM1090" s="745"/>
      <c r="AN1090" s="745"/>
      <c r="AO1090" s="745"/>
      <c r="AP1090" s="745"/>
      <c r="AQ1090" s="745"/>
      <c r="AR1090" s="745"/>
      <c r="AS1090" s="745"/>
      <c r="AT1090" s="745"/>
      <c r="AU1090" s="745"/>
      <c r="AV1090" s="745"/>
      <c r="AW1090" s="745"/>
      <c r="AX1090" s="745"/>
      <c r="AY1090" s="745"/>
      <c r="AZ1090" s="745"/>
      <c r="BA1090" s="745"/>
      <c r="BB1090" s="745"/>
    </row>
    <row r="1091" spans="1:54" ht="12.6" customHeight="1" x14ac:dyDescent="0.25">
      <c r="A1091" s="258"/>
      <c r="B1091" s="314"/>
      <c r="C1091" s="314"/>
      <c r="D1091" s="314"/>
      <c r="E1091" s="314"/>
      <c r="F1091" s="314"/>
      <c r="G1091" s="314"/>
      <c r="H1091" s="314"/>
      <c r="I1091" s="314"/>
      <c r="J1091" s="314"/>
      <c r="K1091" s="314"/>
      <c r="L1091" s="314"/>
      <c r="M1091" s="314"/>
      <c r="N1091" s="314"/>
      <c r="O1091" s="314"/>
      <c r="P1091" s="314"/>
      <c r="Q1091" s="314"/>
      <c r="R1091" s="314"/>
      <c r="S1091" s="314"/>
      <c r="T1091" s="247"/>
      <c r="U1091" s="314"/>
      <c r="V1091" s="314"/>
      <c r="W1091" s="314"/>
      <c r="X1091" s="315"/>
      <c r="Y1091" s="750" t="s">
        <v>1486</v>
      </c>
      <c r="Z1091" s="750"/>
      <c r="AA1091" s="750"/>
      <c r="AB1091" s="750"/>
      <c r="AC1091" s="750"/>
      <c r="AD1091" s="750"/>
      <c r="AE1091" s="750"/>
      <c r="AF1091" s="750"/>
      <c r="AG1091" s="750"/>
      <c r="AH1091" s="750"/>
      <c r="AI1091" s="750"/>
      <c r="AJ1091" s="750"/>
      <c r="AK1091" s="750"/>
      <c r="AL1091" s="750" t="s">
        <v>1486</v>
      </c>
      <c r="AM1091" s="750"/>
      <c r="AN1091" s="750"/>
      <c r="AO1091" s="750"/>
      <c r="AP1091" s="750"/>
      <c r="AQ1091" s="750"/>
      <c r="AR1091" s="750"/>
      <c r="AS1091" s="750"/>
      <c r="AT1091" s="750"/>
      <c r="AU1091" s="750"/>
      <c r="AV1091" s="750"/>
      <c r="AW1091" s="750"/>
      <c r="AX1091" s="750"/>
      <c r="AY1091" s="750"/>
      <c r="AZ1091" s="750"/>
      <c r="BA1091" s="750"/>
      <c r="BB1091" s="750"/>
    </row>
    <row r="1092" spans="1:54" ht="12.6" customHeight="1" x14ac:dyDescent="0.25">
      <c r="A1092" s="210" t="s">
        <v>1852</v>
      </c>
      <c r="B1092" s="208"/>
      <c r="C1092" s="208"/>
      <c r="D1092" s="208"/>
      <c r="E1092" s="208"/>
      <c r="F1092" s="208"/>
      <c r="G1092" s="208"/>
      <c r="H1092" s="208"/>
      <c r="I1092" s="208"/>
      <c r="J1092" s="208"/>
      <c r="K1092" s="208"/>
      <c r="L1092" s="208"/>
      <c r="M1092" s="208"/>
      <c r="N1092" s="208"/>
      <c r="O1092" s="208"/>
      <c r="P1092" s="208"/>
      <c r="Q1092" s="208"/>
      <c r="R1092" s="208"/>
      <c r="S1092" s="208"/>
      <c r="T1092" s="208"/>
      <c r="U1092" s="208"/>
      <c r="V1092" s="208"/>
      <c r="W1092" s="208"/>
      <c r="X1092" s="245"/>
      <c r="Y1092" s="811"/>
      <c r="Z1092" s="811"/>
      <c r="AA1092" s="811"/>
      <c r="AB1092" s="811"/>
      <c r="AC1092" s="811"/>
      <c r="AD1092" s="811"/>
      <c r="AE1092" s="811"/>
      <c r="AF1092" s="811"/>
      <c r="AG1092" s="811"/>
      <c r="AH1092" s="811"/>
      <c r="AI1092" s="811"/>
      <c r="AJ1092" s="811"/>
      <c r="AK1092" s="811"/>
      <c r="AL1092" s="811"/>
      <c r="AM1092" s="811"/>
      <c r="AN1092" s="811"/>
      <c r="AO1092" s="811"/>
      <c r="AP1092" s="811"/>
      <c r="AQ1092" s="811"/>
      <c r="AR1092" s="811"/>
      <c r="AS1092" s="811"/>
      <c r="AT1092" s="811"/>
      <c r="AU1092" s="811"/>
      <c r="AV1092" s="811"/>
      <c r="AW1092" s="811"/>
      <c r="AX1092" s="811"/>
      <c r="AY1092" s="811"/>
      <c r="AZ1092" s="811"/>
      <c r="BA1092" s="811"/>
      <c r="BB1092" s="811"/>
    </row>
    <row r="1093" spans="1:54" ht="12.6" customHeight="1" x14ac:dyDescent="0.25">
      <c r="A1093" s="251" t="s">
        <v>1853</v>
      </c>
      <c r="B1093" s="247"/>
      <c r="C1093" s="247"/>
      <c r="D1093" s="247"/>
      <c r="E1093" s="247"/>
      <c r="F1093" s="247"/>
      <c r="G1093" s="247"/>
      <c r="H1093" s="247"/>
      <c r="I1093" s="247"/>
      <c r="J1093" s="247"/>
      <c r="K1093" s="247"/>
      <c r="L1093" s="247"/>
      <c r="M1093" s="247"/>
      <c r="N1093" s="247"/>
      <c r="O1093" s="247"/>
      <c r="P1093" s="247"/>
      <c r="Q1093" s="247"/>
      <c r="R1093" s="247"/>
      <c r="S1093" s="247"/>
      <c r="T1093" s="247"/>
      <c r="U1093" s="247"/>
      <c r="V1093" s="247"/>
      <c r="W1093" s="247"/>
      <c r="X1093" s="252"/>
      <c r="Y1093" s="811"/>
      <c r="Z1093" s="811"/>
      <c r="AA1093" s="811"/>
      <c r="AB1093" s="811"/>
      <c r="AC1093" s="811"/>
      <c r="AD1093" s="811"/>
      <c r="AE1093" s="811"/>
      <c r="AF1093" s="811"/>
      <c r="AG1093" s="811"/>
      <c r="AH1093" s="811"/>
      <c r="AI1093" s="811"/>
      <c r="AJ1093" s="811"/>
      <c r="AK1093" s="811"/>
      <c r="AL1093" s="811"/>
      <c r="AM1093" s="811"/>
      <c r="AN1093" s="811"/>
      <c r="AO1093" s="811"/>
      <c r="AP1093" s="811"/>
      <c r="AQ1093" s="811"/>
      <c r="AR1093" s="811"/>
      <c r="AS1093" s="811"/>
      <c r="AT1093" s="811"/>
      <c r="AU1093" s="811"/>
      <c r="AV1093" s="811"/>
      <c r="AW1093" s="811"/>
      <c r="AX1093" s="811"/>
      <c r="AY1093" s="811"/>
      <c r="AZ1093" s="811"/>
      <c r="BA1093" s="811"/>
      <c r="BB1093" s="811"/>
    </row>
    <row r="1094" spans="1:54" ht="12.6" customHeight="1" x14ac:dyDescent="0.25">
      <c r="A1094" s="253" t="s">
        <v>1854</v>
      </c>
      <c r="B1094" s="246"/>
      <c r="C1094" s="246"/>
      <c r="D1094" s="246"/>
      <c r="E1094" s="246"/>
      <c r="F1094" s="246"/>
      <c r="G1094" s="246"/>
      <c r="H1094" s="246"/>
      <c r="I1094" s="246"/>
      <c r="J1094" s="246"/>
      <c r="K1094" s="246"/>
      <c r="L1094" s="246"/>
      <c r="M1094" s="246"/>
      <c r="N1094" s="246"/>
      <c r="O1094" s="246"/>
      <c r="P1094" s="246"/>
      <c r="Q1094" s="246"/>
      <c r="R1094" s="246"/>
      <c r="S1094" s="246"/>
      <c r="T1094" s="246"/>
      <c r="U1094" s="246"/>
      <c r="V1094" s="246"/>
      <c r="W1094" s="246"/>
      <c r="X1094" s="248"/>
      <c r="Y1094" s="709"/>
      <c r="Z1094" s="709"/>
      <c r="AA1094" s="709"/>
      <c r="AB1094" s="709"/>
      <c r="AC1094" s="709"/>
      <c r="AD1094" s="709"/>
      <c r="AE1094" s="709"/>
      <c r="AF1094" s="709"/>
      <c r="AG1094" s="709"/>
      <c r="AH1094" s="709"/>
      <c r="AI1094" s="709"/>
      <c r="AJ1094" s="709"/>
      <c r="AK1094" s="709"/>
      <c r="AL1094" s="709"/>
      <c r="AM1094" s="709"/>
      <c r="AN1094" s="709"/>
      <c r="AO1094" s="709"/>
      <c r="AP1094" s="709"/>
      <c r="AQ1094" s="709"/>
      <c r="AR1094" s="709"/>
      <c r="AS1094" s="709"/>
      <c r="AT1094" s="709"/>
      <c r="AU1094" s="709"/>
      <c r="AV1094" s="709"/>
      <c r="AW1094" s="709"/>
      <c r="AX1094" s="709"/>
      <c r="AY1094" s="709"/>
      <c r="AZ1094" s="709"/>
      <c r="BA1094" s="709"/>
      <c r="BB1094" s="709"/>
    </row>
    <row r="1095" spans="1:54" ht="12.6" customHeight="1" x14ac:dyDescent="0.25">
      <c r="A1095" s="253" t="s">
        <v>1855</v>
      </c>
      <c r="B1095" s="246"/>
      <c r="C1095" s="246"/>
      <c r="D1095" s="246"/>
      <c r="E1095" s="246"/>
      <c r="F1095" s="246"/>
      <c r="G1095" s="246"/>
      <c r="H1095" s="246"/>
      <c r="I1095" s="246"/>
      <c r="J1095" s="246"/>
      <c r="K1095" s="246"/>
      <c r="L1095" s="246"/>
      <c r="M1095" s="246"/>
      <c r="N1095" s="246"/>
      <c r="O1095" s="246"/>
      <c r="P1095" s="246"/>
      <c r="Q1095" s="246"/>
      <c r="R1095" s="246"/>
      <c r="S1095" s="246"/>
      <c r="T1095" s="246"/>
      <c r="U1095" s="246"/>
      <c r="V1095" s="246"/>
      <c r="W1095" s="246"/>
      <c r="X1095" s="248"/>
      <c r="Y1095" s="709"/>
      <c r="Z1095" s="709"/>
      <c r="AA1095" s="709"/>
      <c r="AB1095" s="709"/>
      <c r="AC1095" s="709"/>
      <c r="AD1095" s="709"/>
      <c r="AE1095" s="709"/>
      <c r="AF1095" s="709"/>
      <c r="AG1095" s="709"/>
      <c r="AH1095" s="709"/>
      <c r="AI1095" s="709"/>
      <c r="AJ1095" s="709"/>
      <c r="AK1095" s="709"/>
      <c r="AL1095" s="709"/>
      <c r="AM1095" s="709"/>
      <c r="AN1095" s="709"/>
      <c r="AO1095" s="709"/>
      <c r="AP1095" s="709"/>
      <c r="AQ1095" s="709"/>
      <c r="AR1095" s="709"/>
      <c r="AS1095" s="709"/>
      <c r="AT1095" s="709"/>
      <c r="AU1095" s="709"/>
      <c r="AV1095" s="709"/>
      <c r="AW1095" s="709"/>
      <c r="AX1095" s="709"/>
      <c r="AY1095" s="709"/>
      <c r="AZ1095" s="709"/>
      <c r="BA1095" s="709"/>
      <c r="BB1095" s="709"/>
    </row>
    <row r="1096" spans="1:54" ht="12.6" customHeight="1" x14ac:dyDescent="0.25">
      <c r="A1096" s="241" t="s">
        <v>1856</v>
      </c>
      <c r="B1096" s="249"/>
      <c r="C1096" s="249"/>
      <c r="D1096" s="249"/>
      <c r="E1096" s="249"/>
      <c r="F1096" s="249"/>
      <c r="G1096" s="249"/>
      <c r="H1096" s="249"/>
      <c r="I1096" s="249"/>
      <c r="J1096" s="249"/>
      <c r="K1096" s="249"/>
      <c r="L1096" s="249"/>
      <c r="M1096" s="249"/>
      <c r="N1096" s="249"/>
      <c r="O1096" s="249"/>
      <c r="P1096" s="249"/>
      <c r="Q1096" s="249"/>
      <c r="R1096" s="249"/>
      <c r="S1096" s="249"/>
      <c r="T1096" s="249"/>
      <c r="U1096" s="249"/>
      <c r="V1096" s="249"/>
      <c r="W1096" s="249"/>
      <c r="X1096" s="250"/>
      <c r="Y1096" s="709"/>
      <c r="Z1096" s="709"/>
      <c r="AA1096" s="709"/>
      <c r="AB1096" s="709"/>
      <c r="AC1096" s="709"/>
      <c r="AD1096" s="709"/>
      <c r="AE1096" s="709"/>
      <c r="AF1096" s="709"/>
      <c r="AG1096" s="709"/>
      <c r="AH1096" s="709"/>
      <c r="AI1096" s="709"/>
      <c r="AJ1096" s="709"/>
      <c r="AK1096" s="709"/>
      <c r="AL1096" s="709"/>
      <c r="AM1096" s="709"/>
      <c r="AN1096" s="709"/>
      <c r="AO1096" s="709"/>
      <c r="AP1096" s="709"/>
      <c r="AQ1096" s="709"/>
      <c r="AR1096" s="709"/>
      <c r="AS1096" s="709"/>
      <c r="AT1096" s="709"/>
      <c r="AU1096" s="709"/>
      <c r="AV1096" s="709"/>
      <c r="AW1096" s="709"/>
      <c r="AX1096" s="709"/>
      <c r="AY1096" s="709"/>
      <c r="AZ1096" s="709"/>
      <c r="BA1096" s="709"/>
      <c r="BB1096" s="709"/>
    </row>
    <row r="1097" spans="1:54" ht="12.6" customHeight="1" x14ac:dyDescent="0.25">
      <c r="A1097" s="251" t="s">
        <v>1857</v>
      </c>
      <c r="B1097" s="247"/>
      <c r="C1097" s="247"/>
      <c r="D1097" s="247"/>
      <c r="E1097" s="247"/>
      <c r="F1097" s="247"/>
      <c r="G1097" s="247"/>
      <c r="H1097" s="247"/>
      <c r="I1097" s="247"/>
      <c r="J1097" s="247"/>
      <c r="K1097" s="247"/>
      <c r="L1097" s="247"/>
      <c r="M1097" s="247"/>
      <c r="N1097" s="247"/>
      <c r="O1097" s="247"/>
      <c r="P1097" s="247"/>
      <c r="Q1097" s="247"/>
      <c r="R1097" s="247"/>
      <c r="S1097" s="247"/>
      <c r="T1097" s="247"/>
      <c r="U1097" s="247"/>
      <c r="V1097" s="247"/>
      <c r="W1097" s="247"/>
      <c r="X1097" s="252"/>
      <c r="Y1097" s="709"/>
      <c r="Z1097" s="709"/>
      <c r="AA1097" s="709"/>
      <c r="AB1097" s="709"/>
      <c r="AC1097" s="709"/>
      <c r="AD1097" s="709"/>
      <c r="AE1097" s="709"/>
      <c r="AF1097" s="709"/>
      <c r="AG1097" s="709"/>
      <c r="AH1097" s="709"/>
      <c r="AI1097" s="709"/>
      <c r="AJ1097" s="709"/>
      <c r="AK1097" s="709"/>
      <c r="AL1097" s="709"/>
      <c r="AM1097" s="709"/>
      <c r="AN1097" s="709"/>
      <c r="AO1097" s="709"/>
      <c r="AP1097" s="709"/>
      <c r="AQ1097" s="709"/>
      <c r="AR1097" s="709"/>
      <c r="AS1097" s="709"/>
      <c r="AT1097" s="709"/>
      <c r="AU1097" s="709"/>
      <c r="AV1097" s="709"/>
      <c r="AW1097" s="709"/>
      <c r="AX1097" s="709"/>
      <c r="AY1097" s="709"/>
      <c r="AZ1097" s="709"/>
      <c r="BA1097" s="709"/>
      <c r="BB1097" s="709"/>
    </row>
    <row r="1098" spans="1:54" ht="12.6" customHeight="1" x14ac:dyDescent="0.25">
      <c r="A1098" s="253" t="s">
        <v>1854</v>
      </c>
      <c r="B1098" s="246"/>
      <c r="C1098" s="246"/>
      <c r="D1098" s="246"/>
      <c r="E1098" s="246"/>
      <c r="F1098" s="246"/>
      <c r="G1098" s="246"/>
      <c r="H1098" s="246"/>
      <c r="I1098" s="246"/>
      <c r="J1098" s="246"/>
      <c r="K1098" s="246"/>
      <c r="L1098" s="246"/>
      <c r="M1098" s="246"/>
      <c r="N1098" s="246"/>
      <c r="O1098" s="246"/>
      <c r="P1098" s="246"/>
      <c r="Q1098" s="246"/>
      <c r="R1098" s="246"/>
      <c r="S1098" s="246"/>
      <c r="T1098" s="246"/>
      <c r="U1098" s="246"/>
      <c r="V1098" s="246"/>
      <c r="W1098" s="246"/>
      <c r="X1098" s="248"/>
      <c r="Y1098" s="709"/>
      <c r="Z1098" s="709"/>
      <c r="AA1098" s="709"/>
      <c r="AB1098" s="709"/>
      <c r="AC1098" s="709"/>
      <c r="AD1098" s="709"/>
      <c r="AE1098" s="709"/>
      <c r="AF1098" s="709"/>
      <c r="AG1098" s="709"/>
      <c r="AH1098" s="709"/>
      <c r="AI1098" s="709"/>
      <c r="AJ1098" s="709"/>
      <c r="AK1098" s="709"/>
      <c r="AL1098" s="709"/>
      <c r="AM1098" s="709"/>
      <c r="AN1098" s="709"/>
      <c r="AO1098" s="709"/>
      <c r="AP1098" s="709"/>
      <c r="AQ1098" s="709"/>
      <c r="AR1098" s="709"/>
      <c r="AS1098" s="709"/>
      <c r="AT1098" s="709"/>
      <c r="AU1098" s="709"/>
      <c r="AV1098" s="709"/>
      <c r="AW1098" s="709"/>
      <c r="AX1098" s="709"/>
      <c r="AY1098" s="709"/>
      <c r="AZ1098" s="709"/>
      <c r="BA1098" s="709"/>
      <c r="BB1098" s="709"/>
    </row>
    <row r="1099" spans="1:54" ht="12.6" customHeight="1" x14ac:dyDescent="0.25">
      <c r="A1099" s="253" t="s">
        <v>1855</v>
      </c>
      <c r="B1099" s="246"/>
      <c r="C1099" s="246"/>
      <c r="D1099" s="246"/>
      <c r="E1099" s="246"/>
      <c r="F1099" s="246"/>
      <c r="G1099" s="246"/>
      <c r="H1099" s="246"/>
      <c r="I1099" s="246"/>
      <c r="J1099" s="246"/>
      <c r="K1099" s="246"/>
      <c r="L1099" s="246"/>
      <c r="M1099" s="246"/>
      <c r="N1099" s="246"/>
      <c r="O1099" s="246"/>
      <c r="P1099" s="246"/>
      <c r="Q1099" s="246"/>
      <c r="R1099" s="246"/>
      <c r="S1099" s="246"/>
      <c r="T1099" s="246"/>
      <c r="U1099" s="246"/>
      <c r="V1099" s="246"/>
      <c r="W1099" s="246"/>
      <c r="X1099" s="248"/>
      <c r="Y1099" s="709"/>
      <c r="Z1099" s="709"/>
      <c r="AA1099" s="709"/>
      <c r="AB1099" s="709"/>
      <c r="AC1099" s="709"/>
      <c r="AD1099" s="709"/>
      <c r="AE1099" s="709"/>
      <c r="AF1099" s="709"/>
      <c r="AG1099" s="709"/>
      <c r="AH1099" s="709"/>
      <c r="AI1099" s="709"/>
      <c r="AJ1099" s="709"/>
      <c r="AK1099" s="709"/>
      <c r="AL1099" s="709"/>
      <c r="AM1099" s="709"/>
      <c r="AN1099" s="709"/>
      <c r="AO1099" s="709"/>
      <c r="AP1099" s="709"/>
      <c r="AQ1099" s="709"/>
      <c r="AR1099" s="709"/>
      <c r="AS1099" s="709"/>
      <c r="AT1099" s="709"/>
      <c r="AU1099" s="709"/>
      <c r="AV1099" s="709"/>
      <c r="AW1099" s="709"/>
      <c r="AX1099" s="709"/>
      <c r="AY1099" s="709"/>
      <c r="AZ1099" s="709"/>
      <c r="BA1099" s="709"/>
      <c r="BB1099" s="709"/>
    </row>
    <row r="1100" spans="1:54" ht="12.6" customHeight="1" x14ac:dyDescent="0.25">
      <c r="A1100" s="311" t="s">
        <v>1858</v>
      </c>
      <c r="B1100" s="246"/>
      <c r="C1100" s="246"/>
      <c r="D1100" s="246"/>
      <c r="E1100" s="246"/>
      <c r="F1100" s="246"/>
      <c r="G1100" s="246"/>
      <c r="H1100" s="246"/>
      <c r="I1100" s="246"/>
      <c r="J1100" s="246"/>
      <c r="K1100" s="246"/>
      <c r="L1100" s="246"/>
      <c r="M1100" s="246"/>
      <c r="N1100" s="246"/>
      <c r="O1100" s="246"/>
      <c r="P1100" s="246"/>
      <c r="Q1100" s="246"/>
      <c r="R1100" s="246"/>
      <c r="S1100" s="246"/>
      <c r="T1100" s="246"/>
      <c r="U1100" s="246"/>
      <c r="V1100" s="246"/>
      <c r="W1100" s="246"/>
      <c r="X1100" s="248"/>
      <c r="Y1100" s="709"/>
      <c r="Z1100" s="709"/>
      <c r="AA1100" s="709"/>
      <c r="AB1100" s="709"/>
      <c r="AC1100" s="709"/>
      <c r="AD1100" s="709"/>
      <c r="AE1100" s="709"/>
      <c r="AF1100" s="709"/>
      <c r="AG1100" s="709"/>
      <c r="AH1100" s="709"/>
      <c r="AI1100" s="709"/>
      <c r="AJ1100" s="709"/>
      <c r="AK1100" s="709"/>
      <c r="AL1100" s="709"/>
      <c r="AM1100" s="709"/>
      <c r="AN1100" s="709"/>
      <c r="AO1100" s="709"/>
      <c r="AP1100" s="709"/>
      <c r="AQ1100" s="709"/>
      <c r="AR1100" s="709"/>
      <c r="AS1100" s="709"/>
      <c r="AT1100" s="709"/>
      <c r="AU1100" s="709"/>
      <c r="AV1100" s="709"/>
      <c r="AW1100" s="709"/>
      <c r="AX1100" s="709"/>
      <c r="AY1100" s="709"/>
      <c r="AZ1100" s="709"/>
      <c r="BA1100" s="709"/>
      <c r="BB1100" s="709"/>
    </row>
    <row r="1101" spans="1:54" ht="12.6" customHeight="1" x14ac:dyDescent="0.25">
      <c r="A1101" s="311" t="s">
        <v>1859</v>
      </c>
      <c r="B1101" s="246"/>
      <c r="C1101" s="246"/>
      <c r="D1101" s="246"/>
      <c r="E1101" s="246"/>
      <c r="F1101" s="246"/>
      <c r="G1101" s="246"/>
      <c r="H1101" s="246"/>
      <c r="I1101" s="246"/>
      <c r="J1101" s="246"/>
      <c r="K1101" s="246"/>
      <c r="L1101" s="246"/>
      <c r="M1101" s="246"/>
      <c r="N1101" s="246"/>
      <c r="O1101" s="246"/>
      <c r="P1101" s="246"/>
      <c r="Q1101" s="246"/>
      <c r="R1101" s="246"/>
      <c r="S1101" s="246"/>
      <c r="T1101" s="246"/>
      <c r="U1101" s="246"/>
      <c r="V1101" s="246"/>
      <c r="W1101" s="246"/>
      <c r="X1101" s="248"/>
      <c r="Y1101" s="709"/>
      <c r="Z1101" s="709"/>
      <c r="AA1101" s="709"/>
      <c r="AB1101" s="709"/>
      <c r="AC1101" s="709"/>
      <c r="AD1101" s="709"/>
      <c r="AE1101" s="709"/>
      <c r="AF1101" s="709"/>
      <c r="AG1101" s="709"/>
      <c r="AH1101" s="709"/>
      <c r="AI1101" s="709"/>
      <c r="AJ1101" s="709"/>
      <c r="AK1101" s="709"/>
      <c r="AL1101" s="709"/>
      <c r="AM1101" s="709"/>
      <c r="AN1101" s="709"/>
      <c r="AO1101" s="709"/>
      <c r="AP1101" s="709"/>
      <c r="AQ1101" s="709"/>
      <c r="AR1101" s="709"/>
      <c r="AS1101" s="709"/>
      <c r="AT1101" s="709"/>
      <c r="AU1101" s="709"/>
      <c r="AV1101" s="709"/>
      <c r="AW1101" s="709"/>
      <c r="AX1101" s="709"/>
      <c r="AY1101" s="709"/>
      <c r="AZ1101" s="709"/>
      <c r="BA1101" s="709"/>
      <c r="BB1101" s="709"/>
    </row>
    <row r="1102" spans="1:54" ht="12.6" customHeight="1" x14ac:dyDescent="0.25">
      <c r="A1102" s="241" t="s">
        <v>1860</v>
      </c>
      <c r="B1102" s="249"/>
      <c r="C1102" s="249"/>
      <c r="D1102" s="249"/>
      <c r="E1102" s="249"/>
      <c r="F1102" s="249"/>
      <c r="G1102" s="249"/>
      <c r="H1102" s="249"/>
      <c r="I1102" s="249"/>
      <c r="J1102" s="249"/>
      <c r="K1102" s="249"/>
      <c r="L1102" s="249"/>
      <c r="M1102" s="249"/>
      <c r="N1102" s="249"/>
      <c r="O1102" s="249"/>
      <c r="P1102" s="249"/>
      <c r="Q1102" s="249"/>
      <c r="R1102" s="249"/>
      <c r="S1102" s="249"/>
      <c r="T1102" s="249"/>
      <c r="U1102" s="249"/>
      <c r="V1102" s="249"/>
      <c r="W1102" s="249"/>
      <c r="X1102" s="249"/>
      <c r="Y1102" s="709"/>
      <c r="Z1102" s="709"/>
      <c r="AA1102" s="709"/>
      <c r="AB1102" s="709"/>
      <c r="AC1102" s="709"/>
      <c r="AD1102" s="709"/>
      <c r="AE1102" s="709"/>
      <c r="AF1102" s="709"/>
      <c r="AG1102" s="709"/>
      <c r="AH1102" s="709"/>
      <c r="AI1102" s="709"/>
      <c r="AJ1102" s="709"/>
      <c r="AK1102" s="709"/>
      <c r="AL1102" s="709"/>
      <c r="AM1102" s="709"/>
      <c r="AN1102" s="709"/>
      <c r="AO1102" s="709"/>
      <c r="AP1102" s="709"/>
      <c r="AQ1102" s="709"/>
      <c r="AR1102" s="709"/>
      <c r="AS1102" s="709"/>
      <c r="AT1102" s="709"/>
      <c r="AU1102" s="709"/>
      <c r="AV1102" s="709"/>
      <c r="AW1102" s="709"/>
      <c r="AX1102" s="709"/>
      <c r="AY1102" s="709"/>
      <c r="AZ1102" s="709"/>
      <c r="BA1102" s="709"/>
      <c r="BB1102" s="709"/>
    </row>
    <row r="1103" spans="1:54" ht="12.6" customHeight="1" x14ac:dyDescent="0.25">
      <c r="A1103" s="311" t="s">
        <v>1703</v>
      </c>
      <c r="B1103" s="246"/>
      <c r="C1103" s="246"/>
      <c r="D1103" s="246"/>
      <c r="E1103" s="246"/>
      <c r="F1103" s="246"/>
      <c r="G1103" s="246"/>
      <c r="H1103" s="246"/>
      <c r="I1103" s="246"/>
      <c r="J1103" s="246"/>
      <c r="K1103" s="246"/>
      <c r="L1103" s="246"/>
      <c r="M1103" s="246"/>
      <c r="N1103" s="246"/>
      <c r="O1103" s="246"/>
      <c r="P1103" s="246"/>
      <c r="Q1103" s="246"/>
      <c r="R1103" s="246"/>
      <c r="S1103" s="246"/>
      <c r="T1103" s="246"/>
      <c r="U1103" s="246"/>
      <c r="V1103" s="246"/>
      <c r="W1103" s="246"/>
      <c r="X1103" s="246"/>
      <c r="Y1103" s="709"/>
      <c r="Z1103" s="709"/>
      <c r="AA1103" s="709"/>
      <c r="AB1103" s="709"/>
      <c r="AC1103" s="709"/>
      <c r="AD1103" s="709"/>
      <c r="AE1103" s="709"/>
      <c r="AF1103" s="709"/>
      <c r="AG1103" s="709"/>
      <c r="AH1103" s="709"/>
      <c r="AI1103" s="709"/>
      <c r="AJ1103" s="709"/>
      <c r="AK1103" s="709"/>
      <c r="AL1103" s="709"/>
      <c r="AM1103" s="709"/>
      <c r="AN1103" s="709"/>
      <c r="AO1103" s="709"/>
      <c r="AP1103" s="709"/>
      <c r="AQ1103" s="709"/>
      <c r="AR1103" s="709"/>
      <c r="AS1103" s="709"/>
      <c r="AT1103" s="709"/>
      <c r="AU1103" s="709"/>
      <c r="AV1103" s="709"/>
      <c r="AW1103" s="709"/>
      <c r="AX1103" s="709"/>
      <c r="AY1103" s="709"/>
      <c r="AZ1103" s="709"/>
      <c r="BA1103" s="709"/>
      <c r="BB1103" s="709"/>
    </row>
    <row r="1104" spans="1:54" ht="12.6" customHeight="1" x14ac:dyDescent="0.25">
      <c r="A1104" s="311" t="s">
        <v>1861</v>
      </c>
      <c r="B1104" s="246"/>
      <c r="C1104" s="246"/>
      <c r="D1104" s="246"/>
      <c r="E1104" s="246"/>
      <c r="F1104" s="246"/>
      <c r="G1104" s="246"/>
      <c r="H1104" s="246"/>
      <c r="I1104" s="246"/>
      <c r="J1104" s="246"/>
      <c r="K1104" s="246"/>
      <c r="L1104" s="246"/>
      <c r="M1104" s="246"/>
      <c r="N1104" s="246"/>
      <c r="O1104" s="246"/>
      <c r="P1104" s="246"/>
      <c r="Q1104" s="246"/>
      <c r="R1104" s="246"/>
      <c r="S1104" s="246"/>
      <c r="T1104" s="246"/>
      <c r="U1104" s="246"/>
      <c r="V1104" s="246"/>
      <c r="W1104" s="246"/>
      <c r="X1104" s="246"/>
      <c r="Y1104" s="709"/>
      <c r="Z1104" s="709"/>
      <c r="AA1104" s="709"/>
      <c r="AB1104" s="709"/>
      <c r="AC1104" s="709"/>
      <c r="AD1104" s="709"/>
      <c r="AE1104" s="709"/>
      <c r="AF1104" s="709"/>
      <c r="AG1104" s="709"/>
      <c r="AH1104" s="709"/>
      <c r="AI1104" s="709"/>
      <c r="AJ1104" s="709"/>
      <c r="AK1104" s="709"/>
      <c r="AL1104" s="709"/>
      <c r="AM1104" s="709"/>
      <c r="AN1104" s="709"/>
      <c r="AO1104" s="709"/>
      <c r="AP1104" s="709"/>
      <c r="AQ1104" s="709"/>
      <c r="AR1104" s="709"/>
      <c r="AS1104" s="709"/>
      <c r="AT1104" s="709"/>
      <c r="AU1104" s="709"/>
      <c r="AV1104" s="709"/>
      <c r="AW1104" s="709"/>
      <c r="AX1104" s="709"/>
      <c r="AY1104" s="709"/>
      <c r="AZ1104" s="709"/>
      <c r="BA1104" s="709"/>
      <c r="BB1104" s="709"/>
    </row>
    <row r="1105" spans="1:54" ht="12.6" customHeight="1" x14ac:dyDescent="0.25">
      <c r="A1105" s="253" t="s">
        <v>1862</v>
      </c>
      <c r="B1105" s="246"/>
      <c r="C1105" s="246"/>
      <c r="D1105" s="246"/>
      <c r="E1105" s="246"/>
      <c r="F1105" s="246"/>
      <c r="G1105" s="246"/>
      <c r="H1105" s="246"/>
      <c r="I1105" s="246"/>
      <c r="J1105" s="246"/>
      <c r="K1105" s="246"/>
      <c r="L1105" s="246"/>
      <c r="M1105" s="246"/>
      <c r="N1105" s="246"/>
      <c r="O1105" s="246"/>
      <c r="P1105" s="246"/>
      <c r="Q1105" s="246"/>
      <c r="R1105" s="246"/>
      <c r="S1105" s="246"/>
      <c r="T1105" s="246"/>
      <c r="U1105" s="246"/>
      <c r="V1105" s="246"/>
      <c r="W1105" s="246"/>
      <c r="X1105" s="246"/>
      <c r="Y1105" s="709"/>
      <c r="Z1105" s="709"/>
      <c r="AA1105" s="709"/>
      <c r="AB1105" s="709"/>
      <c r="AC1105" s="709"/>
      <c r="AD1105" s="709"/>
      <c r="AE1105" s="709"/>
      <c r="AF1105" s="709"/>
      <c r="AG1105" s="709"/>
      <c r="AH1105" s="709"/>
      <c r="AI1105" s="709"/>
      <c r="AJ1105" s="709"/>
      <c r="AK1105" s="709"/>
      <c r="AL1105" s="709"/>
      <c r="AM1105" s="709"/>
      <c r="AN1105" s="709"/>
      <c r="AO1105" s="709"/>
      <c r="AP1105" s="709"/>
      <c r="AQ1105" s="709"/>
      <c r="AR1105" s="709"/>
      <c r="AS1105" s="709"/>
      <c r="AT1105" s="709"/>
      <c r="AU1105" s="709"/>
      <c r="AV1105" s="709"/>
      <c r="AW1105" s="709"/>
      <c r="AX1105" s="709"/>
      <c r="AY1105" s="709"/>
      <c r="AZ1105" s="709"/>
      <c r="BA1105" s="709"/>
      <c r="BB1105" s="709"/>
    </row>
    <row r="1106" spans="1:54" ht="12.6" customHeight="1" x14ac:dyDescent="0.25">
      <c r="A1106" s="253" t="s">
        <v>1863</v>
      </c>
      <c r="B1106" s="246"/>
      <c r="C1106" s="246"/>
      <c r="D1106" s="246"/>
      <c r="E1106" s="246"/>
      <c r="F1106" s="246"/>
      <c r="G1106" s="246"/>
      <c r="H1106" s="246"/>
      <c r="I1106" s="246"/>
      <c r="J1106" s="246"/>
      <c r="K1106" s="246"/>
      <c r="L1106" s="246"/>
      <c r="M1106" s="246"/>
      <c r="N1106" s="246"/>
      <c r="O1106" s="246"/>
      <c r="P1106" s="246"/>
      <c r="Q1106" s="246"/>
      <c r="R1106" s="246"/>
      <c r="S1106" s="246"/>
      <c r="T1106" s="246"/>
      <c r="U1106" s="246"/>
      <c r="V1106" s="246"/>
      <c r="W1106" s="246"/>
      <c r="X1106" s="246"/>
      <c r="Y1106" s="709"/>
      <c r="Z1106" s="709"/>
      <c r="AA1106" s="709"/>
      <c r="AB1106" s="709"/>
      <c r="AC1106" s="709"/>
      <c r="AD1106" s="709"/>
      <c r="AE1106" s="709"/>
      <c r="AF1106" s="709"/>
      <c r="AG1106" s="709"/>
      <c r="AH1106" s="709"/>
      <c r="AI1106" s="709"/>
      <c r="AJ1106" s="709"/>
      <c r="AK1106" s="709"/>
      <c r="AL1106" s="709"/>
      <c r="AM1106" s="709"/>
      <c r="AN1106" s="709"/>
      <c r="AO1106" s="709"/>
      <c r="AP1106" s="709"/>
      <c r="AQ1106" s="709"/>
      <c r="AR1106" s="709"/>
      <c r="AS1106" s="709"/>
      <c r="AT1106" s="709"/>
      <c r="AU1106" s="709"/>
      <c r="AV1106" s="709"/>
      <c r="AW1106" s="709"/>
      <c r="AX1106" s="709"/>
      <c r="AY1106" s="709"/>
      <c r="AZ1106" s="709"/>
      <c r="BA1106" s="709"/>
      <c r="BB1106" s="709"/>
    </row>
    <row r="1107" spans="1:54" ht="12.6" customHeight="1" x14ac:dyDescent="0.25">
      <c r="A1107" s="311" t="s">
        <v>1864</v>
      </c>
      <c r="B1107" s="246"/>
      <c r="C1107" s="246"/>
      <c r="D1107" s="246"/>
      <c r="E1107" s="246"/>
      <c r="F1107" s="246"/>
      <c r="G1107" s="246"/>
      <c r="H1107" s="246"/>
      <c r="I1107" s="246"/>
      <c r="J1107" s="246"/>
      <c r="K1107" s="246"/>
      <c r="L1107" s="246"/>
      <c r="M1107" s="246"/>
      <c r="N1107" s="246"/>
      <c r="O1107" s="246"/>
      <c r="P1107" s="246"/>
      <c r="Q1107" s="246"/>
      <c r="R1107" s="246"/>
      <c r="S1107" s="246"/>
      <c r="T1107" s="246"/>
      <c r="U1107" s="246"/>
      <c r="V1107" s="246"/>
      <c r="W1107" s="246"/>
      <c r="X1107" s="246"/>
      <c r="Y1107" s="709"/>
      <c r="Z1107" s="709"/>
      <c r="AA1107" s="709"/>
      <c r="AB1107" s="709"/>
      <c r="AC1107" s="709"/>
      <c r="AD1107" s="709"/>
      <c r="AE1107" s="709"/>
      <c r="AF1107" s="709"/>
      <c r="AG1107" s="709"/>
      <c r="AH1107" s="709"/>
      <c r="AI1107" s="709"/>
      <c r="AJ1107" s="709"/>
      <c r="AK1107" s="709"/>
      <c r="AL1107" s="709"/>
      <c r="AM1107" s="709"/>
      <c r="AN1107" s="709"/>
      <c r="AO1107" s="709"/>
      <c r="AP1107" s="709"/>
      <c r="AQ1107" s="709"/>
      <c r="AR1107" s="709"/>
      <c r="AS1107" s="709"/>
      <c r="AT1107" s="709"/>
      <c r="AU1107" s="709"/>
      <c r="AV1107" s="709"/>
      <c r="AW1107" s="709"/>
      <c r="AX1107" s="709"/>
      <c r="AY1107" s="709"/>
      <c r="AZ1107" s="709"/>
      <c r="BA1107" s="709"/>
      <c r="BB1107" s="709"/>
    </row>
    <row r="1108" spans="1:54" ht="12.6" customHeight="1" x14ac:dyDescent="0.25">
      <c r="A1108" s="311" t="s">
        <v>1865</v>
      </c>
      <c r="B1108" s="246"/>
      <c r="C1108" s="246"/>
      <c r="D1108" s="246"/>
      <c r="E1108" s="246"/>
      <c r="F1108" s="246"/>
      <c r="G1108" s="246"/>
      <c r="H1108" s="246"/>
      <c r="I1108" s="246"/>
      <c r="J1108" s="246"/>
      <c r="K1108" s="246"/>
      <c r="L1108" s="246"/>
      <c r="M1108" s="246"/>
      <c r="N1108" s="246"/>
      <c r="O1108" s="246"/>
      <c r="P1108" s="246"/>
      <c r="Q1108" s="246"/>
      <c r="R1108" s="246"/>
      <c r="S1108" s="246"/>
      <c r="T1108" s="246"/>
      <c r="U1108" s="246"/>
      <c r="V1108" s="246"/>
      <c r="W1108" s="246"/>
      <c r="X1108" s="246"/>
      <c r="Y1108" s="709"/>
      <c r="Z1108" s="709"/>
      <c r="AA1108" s="709"/>
      <c r="AB1108" s="709"/>
      <c r="AC1108" s="709"/>
      <c r="AD1108" s="709"/>
      <c r="AE1108" s="709"/>
      <c r="AF1108" s="709"/>
      <c r="AG1108" s="709"/>
      <c r="AH1108" s="709"/>
      <c r="AI1108" s="709"/>
      <c r="AJ1108" s="709"/>
      <c r="AK1108" s="709"/>
      <c r="AL1108" s="709"/>
      <c r="AM1108" s="709"/>
      <c r="AN1108" s="709"/>
      <c r="AO1108" s="709"/>
      <c r="AP1108" s="709"/>
      <c r="AQ1108" s="709"/>
      <c r="AR1108" s="709"/>
      <c r="AS1108" s="709"/>
      <c r="AT1108" s="709"/>
      <c r="AU1108" s="709"/>
      <c r="AV1108" s="709"/>
      <c r="AW1108" s="709"/>
      <c r="AX1108" s="709"/>
      <c r="AY1108" s="709"/>
      <c r="AZ1108" s="709"/>
      <c r="BA1108" s="709"/>
      <c r="BB1108" s="709"/>
    </row>
    <row r="1109" spans="1:54" ht="12.6" customHeight="1" x14ac:dyDescent="0.25">
      <c r="A1109" s="253" t="s">
        <v>1862</v>
      </c>
      <c r="B1109" s="246"/>
      <c r="C1109" s="246"/>
      <c r="D1109" s="246"/>
      <c r="E1109" s="246"/>
      <c r="F1109" s="246"/>
      <c r="G1109" s="246"/>
      <c r="H1109" s="246"/>
      <c r="I1109" s="246"/>
      <c r="J1109" s="246"/>
      <c r="K1109" s="246"/>
      <c r="L1109" s="246"/>
      <c r="M1109" s="246"/>
      <c r="N1109" s="246"/>
      <c r="O1109" s="246"/>
      <c r="P1109" s="246"/>
      <c r="Q1109" s="246"/>
      <c r="R1109" s="246"/>
      <c r="S1109" s="246"/>
      <c r="T1109" s="246"/>
      <c r="U1109" s="246"/>
      <c r="V1109" s="246"/>
      <c r="W1109" s="246"/>
      <c r="X1109" s="246"/>
      <c r="Y1109" s="709"/>
      <c r="Z1109" s="709"/>
      <c r="AA1109" s="709"/>
      <c r="AB1109" s="709"/>
      <c r="AC1109" s="709"/>
      <c r="AD1109" s="709"/>
      <c r="AE1109" s="709"/>
      <c r="AF1109" s="709"/>
      <c r="AG1109" s="709"/>
      <c r="AH1109" s="709"/>
      <c r="AI1109" s="709"/>
      <c r="AJ1109" s="709"/>
      <c r="AK1109" s="709"/>
      <c r="AL1109" s="709"/>
      <c r="AM1109" s="709"/>
      <c r="AN1109" s="709"/>
      <c r="AO1109" s="709"/>
      <c r="AP1109" s="709"/>
      <c r="AQ1109" s="709"/>
      <c r="AR1109" s="709"/>
      <c r="AS1109" s="709"/>
      <c r="AT1109" s="709"/>
      <c r="AU1109" s="709"/>
      <c r="AV1109" s="709"/>
      <c r="AW1109" s="709"/>
      <c r="AX1109" s="709"/>
      <c r="AY1109" s="709"/>
      <c r="AZ1109" s="709"/>
      <c r="BA1109" s="709"/>
      <c r="BB1109" s="709"/>
    </row>
    <row r="1110" spans="1:54" ht="12.6" customHeight="1" x14ac:dyDescent="0.25">
      <c r="A1110" s="253" t="s">
        <v>1863</v>
      </c>
      <c r="B1110" s="246"/>
      <c r="C1110" s="246"/>
      <c r="D1110" s="246"/>
      <c r="E1110" s="246"/>
      <c r="F1110" s="246"/>
      <c r="G1110" s="246"/>
      <c r="H1110" s="246"/>
      <c r="I1110" s="246"/>
      <c r="J1110" s="246"/>
      <c r="K1110" s="246"/>
      <c r="L1110" s="246"/>
      <c r="M1110" s="246"/>
      <c r="N1110" s="246"/>
      <c r="O1110" s="246"/>
      <c r="P1110" s="246"/>
      <c r="Q1110" s="246"/>
      <c r="R1110" s="246"/>
      <c r="S1110" s="246"/>
      <c r="T1110" s="246"/>
      <c r="U1110" s="246"/>
      <c r="V1110" s="246"/>
      <c r="W1110" s="246"/>
      <c r="X1110" s="246"/>
      <c r="Y1110" s="709"/>
      <c r="Z1110" s="709"/>
      <c r="AA1110" s="709"/>
      <c r="AB1110" s="709"/>
      <c r="AC1110" s="709"/>
      <c r="AD1110" s="709"/>
      <c r="AE1110" s="709"/>
      <c r="AF1110" s="709"/>
      <c r="AG1110" s="709"/>
      <c r="AH1110" s="709"/>
      <c r="AI1110" s="709"/>
      <c r="AJ1110" s="709"/>
      <c r="AK1110" s="709"/>
      <c r="AL1110" s="709"/>
      <c r="AM1110" s="709"/>
      <c r="AN1110" s="709"/>
      <c r="AO1110" s="709"/>
      <c r="AP1110" s="709"/>
      <c r="AQ1110" s="709"/>
      <c r="AR1110" s="709"/>
      <c r="AS1110" s="709"/>
      <c r="AT1110" s="709"/>
      <c r="AU1110" s="709"/>
      <c r="AV1110" s="709"/>
      <c r="AW1110" s="709"/>
      <c r="AX1110" s="709"/>
      <c r="AY1110" s="709"/>
      <c r="AZ1110" s="709"/>
      <c r="BA1110" s="709"/>
      <c r="BB1110" s="709"/>
    </row>
    <row r="1111" spans="1:54" ht="12.6" customHeight="1" x14ac:dyDescent="0.25">
      <c r="A1111" s="253" t="s">
        <v>1806</v>
      </c>
      <c r="B1111" s="246"/>
      <c r="C1111" s="246"/>
      <c r="D1111" s="246"/>
      <c r="E1111" s="246"/>
      <c r="F1111" s="246"/>
      <c r="G1111" s="246"/>
      <c r="H1111" s="246"/>
      <c r="I1111" s="246"/>
      <c r="J1111" s="246"/>
      <c r="K1111" s="246"/>
      <c r="L1111" s="246"/>
      <c r="M1111" s="246"/>
      <c r="N1111" s="246"/>
      <c r="O1111" s="246"/>
      <c r="P1111" s="246"/>
      <c r="Q1111" s="246"/>
      <c r="R1111" s="246"/>
      <c r="S1111" s="246"/>
      <c r="T1111" s="246"/>
      <c r="U1111" s="246"/>
      <c r="V1111" s="246"/>
      <c r="W1111" s="246"/>
      <c r="X1111" s="246"/>
      <c r="Y1111" s="709"/>
      <c r="Z1111" s="709"/>
      <c r="AA1111" s="709"/>
      <c r="AB1111" s="709"/>
      <c r="AC1111" s="709"/>
      <c r="AD1111" s="709"/>
      <c r="AE1111" s="709"/>
      <c r="AF1111" s="709"/>
      <c r="AG1111" s="709"/>
      <c r="AH1111" s="709"/>
      <c r="AI1111" s="709"/>
      <c r="AJ1111" s="709"/>
      <c r="AK1111" s="709"/>
      <c r="AL1111" s="709"/>
      <c r="AM1111" s="709"/>
      <c r="AN1111" s="709"/>
      <c r="AO1111" s="709"/>
      <c r="AP1111" s="709"/>
      <c r="AQ1111" s="709"/>
      <c r="AR1111" s="709"/>
      <c r="AS1111" s="709"/>
      <c r="AT1111" s="709"/>
      <c r="AU1111" s="709"/>
      <c r="AV1111" s="709"/>
      <c r="AW1111" s="709"/>
      <c r="AX1111" s="709"/>
      <c r="AY1111" s="709"/>
      <c r="AZ1111" s="709"/>
      <c r="BA1111" s="709"/>
      <c r="BB1111" s="709"/>
    </row>
    <row r="1112" spans="1:54" ht="12.6" customHeight="1" x14ac:dyDescent="0.25">
      <c r="A1112" s="227" t="s">
        <v>1344</v>
      </c>
    </row>
    <row r="1113" spans="1:54" ht="15" customHeight="1" x14ac:dyDescent="0.25">
      <c r="A1113" s="763"/>
      <c r="B1113" s="763"/>
      <c r="C1113" s="763"/>
      <c r="D1113" s="763"/>
      <c r="E1113" s="763"/>
      <c r="F1113" s="763"/>
      <c r="G1113" s="763"/>
      <c r="H1113" s="763"/>
      <c r="I1113" s="763"/>
      <c r="J1113" s="763"/>
      <c r="K1113" s="763"/>
      <c r="L1113" s="763"/>
      <c r="M1113" s="763"/>
      <c r="N1113" s="763"/>
      <c r="O1113" s="763"/>
      <c r="P1113" s="763"/>
      <c r="Q1113" s="763"/>
      <c r="R1113" s="763"/>
      <c r="S1113" s="763"/>
      <c r="T1113" s="763"/>
      <c r="U1113" s="763"/>
      <c r="V1113" s="763"/>
      <c r="W1113" s="763"/>
      <c r="X1113" s="763"/>
      <c r="Y1113" s="763"/>
      <c r="Z1113" s="763"/>
      <c r="AA1113" s="763"/>
      <c r="AB1113" s="763"/>
      <c r="AC1113" s="763"/>
      <c r="AD1113" s="763"/>
      <c r="AE1113" s="763"/>
      <c r="AF1113" s="763"/>
      <c r="AG1113" s="763"/>
      <c r="AH1113" s="763"/>
      <c r="AI1113" s="763"/>
      <c r="AJ1113" s="763"/>
      <c r="AK1113" s="763"/>
      <c r="AL1113" s="763"/>
      <c r="AM1113" s="763"/>
      <c r="AN1113" s="763"/>
      <c r="AO1113" s="763"/>
      <c r="AP1113" s="763"/>
      <c r="AQ1113" s="763"/>
      <c r="AR1113" s="763"/>
      <c r="AS1113" s="763"/>
      <c r="AT1113" s="763"/>
      <c r="AU1113" s="763"/>
      <c r="AV1113" s="763"/>
      <c r="AW1113" s="763"/>
      <c r="AX1113" s="763"/>
      <c r="AY1113" s="265"/>
      <c r="AZ1113" s="265"/>
      <c r="BA1113" s="265"/>
      <c r="BB1113" s="265"/>
    </row>
    <row r="1114" spans="1:54" ht="15" customHeight="1" x14ac:dyDescent="0.25">
      <c r="A1114" s="763"/>
      <c r="B1114" s="763"/>
      <c r="C1114" s="763"/>
      <c r="D1114" s="763"/>
      <c r="E1114" s="763"/>
      <c r="F1114" s="763"/>
      <c r="G1114" s="763"/>
      <c r="H1114" s="763"/>
      <c r="I1114" s="763"/>
      <c r="J1114" s="763"/>
      <c r="K1114" s="763"/>
      <c r="L1114" s="763"/>
      <c r="M1114" s="763"/>
      <c r="N1114" s="763"/>
      <c r="O1114" s="763"/>
      <c r="P1114" s="763"/>
      <c r="Q1114" s="763"/>
      <c r="R1114" s="763"/>
      <c r="S1114" s="763"/>
      <c r="T1114" s="763"/>
      <c r="U1114" s="763"/>
      <c r="V1114" s="763"/>
      <c r="W1114" s="763"/>
      <c r="X1114" s="763"/>
      <c r="Y1114" s="763"/>
      <c r="Z1114" s="763"/>
      <c r="AA1114" s="763"/>
      <c r="AB1114" s="763"/>
      <c r="AC1114" s="763"/>
      <c r="AD1114" s="763"/>
      <c r="AE1114" s="763"/>
      <c r="AF1114" s="763"/>
      <c r="AG1114" s="763"/>
      <c r="AH1114" s="763"/>
      <c r="AI1114" s="763"/>
      <c r="AJ1114" s="763"/>
      <c r="AK1114" s="763"/>
      <c r="AL1114" s="763"/>
      <c r="AM1114" s="763"/>
      <c r="AN1114" s="763"/>
      <c r="AO1114" s="763"/>
      <c r="AP1114" s="763"/>
      <c r="AQ1114" s="763"/>
      <c r="AR1114" s="763"/>
      <c r="AS1114" s="763"/>
      <c r="AT1114" s="763"/>
      <c r="AU1114" s="763"/>
      <c r="AV1114" s="763"/>
      <c r="AW1114" s="763"/>
      <c r="AX1114" s="763"/>
      <c r="AY1114" s="265"/>
      <c r="AZ1114" s="265"/>
      <c r="BA1114" s="265"/>
      <c r="BB1114" s="265"/>
    </row>
    <row r="1115" spans="1:54" s="29" customFormat="1" ht="15" customHeight="1" x14ac:dyDescent="0.25">
      <c r="A1115" s="198"/>
      <c r="B1115" s="198"/>
      <c r="C1115" s="198"/>
      <c r="D1115" s="198"/>
      <c r="E1115" s="198"/>
      <c r="F1115" s="198"/>
      <c r="G1115" s="198"/>
      <c r="H1115" s="198"/>
      <c r="I1115" s="198"/>
      <c r="J1115" s="198"/>
      <c r="K1115" s="198"/>
      <c r="L1115" s="198"/>
      <c r="M1115" s="198"/>
      <c r="N1115" s="198"/>
      <c r="O1115" s="198"/>
      <c r="P1115" s="198"/>
      <c r="Q1115" s="198"/>
      <c r="R1115" s="198"/>
      <c r="S1115" s="198"/>
      <c r="T1115" s="198"/>
      <c r="U1115" s="198"/>
      <c r="V1115" s="198"/>
      <c r="W1115" s="198"/>
      <c r="X1115" s="198"/>
      <c r="Y1115" s="198"/>
      <c r="Z1115" s="198"/>
      <c r="AA1115" s="198"/>
      <c r="AB1115" s="198"/>
      <c r="AC1115" s="198"/>
      <c r="AD1115" s="198"/>
      <c r="AE1115" s="198"/>
      <c r="AF1115" s="198"/>
      <c r="AG1115" s="198"/>
      <c r="AH1115" s="198"/>
      <c r="AI1115" s="198"/>
      <c r="AJ1115" s="198"/>
      <c r="AK1115" s="198"/>
      <c r="AL1115" s="198"/>
      <c r="AM1115" s="198"/>
      <c r="AN1115" s="198"/>
      <c r="AO1115" s="198"/>
      <c r="AP1115" s="198"/>
      <c r="AQ1115" s="198"/>
      <c r="AR1115" s="198"/>
      <c r="AS1115" s="198"/>
      <c r="AT1115" s="198"/>
      <c r="AU1115" s="198"/>
      <c r="AV1115" s="198"/>
      <c r="AW1115" s="198"/>
      <c r="AX1115" s="198"/>
      <c r="AY1115" s="265"/>
      <c r="AZ1115" s="265"/>
      <c r="BA1115" s="265"/>
      <c r="BB1115" s="265"/>
    </row>
    <row r="1116" spans="1:54" ht="12.6" customHeight="1" x14ac:dyDescent="0.25">
      <c r="A1116" s="227" t="s">
        <v>1866</v>
      </c>
    </row>
    <row r="1117" spans="1:54" ht="12.6" customHeight="1" x14ac:dyDescent="0.25">
      <c r="A1117" s="298"/>
      <c r="B1117" s="299"/>
      <c r="C1117" s="299"/>
      <c r="D1117" s="299"/>
      <c r="E1117" s="299"/>
      <c r="F1117" s="299"/>
      <c r="G1117" s="299"/>
      <c r="H1117" s="299"/>
      <c r="I1117" s="299"/>
      <c r="J1117" s="299"/>
      <c r="K1117" s="299"/>
      <c r="L1117" s="299"/>
      <c r="M1117" s="299"/>
      <c r="N1117" s="299"/>
      <c r="O1117" s="299"/>
      <c r="P1117" s="299"/>
      <c r="Q1117" s="299"/>
      <c r="R1117" s="299"/>
      <c r="S1117" s="300"/>
      <c r="T1117" s="298"/>
      <c r="U1117" s="299"/>
      <c r="V1117" s="299"/>
      <c r="W1117" s="299"/>
      <c r="X1117" s="299"/>
      <c r="Y1117" s="299"/>
      <c r="Z1117" s="299"/>
      <c r="AA1117" s="299"/>
      <c r="AB1117" s="299"/>
      <c r="AC1117" s="299"/>
      <c r="AD1117" s="299"/>
      <c r="AE1117" s="299"/>
      <c r="AF1117" s="300"/>
      <c r="AG1117" s="768" t="s">
        <v>1720</v>
      </c>
      <c r="AH1117" s="768"/>
      <c r="AI1117" s="768"/>
      <c r="AJ1117" s="768"/>
      <c r="AK1117" s="768"/>
      <c r="AL1117" s="768"/>
      <c r="AM1117" s="768"/>
      <c r="AN1117" s="768"/>
      <c r="AO1117" s="768"/>
      <c r="AP1117" s="768"/>
      <c r="AQ1117" s="768"/>
      <c r="AR1117" s="768"/>
      <c r="AS1117" s="768"/>
      <c r="AT1117" s="768"/>
      <c r="AU1117" s="768"/>
      <c r="AV1117" s="768"/>
      <c r="AW1117" s="768"/>
      <c r="AX1117" s="768"/>
      <c r="AY1117" s="768"/>
      <c r="AZ1117" s="768"/>
      <c r="BA1117" s="768"/>
      <c r="BB1117" s="768"/>
    </row>
    <row r="1118" spans="1:54" ht="12.6" customHeight="1" x14ac:dyDescent="0.25">
      <c r="A1118" s="745" t="s">
        <v>1287</v>
      </c>
      <c r="B1118" s="745"/>
      <c r="C1118" s="745"/>
      <c r="D1118" s="745"/>
      <c r="E1118" s="745"/>
      <c r="F1118" s="745"/>
      <c r="G1118" s="745"/>
      <c r="H1118" s="745"/>
      <c r="I1118" s="745"/>
      <c r="J1118" s="745"/>
      <c r="K1118" s="745"/>
      <c r="L1118" s="745"/>
      <c r="M1118" s="745"/>
      <c r="N1118" s="745"/>
      <c r="O1118" s="745"/>
      <c r="P1118" s="745"/>
      <c r="Q1118" s="745"/>
      <c r="R1118" s="745"/>
      <c r="S1118" s="745"/>
      <c r="T1118" s="745" t="s">
        <v>1288</v>
      </c>
      <c r="U1118" s="745"/>
      <c r="V1118" s="745"/>
      <c r="W1118" s="745"/>
      <c r="X1118" s="745"/>
      <c r="Y1118" s="745"/>
      <c r="Z1118" s="745"/>
      <c r="AA1118" s="745"/>
      <c r="AB1118" s="745"/>
      <c r="AC1118" s="745"/>
      <c r="AD1118" s="745"/>
      <c r="AE1118" s="745"/>
      <c r="AF1118" s="745"/>
      <c r="AG1118" s="745" t="s">
        <v>1721</v>
      </c>
      <c r="AH1118" s="745"/>
      <c r="AI1118" s="745"/>
      <c r="AJ1118" s="745"/>
      <c r="AK1118" s="745"/>
      <c r="AL1118" s="745"/>
      <c r="AM1118" s="745"/>
      <c r="AN1118" s="745"/>
      <c r="AO1118" s="745"/>
      <c r="AP1118" s="745"/>
      <c r="AQ1118" s="745"/>
      <c r="AR1118" s="745"/>
      <c r="AS1118" s="745"/>
      <c r="AT1118" s="745"/>
      <c r="AU1118" s="745"/>
      <c r="AV1118" s="745"/>
      <c r="AW1118" s="745"/>
      <c r="AX1118" s="745"/>
      <c r="AY1118" s="745"/>
      <c r="AZ1118" s="745"/>
      <c r="BA1118" s="745"/>
      <c r="BB1118" s="745"/>
    </row>
    <row r="1119" spans="1:54" ht="12.6" customHeight="1" x14ac:dyDescent="0.25">
      <c r="A1119" s="210"/>
      <c r="B1119" s="211"/>
      <c r="C1119" s="211"/>
      <c r="D1119" s="211"/>
      <c r="E1119" s="211"/>
      <c r="F1119" s="211"/>
      <c r="G1119" s="211"/>
      <c r="H1119" s="211"/>
      <c r="I1119" s="211"/>
      <c r="J1119" s="211"/>
      <c r="K1119" s="211"/>
      <c r="L1119" s="211"/>
      <c r="M1119" s="211"/>
      <c r="N1119" s="211"/>
      <c r="O1119" s="211"/>
      <c r="P1119" s="211"/>
      <c r="Q1119" s="211"/>
      <c r="R1119" s="211"/>
      <c r="S1119" s="317"/>
      <c r="T1119" s="210"/>
      <c r="U1119" s="211"/>
      <c r="V1119" s="211"/>
      <c r="W1119" s="211"/>
      <c r="X1119" s="211"/>
      <c r="Y1119" s="211"/>
      <c r="Z1119" s="211"/>
      <c r="AA1119" s="211"/>
      <c r="AB1119" s="211"/>
      <c r="AC1119" s="211"/>
      <c r="AD1119" s="211"/>
      <c r="AE1119" s="211"/>
      <c r="AF1119" s="317"/>
      <c r="AG1119" s="745" t="s">
        <v>1486</v>
      </c>
      <c r="AH1119" s="745"/>
      <c r="AI1119" s="745"/>
      <c r="AJ1119" s="745"/>
      <c r="AK1119" s="745"/>
      <c r="AL1119" s="745"/>
      <c r="AM1119" s="745"/>
      <c r="AN1119" s="745"/>
      <c r="AO1119" s="745"/>
      <c r="AP1119" s="745"/>
      <c r="AQ1119" s="745"/>
      <c r="AR1119" s="745"/>
      <c r="AS1119" s="745"/>
      <c r="AT1119" s="745"/>
      <c r="AU1119" s="745"/>
      <c r="AV1119" s="745"/>
      <c r="AW1119" s="745"/>
      <c r="AX1119" s="745"/>
      <c r="AY1119" s="745"/>
      <c r="AZ1119" s="745"/>
      <c r="BA1119" s="745"/>
      <c r="BB1119" s="745"/>
    </row>
    <row r="1120" spans="1:54" ht="12.6" customHeight="1" x14ac:dyDescent="0.25">
      <c r="A1120" s="311" t="s">
        <v>1867</v>
      </c>
      <c r="B1120" s="246"/>
      <c r="C1120" s="246"/>
      <c r="D1120" s="246"/>
      <c r="E1120" s="246"/>
      <c r="F1120" s="246"/>
      <c r="G1120" s="246"/>
      <c r="H1120" s="246"/>
      <c r="I1120" s="246"/>
      <c r="J1120" s="246"/>
      <c r="K1120" s="246"/>
      <c r="L1120" s="246"/>
      <c r="M1120" s="246"/>
      <c r="N1120" s="246"/>
      <c r="O1120" s="246"/>
      <c r="P1120" s="246"/>
      <c r="Q1120" s="246"/>
      <c r="R1120" s="246"/>
      <c r="S1120" s="248"/>
      <c r="T1120" s="826">
        <f>SUM('HL KNIHA VYPOC'!D248)*-1</f>
        <v>1238.21</v>
      </c>
      <c r="U1120" s="826"/>
      <c r="V1120" s="826"/>
      <c r="W1120" s="826"/>
      <c r="X1120" s="826"/>
      <c r="Y1120" s="826"/>
      <c r="Z1120" s="826"/>
      <c r="AA1120" s="826"/>
      <c r="AB1120" s="826"/>
      <c r="AC1120" s="826"/>
      <c r="AD1120" s="826"/>
      <c r="AE1120" s="826"/>
      <c r="AF1120" s="826"/>
      <c r="AG1120" s="826">
        <f>SUM('HL KNIHA VYPOC'!H248)*-1</f>
        <v>1515.54</v>
      </c>
      <c r="AH1120" s="826"/>
      <c r="AI1120" s="826"/>
      <c r="AJ1120" s="826"/>
      <c r="AK1120" s="826"/>
      <c r="AL1120" s="826"/>
      <c r="AM1120" s="826"/>
      <c r="AN1120" s="826"/>
      <c r="AO1120" s="826"/>
      <c r="AP1120" s="826"/>
      <c r="AQ1120" s="826"/>
      <c r="AR1120" s="826"/>
      <c r="AS1120" s="826"/>
      <c r="AT1120" s="826"/>
      <c r="AU1120" s="826"/>
      <c r="AV1120" s="826"/>
      <c r="AW1120" s="826"/>
      <c r="AX1120" s="826"/>
      <c r="AY1120" s="826"/>
      <c r="AZ1120" s="826"/>
      <c r="BA1120" s="826"/>
      <c r="BB1120" s="826"/>
    </row>
    <row r="1121" spans="1:54" ht="12.6" customHeight="1" x14ac:dyDescent="0.25">
      <c r="A1121" s="253" t="s">
        <v>1868</v>
      </c>
      <c r="B1121" s="246"/>
      <c r="C1121" s="246"/>
      <c r="D1121" s="246"/>
      <c r="E1121" s="246"/>
      <c r="F1121" s="246"/>
      <c r="G1121" s="246"/>
      <c r="H1121" s="246"/>
      <c r="I1121" s="246"/>
      <c r="J1121" s="246"/>
      <c r="K1121" s="246"/>
      <c r="L1121" s="246"/>
      <c r="M1121" s="246"/>
      <c r="N1121" s="246"/>
      <c r="O1121" s="246"/>
      <c r="P1121" s="246"/>
      <c r="Q1121" s="246"/>
      <c r="R1121" s="246"/>
      <c r="S1121" s="248"/>
      <c r="T1121" s="820"/>
      <c r="U1121" s="820"/>
      <c r="V1121" s="820"/>
      <c r="W1121" s="820"/>
      <c r="X1121" s="820"/>
      <c r="Y1121" s="820"/>
      <c r="Z1121" s="820"/>
      <c r="AA1121" s="820"/>
      <c r="AB1121" s="820"/>
      <c r="AC1121" s="820"/>
      <c r="AD1121" s="820"/>
      <c r="AE1121" s="820"/>
      <c r="AF1121" s="820"/>
      <c r="AG1121" s="820"/>
      <c r="AH1121" s="820"/>
      <c r="AI1121" s="820"/>
      <c r="AJ1121" s="820"/>
      <c r="AK1121" s="820"/>
      <c r="AL1121" s="820"/>
      <c r="AM1121" s="820"/>
      <c r="AN1121" s="820"/>
      <c r="AO1121" s="820"/>
      <c r="AP1121" s="820"/>
      <c r="AQ1121" s="820"/>
      <c r="AR1121" s="820"/>
      <c r="AS1121" s="820"/>
      <c r="AT1121" s="820"/>
      <c r="AU1121" s="820"/>
      <c r="AV1121" s="820"/>
      <c r="AW1121" s="820"/>
      <c r="AX1121" s="820"/>
      <c r="AY1121" s="820"/>
      <c r="AZ1121" s="820"/>
      <c r="BA1121" s="820"/>
      <c r="BB1121" s="820"/>
    </row>
    <row r="1122" spans="1:54" ht="12.6" customHeight="1" x14ac:dyDescent="0.25">
      <c r="A1122" s="253" t="s">
        <v>1869</v>
      </c>
      <c r="B1122" s="246"/>
      <c r="C1122" s="246"/>
      <c r="D1122" s="246"/>
      <c r="E1122" s="246"/>
      <c r="F1122" s="246"/>
      <c r="G1122" s="246"/>
      <c r="H1122" s="246"/>
      <c r="I1122" s="246"/>
      <c r="J1122" s="246"/>
      <c r="K1122" s="246"/>
      <c r="L1122" s="246"/>
      <c r="M1122" s="246"/>
      <c r="N1122" s="246"/>
      <c r="O1122" s="246"/>
      <c r="P1122" s="246"/>
      <c r="Q1122" s="246"/>
      <c r="R1122" s="246"/>
      <c r="S1122" s="248"/>
      <c r="T1122" s="820"/>
      <c r="U1122" s="820"/>
      <c r="V1122" s="820"/>
      <c r="W1122" s="820"/>
      <c r="X1122" s="820"/>
      <c r="Y1122" s="820"/>
      <c r="Z1122" s="820"/>
      <c r="AA1122" s="820"/>
      <c r="AB1122" s="820"/>
      <c r="AC1122" s="820"/>
      <c r="AD1122" s="820"/>
      <c r="AE1122" s="820"/>
      <c r="AF1122" s="820"/>
      <c r="AG1122" s="820"/>
      <c r="AH1122" s="820"/>
      <c r="AI1122" s="820"/>
      <c r="AJ1122" s="820"/>
      <c r="AK1122" s="820"/>
      <c r="AL1122" s="820"/>
      <c r="AM1122" s="820"/>
      <c r="AN1122" s="820"/>
      <c r="AO1122" s="820"/>
      <c r="AP1122" s="820"/>
      <c r="AQ1122" s="820"/>
      <c r="AR1122" s="820"/>
      <c r="AS1122" s="820"/>
      <c r="AT1122" s="820"/>
      <c r="AU1122" s="820"/>
      <c r="AV1122" s="820"/>
      <c r="AW1122" s="820"/>
      <c r="AX1122" s="820"/>
      <c r="AY1122" s="820"/>
      <c r="AZ1122" s="820"/>
      <c r="BA1122" s="820"/>
      <c r="BB1122" s="820"/>
    </row>
    <row r="1123" spans="1:54" ht="12.6" customHeight="1" x14ac:dyDescent="0.25">
      <c r="A1123" s="253" t="s">
        <v>1870</v>
      </c>
      <c r="B1123" s="246"/>
      <c r="C1123" s="246"/>
      <c r="D1123" s="246"/>
      <c r="E1123" s="246"/>
      <c r="F1123" s="246"/>
      <c r="G1123" s="246"/>
      <c r="H1123" s="246"/>
      <c r="I1123" s="246"/>
      <c r="J1123" s="246"/>
      <c r="K1123" s="246"/>
      <c r="L1123" s="246"/>
      <c r="M1123" s="246"/>
      <c r="N1123" s="246"/>
      <c r="O1123" s="246"/>
      <c r="P1123" s="246"/>
      <c r="Q1123" s="246"/>
      <c r="R1123" s="246"/>
      <c r="S1123" s="248"/>
      <c r="T1123" s="820"/>
      <c r="U1123" s="820"/>
      <c r="V1123" s="820"/>
      <c r="W1123" s="820"/>
      <c r="X1123" s="820"/>
      <c r="Y1123" s="820"/>
      <c r="Z1123" s="820"/>
      <c r="AA1123" s="820"/>
      <c r="AB1123" s="820"/>
      <c r="AC1123" s="820"/>
      <c r="AD1123" s="820"/>
      <c r="AE1123" s="820"/>
      <c r="AF1123" s="820"/>
      <c r="AG1123" s="820"/>
      <c r="AH1123" s="820"/>
      <c r="AI1123" s="820"/>
      <c r="AJ1123" s="820"/>
      <c r="AK1123" s="820"/>
      <c r="AL1123" s="820"/>
      <c r="AM1123" s="820"/>
      <c r="AN1123" s="820"/>
      <c r="AO1123" s="820"/>
      <c r="AP1123" s="820"/>
      <c r="AQ1123" s="820"/>
      <c r="AR1123" s="820"/>
      <c r="AS1123" s="820"/>
      <c r="AT1123" s="820"/>
      <c r="AU1123" s="820"/>
      <c r="AV1123" s="820"/>
      <c r="AW1123" s="820"/>
      <c r="AX1123" s="820"/>
      <c r="AY1123" s="820"/>
      <c r="AZ1123" s="820"/>
      <c r="BA1123" s="820"/>
      <c r="BB1123" s="820"/>
    </row>
    <row r="1124" spans="1:54" ht="12.6" customHeight="1" x14ac:dyDescent="0.25">
      <c r="A1124" s="253" t="s">
        <v>1871</v>
      </c>
      <c r="B1124" s="246"/>
      <c r="C1124" s="246"/>
      <c r="D1124" s="246"/>
      <c r="E1124" s="246"/>
      <c r="F1124" s="246"/>
      <c r="G1124" s="246"/>
      <c r="H1124" s="246"/>
      <c r="I1124" s="246"/>
      <c r="J1124" s="246"/>
      <c r="K1124" s="246"/>
      <c r="L1124" s="246"/>
      <c r="M1124" s="246"/>
      <c r="N1124" s="246"/>
      <c r="O1124" s="246"/>
      <c r="P1124" s="246"/>
      <c r="Q1124" s="246"/>
      <c r="R1124" s="246"/>
      <c r="S1124" s="248"/>
      <c r="T1124" s="820">
        <f>'HL KNIHA VYPOC'!$F$248</f>
        <v>804.7</v>
      </c>
      <c r="U1124" s="820"/>
      <c r="V1124" s="820"/>
      <c r="W1124" s="820"/>
      <c r="X1124" s="820"/>
      <c r="Y1124" s="820"/>
      <c r="Z1124" s="820"/>
      <c r="AA1124" s="820"/>
      <c r="AB1124" s="820"/>
      <c r="AC1124" s="820"/>
      <c r="AD1124" s="820"/>
      <c r="AE1124" s="820"/>
      <c r="AF1124" s="820"/>
      <c r="AG1124" s="820">
        <f>'HL KNIHA VYPOC'!$J$248</f>
        <v>784.39</v>
      </c>
      <c r="AH1124" s="820"/>
      <c r="AI1124" s="820"/>
      <c r="AJ1124" s="820"/>
      <c r="AK1124" s="820"/>
      <c r="AL1124" s="820"/>
      <c r="AM1124" s="820"/>
      <c r="AN1124" s="820"/>
      <c r="AO1124" s="820"/>
      <c r="AP1124" s="820"/>
      <c r="AQ1124" s="820"/>
      <c r="AR1124" s="820"/>
      <c r="AS1124" s="820"/>
      <c r="AT1124" s="820"/>
      <c r="AU1124" s="820"/>
      <c r="AV1124" s="820"/>
      <c r="AW1124" s="820"/>
      <c r="AX1124" s="820"/>
      <c r="AY1124" s="820"/>
      <c r="AZ1124" s="820"/>
      <c r="BA1124" s="820"/>
      <c r="BB1124" s="820"/>
    </row>
    <row r="1125" spans="1:54" ht="12.6" customHeight="1" x14ac:dyDescent="0.25">
      <c r="A1125" s="253" t="s">
        <v>1872</v>
      </c>
      <c r="B1125" s="246"/>
      <c r="C1125" s="246"/>
      <c r="D1125" s="246"/>
      <c r="E1125" s="246"/>
      <c r="F1125" s="246"/>
      <c r="G1125" s="246"/>
      <c r="H1125" s="246"/>
      <c r="I1125" s="246"/>
      <c r="J1125" s="246"/>
      <c r="K1125" s="246"/>
      <c r="L1125" s="246"/>
      <c r="M1125" s="246"/>
      <c r="N1125" s="246"/>
      <c r="O1125" s="246"/>
      <c r="P1125" s="246"/>
      <c r="Q1125" s="246"/>
      <c r="R1125" s="246"/>
      <c r="S1125" s="248"/>
      <c r="T1125" s="820">
        <f>'HL KNIHA VYPOC'!$E$248</f>
        <v>720.26</v>
      </c>
      <c r="U1125" s="820"/>
      <c r="V1125" s="820"/>
      <c r="W1125" s="820"/>
      <c r="X1125" s="820"/>
      <c r="Y1125" s="820"/>
      <c r="Z1125" s="820"/>
      <c r="AA1125" s="820"/>
      <c r="AB1125" s="820"/>
      <c r="AC1125" s="820"/>
      <c r="AD1125" s="820"/>
      <c r="AE1125" s="820"/>
      <c r="AF1125" s="820"/>
      <c r="AG1125" s="820">
        <f>'HL KNIHA VYPOC'!$I$248</f>
        <v>1061.72</v>
      </c>
      <c r="AH1125" s="820"/>
      <c r="AI1125" s="820"/>
      <c r="AJ1125" s="820"/>
      <c r="AK1125" s="820"/>
      <c r="AL1125" s="820"/>
      <c r="AM1125" s="820"/>
      <c r="AN1125" s="820"/>
      <c r="AO1125" s="820"/>
      <c r="AP1125" s="820"/>
      <c r="AQ1125" s="820"/>
      <c r="AR1125" s="820"/>
      <c r="AS1125" s="820"/>
      <c r="AT1125" s="820"/>
      <c r="AU1125" s="820"/>
      <c r="AV1125" s="820"/>
      <c r="AW1125" s="820"/>
      <c r="AX1125" s="820"/>
      <c r="AY1125" s="820"/>
      <c r="AZ1125" s="820"/>
      <c r="BA1125" s="820"/>
      <c r="BB1125" s="820"/>
    </row>
    <row r="1126" spans="1:54" ht="12.6" customHeight="1" x14ac:dyDescent="0.25">
      <c r="A1126" s="311" t="s">
        <v>1873</v>
      </c>
      <c r="B1126" s="246"/>
      <c r="C1126" s="246"/>
      <c r="D1126" s="246"/>
      <c r="E1126" s="246"/>
      <c r="F1126" s="246"/>
      <c r="G1126" s="246"/>
      <c r="H1126" s="246"/>
      <c r="I1126" s="246"/>
      <c r="J1126" s="246"/>
      <c r="K1126" s="246"/>
      <c r="L1126" s="246"/>
      <c r="M1126" s="246"/>
      <c r="N1126" s="246"/>
      <c r="O1126" s="246"/>
      <c r="P1126" s="246"/>
      <c r="Q1126" s="246"/>
      <c r="R1126" s="246"/>
      <c r="S1126" s="248"/>
      <c r="T1126" s="826">
        <f>SUM('HL KNIHA VYPOC'!G248)*-1</f>
        <v>1322.65</v>
      </c>
      <c r="U1126" s="826"/>
      <c r="V1126" s="826"/>
      <c r="W1126" s="826"/>
      <c r="X1126" s="826"/>
      <c r="Y1126" s="826"/>
      <c r="Z1126" s="826"/>
      <c r="AA1126" s="826"/>
      <c r="AB1126" s="826"/>
      <c r="AC1126" s="826"/>
      <c r="AD1126" s="826"/>
      <c r="AE1126" s="826"/>
      <c r="AF1126" s="826"/>
      <c r="AG1126" s="826">
        <f>SUM('HL KNIHA VYPOC'!K248)*-1</f>
        <v>1238.21</v>
      </c>
      <c r="AH1126" s="826"/>
      <c r="AI1126" s="826"/>
      <c r="AJ1126" s="826"/>
      <c r="AK1126" s="826"/>
      <c r="AL1126" s="826"/>
      <c r="AM1126" s="826"/>
      <c r="AN1126" s="826"/>
      <c r="AO1126" s="826"/>
      <c r="AP1126" s="826"/>
      <c r="AQ1126" s="826"/>
      <c r="AR1126" s="826"/>
      <c r="AS1126" s="826"/>
      <c r="AT1126" s="826"/>
      <c r="AU1126" s="826"/>
      <c r="AV1126" s="826"/>
      <c r="AW1126" s="826"/>
      <c r="AX1126" s="826"/>
      <c r="AY1126" s="826"/>
      <c r="AZ1126" s="826"/>
      <c r="BA1126" s="826"/>
      <c r="BB1126" s="826"/>
    </row>
    <row r="1127" spans="1:54" ht="12.6" customHeight="1" x14ac:dyDescent="0.25">
      <c r="A1127" s="227" t="s">
        <v>1482</v>
      </c>
    </row>
    <row r="1128" spans="1:54" ht="15" customHeight="1" x14ac:dyDescent="0.25">
      <c r="A1128" s="763"/>
      <c r="B1128" s="763"/>
      <c r="C1128" s="763"/>
      <c r="D1128" s="763"/>
      <c r="E1128" s="763"/>
      <c r="F1128" s="763"/>
      <c r="G1128" s="763"/>
      <c r="H1128" s="763"/>
      <c r="I1128" s="763"/>
      <c r="J1128" s="763"/>
      <c r="K1128" s="763"/>
      <c r="L1128" s="763"/>
      <c r="M1128" s="763"/>
      <c r="N1128" s="763"/>
      <c r="O1128" s="763"/>
      <c r="P1128" s="763"/>
      <c r="Q1128" s="763"/>
      <c r="R1128" s="763"/>
      <c r="S1128" s="763"/>
      <c r="T1128" s="763"/>
      <c r="U1128" s="763"/>
      <c r="V1128" s="763"/>
      <c r="W1128" s="763"/>
      <c r="X1128" s="763"/>
      <c r="Y1128" s="763"/>
      <c r="Z1128" s="763"/>
      <c r="AA1128" s="763"/>
      <c r="AB1128" s="763"/>
      <c r="AC1128" s="763"/>
      <c r="AD1128" s="763"/>
      <c r="AE1128" s="763"/>
      <c r="AF1128" s="763"/>
      <c r="AG1128" s="763"/>
      <c r="AH1128" s="763"/>
      <c r="AI1128" s="763"/>
      <c r="AJ1128" s="763"/>
      <c r="AK1128" s="763"/>
      <c r="AL1128" s="763"/>
      <c r="AM1128" s="763"/>
      <c r="AN1128" s="763"/>
      <c r="AO1128" s="763"/>
      <c r="AP1128" s="763"/>
      <c r="AQ1128" s="763"/>
      <c r="AR1128" s="763"/>
      <c r="AS1128" s="763"/>
      <c r="AT1128" s="763"/>
      <c r="AU1128" s="763"/>
      <c r="AV1128" s="763"/>
      <c r="AW1128" s="763"/>
      <c r="AX1128" s="763"/>
      <c r="AY1128" s="265"/>
      <c r="AZ1128" s="265"/>
      <c r="BA1128" s="265"/>
      <c r="BB1128" s="265"/>
    </row>
    <row r="1129" spans="1:54" ht="15" customHeight="1" x14ac:dyDescent="0.25">
      <c r="A1129" s="763"/>
      <c r="B1129" s="763"/>
      <c r="C1129" s="763"/>
      <c r="D1129" s="763"/>
      <c r="E1129" s="763"/>
      <c r="F1129" s="763"/>
      <c r="G1129" s="763"/>
      <c r="H1129" s="763"/>
      <c r="I1129" s="763"/>
      <c r="J1129" s="763"/>
      <c r="K1129" s="763"/>
      <c r="L1129" s="763"/>
      <c r="M1129" s="763"/>
      <c r="N1129" s="763"/>
      <c r="O1129" s="763"/>
      <c r="P1129" s="763"/>
      <c r="Q1129" s="763"/>
      <c r="R1129" s="763"/>
      <c r="S1129" s="763"/>
      <c r="T1129" s="763"/>
      <c r="U1129" s="763"/>
      <c r="V1129" s="763"/>
      <c r="W1129" s="763"/>
      <c r="X1129" s="763"/>
      <c r="Y1129" s="763"/>
      <c r="Z1129" s="763"/>
      <c r="AA1129" s="763"/>
      <c r="AB1129" s="763"/>
      <c r="AC1129" s="763"/>
      <c r="AD1129" s="763"/>
      <c r="AE1129" s="763"/>
      <c r="AF1129" s="763"/>
      <c r="AG1129" s="763"/>
      <c r="AH1129" s="763"/>
      <c r="AI1129" s="763"/>
      <c r="AJ1129" s="763"/>
      <c r="AK1129" s="763"/>
      <c r="AL1129" s="763"/>
      <c r="AM1129" s="763"/>
      <c r="AN1129" s="763"/>
      <c r="AO1129" s="763"/>
      <c r="AP1129" s="763"/>
      <c r="AQ1129" s="763"/>
      <c r="AR1129" s="763"/>
      <c r="AS1129" s="763"/>
      <c r="AT1129" s="763"/>
      <c r="AU1129" s="763"/>
      <c r="AV1129" s="763"/>
      <c r="AW1129" s="763"/>
      <c r="AX1129" s="763"/>
      <c r="AY1129" s="265"/>
      <c r="AZ1129" s="265"/>
      <c r="BA1129" s="265"/>
      <c r="BB1129" s="265"/>
    </row>
    <row r="1130" spans="1:54" ht="12.6" customHeight="1" x14ac:dyDescent="0.25">
      <c r="A1130" s="227" t="s">
        <v>1874</v>
      </c>
    </row>
    <row r="1131" spans="1:54" ht="12.6" customHeight="1" x14ac:dyDescent="0.25">
      <c r="A1131" s="768" t="s">
        <v>1875</v>
      </c>
      <c r="B1131" s="768"/>
      <c r="C1131" s="768"/>
      <c r="D1131" s="768"/>
      <c r="E1131" s="768"/>
      <c r="F1131" s="768"/>
      <c r="G1131" s="768"/>
      <c r="H1131" s="768"/>
      <c r="I1131" s="768"/>
      <c r="J1131" s="768"/>
      <c r="K1131" s="768"/>
      <c r="L1131" s="768"/>
      <c r="M1131" s="768" t="s">
        <v>1876</v>
      </c>
      <c r="N1131" s="768"/>
      <c r="O1131" s="768"/>
      <c r="P1131" s="768"/>
      <c r="Q1131" s="768"/>
      <c r="R1131" s="768"/>
      <c r="S1131" s="768"/>
      <c r="T1131" s="768"/>
      <c r="U1131" s="882" t="s">
        <v>1877</v>
      </c>
      <c r="V1131" s="882"/>
      <c r="W1131" s="882"/>
      <c r="X1131" s="882"/>
      <c r="Y1131" s="882"/>
      <c r="Z1131" s="882"/>
      <c r="AA1131" s="882"/>
      <c r="AB1131" s="706" t="s">
        <v>1878</v>
      </c>
      <c r="AC1131" s="706"/>
      <c r="AD1131" s="706"/>
      <c r="AE1131" s="706"/>
      <c r="AF1131" s="706"/>
      <c r="AG1131" s="706"/>
      <c r="AH1131" s="706"/>
      <c r="AI1131" s="706" t="s">
        <v>1879</v>
      </c>
      <c r="AJ1131" s="706"/>
      <c r="AK1131" s="706"/>
      <c r="AL1131" s="706"/>
      <c r="AM1131" s="706"/>
      <c r="AN1131" s="706"/>
      <c r="AO1131" s="706"/>
      <c r="AP1131" s="706" t="s">
        <v>1785</v>
      </c>
      <c r="AQ1131" s="706"/>
      <c r="AR1131" s="706"/>
      <c r="AS1131" s="706"/>
      <c r="AT1131" s="706"/>
      <c r="AU1131" s="706"/>
      <c r="AV1131" s="706"/>
      <c r="AW1131" s="706"/>
      <c r="AX1131" s="706"/>
      <c r="AY1131" s="706"/>
      <c r="AZ1131" s="706"/>
      <c r="BA1131" s="706"/>
      <c r="BB1131" s="706"/>
    </row>
    <row r="1132" spans="1:54" ht="12.6" customHeight="1" x14ac:dyDescent="0.25">
      <c r="A1132" s="750" t="s">
        <v>1880</v>
      </c>
      <c r="B1132" s="750"/>
      <c r="C1132" s="750"/>
      <c r="D1132" s="750"/>
      <c r="E1132" s="750"/>
      <c r="F1132" s="750"/>
      <c r="G1132" s="750"/>
      <c r="H1132" s="750"/>
      <c r="I1132" s="750"/>
      <c r="J1132" s="750"/>
      <c r="K1132" s="750"/>
      <c r="L1132" s="750"/>
      <c r="M1132" s="750" t="s">
        <v>1572</v>
      </c>
      <c r="N1132" s="750"/>
      <c r="O1132" s="750"/>
      <c r="P1132" s="750"/>
      <c r="Q1132" s="750"/>
      <c r="R1132" s="750"/>
      <c r="S1132" s="750"/>
      <c r="T1132" s="750"/>
      <c r="U1132" s="882"/>
      <c r="V1132" s="882"/>
      <c r="W1132" s="882"/>
      <c r="X1132" s="882"/>
      <c r="Y1132" s="882"/>
      <c r="Z1132" s="882"/>
      <c r="AA1132" s="882"/>
      <c r="AB1132" s="706"/>
      <c r="AC1132" s="706"/>
      <c r="AD1132" s="706"/>
      <c r="AE1132" s="706"/>
      <c r="AF1132" s="706"/>
      <c r="AG1132" s="706"/>
      <c r="AH1132" s="706"/>
      <c r="AI1132" s="706"/>
      <c r="AJ1132" s="706"/>
      <c r="AK1132" s="706"/>
      <c r="AL1132" s="706"/>
      <c r="AM1132" s="706"/>
      <c r="AN1132" s="706"/>
      <c r="AO1132" s="706"/>
      <c r="AP1132" s="706"/>
      <c r="AQ1132" s="706"/>
      <c r="AR1132" s="706"/>
      <c r="AS1132" s="706"/>
      <c r="AT1132" s="706"/>
      <c r="AU1132" s="706"/>
      <c r="AV1132" s="706"/>
      <c r="AW1132" s="706"/>
      <c r="AX1132" s="706"/>
      <c r="AY1132" s="706"/>
      <c r="AZ1132" s="706"/>
      <c r="BA1132" s="706"/>
      <c r="BB1132" s="706"/>
    </row>
    <row r="1133" spans="1:54" ht="12.6" customHeight="1" x14ac:dyDescent="0.25">
      <c r="A1133" s="711"/>
      <c r="B1133" s="711"/>
      <c r="C1133" s="711"/>
      <c r="D1133" s="711"/>
      <c r="E1133" s="711"/>
      <c r="F1133" s="711"/>
      <c r="G1133" s="711"/>
      <c r="H1133" s="711"/>
      <c r="I1133" s="711"/>
      <c r="J1133" s="711"/>
      <c r="K1133" s="711"/>
      <c r="L1133" s="711"/>
      <c r="M1133" s="883"/>
      <c r="N1133" s="883"/>
      <c r="O1133" s="883"/>
      <c r="P1133" s="883"/>
      <c r="Q1133" s="883"/>
      <c r="R1133" s="883"/>
      <c r="S1133" s="883"/>
      <c r="T1133" s="883"/>
      <c r="U1133" s="811"/>
      <c r="V1133" s="811"/>
      <c r="W1133" s="811"/>
      <c r="X1133" s="811"/>
      <c r="Y1133" s="811"/>
      <c r="Z1133" s="811"/>
      <c r="AA1133" s="811"/>
      <c r="AB1133" s="811"/>
      <c r="AC1133" s="811"/>
      <c r="AD1133" s="811"/>
      <c r="AE1133" s="811"/>
      <c r="AF1133" s="811"/>
      <c r="AG1133" s="811"/>
      <c r="AH1133" s="811"/>
      <c r="AI1133" s="811"/>
      <c r="AJ1133" s="811"/>
      <c r="AK1133" s="811"/>
      <c r="AL1133" s="811"/>
      <c r="AM1133" s="811"/>
      <c r="AN1133" s="811"/>
      <c r="AO1133" s="811"/>
      <c r="AP1133" s="884"/>
      <c r="AQ1133" s="884"/>
      <c r="AR1133" s="884"/>
      <c r="AS1133" s="884"/>
      <c r="AT1133" s="884"/>
      <c r="AU1133" s="884"/>
      <c r="AV1133" s="884"/>
      <c r="AW1133" s="884"/>
      <c r="AX1133" s="884"/>
      <c r="AY1133" s="884"/>
      <c r="AZ1133" s="884"/>
      <c r="BA1133" s="884"/>
      <c r="BB1133" s="884"/>
    </row>
    <row r="1134" spans="1:54" ht="12.6" customHeight="1" x14ac:dyDescent="0.25">
      <c r="A1134" s="711"/>
      <c r="B1134" s="711"/>
      <c r="C1134" s="711"/>
      <c r="D1134" s="711"/>
      <c r="E1134" s="711"/>
      <c r="F1134" s="711"/>
      <c r="G1134" s="711"/>
      <c r="H1134" s="711"/>
      <c r="I1134" s="711"/>
      <c r="J1134" s="711"/>
      <c r="K1134" s="711"/>
      <c r="L1134" s="711"/>
      <c r="M1134" s="883"/>
      <c r="N1134" s="883"/>
      <c r="O1134" s="883"/>
      <c r="P1134" s="883"/>
      <c r="Q1134" s="883"/>
      <c r="R1134" s="883"/>
      <c r="S1134" s="883"/>
      <c r="T1134" s="883"/>
      <c r="U1134" s="811"/>
      <c r="V1134" s="811"/>
      <c r="W1134" s="811"/>
      <c r="X1134" s="811"/>
      <c r="Y1134" s="811"/>
      <c r="Z1134" s="811"/>
      <c r="AA1134" s="811"/>
      <c r="AB1134" s="811"/>
      <c r="AC1134" s="811"/>
      <c r="AD1134" s="811"/>
      <c r="AE1134" s="811"/>
      <c r="AF1134" s="811"/>
      <c r="AG1134" s="811"/>
      <c r="AH1134" s="811"/>
      <c r="AI1134" s="811"/>
      <c r="AJ1134" s="811"/>
      <c r="AK1134" s="811"/>
      <c r="AL1134" s="811"/>
      <c r="AM1134" s="811"/>
      <c r="AN1134" s="811"/>
      <c r="AO1134" s="811"/>
      <c r="AP1134" s="884"/>
      <c r="AQ1134" s="884"/>
      <c r="AR1134" s="884"/>
      <c r="AS1134" s="884"/>
      <c r="AT1134" s="884"/>
      <c r="AU1134" s="884"/>
      <c r="AV1134" s="884"/>
      <c r="AW1134" s="884"/>
      <c r="AX1134" s="884"/>
      <c r="AY1134" s="884"/>
      <c r="AZ1134" s="884"/>
      <c r="BA1134" s="884"/>
      <c r="BB1134" s="884"/>
    </row>
    <row r="1135" spans="1:54" ht="12.6" customHeight="1" x14ac:dyDescent="0.25">
      <c r="A1135" s="711"/>
      <c r="B1135" s="711"/>
      <c r="C1135" s="711"/>
      <c r="D1135" s="711"/>
      <c r="E1135" s="711"/>
      <c r="F1135" s="711"/>
      <c r="G1135" s="711"/>
      <c r="H1135" s="711"/>
      <c r="I1135" s="711"/>
      <c r="J1135" s="711"/>
      <c r="K1135" s="711"/>
      <c r="L1135" s="711"/>
      <c r="M1135" s="883"/>
      <c r="N1135" s="883"/>
      <c r="O1135" s="883"/>
      <c r="P1135" s="883"/>
      <c r="Q1135" s="883"/>
      <c r="R1135" s="883"/>
      <c r="S1135" s="883"/>
      <c r="T1135" s="883"/>
      <c r="U1135" s="811"/>
      <c r="V1135" s="811"/>
      <c r="W1135" s="811"/>
      <c r="X1135" s="811"/>
      <c r="Y1135" s="811"/>
      <c r="Z1135" s="811"/>
      <c r="AA1135" s="811"/>
      <c r="AB1135" s="811"/>
      <c r="AC1135" s="811"/>
      <c r="AD1135" s="811"/>
      <c r="AE1135" s="811"/>
      <c r="AF1135" s="811"/>
      <c r="AG1135" s="811"/>
      <c r="AH1135" s="811"/>
      <c r="AI1135" s="811"/>
      <c r="AJ1135" s="811"/>
      <c r="AK1135" s="811"/>
      <c r="AL1135" s="811"/>
      <c r="AM1135" s="811"/>
      <c r="AN1135" s="811"/>
      <c r="AO1135" s="811"/>
      <c r="AP1135" s="884"/>
      <c r="AQ1135" s="884"/>
      <c r="AR1135" s="884"/>
      <c r="AS1135" s="884"/>
      <c r="AT1135" s="884"/>
      <c r="AU1135" s="884"/>
      <c r="AV1135" s="884"/>
      <c r="AW1135" s="884"/>
      <c r="AX1135" s="884"/>
      <c r="AY1135" s="884"/>
      <c r="AZ1135" s="884"/>
      <c r="BA1135" s="884"/>
      <c r="BB1135" s="884"/>
    </row>
    <row r="1136" spans="1:54" ht="12.6" customHeight="1" x14ac:dyDescent="0.25">
      <c r="A1136" s="711"/>
      <c r="B1136" s="711"/>
      <c r="C1136" s="711"/>
      <c r="D1136" s="711"/>
      <c r="E1136" s="711"/>
      <c r="F1136" s="711"/>
      <c r="G1136" s="711"/>
      <c r="H1136" s="711"/>
      <c r="I1136" s="711"/>
      <c r="J1136" s="711"/>
      <c r="K1136" s="711"/>
      <c r="L1136" s="711"/>
      <c r="M1136" s="883"/>
      <c r="N1136" s="883"/>
      <c r="O1136" s="883"/>
      <c r="P1136" s="883"/>
      <c r="Q1136" s="883"/>
      <c r="R1136" s="883"/>
      <c r="S1136" s="883"/>
      <c r="T1136" s="883"/>
      <c r="U1136" s="811"/>
      <c r="V1136" s="811"/>
      <c r="W1136" s="811"/>
      <c r="X1136" s="811"/>
      <c r="Y1136" s="811"/>
      <c r="Z1136" s="811"/>
      <c r="AA1136" s="811"/>
      <c r="AB1136" s="811"/>
      <c r="AC1136" s="811"/>
      <c r="AD1136" s="811"/>
      <c r="AE1136" s="811"/>
      <c r="AF1136" s="811"/>
      <c r="AG1136" s="811"/>
      <c r="AH1136" s="811"/>
      <c r="AI1136" s="811"/>
      <c r="AJ1136" s="811"/>
      <c r="AK1136" s="811"/>
      <c r="AL1136" s="811"/>
      <c r="AM1136" s="811"/>
      <c r="AN1136" s="811"/>
      <c r="AO1136" s="811"/>
      <c r="AP1136" s="884"/>
      <c r="AQ1136" s="884"/>
      <c r="AR1136" s="884"/>
      <c r="AS1136" s="884"/>
      <c r="AT1136" s="884"/>
      <c r="AU1136" s="884"/>
      <c r="AV1136" s="884"/>
      <c r="AW1136" s="884"/>
      <c r="AX1136" s="884"/>
      <c r="AY1136" s="884"/>
      <c r="AZ1136" s="884"/>
      <c r="BA1136" s="884"/>
      <c r="BB1136" s="884"/>
    </row>
    <row r="1137" spans="1:54" ht="12.6" customHeight="1" x14ac:dyDescent="0.25">
      <c r="A1137" s="227" t="s">
        <v>1344</v>
      </c>
    </row>
    <row r="1138" spans="1:54" ht="15" customHeight="1" x14ac:dyDescent="0.25">
      <c r="A1138" s="763"/>
      <c r="B1138" s="763"/>
      <c r="C1138" s="763"/>
      <c r="D1138" s="763"/>
      <c r="E1138" s="763"/>
      <c r="F1138" s="763"/>
      <c r="G1138" s="763"/>
      <c r="H1138" s="763"/>
      <c r="I1138" s="763"/>
      <c r="J1138" s="763"/>
      <c r="K1138" s="763"/>
      <c r="L1138" s="763"/>
      <c r="M1138" s="763"/>
      <c r="N1138" s="763"/>
      <c r="O1138" s="763"/>
      <c r="P1138" s="763"/>
      <c r="Q1138" s="763"/>
      <c r="R1138" s="763"/>
      <c r="S1138" s="763"/>
      <c r="T1138" s="763"/>
      <c r="U1138" s="763"/>
      <c r="V1138" s="763"/>
      <c r="W1138" s="763"/>
      <c r="X1138" s="763"/>
      <c r="Y1138" s="763"/>
      <c r="Z1138" s="763"/>
      <c r="AA1138" s="763"/>
      <c r="AB1138" s="763"/>
      <c r="AC1138" s="763"/>
      <c r="AD1138" s="763"/>
      <c r="AE1138" s="763"/>
      <c r="AF1138" s="763"/>
      <c r="AG1138" s="763"/>
      <c r="AH1138" s="763"/>
      <c r="AI1138" s="763"/>
      <c r="AJ1138" s="763"/>
      <c r="AK1138" s="763"/>
      <c r="AL1138" s="763"/>
      <c r="AM1138" s="763"/>
      <c r="AN1138" s="763"/>
      <c r="AO1138" s="763"/>
      <c r="AP1138" s="763"/>
      <c r="AQ1138" s="763"/>
      <c r="AR1138" s="763"/>
      <c r="AS1138" s="763"/>
      <c r="AT1138" s="763"/>
      <c r="AU1138" s="763"/>
      <c r="AV1138" s="763"/>
      <c r="AW1138" s="763"/>
      <c r="AX1138" s="763"/>
      <c r="AY1138" s="265"/>
      <c r="AZ1138" s="265"/>
      <c r="BA1138" s="265"/>
      <c r="BB1138" s="265"/>
    </row>
    <row r="1139" spans="1:54" ht="15" customHeight="1" x14ac:dyDescent="0.25">
      <c r="A1139" s="763"/>
      <c r="B1139" s="763"/>
      <c r="C1139" s="763"/>
      <c r="D1139" s="763"/>
      <c r="E1139" s="763"/>
      <c r="F1139" s="763"/>
      <c r="G1139" s="763"/>
      <c r="H1139" s="763"/>
      <c r="I1139" s="763"/>
      <c r="J1139" s="763"/>
      <c r="K1139" s="763"/>
      <c r="L1139" s="763"/>
      <c r="M1139" s="763"/>
      <c r="N1139" s="763"/>
      <c r="O1139" s="763"/>
      <c r="P1139" s="763"/>
      <c r="Q1139" s="763"/>
      <c r="R1139" s="763"/>
      <c r="S1139" s="763"/>
      <c r="T1139" s="763"/>
      <c r="U1139" s="763"/>
      <c r="V1139" s="763"/>
      <c r="W1139" s="763"/>
      <c r="X1139" s="763"/>
      <c r="Y1139" s="763"/>
      <c r="Z1139" s="763"/>
      <c r="AA1139" s="763"/>
      <c r="AB1139" s="763"/>
      <c r="AC1139" s="763"/>
      <c r="AD1139" s="763"/>
      <c r="AE1139" s="763"/>
      <c r="AF1139" s="763"/>
      <c r="AG1139" s="763"/>
      <c r="AH1139" s="763"/>
      <c r="AI1139" s="763"/>
      <c r="AJ1139" s="763"/>
      <c r="AK1139" s="763"/>
      <c r="AL1139" s="763"/>
      <c r="AM1139" s="763"/>
      <c r="AN1139" s="763"/>
      <c r="AO1139" s="763"/>
      <c r="AP1139" s="763"/>
      <c r="AQ1139" s="763"/>
      <c r="AR1139" s="763"/>
      <c r="AS1139" s="763"/>
      <c r="AT1139" s="763"/>
      <c r="AU1139" s="763"/>
      <c r="AV1139" s="763"/>
      <c r="AW1139" s="763"/>
      <c r="AX1139" s="763"/>
      <c r="AY1139" s="265"/>
      <c r="AZ1139" s="265"/>
      <c r="BA1139" s="265"/>
      <c r="BB1139" s="265"/>
    </row>
    <row r="1140" spans="1:54" s="208" customFormat="1" ht="13.5" hidden="1" customHeight="1" x14ac:dyDescent="0.25"/>
    <row r="1141" spans="1:54" ht="12.6" customHeight="1" x14ac:dyDescent="0.25">
      <c r="A1141" s="227" t="s">
        <v>1881</v>
      </c>
    </row>
    <row r="1142" spans="1:54" ht="12.6" customHeight="1" x14ac:dyDescent="0.25">
      <c r="A1142" s="29" t="s">
        <v>1316</v>
      </c>
    </row>
    <row r="1143" spans="1:54" ht="12.6" customHeight="1" x14ac:dyDescent="0.25">
      <c r="A1143" s="764"/>
      <c r="B1143" s="764"/>
      <c r="C1143" s="764"/>
      <c r="D1143" s="764"/>
      <c r="E1143" s="764"/>
      <c r="F1143" s="764"/>
      <c r="G1143" s="764"/>
      <c r="H1143" s="764"/>
      <c r="I1143" s="249"/>
      <c r="J1143" s="299"/>
      <c r="K1143" s="299"/>
      <c r="L1143" s="299"/>
      <c r="M1143" s="300"/>
      <c r="N1143" s="298"/>
      <c r="O1143" s="249"/>
      <c r="P1143" s="299"/>
      <c r="Q1143" s="300"/>
      <c r="R1143" s="298"/>
      <c r="S1143" s="299"/>
      <c r="T1143" s="299"/>
      <c r="U1143" s="299"/>
      <c r="V1143" s="300"/>
      <c r="W1143" s="768"/>
      <c r="X1143" s="768"/>
      <c r="Y1143" s="768"/>
      <c r="Z1143" s="768"/>
      <c r="AA1143" s="768"/>
      <c r="AB1143" s="768"/>
      <c r="AC1143" s="768"/>
      <c r="AD1143" s="768"/>
      <c r="AE1143" s="768"/>
      <c r="AF1143" s="768"/>
      <c r="AG1143" s="768"/>
      <c r="AH1143" s="768"/>
      <c r="AI1143" s="768" t="s">
        <v>1882</v>
      </c>
      <c r="AJ1143" s="768"/>
      <c r="AK1143" s="768"/>
      <c r="AL1143" s="768"/>
      <c r="AM1143" s="768"/>
      <c r="AN1143" s="768"/>
      <c r="AO1143" s="768"/>
      <c r="AP1143" s="768"/>
      <c r="AQ1143" s="768" t="s">
        <v>1883</v>
      </c>
      <c r="AR1143" s="768"/>
      <c r="AS1143" s="768"/>
      <c r="AT1143" s="768"/>
      <c r="AU1143" s="768"/>
      <c r="AV1143" s="768"/>
      <c r="AW1143" s="768"/>
      <c r="AX1143" s="768"/>
      <c r="AY1143" s="768"/>
      <c r="AZ1143" s="768"/>
      <c r="BA1143" s="768"/>
      <c r="BB1143" s="768"/>
    </row>
    <row r="1144" spans="1:54" ht="12.6" customHeight="1" x14ac:dyDescent="0.25">
      <c r="A1144" s="243"/>
      <c r="B1144" s="244"/>
      <c r="C1144" s="244"/>
      <c r="D1144" s="244"/>
      <c r="E1144" s="244"/>
      <c r="F1144" s="244"/>
      <c r="G1144" s="244"/>
      <c r="H1144" s="244"/>
      <c r="I1144" s="208"/>
      <c r="J1144" s="211"/>
      <c r="K1144" s="211"/>
      <c r="L1144" s="211"/>
      <c r="M1144" s="317"/>
      <c r="N1144" s="210"/>
      <c r="O1144" s="208"/>
      <c r="P1144" s="211"/>
      <c r="Q1144" s="317"/>
      <c r="R1144" s="210"/>
      <c r="S1144" s="211"/>
      <c r="T1144" s="211"/>
      <c r="U1144" s="211"/>
      <c r="V1144" s="317"/>
      <c r="W1144" s="745"/>
      <c r="X1144" s="745"/>
      <c r="Y1144" s="745"/>
      <c r="Z1144" s="745"/>
      <c r="AA1144" s="745"/>
      <c r="AB1144" s="745"/>
      <c r="AC1144" s="745" t="s">
        <v>1883</v>
      </c>
      <c r="AD1144" s="745"/>
      <c r="AE1144" s="745"/>
      <c r="AF1144" s="745"/>
      <c r="AG1144" s="745"/>
      <c r="AH1144" s="745"/>
      <c r="AI1144" s="745" t="s">
        <v>1884</v>
      </c>
      <c r="AJ1144" s="745"/>
      <c r="AK1144" s="745"/>
      <c r="AL1144" s="745"/>
      <c r="AM1144" s="745"/>
      <c r="AN1144" s="745"/>
      <c r="AO1144" s="745"/>
      <c r="AP1144" s="745"/>
      <c r="AQ1144" s="745" t="s">
        <v>1885</v>
      </c>
      <c r="AR1144" s="745"/>
      <c r="AS1144" s="745"/>
      <c r="AT1144" s="745"/>
      <c r="AU1144" s="745"/>
      <c r="AV1144" s="745"/>
      <c r="AW1144" s="745"/>
      <c r="AX1144" s="745"/>
      <c r="AY1144" s="745"/>
      <c r="AZ1144" s="745"/>
      <c r="BA1144" s="745"/>
      <c r="BB1144" s="745"/>
    </row>
    <row r="1145" spans="1:54" ht="12.6" customHeight="1" x14ac:dyDescent="0.25">
      <c r="A1145" s="243"/>
      <c r="B1145" s="244"/>
      <c r="C1145" s="244"/>
      <c r="D1145" s="244"/>
      <c r="E1145" s="244"/>
      <c r="F1145" s="244"/>
      <c r="G1145" s="244"/>
      <c r="H1145" s="244"/>
      <c r="I1145" s="208"/>
      <c r="J1145" s="211"/>
      <c r="K1145" s="211"/>
      <c r="L1145" s="211"/>
      <c r="M1145" s="317"/>
      <c r="N1145" s="210"/>
      <c r="O1145" s="208"/>
      <c r="P1145" s="211"/>
      <c r="Q1145" s="317"/>
      <c r="R1145" s="210"/>
      <c r="S1145" s="211"/>
      <c r="T1145" s="211"/>
      <c r="U1145" s="211"/>
      <c r="V1145" s="317"/>
      <c r="W1145" s="745"/>
      <c r="X1145" s="745"/>
      <c r="Y1145" s="745"/>
      <c r="Z1145" s="745"/>
      <c r="AA1145" s="745"/>
      <c r="AB1145" s="745"/>
      <c r="AC1145" s="745" t="s">
        <v>1885</v>
      </c>
      <c r="AD1145" s="745"/>
      <c r="AE1145" s="745"/>
      <c r="AF1145" s="745"/>
      <c r="AG1145" s="745"/>
      <c r="AH1145" s="745"/>
      <c r="AI1145" s="745" t="s">
        <v>1886</v>
      </c>
      <c r="AJ1145" s="745"/>
      <c r="AK1145" s="745"/>
      <c r="AL1145" s="745"/>
      <c r="AM1145" s="745"/>
      <c r="AN1145" s="745"/>
      <c r="AO1145" s="745"/>
      <c r="AP1145" s="745"/>
      <c r="AQ1145" s="745" t="s">
        <v>1887</v>
      </c>
      <c r="AR1145" s="745"/>
      <c r="AS1145" s="745"/>
      <c r="AT1145" s="745"/>
      <c r="AU1145" s="745"/>
      <c r="AV1145" s="745"/>
      <c r="AW1145" s="745"/>
      <c r="AX1145" s="745"/>
      <c r="AY1145" s="745"/>
      <c r="AZ1145" s="745"/>
      <c r="BA1145" s="745"/>
      <c r="BB1145" s="745"/>
    </row>
    <row r="1146" spans="1:54" ht="12.6" customHeight="1" x14ac:dyDescent="0.25">
      <c r="A1146" s="745" t="s">
        <v>1287</v>
      </c>
      <c r="B1146" s="745"/>
      <c r="C1146" s="745"/>
      <c r="D1146" s="745"/>
      <c r="E1146" s="745"/>
      <c r="F1146" s="745"/>
      <c r="G1146" s="745"/>
      <c r="H1146" s="745"/>
      <c r="I1146" s="745"/>
      <c r="J1146" s="745"/>
      <c r="K1146" s="745"/>
      <c r="L1146" s="745"/>
      <c r="M1146" s="745"/>
      <c r="N1146" s="745" t="s">
        <v>1888</v>
      </c>
      <c r="O1146" s="745"/>
      <c r="P1146" s="745"/>
      <c r="Q1146" s="745"/>
      <c r="R1146" s="745" t="s">
        <v>1879</v>
      </c>
      <c r="S1146" s="745"/>
      <c r="T1146" s="745"/>
      <c r="U1146" s="745"/>
      <c r="V1146" s="745"/>
      <c r="W1146" s="745" t="s">
        <v>1889</v>
      </c>
      <c r="X1146" s="745"/>
      <c r="Y1146" s="745"/>
      <c r="Z1146" s="745"/>
      <c r="AA1146" s="745"/>
      <c r="AB1146" s="745"/>
      <c r="AC1146" s="745" t="s">
        <v>1890</v>
      </c>
      <c r="AD1146" s="745"/>
      <c r="AE1146" s="745"/>
      <c r="AF1146" s="745"/>
      <c r="AG1146" s="745"/>
      <c r="AH1146" s="745"/>
      <c r="AI1146" s="745" t="s">
        <v>1891</v>
      </c>
      <c r="AJ1146" s="745"/>
      <c r="AK1146" s="745"/>
      <c r="AL1146" s="745"/>
      <c r="AM1146" s="745"/>
      <c r="AN1146" s="745"/>
      <c r="AO1146" s="745"/>
      <c r="AP1146" s="745"/>
      <c r="AQ1146" s="745" t="s">
        <v>1892</v>
      </c>
      <c r="AR1146" s="745"/>
      <c r="AS1146" s="745"/>
      <c r="AT1146" s="745"/>
      <c r="AU1146" s="745"/>
      <c r="AV1146" s="745"/>
      <c r="AW1146" s="745"/>
      <c r="AX1146" s="745"/>
      <c r="AY1146" s="745"/>
      <c r="AZ1146" s="745"/>
      <c r="BA1146" s="745"/>
      <c r="BB1146" s="745"/>
    </row>
    <row r="1147" spans="1:54" ht="12.6" customHeight="1" x14ac:dyDescent="0.25">
      <c r="A1147" s="281"/>
      <c r="B1147" s="208"/>
      <c r="C1147" s="208"/>
      <c r="D1147" s="208"/>
      <c r="E1147" s="208"/>
      <c r="F1147" s="208"/>
      <c r="G1147" s="208"/>
      <c r="H1147" s="208"/>
      <c r="I1147" s="208"/>
      <c r="J1147" s="208"/>
      <c r="K1147" s="208"/>
      <c r="L1147" s="208"/>
      <c r="M1147" s="245"/>
      <c r="N1147" s="281"/>
      <c r="O1147" s="208"/>
      <c r="P1147" s="208"/>
      <c r="Q1147" s="245"/>
      <c r="R1147" s="745" t="s">
        <v>1893</v>
      </c>
      <c r="S1147" s="745"/>
      <c r="T1147" s="745"/>
      <c r="U1147" s="745"/>
      <c r="V1147" s="745"/>
      <c r="W1147" s="745" t="s">
        <v>1697</v>
      </c>
      <c r="X1147" s="745"/>
      <c r="Y1147" s="745"/>
      <c r="Z1147" s="745"/>
      <c r="AA1147" s="745"/>
      <c r="AB1147" s="745"/>
      <c r="AC1147" s="745" t="s">
        <v>1891</v>
      </c>
      <c r="AD1147" s="745"/>
      <c r="AE1147" s="745"/>
      <c r="AF1147" s="745"/>
      <c r="AG1147" s="745"/>
      <c r="AH1147" s="745"/>
      <c r="AI1147" s="745" t="s">
        <v>1894</v>
      </c>
      <c r="AJ1147" s="745"/>
      <c r="AK1147" s="745"/>
      <c r="AL1147" s="745"/>
      <c r="AM1147" s="745"/>
      <c r="AN1147" s="745"/>
      <c r="AO1147" s="745"/>
      <c r="AP1147" s="745"/>
      <c r="AQ1147" s="745" t="s">
        <v>1895</v>
      </c>
      <c r="AR1147" s="745"/>
      <c r="AS1147" s="745"/>
      <c r="AT1147" s="745"/>
      <c r="AU1147" s="745"/>
      <c r="AV1147" s="745"/>
      <c r="AW1147" s="745"/>
      <c r="AX1147" s="745"/>
      <c r="AY1147" s="745"/>
      <c r="AZ1147" s="745"/>
      <c r="BA1147" s="745"/>
      <c r="BB1147" s="745"/>
    </row>
    <row r="1148" spans="1:54" ht="12.6" customHeight="1" x14ac:dyDescent="0.25">
      <c r="A1148" s="281"/>
      <c r="B1148" s="208"/>
      <c r="C1148" s="208"/>
      <c r="D1148" s="208"/>
      <c r="E1148" s="208"/>
      <c r="F1148" s="208"/>
      <c r="G1148" s="208"/>
      <c r="H1148" s="208"/>
      <c r="I1148" s="208"/>
      <c r="J1148" s="208"/>
      <c r="K1148" s="208"/>
      <c r="L1148" s="208"/>
      <c r="M1148" s="245"/>
      <c r="N1148" s="281"/>
      <c r="O1148" s="208"/>
      <c r="P1148" s="208"/>
      <c r="Q1148" s="245"/>
      <c r="R1148" s="745" t="s">
        <v>1322</v>
      </c>
      <c r="S1148" s="745"/>
      <c r="T1148" s="745"/>
      <c r="U1148" s="745"/>
      <c r="V1148" s="745"/>
      <c r="W1148" s="281"/>
      <c r="X1148" s="208"/>
      <c r="Y1148" s="208"/>
      <c r="Z1148" s="208"/>
      <c r="AA1148" s="208"/>
      <c r="AB1148" s="245"/>
      <c r="AC1148" s="745" t="s">
        <v>1894</v>
      </c>
      <c r="AD1148" s="745"/>
      <c r="AE1148" s="745"/>
      <c r="AF1148" s="745"/>
      <c r="AG1148" s="745"/>
      <c r="AH1148" s="745"/>
      <c r="AI1148" s="745" t="s">
        <v>1486</v>
      </c>
      <c r="AJ1148" s="745"/>
      <c r="AK1148" s="745"/>
      <c r="AL1148" s="745"/>
      <c r="AM1148" s="745"/>
      <c r="AN1148" s="745"/>
      <c r="AO1148" s="745"/>
      <c r="AP1148" s="745"/>
      <c r="AQ1148" s="745" t="s">
        <v>1896</v>
      </c>
      <c r="AR1148" s="745"/>
      <c r="AS1148" s="745"/>
      <c r="AT1148" s="745"/>
      <c r="AU1148" s="745"/>
      <c r="AV1148" s="745"/>
      <c r="AW1148" s="745"/>
      <c r="AX1148" s="745"/>
      <c r="AY1148" s="745"/>
      <c r="AZ1148" s="745"/>
      <c r="BA1148" s="745"/>
      <c r="BB1148" s="745"/>
    </row>
    <row r="1149" spans="1:54" ht="12.6" customHeight="1" x14ac:dyDescent="0.25">
      <c r="A1149" s="281"/>
      <c r="B1149" s="208"/>
      <c r="C1149" s="208"/>
      <c r="D1149" s="208"/>
      <c r="E1149" s="208"/>
      <c r="F1149" s="208"/>
      <c r="G1149" s="208"/>
      <c r="H1149" s="208"/>
      <c r="I1149" s="208"/>
      <c r="J1149" s="208"/>
      <c r="K1149" s="208"/>
      <c r="L1149" s="208"/>
      <c r="M1149" s="245"/>
      <c r="N1149" s="281"/>
      <c r="O1149" s="208"/>
      <c r="P1149" s="208"/>
      <c r="Q1149" s="245"/>
      <c r="R1149" s="281"/>
      <c r="S1149" s="208"/>
      <c r="T1149" s="208"/>
      <c r="U1149" s="208"/>
      <c r="V1149" s="245"/>
      <c r="W1149" s="281"/>
      <c r="X1149" s="208"/>
      <c r="Y1149" s="208"/>
      <c r="Z1149" s="208"/>
      <c r="AA1149" s="208"/>
      <c r="AB1149" s="245"/>
      <c r="AC1149" s="745" t="s">
        <v>1486</v>
      </c>
      <c r="AD1149" s="745"/>
      <c r="AE1149" s="745"/>
      <c r="AF1149" s="745"/>
      <c r="AG1149" s="745"/>
      <c r="AH1149" s="745"/>
      <c r="AI1149" s="745"/>
      <c r="AJ1149" s="745"/>
      <c r="AK1149" s="745"/>
      <c r="AL1149" s="745"/>
      <c r="AM1149" s="745"/>
      <c r="AN1149" s="745"/>
      <c r="AO1149" s="745"/>
      <c r="AP1149" s="745"/>
      <c r="AQ1149" s="745" t="s">
        <v>1894</v>
      </c>
      <c r="AR1149" s="745"/>
      <c r="AS1149" s="745"/>
      <c r="AT1149" s="745"/>
      <c r="AU1149" s="745"/>
      <c r="AV1149" s="745"/>
      <c r="AW1149" s="745"/>
      <c r="AX1149" s="745"/>
      <c r="AY1149" s="745"/>
      <c r="AZ1149" s="745"/>
      <c r="BA1149" s="745"/>
      <c r="BB1149" s="745"/>
    </row>
    <row r="1150" spans="1:54" ht="12.6" customHeight="1" x14ac:dyDescent="0.25">
      <c r="A1150" s="281"/>
      <c r="B1150" s="208"/>
      <c r="C1150" s="208"/>
      <c r="D1150" s="208"/>
      <c r="E1150" s="208"/>
      <c r="F1150" s="208"/>
      <c r="G1150" s="208"/>
      <c r="H1150" s="208"/>
      <c r="I1150" s="208"/>
      <c r="J1150" s="208"/>
      <c r="K1150" s="208"/>
      <c r="L1150" s="208"/>
      <c r="M1150" s="245"/>
      <c r="N1150" s="281"/>
      <c r="O1150" s="208"/>
      <c r="P1150" s="208"/>
      <c r="Q1150" s="245"/>
      <c r="R1150" s="281"/>
      <c r="S1150" s="208"/>
      <c r="T1150" s="208"/>
      <c r="U1150" s="208"/>
      <c r="V1150" s="245"/>
      <c r="W1150" s="281"/>
      <c r="X1150" s="208"/>
      <c r="Y1150" s="208"/>
      <c r="Z1150" s="208"/>
      <c r="AA1150" s="208"/>
      <c r="AB1150" s="245"/>
      <c r="AC1150" s="745"/>
      <c r="AD1150" s="745"/>
      <c r="AE1150" s="745"/>
      <c r="AF1150" s="745"/>
      <c r="AG1150" s="745"/>
      <c r="AH1150" s="745"/>
      <c r="AI1150" s="745"/>
      <c r="AJ1150" s="745"/>
      <c r="AK1150" s="745"/>
      <c r="AL1150" s="745"/>
      <c r="AM1150" s="745"/>
      <c r="AN1150" s="745"/>
      <c r="AO1150" s="745"/>
      <c r="AP1150" s="745"/>
      <c r="AQ1150" s="745" t="s">
        <v>1486</v>
      </c>
      <c r="AR1150" s="745"/>
      <c r="AS1150" s="745"/>
      <c r="AT1150" s="745"/>
      <c r="AU1150" s="745"/>
      <c r="AV1150" s="745"/>
      <c r="AW1150" s="745"/>
      <c r="AX1150" s="745"/>
      <c r="AY1150" s="745"/>
      <c r="AZ1150" s="745"/>
      <c r="BA1150" s="745"/>
      <c r="BB1150" s="745"/>
    </row>
    <row r="1151" spans="1:54" ht="12.6" customHeight="1" x14ac:dyDescent="0.25">
      <c r="A1151" s="750" t="s">
        <v>1323</v>
      </c>
      <c r="B1151" s="750"/>
      <c r="C1151" s="750"/>
      <c r="D1151" s="750"/>
      <c r="E1151" s="750"/>
      <c r="F1151" s="750"/>
      <c r="G1151" s="750"/>
      <c r="H1151" s="750"/>
      <c r="I1151" s="750"/>
      <c r="J1151" s="750"/>
      <c r="K1151" s="750"/>
      <c r="L1151" s="750"/>
      <c r="M1151" s="750"/>
      <c r="N1151" s="750" t="s">
        <v>1324</v>
      </c>
      <c r="O1151" s="750"/>
      <c r="P1151" s="750"/>
      <c r="Q1151" s="750"/>
      <c r="R1151" s="750" t="s">
        <v>1325</v>
      </c>
      <c r="S1151" s="750"/>
      <c r="T1151" s="750"/>
      <c r="U1151" s="750"/>
      <c r="V1151" s="750"/>
      <c r="W1151" s="750" t="s">
        <v>1326</v>
      </c>
      <c r="X1151" s="750"/>
      <c r="Y1151" s="750"/>
      <c r="Z1151" s="750"/>
      <c r="AA1151" s="750"/>
      <c r="AB1151" s="750"/>
      <c r="AC1151" s="750" t="s">
        <v>1327</v>
      </c>
      <c r="AD1151" s="750"/>
      <c r="AE1151" s="750"/>
      <c r="AF1151" s="750"/>
      <c r="AG1151" s="750"/>
      <c r="AH1151" s="750"/>
      <c r="AI1151" s="750" t="s">
        <v>1333</v>
      </c>
      <c r="AJ1151" s="750"/>
      <c r="AK1151" s="750"/>
      <c r="AL1151" s="750"/>
      <c r="AM1151" s="750"/>
      <c r="AN1151" s="750"/>
      <c r="AO1151" s="750"/>
      <c r="AP1151" s="750"/>
      <c r="AQ1151" s="750" t="s">
        <v>1468</v>
      </c>
      <c r="AR1151" s="750"/>
      <c r="AS1151" s="750"/>
      <c r="AT1151" s="750"/>
      <c r="AU1151" s="750"/>
      <c r="AV1151" s="750"/>
      <c r="AW1151" s="750"/>
      <c r="AX1151" s="750"/>
      <c r="AY1151" s="750"/>
      <c r="AZ1151" s="750"/>
      <c r="BA1151" s="750"/>
      <c r="BB1151" s="750"/>
    </row>
    <row r="1152" spans="1:54" ht="12.6" customHeight="1" x14ac:dyDescent="0.25">
      <c r="A1152" s="885" t="s">
        <v>1897</v>
      </c>
      <c r="B1152" s="885"/>
      <c r="C1152" s="885"/>
      <c r="D1152" s="885"/>
      <c r="E1152" s="885"/>
      <c r="F1152" s="885"/>
      <c r="G1152" s="885"/>
      <c r="H1152" s="885"/>
      <c r="I1152" s="885"/>
      <c r="J1152" s="885"/>
      <c r="K1152" s="885"/>
      <c r="L1152" s="885"/>
      <c r="M1152" s="885"/>
      <c r="N1152" s="886"/>
      <c r="O1152" s="886"/>
      <c r="P1152" s="886"/>
      <c r="Q1152" s="886"/>
      <c r="R1152" s="886"/>
      <c r="S1152" s="886"/>
      <c r="T1152" s="886"/>
      <c r="U1152" s="886"/>
      <c r="V1152" s="886"/>
      <c r="W1152" s="886"/>
      <c r="X1152" s="886"/>
      <c r="Y1152" s="886"/>
      <c r="Z1152" s="886"/>
      <c r="AA1152" s="886"/>
      <c r="AB1152" s="886"/>
      <c r="AC1152" s="886"/>
      <c r="AD1152" s="886"/>
      <c r="AE1152" s="886"/>
      <c r="AF1152" s="886"/>
      <c r="AG1152" s="886"/>
      <c r="AH1152" s="886"/>
      <c r="AI1152" s="887">
        <f>SUVAHAVUJ!$N$123</f>
        <v>0</v>
      </c>
      <c r="AJ1152" s="887"/>
      <c r="AK1152" s="887"/>
      <c r="AL1152" s="887"/>
      <c r="AM1152" s="887"/>
      <c r="AN1152" s="887"/>
      <c r="AO1152" s="887"/>
      <c r="AP1152" s="887"/>
      <c r="AQ1152" s="887">
        <f>SUVAHAVUJ!$X$123</f>
        <v>0</v>
      </c>
      <c r="AR1152" s="887"/>
      <c r="AS1152" s="887"/>
      <c r="AT1152" s="887"/>
      <c r="AU1152" s="887"/>
      <c r="AV1152" s="887"/>
      <c r="AW1152" s="887"/>
      <c r="AX1152" s="887"/>
      <c r="AY1152" s="887"/>
      <c r="AZ1152" s="887"/>
      <c r="BA1152" s="887"/>
      <c r="BB1152" s="887"/>
    </row>
    <row r="1153" spans="1:54" ht="12.6" customHeight="1" x14ac:dyDescent="0.25">
      <c r="A1153" s="708"/>
      <c r="B1153" s="708"/>
      <c r="C1153" s="708"/>
      <c r="D1153" s="708"/>
      <c r="E1153" s="708"/>
      <c r="F1153" s="708"/>
      <c r="G1153" s="708"/>
      <c r="H1153" s="708"/>
      <c r="I1153" s="708"/>
      <c r="J1153" s="708"/>
      <c r="K1153" s="708"/>
      <c r="L1153" s="708"/>
      <c r="M1153" s="708"/>
      <c r="N1153" s="709"/>
      <c r="O1153" s="709"/>
      <c r="P1153" s="709"/>
      <c r="Q1153" s="709"/>
      <c r="R1153" s="709"/>
      <c r="S1153" s="709"/>
      <c r="T1153" s="709"/>
      <c r="U1153" s="709"/>
      <c r="V1153" s="709"/>
      <c r="W1153" s="888"/>
      <c r="X1153" s="888"/>
      <c r="Y1153" s="888"/>
      <c r="Z1153" s="888"/>
      <c r="AA1153" s="888"/>
      <c r="AB1153" s="888"/>
      <c r="AC1153" s="709"/>
      <c r="AD1153" s="709"/>
      <c r="AE1153" s="709"/>
      <c r="AF1153" s="709"/>
      <c r="AG1153" s="709"/>
      <c r="AH1153" s="709"/>
      <c r="AI1153" s="801"/>
      <c r="AJ1153" s="801"/>
      <c r="AK1153" s="801"/>
      <c r="AL1153" s="801"/>
      <c r="AM1153" s="801"/>
      <c r="AN1153" s="801"/>
      <c r="AO1153" s="801"/>
      <c r="AP1153" s="801"/>
      <c r="AQ1153" s="801"/>
      <c r="AR1153" s="801"/>
      <c r="AS1153" s="801"/>
      <c r="AT1153" s="801"/>
      <c r="AU1153" s="801"/>
      <c r="AV1153" s="801"/>
      <c r="AW1153" s="801"/>
      <c r="AX1153" s="801"/>
      <c r="AY1153" s="801"/>
      <c r="AZ1153" s="801"/>
      <c r="BA1153" s="801"/>
      <c r="BB1153" s="801"/>
    </row>
    <row r="1154" spans="1:54" ht="12.6" customHeight="1" x14ac:dyDescent="0.25">
      <c r="A1154" s="708"/>
      <c r="B1154" s="708"/>
      <c r="C1154" s="708"/>
      <c r="D1154" s="708"/>
      <c r="E1154" s="708"/>
      <c r="F1154" s="708"/>
      <c r="G1154" s="708"/>
      <c r="H1154" s="708"/>
      <c r="I1154" s="708"/>
      <c r="J1154" s="708"/>
      <c r="K1154" s="708"/>
      <c r="L1154" s="708"/>
      <c r="M1154" s="708"/>
      <c r="N1154" s="709"/>
      <c r="O1154" s="709"/>
      <c r="P1154" s="709"/>
      <c r="Q1154" s="709"/>
      <c r="R1154" s="709"/>
      <c r="S1154" s="709"/>
      <c r="T1154" s="709"/>
      <c r="U1154" s="709"/>
      <c r="V1154" s="709"/>
      <c r="W1154" s="888"/>
      <c r="X1154" s="888"/>
      <c r="Y1154" s="888"/>
      <c r="Z1154" s="888"/>
      <c r="AA1154" s="888"/>
      <c r="AB1154" s="888"/>
      <c r="AC1154" s="709"/>
      <c r="AD1154" s="709"/>
      <c r="AE1154" s="709"/>
      <c r="AF1154" s="709"/>
      <c r="AG1154" s="709"/>
      <c r="AH1154" s="709"/>
      <c r="AI1154" s="801"/>
      <c r="AJ1154" s="801"/>
      <c r="AK1154" s="801"/>
      <c r="AL1154" s="801"/>
      <c r="AM1154" s="801"/>
      <c r="AN1154" s="801"/>
      <c r="AO1154" s="801"/>
      <c r="AP1154" s="801"/>
      <c r="AQ1154" s="801"/>
      <c r="AR1154" s="801"/>
      <c r="AS1154" s="801"/>
      <c r="AT1154" s="801"/>
      <c r="AU1154" s="801"/>
      <c r="AV1154" s="801"/>
      <c r="AW1154" s="801"/>
      <c r="AX1154" s="801"/>
      <c r="AY1154" s="801"/>
      <c r="AZ1154" s="801"/>
      <c r="BA1154" s="801"/>
      <c r="BB1154" s="801"/>
    </row>
    <row r="1155" spans="1:54" ht="12.6" customHeight="1" x14ac:dyDescent="0.25">
      <c r="A1155" s="708"/>
      <c r="B1155" s="708"/>
      <c r="C1155" s="708"/>
      <c r="D1155" s="708"/>
      <c r="E1155" s="708"/>
      <c r="F1155" s="708"/>
      <c r="G1155" s="708"/>
      <c r="H1155" s="708"/>
      <c r="I1155" s="708"/>
      <c r="J1155" s="708"/>
      <c r="K1155" s="708"/>
      <c r="L1155" s="708"/>
      <c r="M1155" s="708"/>
      <c r="N1155" s="709"/>
      <c r="O1155" s="709"/>
      <c r="P1155" s="709"/>
      <c r="Q1155" s="709"/>
      <c r="R1155" s="709"/>
      <c r="S1155" s="709"/>
      <c r="T1155" s="709"/>
      <c r="U1155" s="709"/>
      <c r="V1155" s="709"/>
      <c r="W1155" s="888"/>
      <c r="X1155" s="888"/>
      <c r="Y1155" s="888"/>
      <c r="Z1155" s="888"/>
      <c r="AA1155" s="888"/>
      <c r="AB1155" s="888"/>
      <c r="AC1155" s="709"/>
      <c r="AD1155" s="709"/>
      <c r="AE1155" s="709"/>
      <c r="AF1155" s="709"/>
      <c r="AG1155" s="709"/>
      <c r="AH1155" s="709"/>
      <c r="AI1155" s="801"/>
      <c r="AJ1155" s="801"/>
      <c r="AK1155" s="801"/>
      <c r="AL1155" s="801"/>
      <c r="AM1155" s="801"/>
      <c r="AN1155" s="801"/>
      <c r="AO1155" s="801"/>
      <c r="AP1155" s="801"/>
      <c r="AQ1155" s="801"/>
      <c r="AR1155" s="801"/>
      <c r="AS1155" s="801"/>
      <c r="AT1155" s="801"/>
      <c r="AU1155" s="801"/>
      <c r="AV1155" s="801"/>
      <c r="AW1155" s="801"/>
      <c r="AX1155" s="801"/>
      <c r="AY1155" s="801"/>
      <c r="AZ1155" s="801"/>
      <c r="BA1155" s="801"/>
      <c r="BB1155" s="801"/>
    </row>
    <row r="1156" spans="1:54" ht="12.6" customHeight="1" x14ac:dyDescent="0.25">
      <c r="A1156" s="885" t="s">
        <v>427</v>
      </c>
      <c r="B1156" s="885"/>
      <c r="C1156" s="885"/>
      <c r="D1156" s="885"/>
      <c r="E1156" s="885"/>
      <c r="F1156" s="885"/>
      <c r="G1156" s="885"/>
      <c r="H1156" s="885"/>
      <c r="I1156" s="885"/>
      <c r="J1156" s="885"/>
      <c r="K1156" s="885"/>
      <c r="L1156" s="885"/>
      <c r="M1156" s="885"/>
      <c r="N1156" s="886"/>
      <c r="O1156" s="886"/>
      <c r="P1156" s="886"/>
      <c r="Q1156" s="886"/>
      <c r="R1156" s="886"/>
      <c r="S1156" s="886"/>
      <c r="T1156" s="886"/>
      <c r="U1156" s="886"/>
      <c r="V1156" s="886"/>
      <c r="W1156" s="886"/>
      <c r="X1156" s="886"/>
      <c r="Y1156" s="886"/>
      <c r="Z1156" s="886"/>
      <c r="AA1156" s="886"/>
      <c r="AB1156" s="886"/>
      <c r="AC1156" s="886"/>
      <c r="AD1156" s="886"/>
      <c r="AE1156" s="886"/>
      <c r="AF1156" s="886"/>
      <c r="AG1156" s="886"/>
      <c r="AH1156" s="886"/>
      <c r="AI1156" s="887">
        <f>SUVAHAVUJ!$N$141</f>
        <v>0</v>
      </c>
      <c r="AJ1156" s="887"/>
      <c r="AK1156" s="887"/>
      <c r="AL1156" s="887"/>
      <c r="AM1156" s="887"/>
      <c r="AN1156" s="887"/>
      <c r="AO1156" s="887"/>
      <c r="AP1156" s="887"/>
      <c r="AQ1156" s="887">
        <f>SUVAHAVUJ!$X$141</f>
        <v>0</v>
      </c>
      <c r="AR1156" s="887"/>
      <c r="AS1156" s="887"/>
      <c r="AT1156" s="887"/>
      <c r="AU1156" s="887"/>
      <c r="AV1156" s="887"/>
      <c r="AW1156" s="887"/>
      <c r="AX1156" s="887"/>
      <c r="AY1156" s="887"/>
      <c r="AZ1156" s="887"/>
      <c r="BA1156" s="887"/>
      <c r="BB1156" s="887"/>
    </row>
    <row r="1157" spans="1:54" ht="12.6" customHeight="1" x14ac:dyDescent="0.25">
      <c r="A1157" s="708"/>
      <c r="B1157" s="708"/>
      <c r="C1157" s="708"/>
      <c r="D1157" s="708"/>
      <c r="E1157" s="708"/>
      <c r="F1157" s="708"/>
      <c r="G1157" s="708"/>
      <c r="H1157" s="708"/>
      <c r="I1157" s="708"/>
      <c r="J1157" s="708"/>
      <c r="K1157" s="708"/>
      <c r="L1157" s="708"/>
      <c r="M1157" s="708"/>
      <c r="N1157" s="709"/>
      <c r="O1157" s="709"/>
      <c r="P1157" s="709"/>
      <c r="Q1157" s="709"/>
      <c r="R1157" s="709"/>
      <c r="S1157" s="709"/>
      <c r="T1157" s="709"/>
      <c r="U1157" s="709"/>
      <c r="V1157" s="709"/>
      <c r="W1157" s="888"/>
      <c r="X1157" s="888"/>
      <c r="Y1157" s="888"/>
      <c r="Z1157" s="888"/>
      <c r="AA1157" s="888"/>
      <c r="AB1157" s="888"/>
      <c r="AC1157" s="709"/>
      <c r="AD1157" s="709"/>
      <c r="AE1157" s="709"/>
      <c r="AF1157" s="709"/>
      <c r="AG1157" s="709"/>
      <c r="AH1157" s="709"/>
      <c r="AI1157" s="801"/>
      <c r="AJ1157" s="801"/>
      <c r="AK1157" s="801"/>
      <c r="AL1157" s="801"/>
      <c r="AM1157" s="801"/>
      <c r="AN1157" s="801"/>
      <c r="AO1157" s="801"/>
      <c r="AP1157" s="801"/>
      <c r="AQ1157" s="801"/>
      <c r="AR1157" s="801"/>
      <c r="AS1157" s="801"/>
      <c r="AT1157" s="801"/>
      <c r="AU1157" s="801"/>
      <c r="AV1157" s="801"/>
      <c r="AW1157" s="801"/>
      <c r="AX1157" s="801"/>
      <c r="AY1157" s="801"/>
      <c r="AZ1157" s="801"/>
      <c r="BA1157" s="801"/>
      <c r="BB1157" s="801"/>
    </row>
    <row r="1158" spans="1:54" ht="12.6" customHeight="1" x14ac:dyDescent="0.25">
      <c r="A1158" s="708"/>
      <c r="B1158" s="708"/>
      <c r="C1158" s="708"/>
      <c r="D1158" s="708"/>
      <c r="E1158" s="708"/>
      <c r="F1158" s="708"/>
      <c r="G1158" s="708"/>
      <c r="H1158" s="708"/>
      <c r="I1158" s="708"/>
      <c r="J1158" s="708"/>
      <c r="K1158" s="708"/>
      <c r="L1158" s="708"/>
      <c r="M1158" s="708"/>
      <c r="N1158" s="709"/>
      <c r="O1158" s="709"/>
      <c r="P1158" s="709"/>
      <c r="Q1158" s="709"/>
      <c r="R1158" s="709"/>
      <c r="S1158" s="709"/>
      <c r="T1158" s="709"/>
      <c r="U1158" s="709"/>
      <c r="V1158" s="709"/>
      <c r="W1158" s="888"/>
      <c r="X1158" s="888"/>
      <c r="Y1158" s="888"/>
      <c r="Z1158" s="888"/>
      <c r="AA1158" s="888"/>
      <c r="AB1158" s="888"/>
      <c r="AC1158" s="709"/>
      <c r="AD1158" s="709"/>
      <c r="AE1158" s="709"/>
      <c r="AF1158" s="709"/>
      <c r="AG1158" s="709"/>
      <c r="AH1158" s="709"/>
      <c r="AI1158" s="801"/>
      <c r="AJ1158" s="801"/>
      <c r="AK1158" s="801"/>
      <c r="AL1158" s="801"/>
      <c r="AM1158" s="801"/>
      <c r="AN1158" s="801"/>
      <c r="AO1158" s="801"/>
      <c r="AP1158" s="801"/>
      <c r="AQ1158" s="801"/>
      <c r="AR1158" s="801"/>
      <c r="AS1158" s="801"/>
      <c r="AT1158" s="801"/>
      <c r="AU1158" s="801"/>
      <c r="AV1158" s="801"/>
      <c r="AW1158" s="801"/>
      <c r="AX1158" s="801"/>
      <c r="AY1158" s="801"/>
      <c r="AZ1158" s="801"/>
      <c r="BA1158" s="801"/>
      <c r="BB1158" s="801"/>
    </row>
    <row r="1159" spans="1:54" ht="12.6" customHeight="1" x14ac:dyDescent="0.25">
      <c r="A1159" s="708"/>
      <c r="B1159" s="708"/>
      <c r="C1159" s="708"/>
      <c r="D1159" s="708"/>
      <c r="E1159" s="708"/>
      <c r="F1159" s="708"/>
      <c r="G1159" s="708"/>
      <c r="H1159" s="708"/>
      <c r="I1159" s="708"/>
      <c r="J1159" s="708"/>
      <c r="K1159" s="708"/>
      <c r="L1159" s="708"/>
      <c r="M1159" s="708"/>
      <c r="N1159" s="709"/>
      <c r="O1159" s="709"/>
      <c r="P1159" s="709"/>
      <c r="Q1159" s="709"/>
      <c r="R1159" s="709"/>
      <c r="S1159" s="709"/>
      <c r="T1159" s="709"/>
      <c r="U1159" s="709"/>
      <c r="V1159" s="709"/>
      <c r="W1159" s="888"/>
      <c r="X1159" s="888"/>
      <c r="Y1159" s="888"/>
      <c r="Z1159" s="888"/>
      <c r="AA1159" s="888"/>
      <c r="AB1159" s="888"/>
      <c r="AC1159" s="709"/>
      <c r="AD1159" s="709"/>
      <c r="AE1159" s="709"/>
      <c r="AF1159" s="709"/>
      <c r="AG1159" s="709"/>
      <c r="AH1159" s="709"/>
      <c r="AI1159" s="801"/>
      <c r="AJ1159" s="801"/>
      <c r="AK1159" s="801"/>
      <c r="AL1159" s="801"/>
      <c r="AM1159" s="801"/>
      <c r="AN1159" s="801"/>
      <c r="AO1159" s="801"/>
      <c r="AP1159" s="801"/>
      <c r="AQ1159" s="801"/>
      <c r="AR1159" s="801"/>
      <c r="AS1159" s="801"/>
      <c r="AT1159" s="801"/>
      <c r="AU1159" s="801"/>
      <c r="AV1159" s="801"/>
      <c r="AW1159" s="801"/>
      <c r="AX1159" s="801"/>
      <c r="AY1159" s="801"/>
      <c r="AZ1159" s="801"/>
      <c r="BA1159" s="801"/>
      <c r="BB1159" s="801"/>
    </row>
    <row r="1161" spans="1:54" ht="12.6" customHeight="1" x14ac:dyDescent="0.25">
      <c r="A1161" s="29" t="s">
        <v>1329</v>
      </c>
    </row>
    <row r="1162" spans="1:54" ht="12.6" customHeight="1" x14ac:dyDescent="0.25">
      <c r="A1162" s="764"/>
      <c r="B1162" s="764"/>
      <c r="C1162" s="764"/>
      <c r="D1162" s="764"/>
      <c r="E1162" s="764"/>
      <c r="F1162" s="764"/>
      <c r="G1162" s="764"/>
      <c r="H1162" s="764"/>
      <c r="I1162" s="249"/>
      <c r="J1162" s="299"/>
      <c r="K1162" s="299"/>
      <c r="L1162" s="299"/>
      <c r="M1162" s="300"/>
      <c r="N1162" s="298"/>
      <c r="O1162" s="249"/>
      <c r="P1162" s="299"/>
      <c r="Q1162" s="300"/>
      <c r="R1162" s="298"/>
      <c r="S1162" s="299"/>
      <c r="T1162" s="299"/>
      <c r="U1162" s="299"/>
      <c r="V1162" s="300"/>
      <c r="W1162" s="768"/>
      <c r="X1162" s="768"/>
      <c r="Y1162" s="768"/>
      <c r="Z1162" s="768"/>
      <c r="AA1162" s="768"/>
      <c r="AB1162" s="768"/>
      <c r="AC1162" s="768"/>
      <c r="AD1162" s="768"/>
      <c r="AE1162" s="768"/>
      <c r="AF1162" s="768"/>
      <c r="AG1162" s="768"/>
      <c r="AH1162" s="768"/>
      <c r="AI1162" s="768" t="s">
        <v>1882</v>
      </c>
      <c r="AJ1162" s="768"/>
      <c r="AK1162" s="768"/>
      <c r="AL1162" s="768"/>
      <c r="AM1162" s="768"/>
      <c r="AN1162" s="768"/>
      <c r="AO1162" s="768"/>
      <c r="AP1162" s="768"/>
      <c r="AQ1162" s="768" t="s">
        <v>1883</v>
      </c>
      <c r="AR1162" s="768"/>
      <c r="AS1162" s="768"/>
      <c r="AT1162" s="768"/>
      <c r="AU1162" s="768"/>
      <c r="AV1162" s="768"/>
      <c r="AW1162" s="768"/>
      <c r="AX1162" s="768"/>
      <c r="AY1162" s="768"/>
      <c r="AZ1162" s="768"/>
      <c r="BA1162" s="768"/>
      <c r="BB1162" s="768"/>
    </row>
    <row r="1163" spans="1:54" ht="12.6" customHeight="1" x14ac:dyDescent="0.25">
      <c r="A1163" s="243"/>
      <c r="B1163" s="244"/>
      <c r="C1163" s="244"/>
      <c r="D1163" s="244"/>
      <c r="E1163" s="244"/>
      <c r="F1163" s="244"/>
      <c r="G1163" s="244"/>
      <c r="H1163" s="244"/>
      <c r="I1163" s="208"/>
      <c r="J1163" s="211"/>
      <c r="K1163" s="211"/>
      <c r="L1163" s="211"/>
      <c r="M1163" s="317"/>
      <c r="N1163" s="210"/>
      <c r="O1163" s="208"/>
      <c r="P1163" s="211"/>
      <c r="Q1163" s="317"/>
      <c r="R1163" s="210"/>
      <c r="S1163" s="211"/>
      <c r="T1163" s="211"/>
      <c r="U1163" s="211"/>
      <c r="V1163" s="317"/>
      <c r="W1163" s="745"/>
      <c r="X1163" s="745"/>
      <c r="Y1163" s="745"/>
      <c r="Z1163" s="745"/>
      <c r="AA1163" s="745"/>
      <c r="AB1163" s="745"/>
      <c r="AC1163" s="745" t="s">
        <v>1883</v>
      </c>
      <c r="AD1163" s="745"/>
      <c r="AE1163" s="745"/>
      <c r="AF1163" s="745"/>
      <c r="AG1163" s="745"/>
      <c r="AH1163" s="745"/>
      <c r="AI1163" s="745" t="s">
        <v>1884</v>
      </c>
      <c r="AJ1163" s="745"/>
      <c r="AK1163" s="745"/>
      <c r="AL1163" s="745"/>
      <c r="AM1163" s="745"/>
      <c r="AN1163" s="745"/>
      <c r="AO1163" s="745"/>
      <c r="AP1163" s="745"/>
      <c r="AQ1163" s="745" t="s">
        <v>1885</v>
      </c>
      <c r="AR1163" s="745"/>
      <c r="AS1163" s="745"/>
      <c r="AT1163" s="745"/>
      <c r="AU1163" s="745"/>
      <c r="AV1163" s="745"/>
      <c r="AW1163" s="745"/>
      <c r="AX1163" s="745"/>
      <c r="AY1163" s="745"/>
      <c r="AZ1163" s="745"/>
      <c r="BA1163" s="745"/>
      <c r="BB1163" s="745"/>
    </row>
    <row r="1164" spans="1:54" ht="12.6" customHeight="1" x14ac:dyDescent="0.25">
      <c r="A1164" s="243"/>
      <c r="B1164" s="244"/>
      <c r="C1164" s="244"/>
      <c r="D1164" s="244"/>
      <c r="E1164" s="244"/>
      <c r="F1164" s="244"/>
      <c r="G1164" s="244"/>
      <c r="H1164" s="244"/>
      <c r="I1164" s="208"/>
      <c r="J1164" s="211"/>
      <c r="K1164" s="211"/>
      <c r="L1164" s="211"/>
      <c r="M1164" s="317"/>
      <c r="N1164" s="210"/>
      <c r="O1164" s="208"/>
      <c r="P1164" s="211"/>
      <c r="Q1164" s="317"/>
      <c r="R1164" s="210"/>
      <c r="S1164" s="211"/>
      <c r="T1164" s="211"/>
      <c r="U1164" s="211"/>
      <c r="V1164" s="317"/>
      <c r="W1164" s="745"/>
      <c r="X1164" s="745"/>
      <c r="Y1164" s="745"/>
      <c r="Z1164" s="745"/>
      <c r="AA1164" s="745"/>
      <c r="AB1164" s="745"/>
      <c r="AC1164" s="745" t="s">
        <v>1885</v>
      </c>
      <c r="AD1164" s="745"/>
      <c r="AE1164" s="745"/>
      <c r="AF1164" s="745"/>
      <c r="AG1164" s="745"/>
      <c r="AH1164" s="745"/>
      <c r="AI1164" s="745" t="s">
        <v>1886</v>
      </c>
      <c r="AJ1164" s="745"/>
      <c r="AK1164" s="745"/>
      <c r="AL1164" s="745"/>
      <c r="AM1164" s="745"/>
      <c r="AN1164" s="745"/>
      <c r="AO1164" s="745"/>
      <c r="AP1164" s="745"/>
      <c r="AQ1164" s="745" t="s">
        <v>1887</v>
      </c>
      <c r="AR1164" s="745"/>
      <c r="AS1164" s="745"/>
      <c r="AT1164" s="745"/>
      <c r="AU1164" s="745"/>
      <c r="AV1164" s="745"/>
      <c r="AW1164" s="745"/>
      <c r="AX1164" s="745"/>
      <c r="AY1164" s="745"/>
      <c r="AZ1164" s="745"/>
      <c r="BA1164" s="745"/>
      <c r="BB1164" s="745"/>
    </row>
    <row r="1165" spans="1:54" ht="12.6" customHeight="1" x14ac:dyDescent="0.25">
      <c r="A1165" s="745" t="s">
        <v>1287</v>
      </c>
      <c r="B1165" s="745"/>
      <c r="C1165" s="745"/>
      <c r="D1165" s="745"/>
      <c r="E1165" s="745"/>
      <c r="F1165" s="745"/>
      <c r="G1165" s="745"/>
      <c r="H1165" s="745"/>
      <c r="I1165" s="745"/>
      <c r="J1165" s="745"/>
      <c r="K1165" s="745"/>
      <c r="L1165" s="745"/>
      <c r="M1165" s="745"/>
      <c r="N1165" s="745" t="s">
        <v>1888</v>
      </c>
      <c r="O1165" s="745"/>
      <c r="P1165" s="745"/>
      <c r="Q1165" s="745"/>
      <c r="R1165" s="745" t="s">
        <v>1879</v>
      </c>
      <c r="S1165" s="745"/>
      <c r="T1165" s="745"/>
      <c r="U1165" s="745"/>
      <c r="V1165" s="745"/>
      <c r="W1165" s="745" t="s">
        <v>1889</v>
      </c>
      <c r="X1165" s="745"/>
      <c r="Y1165" s="745"/>
      <c r="Z1165" s="745"/>
      <c r="AA1165" s="745"/>
      <c r="AB1165" s="745"/>
      <c r="AC1165" s="745" t="s">
        <v>1890</v>
      </c>
      <c r="AD1165" s="745"/>
      <c r="AE1165" s="745"/>
      <c r="AF1165" s="745"/>
      <c r="AG1165" s="745"/>
      <c r="AH1165" s="745"/>
      <c r="AI1165" s="745" t="s">
        <v>1891</v>
      </c>
      <c r="AJ1165" s="745"/>
      <c r="AK1165" s="745"/>
      <c r="AL1165" s="745"/>
      <c r="AM1165" s="745"/>
      <c r="AN1165" s="745"/>
      <c r="AO1165" s="745"/>
      <c r="AP1165" s="745"/>
      <c r="AQ1165" s="745" t="s">
        <v>1892</v>
      </c>
      <c r="AR1165" s="745"/>
      <c r="AS1165" s="745"/>
      <c r="AT1165" s="745"/>
      <c r="AU1165" s="745"/>
      <c r="AV1165" s="745"/>
      <c r="AW1165" s="745"/>
      <c r="AX1165" s="745"/>
      <c r="AY1165" s="745"/>
      <c r="AZ1165" s="745"/>
      <c r="BA1165" s="745"/>
      <c r="BB1165" s="745"/>
    </row>
    <row r="1166" spans="1:54" ht="12.6" customHeight="1" x14ac:dyDescent="0.25">
      <c r="A1166" s="281"/>
      <c r="B1166" s="208"/>
      <c r="C1166" s="208"/>
      <c r="D1166" s="208"/>
      <c r="E1166" s="208"/>
      <c r="F1166" s="208"/>
      <c r="G1166" s="208"/>
      <c r="H1166" s="208"/>
      <c r="I1166" s="208"/>
      <c r="J1166" s="208"/>
      <c r="K1166" s="208"/>
      <c r="L1166" s="208"/>
      <c r="M1166" s="245"/>
      <c r="N1166" s="281"/>
      <c r="O1166" s="208"/>
      <c r="P1166" s="208"/>
      <c r="Q1166" s="245"/>
      <c r="R1166" s="745" t="s">
        <v>1893</v>
      </c>
      <c r="S1166" s="745"/>
      <c r="T1166" s="745"/>
      <c r="U1166" s="745"/>
      <c r="V1166" s="745"/>
      <c r="W1166" s="745" t="s">
        <v>1697</v>
      </c>
      <c r="X1166" s="745"/>
      <c r="Y1166" s="745"/>
      <c r="Z1166" s="745"/>
      <c r="AA1166" s="745"/>
      <c r="AB1166" s="745"/>
      <c r="AC1166" s="745" t="s">
        <v>1891</v>
      </c>
      <c r="AD1166" s="745"/>
      <c r="AE1166" s="745"/>
      <c r="AF1166" s="745"/>
      <c r="AG1166" s="745"/>
      <c r="AH1166" s="745"/>
      <c r="AI1166" s="745" t="s">
        <v>1894</v>
      </c>
      <c r="AJ1166" s="745"/>
      <c r="AK1166" s="745"/>
      <c r="AL1166" s="745"/>
      <c r="AM1166" s="745"/>
      <c r="AN1166" s="745"/>
      <c r="AO1166" s="745"/>
      <c r="AP1166" s="745"/>
      <c r="AQ1166" s="745" t="s">
        <v>1895</v>
      </c>
      <c r="AR1166" s="745"/>
      <c r="AS1166" s="745"/>
      <c r="AT1166" s="745"/>
      <c r="AU1166" s="745"/>
      <c r="AV1166" s="745"/>
      <c r="AW1166" s="745"/>
      <c r="AX1166" s="745"/>
      <c r="AY1166" s="745"/>
      <c r="AZ1166" s="745"/>
      <c r="BA1166" s="745"/>
      <c r="BB1166" s="745"/>
    </row>
    <row r="1167" spans="1:54" ht="12.6" customHeight="1" x14ac:dyDescent="0.25">
      <c r="A1167" s="281"/>
      <c r="B1167" s="208"/>
      <c r="C1167" s="208"/>
      <c r="D1167" s="208"/>
      <c r="E1167" s="208"/>
      <c r="F1167" s="208"/>
      <c r="G1167" s="208"/>
      <c r="H1167" s="208"/>
      <c r="I1167" s="208"/>
      <c r="J1167" s="208"/>
      <c r="K1167" s="208"/>
      <c r="L1167" s="208"/>
      <c r="M1167" s="245"/>
      <c r="N1167" s="281"/>
      <c r="O1167" s="208"/>
      <c r="P1167" s="208"/>
      <c r="Q1167" s="245"/>
      <c r="R1167" s="745" t="s">
        <v>1322</v>
      </c>
      <c r="S1167" s="745"/>
      <c r="T1167" s="745"/>
      <c r="U1167" s="745"/>
      <c r="V1167" s="745"/>
      <c r="W1167" s="281"/>
      <c r="X1167" s="208"/>
      <c r="Y1167" s="208"/>
      <c r="Z1167" s="208"/>
      <c r="AA1167" s="208"/>
      <c r="AB1167" s="245"/>
      <c r="AC1167" s="745" t="s">
        <v>1894</v>
      </c>
      <c r="AD1167" s="745"/>
      <c r="AE1167" s="745"/>
      <c r="AF1167" s="745"/>
      <c r="AG1167" s="745"/>
      <c r="AH1167" s="745"/>
      <c r="AI1167" s="745" t="s">
        <v>1486</v>
      </c>
      <c r="AJ1167" s="745"/>
      <c r="AK1167" s="745"/>
      <c r="AL1167" s="745"/>
      <c r="AM1167" s="745"/>
      <c r="AN1167" s="745"/>
      <c r="AO1167" s="745"/>
      <c r="AP1167" s="745"/>
      <c r="AQ1167" s="745" t="s">
        <v>1896</v>
      </c>
      <c r="AR1167" s="745"/>
      <c r="AS1167" s="745"/>
      <c r="AT1167" s="745"/>
      <c r="AU1167" s="745"/>
      <c r="AV1167" s="745"/>
      <c r="AW1167" s="745"/>
      <c r="AX1167" s="745"/>
      <c r="AY1167" s="745"/>
      <c r="AZ1167" s="745"/>
      <c r="BA1167" s="745"/>
      <c r="BB1167" s="745"/>
    </row>
    <row r="1168" spans="1:54" ht="12.6" customHeight="1" x14ac:dyDescent="0.25">
      <c r="A1168" s="281"/>
      <c r="B1168" s="208"/>
      <c r="C1168" s="208"/>
      <c r="D1168" s="208"/>
      <c r="E1168" s="208"/>
      <c r="F1168" s="208"/>
      <c r="G1168" s="208"/>
      <c r="H1168" s="208"/>
      <c r="I1168" s="208"/>
      <c r="J1168" s="208"/>
      <c r="K1168" s="208"/>
      <c r="L1168" s="208"/>
      <c r="M1168" s="245"/>
      <c r="N1168" s="281"/>
      <c r="O1168" s="208"/>
      <c r="P1168" s="208"/>
      <c r="Q1168" s="245"/>
      <c r="R1168" s="281"/>
      <c r="S1168" s="208"/>
      <c r="T1168" s="208"/>
      <c r="U1168" s="208"/>
      <c r="V1168" s="245"/>
      <c r="W1168" s="281"/>
      <c r="X1168" s="208"/>
      <c r="Y1168" s="208"/>
      <c r="Z1168" s="208"/>
      <c r="AA1168" s="208"/>
      <c r="AB1168" s="245"/>
      <c r="AC1168" s="745" t="s">
        <v>1486</v>
      </c>
      <c r="AD1168" s="745"/>
      <c r="AE1168" s="745"/>
      <c r="AF1168" s="745"/>
      <c r="AG1168" s="745"/>
      <c r="AH1168" s="745"/>
      <c r="AI1168" s="745"/>
      <c r="AJ1168" s="745"/>
      <c r="AK1168" s="745"/>
      <c r="AL1168" s="745"/>
      <c r="AM1168" s="745"/>
      <c r="AN1168" s="745"/>
      <c r="AO1168" s="745"/>
      <c r="AP1168" s="745"/>
      <c r="AQ1168" s="745" t="s">
        <v>1894</v>
      </c>
      <c r="AR1168" s="745"/>
      <c r="AS1168" s="745"/>
      <c r="AT1168" s="745"/>
      <c r="AU1168" s="745"/>
      <c r="AV1168" s="745"/>
      <c r="AW1168" s="745"/>
      <c r="AX1168" s="745"/>
      <c r="AY1168" s="745"/>
      <c r="AZ1168" s="745"/>
      <c r="BA1168" s="745"/>
      <c r="BB1168" s="745"/>
    </row>
    <row r="1169" spans="1:54" ht="12.6" customHeight="1" x14ac:dyDescent="0.25">
      <c r="A1169" s="281"/>
      <c r="B1169" s="208"/>
      <c r="C1169" s="208"/>
      <c r="D1169" s="208"/>
      <c r="E1169" s="208"/>
      <c r="F1169" s="208"/>
      <c r="G1169" s="208"/>
      <c r="H1169" s="208"/>
      <c r="I1169" s="208"/>
      <c r="J1169" s="208"/>
      <c r="K1169" s="208"/>
      <c r="L1169" s="208"/>
      <c r="M1169" s="245"/>
      <c r="N1169" s="281"/>
      <c r="O1169" s="208"/>
      <c r="P1169" s="208"/>
      <c r="Q1169" s="245"/>
      <c r="R1169" s="281"/>
      <c r="S1169" s="208"/>
      <c r="T1169" s="208"/>
      <c r="U1169" s="208"/>
      <c r="V1169" s="245"/>
      <c r="W1169" s="281"/>
      <c r="X1169" s="208"/>
      <c r="Y1169" s="208"/>
      <c r="Z1169" s="208"/>
      <c r="AA1169" s="208"/>
      <c r="AB1169" s="245"/>
      <c r="AC1169" s="745"/>
      <c r="AD1169" s="745"/>
      <c r="AE1169" s="745"/>
      <c r="AF1169" s="745"/>
      <c r="AG1169" s="745"/>
      <c r="AH1169" s="745"/>
      <c r="AI1169" s="745"/>
      <c r="AJ1169" s="745"/>
      <c r="AK1169" s="745"/>
      <c r="AL1169" s="745"/>
      <c r="AM1169" s="745"/>
      <c r="AN1169" s="745"/>
      <c r="AO1169" s="745"/>
      <c r="AP1169" s="745"/>
      <c r="AQ1169" s="745" t="s">
        <v>1486</v>
      </c>
      <c r="AR1169" s="745"/>
      <c r="AS1169" s="745"/>
      <c r="AT1169" s="745"/>
      <c r="AU1169" s="745"/>
      <c r="AV1169" s="745"/>
      <c r="AW1169" s="745"/>
      <c r="AX1169" s="745"/>
      <c r="AY1169" s="745"/>
      <c r="AZ1169" s="745"/>
      <c r="BA1169" s="745"/>
      <c r="BB1169" s="745"/>
    </row>
    <row r="1170" spans="1:54" s="227" customFormat="1" ht="12.6" customHeight="1" x14ac:dyDescent="0.25">
      <c r="A1170" s="750" t="s">
        <v>1323</v>
      </c>
      <c r="B1170" s="750"/>
      <c r="C1170" s="750"/>
      <c r="D1170" s="750"/>
      <c r="E1170" s="750"/>
      <c r="F1170" s="750"/>
      <c r="G1170" s="750"/>
      <c r="H1170" s="750"/>
      <c r="I1170" s="750"/>
      <c r="J1170" s="750"/>
      <c r="K1170" s="750"/>
      <c r="L1170" s="750"/>
      <c r="M1170" s="750"/>
      <c r="N1170" s="750" t="s">
        <v>1324</v>
      </c>
      <c r="O1170" s="750"/>
      <c r="P1170" s="750"/>
      <c r="Q1170" s="750"/>
      <c r="R1170" s="750" t="s">
        <v>1325</v>
      </c>
      <c r="S1170" s="750"/>
      <c r="T1170" s="750"/>
      <c r="U1170" s="750"/>
      <c r="V1170" s="750"/>
      <c r="W1170" s="750" t="s">
        <v>1326</v>
      </c>
      <c r="X1170" s="750"/>
      <c r="Y1170" s="750"/>
      <c r="Z1170" s="750"/>
      <c r="AA1170" s="750"/>
      <c r="AB1170" s="750"/>
      <c r="AC1170" s="750" t="s">
        <v>1327</v>
      </c>
      <c r="AD1170" s="750"/>
      <c r="AE1170" s="750"/>
      <c r="AF1170" s="750"/>
      <c r="AG1170" s="750"/>
      <c r="AH1170" s="750"/>
      <c r="AI1170" s="750" t="s">
        <v>1333</v>
      </c>
      <c r="AJ1170" s="750"/>
      <c r="AK1170" s="750"/>
      <c r="AL1170" s="750"/>
      <c r="AM1170" s="750"/>
      <c r="AN1170" s="750"/>
      <c r="AO1170" s="750"/>
      <c r="AP1170" s="750"/>
      <c r="AQ1170" s="750" t="s">
        <v>1468</v>
      </c>
      <c r="AR1170" s="750"/>
      <c r="AS1170" s="750"/>
      <c r="AT1170" s="750"/>
      <c r="AU1170" s="750"/>
      <c r="AV1170" s="750"/>
      <c r="AW1170" s="750"/>
      <c r="AX1170" s="750"/>
      <c r="AY1170" s="750"/>
      <c r="AZ1170" s="750"/>
      <c r="BA1170" s="750"/>
      <c r="BB1170" s="750"/>
    </row>
    <row r="1171" spans="1:54" ht="12.6" customHeight="1" x14ac:dyDescent="0.25">
      <c r="A1171" s="885" t="s">
        <v>1609</v>
      </c>
      <c r="B1171" s="885"/>
      <c r="C1171" s="885"/>
      <c r="D1171" s="885"/>
      <c r="E1171" s="885"/>
      <c r="F1171" s="885"/>
      <c r="G1171" s="885"/>
      <c r="H1171" s="885"/>
      <c r="I1171" s="885"/>
      <c r="J1171" s="885"/>
      <c r="K1171" s="885"/>
      <c r="L1171" s="885"/>
      <c r="M1171" s="885"/>
      <c r="N1171" s="886"/>
      <c r="O1171" s="886"/>
      <c r="P1171" s="886"/>
      <c r="Q1171" s="886"/>
      <c r="R1171" s="886"/>
      <c r="S1171" s="886"/>
      <c r="T1171" s="886"/>
      <c r="U1171" s="886"/>
      <c r="V1171" s="886"/>
      <c r="W1171" s="886"/>
      <c r="X1171" s="886"/>
      <c r="Y1171" s="886"/>
      <c r="Z1171" s="886"/>
      <c r="AA1171" s="886"/>
      <c r="AB1171" s="886"/>
      <c r="AC1171" s="886"/>
      <c r="AD1171" s="886"/>
      <c r="AE1171" s="886"/>
      <c r="AF1171" s="886"/>
      <c r="AG1171" s="886"/>
      <c r="AH1171" s="886"/>
      <c r="AI1171" s="886"/>
      <c r="AJ1171" s="886"/>
      <c r="AK1171" s="886"/>
      <c r="AL1171" s="886"/>
      <c r="AM1171" s="886"/>
      <c r="AN1171" s="886"/>
      <c r="AO1171" s="886"/>
      <c r="AP1171" s="886"/>
      <c r="AQ1171" s="886"/>
      <c r="AR1171" s="886"/>
      <c r="AS1171" s="886"/>
      <c r="AT1171" s="886"/>
      <c r="AU1171" s="886"/>
      <c r="AV1171" s="886"/>
      <c r="AW1171" s="886"/>
      <c r="AX1171" s="886"/>
      <c r="AY1171" s="886"/>
      <c r="AZ1171" s="886"/>
      <c r="BA1171" s="886"/>
      <c r="BB1171" s="886"/>
    </row>
    <row r="1172" spans="1:54" ht="12.6" customHeight="1" x14ac:dyDescent="0.25">
      <c r="A1172" s="708"/>
      <c r="B1172" s="708"/>
      <c r="C1172" s="708"/>
      <c r="D1172" s="708"/>
      <c r="E1172" s="708"/>
      <c r="F1172" s="708"/>
      <c r="G1172" s="708"/>
      <c r="H1172" s="708"/>
      <c r="I1172" s="708"/>
      <c r="J1172" s="708"/>
      <c r="K1172" s="708"/>
      <c r="L1172" s="708"/>
      <c r="M1172" s="708"/>
      <c r="N1172" s="709"/>
      <c r="O1172" s="709"/>
      <c r="P1172" s="709"/>
      <c r="Q1172" s="709"/>
      <c r="R1172" s="709"/>
      <c r="S1172" s="709"/>
      <c r="T1172" s="709"/>
      <c r="U1172" s="709"/>
      <c r="V1172" s="709"/>
      <c r="W1172" s="888"/>
      <c r="X1172" s="888"/>
      <c r="Y1172" s="888"/>
      <c r="Z1172" s="888"/>
      <c r="AA1172" s="888"/>
      <c r="AB1172" s="888"/>
      <c r="AC1172" s="709"/>
      <c r="AD1172" s="709"/>
      <c r="AE1172" s="709"/>
      <c r="AF1172" s="709"/>
      <c r="AG1172" s="709"/>
      <c r="AH1172" s="709"/>
      <c r="AI1172" s="709"/>
      <c r="AJ1172" s="709"/>
      <c r="AK1172" s="709"/>
      <c r="AL1172" s="709"/>
      <c r="AM1172" s="709"/>
      <c r="AN1172" s="709"/>
      <c r="AO1172" s="709"/>
      <c r="AP1172" s="709"/>
      <c r="AQ1172" s="709"/>
      <c r="AR1172" s="709"/>
      <c r="AS1172" s="709"/>
      <c r="AT1172" s="709"/>
      <c r="AU1172" s="709"/>
      <c r="AV1172" s="709"/>
      <c r="AW1172" s="709"/>
      <c r="AX1172" s="709"/>
      <c r="AY1172" s="709"/>
      <c r="AZ1172" s="709"/>
      <c r="BA1172" s="709"/>
      <c r="BB1172" s="709"/>
    </row>
    <row r="1173" spans="1:54" ht="12.6" customHeight="1" x14ac:dyDescent="0.25">
      <c r="A1173" s="708"/>
      <c r="B1173" s="708"/>
      <c r="C1173" s="708"/>
      <c r="D1173" s="708"/>
      <c r="E1173" s="708"/>
      <c r="F1173" s="708"/>
      <c r="G1173" s="708"/>
      <c r="H1173" s="708"/>
      <c r="I1173" s="708"/>
      <c r="J1173" s="708"/>
      <c r="K1173" s="708"/>
      <c r="L1173" s="708"/>
      <c r="M1173" s="708"/>
      <c r="N1173" s="709"/>
      <c r="O1173" s="709"/>
      <c r="P1173" s="709"/>
      <c r="Q1173" s="709"/>
      <c r="R1173" s="709"/>
      <c r="S1173" s="709"/>
      <c r="T1173" s="709"/>
      <c r="U1173" s="709"/>
      <c r="V1173" s="709"/>
      <c r="W1173" s="888"/>
      <c r="X1173" s="888"/>
      <c r="Y1173" s="888"/>
      <c r="Z1173" s="888"/>
      <c r="AA1173" s="888"/>
      <c r="AB1173" s="888"/>
      <c r="AC1173" s="709"/>
      <c r="AD1173" s="709"/>
      <c r="AE1173" s="709"/>
      <c r="AF1173" s="709"/>
      <c r="AG1173" s="709"/>
      <c r="AH1173" s="709"/>
      <c r="AI1173" s="709"/>
      <c r="AJ1173" s="709"/>
      <c r="AK1173" s="709"/>
      <c r="AL1173" s="709"/>
      <c r="AM1173" s="709"/>
      <c r="AN1173" s="709"/>
      <c r="AO1173" s="709"/>
      <c r="AP1173" s="709"/>
      <c r="AQ1173" s="709"/>
      <c r="AR1173" s="709"/>
      <c r="AS1173" s="709"/>
      <c r="AT1173" s="709"/>
      <c r="AU1173" s="709"/>
      <c r="AV1173" s="709"/>
      <c r="AW1173" s="709"/>
      <c r="AX1173" s="709"/>
      <c r="AY1173" s="709"/>
      <c r="AZ1173" s="709"/>
      <c r="BA1173" s="709"/>
      <c r="BB1173" s="709"/>
    </row>
    <row r="1174" spans="1:54" ht="12.6" customHeight="1" x14ac:dyDescent="0.25">
      <c r="A1174" s="708"/>
      <c r="B1174" s="708"/>
      <c r="C1174" s="708"/>
      <c r="D1174" s="708"/>
      <c r="E1174" s="708"/>
      <c r="F1174" s="708"/>
      <c r="G1174" s="708"/>
      <c r="H1174" s="708"/>
      <c r="I1174" s="708"/>
      <c r="J1174" s="708"/>
      <c r="K1174" s="708"/>
      <c r="L1174" s="708"/>
      <c r="M1174" s="708"/>
      <c r="N1174" s="709"/>
      <c r="O1174" s="709"/>
      <c r="P1174" s="709"/>
      <c r="Q1174" s="709"/>
      <c r="R1174" s="709"/>
      <c r="S1174" s="709"/>
      <c r="T1174" s="709"/>
      <c r="U1174" s="709"/>
      <c r="V1174" s="709"/>
      <c r="W1174" s="888"/>
      <c r="X1174" s="888"/>
      <c r="Y1174" s="888"/>
      <c r="Z1174" s="888"/>
      <c r="AA1174" s="888"/>
      <c r="AB1174" s="888"/>
      <c r="AC1174" s="709"/>
      <c r="AD1174" s="709"/>
      <c r="AE1174" s="709"/>
      <c r="AF1174" s="709"/>
      <c r="AG1174" s="709"/>
      <c r="AH1174" s="709"/>
      <c r="AI1174" s="709"/>
      <c r="AJ1174" s="709"/>
      <c r="AK1174" s="709"/>
      <c r="AL1174" s="709"/>
      <c r="AM1174" s="709"/>
      <c r="AN1174" s="709"/>
      <c r="AO1174" s="709"/>
      <c r="AP1174" s="709"/>
      <c r="AQ1174" s="709"/>
      <c r="AR1174" s="709"/>
      <c r="AS1174" s="709"/>
      <c r="AT1174" s="709"/>
      <c r="AU1174" s="709"/>
      <c r="AV1174" s="709"/>
      <c r="AW1174" s="709"/>
      <c r="AX1174" s="709"/>
      <c r="AY1174" s="709"/>
      <c r="AZ1174" s="709"/>
      <c r="BA1174" s="709"/>
      <c r="BB1174" s="709"/>
    </row>
    <row r="1175" spans="1:54" ht="12.6" customHeight="1" x14ac:dyDescent="0.25">
      <c r="A1175" s="885" t="s">
        <v>1898</v>
      </c>
      <c r="B1175" s="885"/>
      <c r="C1175" s="885"/>
      <c r="D1175" s="885"/>
      <c r="E1175" s="885"/>
      <c r="F1175" s="885"/>
      <c r="G1175" s="885"/>
      <c r="H1175" s="885"/>
      <c r="I1175" s="885"/>
      <c r="J1175" s="885"/>
      <c r="K1175" s="885"/>
      <c r="L1175" s="885"/>
      <c r="M1175" s="885"/>
      <c r="N1175" s="886"/>
      <c r="O1175" s="886"/>
      <c r="P1175" s="886"/>
      <c r="Q1175" s="886"/>
      <c r="R1175" s="886"/>
      <c r="S1175" s="886"/>
      <c r="T1175" s="886"/>
      <c r="U1175" s="886"/>
      <c r="V1175" s="886"/>
      <c r="W1175" s="886"/>
      <c r="X1175" s="886"/>
      <c r="Y1175" s="886"/>
      <c r="Z1175" s="886"/>
      <c r="AA1175" s="886"/>
      <c r="AB1175" s="886"/>
      <c r="AC1175" s="886"/>
      <c r="AD1175" s="886"/>
      <c r="AE1175" s="886"/>
      <c r="AF1175" s="886"/>
      <c r="AG1175" s="886"/>
      <c r="AH1175" s="886"/>
      <c r="AI1175" s="886"/>
      <c r="AJ1175" s="886"/>
      <c r="AK1175" s="886"/>
      <c r="AL1175" s="886"/>
      <c r="AM1175" s="886"/>
      <c r="AN1175" s="886"/>
      <c r="AO1175" s="886"/>
      <c r="AP1175" s="886"/>
      <c r="AQ1175" s="886"/>
      <c r="AR1175" s="886"/>
      <c r="AS1175" s="886"/>
      <c r="AT1175" s="886"/>
      <c r="AU1175" s="886"/>
      <c r="AV1175" s="886"/>
      <c r="AW1175" s="886"/>
      <c r="AX1175" s="886"/>
      <c r="AY1175" s="886"/>
      <c r="AZ1175" s="886"/>
      <c r="BA1175" s="886"/>
      <c r="BB1175" s="886"/>
    </row>
    <row r="1176" spans="1:54" ht="12.6" customHeight="1" x14ac:dyDescent="0.25">
      <c r="A1176" s="708"/>
      <c r="B1176" s="708"/>
      <c r="C1176" s="708"/>
      <c r="D1176" s="708"/>
      <c r="E1176" s="708"/>
      <c r="F1176" s="708"/>
      <c r="G1176" s="708"/>
      <c r="H1176" s="708"/>
      <c r="I1176" s="708"/>
      <c r="J1176" s="708"/>
      <c r="K1176" s="708"/>
      <c r="L1176" s="708"/>
      <c r="M1176" s="708"/>
      <c r="N1176" s="709"/>
      <c r="O1176" s="709"/>
      <c r="P1176" s="709"/>
      <c r="Q1176" s="709"/>
      <c r="R1176" s="709"/>
      <c r="S1176" s="709"/>
      <c r="T1176" s="709"/>
      <c r="U1176" s="709"/>
      <c r="V1176" s="709"/>
      <c r="W1176" s="888"/>
      <c r="X1176" s="888"/>
      <c r="Y1176" s="888"/>
      <c r="Z1176" s="888"/>
      <c r="AA1176" s="888"/>
      <c r="AB1176" s="888"/>
      <c r="AC1176" s="709"/>
      <c r="AD1176" s="709"/>
      <c r="AE1176" s="709"/>
      <c r="AF1176" s="709"/>
      <c r="AG1176" s="709"/>
      <c r="AH1176" s="709"/>
      <c r="AI1176" s="709"/>
      <c r="AJ1176" s="709"/>
      <c r="AK1176" s="709"/>
      <c r="AL1176" s="709"/>
      <c r="AM1176" s="709"/>
      <c r="AN1176" s="709"/>
      <c r="AO1176" s="709"/>
      <c r="AP1176" s="709"/>
      <c r="AQ1176" s="709"/>
      <c r="AR1176" s="709"/>
      <c r="AS1176" s="709"/>
      <c r="AT1176" s="709"/>
      <c r="AU1176" s="709"/>
      <c r="AV1176" s="709"/>
      <c r="AW1176" s="709"/>
      <c r="AX1176" s="709"/>
      <c r="AY1176" s="709"/>
      <c r="AZ1176" s="709"/>
      <c r="BA1176" s="709"/>
      <c r="BB1176" s="709"/>
    </row>
    <row r="1177" spans="1:54" ht="12.6" customHeight="1" x14ac:dyDescent="0.25">
      <c r="A1177" s="708"/>
      <c r="B1177" s="708"/>
      <c r="C1177" s="708"/>
      <c r="D1177" s="708"/>
      <c r="E1177" s="708"/>
      <c r="F1177" s="708"/>
      <c r="G1177" s="708"/>
      <c r="H1177" s="708"/>
      <c r="I1177" s="708"/>
      <c r="J1177" s="708"/>
      <c r="K1177" s="708"/>
      <c r="L1177" s="708"/>
      <c r="M1177" s="708"/>
      <c r="N1177" s="709"/>
      <c r="O1177" s="709"/>
      <c r="P1177" s="709"/>
      <c r="Q1177" s="709"/>
      <c r="R1177" s="709"/>
      <c r="S1177" s="709"/>
      <c r="T1177" s="709"/>
      <c r="U1177" s="709"/>
      <c r="V1177" s="709"/>
      <c r="W1177" s="888"/>
      <c r="X1177" s="888"/>
      <c r="Y1177" s="888"/>
      <c r="Z1177" s="888"/>
      <c r="AA1177" s="888"/>
      <c r="AB1177" s="888"/>
      <c r="AC1177" s="709"/>
      <c r="AD1177" s="709"/>
      <c r="AE1177" s="709"/>
      <c r="AF1177" s="709"/>
      <c r="AG1177" s="709"/>
      <c r="AH1177" s="709"/>
      <c r="AI1177" s="709"/>
      <c r="AJ1177" s="709"/>
      <c r="AK1177" s="709"/>
      <c r="AL1177" s="709"/>
      <c r="AM1177" s="709"/>
      <c r="AN1177" s="709"/>
      <c r="AO1177" s="709"/>
      <c r="AP1177" s="709"/>
      <c r="AQ1177" s="709"/>
      <c r="AR1177" s="709"/>
      <c r="AS1177" s="709"/>
      <c r="AT1177" s="709"/>
      <c r="AU1177" s="709"/>
      <c r="AV1177" s="709"/>
      <c r="AW1177" s="709"/>
      <c r="AX1177" s="709"/>
      <c r="AY1177" s="709"/>
      <c r="AZ1177" s="709"/>
      <c r="BA1177" s="709"/>
      <c r="BB1177" s="709"/>
    </row>
    <row r="1178" spans="1:54" ht="12.6" customHeight="1" x14ac:dyDescent="0.25">
      <c r="A1178" s="708"/>
      <c r="B1178" s="708"/>
      <c r="C1178" s="708"/>
      <c r="D1178" s="708"/>
      <c r="E1178" s="708"/>
      <c r="F1178" s="708"/>
      <c r="G1178" s="708"/>
      <c r="H1178" s="708"/>
      <c r="I1178" s="708"/>
      <c r="J1178" s="708"/>
      <c r="K1178" s="708"/>
      <c r="L1178" s="708"/>
      <c r="M1178" s="708"/>
      <c r="N1178" s="709"/>
      <c r="O1178" s="709"/>
      <c r="P1178" s="709"/>
      <c r="Q1178" s="709"/>
      <c r="R1178" s="709"/>
      <c r="S1178" s="709"/>
      <c r="T1178" s="709"/>
      <c r="U1178" s="709"/>
      <c r="V1178" s="709"/>
      <c r="W1178" s="888"/>
      <c r="X1178" s="888"/>
      <c r="Y1178" s="888"/>
      <c r="Z1178" s="888"/>
      <c r="AA1178" s="888"/>
      <c r="AB1178" s="888"/>
      <c r="AC1178" s="709"/>
      <c r="AD1178" s="709"/>
      <c r="AE1178" s="709"/>
      <c r="AF1178" s="709"/>
      <c r="AG1178" s="709"/>
      <c r="AH1178" s="709"/>
      <c r="AI1178" s="709"/>
      <c r="AJ1178" s="709"/>
      <c r="AK1178" s="709"/>
      <c r="AL1178" s="709"/>
      <c r="AM1178" s="709"/>
      <c r="AN1178" s="709"/>
      <c r="AO1178" s="709"/>
      <c r="AP1178" s="709"/>
      <c r="AQ1178" s="709"/>
      <c r="AR1178" s="709"/>
      <c r="AS1178" s="709"/>
      <c r="AT1178" s="709"/>
      <c r="AU1178" s="709"/>
      <c r="AV1178" s="709"/>
      <c r="AW1178" s="709"/>
      <c r="AX1178" s="709"/>
      <c r="AY1178" s="709"/>
      <c r="AZ1178" s="709"/>
      <c r="BA1178" s="709"/>
      <c r="BB1178" s="709"/>
    </row>
    <row r="1179" spans="1:54" ht="12.6" customHeight="1" x14ac:dyDescent="0.25">
      <c r="A1179" s="889" t="s">
        <v>1899</v>
      </c>
      <c r="B1179" s="889"/>
      <c r="C1179" s="889"/>
      <c r="D1179" s="889"/>
      <c r="E1179" s="889"/>
      <c r="F1179" s="889"/>
      <c r="G1179" s="889"/>
      <c r="H1179" s="889"/>
      <c r="I1179" s="889"/>
      <c r="J1179" s="889"/>
      <c r="K1179" s="889"/>
      <c r="L1179" s="889"/>
      <c r="M1179" s="889"/>
      <c r="N1179" s="890"/>
      <c r="O1179" s="890"/>
      <c r="P1179" s="890"/>
      <c r="Q1179" s="890"/>
      <c r="R1179" s="890"/>
      <c r="S1179" s="890"/>
      <c r="T1179" s="890"/>
      <c r="U1179" s="890"/>
      <c r="V1179" s="890"/>
      <c r="W1179" s="891"/>
      <c r="X1179" s="891"/>
      <c r="Y1179" s="891"/>
      <c r="Z1179" s="891"/>
      <c r="AA1179" s="891"/>
      <c r="AB1179" s="891"/>
      <c r="AC1179" s="890"/>
      <c r="AD1179" s="890"/>
      <c r="AE1179" s="890"/>
      <c r="AF1179" s="890"/>
      <c r="AG1179" s="890"/>
      <c r="AH1179" s="890"/>
      <c r="AI1179" s="890">
        <f>SUVAHAVUJ!$N$142</f>
        <v>3040</v>
      </c>
      <c r="AJ1179" s="890"/>
      <c r="AK1179" s="890"/>
      <c r="AL1179" s="890"/>
      <c r="AM1179" s="890"/>
      <c r="AN1179" s="890"/>
      <c r="AO1179" s="890"/>
      <c r="AP1179" s="890"/>
      <c r="AQ1179" s="890">
        <f>SUVAHAVUJ!$X$142</f>
        <v>6040</v>
      </c>
      <c r="AR1179" s="890"/>
      <c r="AS1179" s="890"/>
      <c r="AT1179" s="890"/>
      <c r="AU1179" s="890"/>
      <c r="AV1179" s="890"/>
      <c r="AW1179" s="890"/>
      <c r="AX1179" s="890"/>
      <c r="AY1179" s="890"/>
      <c r="AZ1179" s="890"/>
      <c r="BA1179" s="890"/>
      <c r="BB1179" s="890"/>
    </row>
    <row r="1180" spans="1:54" ht="12.6" customHeight="1" x14ac:dyDescent="0.25">
      <c r="A1180" s="708"/>
      <c r="B1180" s="708"/>
      <c r="C1180" s="708"/>
      <c r="D1180" s="708"/>
      <c r="E1180" s="708"/>
      <c r="F1180" s="708"/>
      <c r="G1180" s="708"/>
      <c r="H1180" s="708"/>
      <c r="I1180" s="708"/>
      <c r="J1180" s="708"/>
      <c r="K1180" s="708"/>
      <c r="L1180" s="708"/>
      <c r="M1180" s="708"/>
      <c r="N1180" s="709"/>
      <c r="O1180" s="709"/>
      <c r="P1180" s="709"/>
      <c r="Q1180" s="709"/>
      <c r="R1180" s="709"/>
      <c r="S1180" s="709"/>
      <c r="T1180" s="709"/>
      <c r="U1180" s="709"/>
      <c r="V1180" s="709"/>
      <c r="W1180" s="888"/>
      <c r="X1180" s="888"/>
      <c r="Y1180" s="888"/>
      <c r="Z1180" s="888"/>
      <c r="AA1180" s="888"/>
      <c r="AB1180" s="888"/>
      <c r="AC1180" s="709"/>
      <c r="AD1180" s="709"/>
      <c r="AE1180" s="709"/>
      <c r="AF1180" s="709"/>
      <c r="AG1180" s="709"/>
      <c r="AH1180" s="709"/>
      <c r="AI1180" s="709"/>
      <c r="AJ1180" s="709"/>
      <c r="AK1180" s="709"/>
      <c r="AL1180" s="709"/>
      <c r="AM1180" s="709"/>
      <c r="AN1180" s="709"/>
      <c r="AO1180" s="709"/>
      <c r="AP1180" s="709"/>
      <c r="AQ1180" s="709"/>
      <c r="AR1180" s="709"/>
      <c r="AS1180" s="709"/>
      <c r="AT1180" s="709"/>
      <c r="AU1180" s="709"/>
      <c r="AV1180" s="709"/>
      <c r="AW1180" s="709"/>
      <c r="AX1180" s="709"/>
      <c r="AY1180" s="709"/>
      <c r="AZ1180" s="709"/>
      <c r="BA1180" s="709"/>
      <c r="BB1180" s="709"/>
    </row>
    <row r="1181" spans="1:54" ht="12.6" customHeight="1" x14ac:dyDescent="0.25">
      <c r="A1181" s="708"/>
      <c r="B1181" s="708"/>
      <c r="C1181" s="708"/>
      <c r="D1181" s="708"/>
      <c r="E1181" s="708"/>
      <c r="F1181" s="708"/>
      <c r="G1181" s="708"/>
      <c r="H1181" s="708"/>
      <c r="I1181" s="708"/>
      <c r="J1181" s="708"/>
      <c r="K1181" s="708"/>
      <c r="L1181" s="708"/>
      <c r="M1181" s="708"/>
      <c r="N1181" s="709"/>
      <c r="O1181" s="709"/>
      <c r="P1181" s="709"/>
      <c r="Q1181" s="709"/>
      <c r="R1181" s="709"/>
      <c r="S1181" s="709"/>
      <c r="T1181" s="709"/>
      <c r="U1181" s="709"/>
      <c r="V1181" s="709"/>
      <c r="W1181" s="888"/>
      <c r="X1181" s="888"/>
      <c r="Y1181" s="888"/>
      <c r="Z1181" s="888"/>
      <c r="AA1181" s="888"/>
      <c r="AB1181" s="888"/>
      <c r="AC1181" s="709"/>
      <c r="AD1181" s="709"/>
      <c r="AE1181" s="709"/>
      <c r="AF1181" s="709"/>
      <c r="AG1181" s="709"/>
      <c r="AH1181" s="709"/>
      <c r="AI1181" s="709"/>
      <c r="AJ1181" s="709"/>
      <c r="AK1181" s="709"/>
      <c r="AL1181" s="709"/>
      <c r="AM1181" s="709"/>
      <c r="AN1181" s="709"/>
      <c r="AO1181" s="709"/>
      <c r="AP1181" s="709"/>
      <c r="AQ1181" s="709"/>
      <c r="AR1181" s="709"/>
      <c r="AS1181" s="709"/>
      <c r="AT1181" s="709"/>
      <c r="AU1181" s="709"/>
      <c r="AV1181" s="709"/>
      <c r="AW1181" s="709"/>
      <c r="AX1181" s="709"/>
      <c r="AY1181" s="709"/>
      <c r="AZ1181" s="709"/>
      <c r="BA1181" s="709"/>
      <c r="BB1181" s="709"/>
    </row>
    <row r="1182" spans="1:54" ht="12.6" customHeight="1" x14ac:dyDescent="0.25">
      <c r="A1182" s="227" t="s">
        <v>1482</v>
      </c>
    </row>
    <row r="1183" spans="1:54" ht="15" customHeight="1" x14ac:dyDescent="0.25">
      <c r="A1183" s="763"/>
      <c r="B1183" s="763"/>
      <c r="C1183" s="763"/>
      <c r="D1183" s="763"/>
      <c r="E1183" s="763"/>
      <c r="F1183" s="763"/>
      <c r="G1183" s="763"/>
      <c r="H1183" s="763"/>
      <c r="I1183" s="763"/>
      <c r="J1183" s="763"/>
      <c r="K1183" s="763"/>
      <c r="L1183" s="763"/>
      <c r="M1183" s="763"/>
      <c r="N1183" s="763"/>
      <c r="O1183" s="763"/>
      <c r="P1183" s="763"/>
      <c r="Q1183" s="763"/>
      <c r="R1183" s="763"/>
      <c r="S1183" s="763"/>
      <c r="T1183" s="763"/>
      <c r="U1183" s="763"/>
      <c r="V1183" s="763"/>
      <c r="W1183" s="763"/>
      <c r="X1183" s="763"/>
      <c r="Y1183" s="763"/>
      <c r="Z1183" s="763"/>
      <c r="AA1183" s="763"/>
      <c r="AB1183" s="763"/>
      <c r="AC1183" s="763"/>
      <c r="AD1183" s="763"/>
      <c r="AE1183" s="763"/>
      <c r="AF1183" s="763"/>
      <c r="AG1183" s="763"/>
      <c r="AH1183" s="763"/>
      <c r="AI1183" s="763"/>
      <c r="AJ1183" s="763"/>
      <c r="AK1183" s="763"/>
      <c r="AL1183" s="763"/>
      <c r="AM1183" s="763"/>
      <c r="AN1183" s="763"/>
      <c r="AO1183" s="763"/>
      <c r="AP1183" s="763"/>
      <c r="AQ1183" s="763"/>
      <c r="AR1183" s="763"/>
      <c r="AS1183" s="763"/>
      <c r="AT1183" s="763"/>
      <c r="AU1183" s="763"/>
      <c r="AV1183" s="763"/>
      <c r="AW1183" s="763"/>
      <c r="AX1183" s="763"/>
      <c r="AY1183" s="265"/>
      <c r="AZ1183" s="265"/>
      <c r="BA1183" s="265"/>
      <c r="BB1183" s="265"/>
    </row>
    <row r="1184" spans="1:54" ht="15" customHeight="1" x14ac:dyDescent="0.25">
      <c r="A1184" s="763"/>
      <c r="B1184" s="763"/>
      <c r="C1184" s="763"/>
      <c r="D1184" s="763"/>
      <c r="E1184" s="763"/>
      <c r="F1184" s="763"/>
      <c r="G1184" s="763"/>
      <c r="H1184" s="763"/>
      <c r="I1184" s="763"/>
      <c r="J1184" s="763"/>
      <c r="K1184" s="763"/>
      <c r="L1184" s="763"/>
      <c r="M1184" s="763"/>
      <c r="N1184" s="763"/>
      <c r="O1184" s="763"/>
      <c r="P1184" s="763"/>
      <c r="Q1184" s="763"/>
      <c r="R1184" s="763"/>
      <c r="S1184" s="763"/>
      <c r="T1184" s="763"/>
      <c r="U1184" s="763"/>
      <c r="V1184" s="763"/>
      <c r="W1184" s="763"/>
      <c r="X1184" s="763"/>
      <c r="Y1184" s="763"/>
      <c r="Z1184" s="763"/>
      <c r="AA1184" s="763"/>
      <c r="AB1184" s="763"/>
      <c r="AC1184" s="763"/>
      <c r="AD1184" s="763"/>
      <c r="AE1184" s="763"/>
      <c r="AF1184" s="763"/>
      <c r="AG1184" s="763"/>
      <c r="AH1184" s="763"/>
      <c r="AI1184" s="763"/>
      <c r="AJ1184" s="763"/>
      <c r="AK1184" s="763"/>
      <c r="AL1184" s="763"/>
      <c r="AM1184" s="763"/>
      <c r="AN1184" s="763"/>
      <c r="AO1184" s="763"/>
      <c r="AP1184" s="763"/>
      <c r="AQ1184" s="763"/>
      <c r="AR1184" s="763"/>
      <c r="AS1184" s="763"/>
      <c r="AT1184" s="763"/>
      <c r="AU1184" s="763"/>
      <c r="AV1184" s="763"/>
      <c r="AW1184" s="763"/>
      <c r="AX1184" s="763"/>
      <c r="AY1184" s="265"/>
      <c r="AZ1184" s="265"/>
      <c r="BA1184" s="265"/>
      <c r="BB1184" s="265"/>
    </row>
    <row r="1185" spans="1:54" s="208" customFormat="1" ht="12.6" customHeight="1" x14ac:dyDescent="0.25">
      <c r="A1185" s="227" t="s">
        <v>1900</v>
      </c>
    </row>
    <row r="1186" spans="1:54" ht="24" customHeight="1" x14ac:dyDescent="0.25">
      <c r="A1186" s="853" t="s">
        <v>1287</v>
      </c>
      <c r="B1186" s="853"/>
      <c r="C1186" s="853"/>
      <c r="D1186" s="853"/>
      <c r="E1186" s="853"/>
      <c r="F1186" s="853"/>
      <c r="G1186" s="853"/>
      <c r="H1186" s="853"/>
      <c r="I1186" s="853"/>
      <c r="J1186" s="853"/>
      <c r="K1186" s="853"/>
      <c r="L1186" s="853"/>
      <c r="M1186" s="853"/>
      <c r="N1186" s="853"/>
      <c r="O1186" s="853"/>
      <c r="P1186" s="853"/>
      <c r="Q1186" s="853"/>
      <c r="R1186" s="853"/>
      <c r="S1186" s="853"/>
      <c r="T1186" s="853"/>
      <c r="U1186" s="853"/>
      <c r="V1186" s="853"/>
      <c r="W1186" s="853"/>
      <c r="X1186" s="853"/>
      <c r="Y1186" s="853"/>
      <c r="Z1186" s="853"/>
      <c r="AA1186" s="853"/>
      <c r="AB1186" s="853"/>
      <c r="AC1186" s="853"/>
      <c r="AD1186" s="853"/>
      <c r="AE1186" s="853"/>
      <c r="AF1186" s="854" t="s">
        <v>1288</v>
      </c>
      <c r="AG1186" s="854"/>
      <c r="AH1186" s="854"/>
      <c r="AI1186" s="854"/>
      <c r="AJ1186" s="854"/>
      <c r="AK1186" s="854"/>
      <c r="AL1186" s="854"/>
      <c r="AM1186" s="854"/>
      <c r="AN1186" s="854"/>
      <c r="AO1186" s="855" t="s">
        <v>1306</v>
      </c>
      <c r="AP1186" s="855"/>
      <c r="AQ1186" s="855"/>
      <c r="AR1186" s="855"/>
      <c r="AS1186" s="855"/>
      <c r="AT1186" s="855"/>
      <c r="AU1186" s="855"/>
      <c r="AV1186" s="855"/>
      <c r="AW1186" s="855"/>
      <c r="AX1186" s="855"/>
      <c r="AY1186" s="855"/>
      <c r="AZ1186" s="855"/>
      <c r="BA1186" s="855"/>
      <c r="BB1186" s="855"/>
    </row>
    <row r="1187" spans="1:54" ht="12.6" customHeight="1" x14ac:dyDescent="0.25">
      <c r="A1187" s="856" t="s">
        <v>1901</v>
      </c>
      <c r="B1187" s="856"/>
      <c r="C1187" s="856"/>
      <c r="D1187" s="856"/>
      <c r="E1187" s="856"/>
      <c r="F1187" s="856"/>
      <c r="G1187" s="856"/>
      <c r="H1187" s="856"/>
      <c r="I1187" s="856"/>
      <c r="J1187" s="856"/>
      <c r="K1187" s="856"/>
      <c r="L1187" s="856"/>
      <c r="M1187" s="856"/>
      <c r="N1187" s="856"/>
      <c r="O1187" s="856"/>
      <c r="P1187" s="856"/>
      <c r="Q1187" s="856"/>
      <c r="R1187" s="856"/>
      <c r="S1187" s="856"/>
      <c r="T1187" s="856"/>
      <c r="U1187" s="856"/>
      <c r="V1187" s="856"/>
      <c r="W1187" s="856"/>
      <c r="X1187" s="856"/>
      <c r="Y1187" s="856"/>
      <c r="Z1187" s="856"/>
      <c r="AA1187" s="856"/>
      <c r="AB1187" s="856"/>
      <c r="AC1187" s="856"/>
      <c r="AD1187" s="856"/>
      <c r="AE1187" s="856"/>
      <c r="AF1187" s="860">
        <f>SUVAHAVUJ!$N$144</f>
        <v>0</v>
      </c>
      <c r="AG1187" s="860"/>
      <c r="AH1187" s="860"/>
      <c r="AI1187" s="860"/>
      <c r="AJ1187" s="860"/>
      <c r="AK1187" s="860"/>
      <c r="AL1187" s="860"/>
      <c r="AM1187" s="860"/>
      <c r="AN1187" s="860"/>
      <c r="AO1187" s="861">
        <f>SUVAHAVUJ!$X$144</f>
        <v>0</v>
      </c>
      <c r="AP1187" s="861"/>
      <c r="AQ1187" s="861"/>
      <c r="AR1187" s="861"/>
      <c r="AS1187" s="861"/>
      <c r="AT1187" s="861"/>
      <c r="AU1187" s="861"/>
      <c r="AV1187" s="861"/>
      <c r="AW1187" s="861"/>
      <c r="AX1187" s="861"/>
      <c r="AY1187" s="861"/>
      <c r="AZ1187" s="861"/>
      <c r="BA1187" s="861"/>
      <c r="BB1187" s="861"/>
    </row>
    <row r="1188" spans="1:54" ht="12.6" customHeight="1" x14ac:dyDescent="0.25">
      <c r="A1188" s="859"/>
      <c r="B1188" s="859"/>
      <c r="C1188" s="859"/>
      <c r="D1188" s="859"/>
      <c r="E1188" s="859"/>
      <c r="F1188" s="859"/>
      <c r="G1188" s="859"/>
      <c r="H1188" s="859"/>
      <c r="I1188" s="859"/>
      <c r="J1188" s="859"/>
      <c r="K1188" s="859"/>
      <c r="L1188" s="859"/>
      <c r="M1188" s="859"/>
      <c r="N1188" s="859"/>
      <c r="O1188" s="859"/>
      <c r="P1188" s="859"/>
      <c r="Q1188" s="859"/>
      <c r="R1188" s="859"/>
      <c r="S1188" s="859"/>
      <c r="T1188" s="859"/>
      <c r="U1188" s="859"/>
      <c r="V1188" s="859"/>
      <c r="W1188" s="859"/>
      <c r="X1188" s="859"/>
      <c r="Y1188" s="859"/>
      <c r="Z1188" s="859"/>
      <c r="AA1188" s="859"/>
      <c r="AB1188" s="859"/>
      <c r="AC1188" s="859"/>
      <c r="AD1188" s="859"/>
      <c r="AE1188" s="859"/>
      <c r="AF1188" s="860"/>
      <c r="AG1188" s="860"/>
      <c r="AH1188" s="860"/>
      <c r="AI1188" s="860"/>
      <c r="AJ1188" s="860"/>
      <c r="AK1188" s="860"/>
      <c r="AL1188" s="860"/>
      <c r="AM1188" s="860"/>
      <c r="AN1188" s="860"/>
      <c r="AO1188" s="861"/>
      <c r="AP1188" s="861"/>
      <c r="AQ1188" s="861"/>
      <c r="AR1188" s="861"/>
      <c r="AS1188" s="861"/>
      <c r="AT1188" s="861"/>
      <c r="AU1188" s="861"/>
      <c r="AV1188" s="861"/>
      <c r="AW1188" s="861"/>
      <c r="AX1188" s="861"/>
      <c r="AY1188" s="861"/>
      <c r="AZ1188" s="861"/>
      <c r="BA1188" s="861"/>
      <c r="BB1188" s="861"/>
    </row>
    <row r="1189" spans="1:54" ht="12.6" customHeight="1" x14ac:dyDescent="0.25">
      <c r="A1189" s="859"/>
      <c r="B1189" s="859"/>
      <c r="C1189" s="859"/>
      <c r="D1189" s="859"/>
      <c r="E1189" s="859"/>
      <c r="F1189" s="859"/>
      <c r="G1189" s="859"/>
      <c r="H1189" s="859"/>
      <c r="I1189" s="859"/>
      <c r="J1189" s="859"/>
      <c r="K1189" s="859"/>
      <c r="L1189" s="859"/>
      <c r="M1189" s="859"/>
      <c r="N1189" s="859"/>
      <c r="O1189" s="859"/>
      <c r="P1189" s="859"/>
      <c r="Q1189" s="859"/>
      <c r="R1189" s="859"/>
      <c r="S1189" s="859"/>
      <c r="T1189" s="859"/>
      <c r="U1189" s="859"/>
      <c r="V1189" s="859"/>
      <c r="W1189" s="859"/>
      <c r="X1189" s="859"/>
      <c r="Y1189" s="859"/>
      <c r="Z1189" s="859"/>
      <c r="AA1189" s="859"/>
      <c r="AB1189" s="859"/>
      <c r="AC1189" s="859"/>
      <c r="AD1189" s="859"/>
      <c r="AE1189" s="859"/>
      <c r="AF1189" s="860"/>
      <c r="AG1189" s="860"/>
      <c r="AH1189" s="860"/>
      <c r="AI1189" s="860"/>
      <c r="AJ1189" s="860"/>
      <c r="AK1189" s="860"/>
      <c r="AL1189" s="860"/>
      <c r="AM1189" s="860"/>
      <c r="AN1189" s="860"/>
      <c r="AO1189" s="861"/>
      <c r="AP1189" s="861"/>
      <c r="AQ1189" s="861"/>
      <c r="AR1189" s="861"/>
      <c r="AS1189" s="861"/>
      <c r="AT1189" s="861"/>
      <c r="AU1189" s="861"/>
      <c r="AV1189" s="861"/>
      <c r="AW1189" s="861"/>
      <c r="AX1189" s="861"/>
      <c r="AY1189" s="861"/>
      <c r="AZ1189" s="861"/>
      <c r="BA1189" s="861"/>
      <c r="BB1189" s="861"/>
    </row>
    <row r="1190" spans="1:54" ht="12.6" customHeight="1" x14ac:dyDescent="0.25">
      <c r="A1190" s="856" t="s">
        <v>1902</v>
      </c>
      <c r="B1190" s="856"/>
      <c r="C1190" s="856"/>
      <c r="D1190" s="856"/>
      <c r="E1190" s="856"/>
      <c r="F1190" s="856"/>
      <c r="G1190" s="856"/>
      <c r="H1190" s="856"/>
      <c r="I1190" s="856"/>
      <c r="J1190" s="856"/>
      <c r="K1190" s="856"/>
      <c r="L1190" s="856"/>
      <c r="M1190" s="856"/>
      <c r="N1190" s="856"/>
      <c r="O1190" s="856"/>
      <c r="P1190" s="856"/>
      <c r="Q1190" s="856"/>
      <c r="R1190" s="856"/>
      <c r="S1190" s="856"/>
      <c r="T1190" s="856"/>
      <c r="U1190" s="856"/>
      <c r="V1190" s="856"/>
      <c r="W1190" s="856"/>
      <c r="X1190" s="856"/>
      <c r="Y1190" s="856"/>
      <c r="Z1190" s="856"/>
      <c r="AA1190" s="856"/>
      <c r="AB1190" s="856"/>
      <c r="AC1190" s="856"/>
      <c r="AD1190" s="856"/>
      <c r="AE1190" s="856"/>
      <c r="AF1190" s="860">
        <f>SUVAHAVUJ!$N$145</f>
        <v>0</v>
      </c>
      <c r="AG1190" s="860"/>
      <c r="AH1190" s="860"/>
      <c r="AI1190" s="860"/>
      <c r="AJ1190" s="860"/>
      <c r="AK1190" s="860"/>
      <c r="AL1190" s="860"/>
      <c r="AM1190" s="860"/>
      <c r="AN1190" s="860"/>
      <c r="AO1190" s="861">
        <f>SUVAHAVUJ!$X$145</f>
        <v>0</v>
      </c>
      <c r="AP1190" s="861"/>
      <c r="AQ1190" s="861"/>
      <c r="AR1190" s="861"/>
      <c r="AS1190" s="861"/>
      <c r="AT1190" s="861"/>
      <c r="AU1190" s="861"/>
      <c r="AV1190" s="861"/>
      <c r="AW1190" s="861"/>
      <c r="AX1190" s="861"/>
      <c r="AY1190" s="861"/>
      <c r="AZ1190" s="861"/>
      <c r="BA1190" s="861"/>
      <c r="BB1190" s="861"/>
    </row>
    <row r="1191" spans="1:54" ht="12.6" customHeight="1" x14ac:dyDescent="0.25">
      <c r="A1191" s="859"/>
      <c r="B1191" s="859"/>
      <c r="C1191" s="859"/>
      <c r="D1191" s="859"/>
      <c r="E1191" s="859"/>
      <c r="F1191" s="859"/>
      <c r="G1191" s="859"/>
      <c r="H1191" s="859"/>
      <c r="I1191" s="859"/>
      <c r="J1191" s="859"/>
      <c r="K1191" s="859"/>
      <c r="L1191" s="859"/>
      <c r="M1191" s="859"/>
      <c r="N1191" s="859"/>
      <c r="O1191" s="859"/>
      <c r="P1191" s="859"/>
      <c r="Q1191" s="859"/>
      <c r="R1191" s="859"/>
      <c r="S1191" s="859"/>
      <c r="T1191" s="859"/>
      <c r="U1191" s="859"/>
      <c r="V1191" s="859"/>
      <c r="W1191" s="859"/>
      <c r="X1191" s="859"/>
      <c r="Y1191" s="859"/>
      <c r="Z1191" s="859"/>
      <c r="AA1191" s="859"/>
      <c r="AB1191" s="859"/>
      <c r="AC1191" s="859"/>
      <c r="AD1191" s="859"/>
      <c r="AE1191" s="859"/>
      <c r="AF1191" s="860"/>
      <c r="AG1191" s="860"/>
      <c r="AH1191" s="860"/>
      <c r="AI1191" s="860"/>
      <c r="AJ1191" s="860"/>
      <c r="AK1191" s="860"/>
      <c r="AL1191" s="860"/>
      <c r="AM1191" s="860"/>
      <c r="AN1191" s="860"/>
      <c r="AO1191" s="861"/>
      <c r="AP1191" s="861"/>
      <c r="AQ1191" s="861"/>
      <c r="AR1191" s="861"/>
      <c r="AS1191" s="861"/>
      <c r="AT1191" s="861"/>
      <c r="AU1191" s="861"/>
      <c r="AV1191" s="861"/>
      <c r="AW1191" s="861"/>
      <c r="AX1191" s="861"/>
      <c r="AY1191" s="861"/>
      <c r="AZ1191" s="861"/>
      <c r="BA1191" s="861"/>
      <c r="BB1191" s="861"/>
    </row>
    <row r="1192" spans="1:54" ht="12.6" customHeight="1" x14ac:dyDescent="0.25">
      <c r="A1192" s="859"/>
      <c r="B1192" s="859"/>
      <c r="C1192" s="859"/>
      <c r="D1192" s="859"/>
      <c r="E1192" s="859"/>
      <c r="F1192" s="859"/>
      <c r="G1192" s="859"/>
      <c r="H1192" s="859"/>
      <c r="I1192" s="859"/>
      <c r="J1192" s="859"/>
      <c r="K1192" s="859"/>
      <c r="L1192" s="859"/>
      <c r="M1192" s="859"/>
      <c r="N1192" s="859"/>
      <c r="O1192" s="859"/>
      <c r="P1192" s="859"/>
      <c r="Q1192" s="859"/>
      <c r="R1192" s="859"/>
      <c r="S1192" s="859"/>
      <c r="T1192" s="859"/>
      <c r="U1192" s="859"/>
      <c r="V1192" s="859"/>
      <c r="W1192" s="859"/>
      <c r="X1192" s="859"/>
      <c r="Y1192" s="859"/>
      <c r="Z1192" s="859"/>
      <c r="AA1192" s="859"/>
      <c r="AB1192" s="859"/>
      <c r="AC1192" s="859"/>
      <c r="AD1192" s="859"/>
      <c r="AE1192" s="859"/>
      <c r="AF1192" s="860"/>
      <c r="AG1192" s="860"/>
      <c r="AH1192" s="860"/>
      <c r="AI1192" s="860"/>
      <c r="AJ1192" s="860"/>
      <c r="AK1192" s="860"/>
      <c r="AL1192" s="860"/>
      <c r="AM1192" s="860"/>
      <c r="AN1192" s="860"/>
      <c r="AO1192" s="861"/>
      <c r="AP1192" s="861"/>
      <c r="AQ1192" s="861"/>
      <c r="AR1192" s="861"/>
      <c r="AS1192" s="861"/>
      <c r="AT1192" s="861"/>
      <c r="AU1192" s="861"/>
      <c r="AV1192" s="861"/>
      <c r="AW1192" s="861"/>
      <c r="AX1192" s="861"/>
      <c r="AY1192" s="861"/>
      <c r="AZ1192" s="861"/>
      <c r="BA1192" s="861"/>
      <c r="BB1192" s="861"/>
    </row>
    <row r="1193" spans="1:54" ht="12.6" customHeight="1" x14ac:dyDescent="0.25">
      <c r="A1193" s="859"/>
      <c r="B1193" s="859"/>
      <c r="C1193" s="859"/>
      <c r="D1193" s="859"/>
      <c r="E1193" s="859"/>
      <c r="F1193" s="859"/>
      <c r="G1193" s="859"/>
      <c r="H1193" s="859"/>
      <c r="I1193" s="859"/>
      <c r="J1193" s="859"/>
      <c r="K1193" s="859"/>
      <c r="L1193" s="859"/>
      <c r="M1193" s="859"/>
      <c r="N1193" s="859"/>
      <c r="O1193" s="859"/>
      <c r="P1193" s="859"/>
      <c r="Q1193" s="859"/>
      <c r="R1193" s="859"/>
      <c r="S1193" s="859"/>
      <c r="T1193" s="859"/>
      <c r="U1193" s="859"/>
      <c r="V1193" s="859"/>
      <c r="W1193" s="859"/>
      <c r="X1193" s="859"/>
      <c r="Y1193" s="859"/>
      <c r="Z1193" s="859"/>
      <c r="AA1193" s="859"/>
      <c r="AB1193" s="859"/>
      <c r="AC1193" s="859"/>
      <c r="AD1193" s="859"/>
      <c r="AE1193" s="859"/>
      <c r="AF1193" s="860"/>
      <c r="AG1193" s="860"/>
      <c r="AH1193" s="860"/>
      <c r="AI1193" s="860"/>
      <c r="AJ1193" s="860"/>
      <c r="AK1193" s="860"/>
      <c r="AL1193" s="860"/>
      <c r="AM1193" s="860"/>
      <c r="AN1193" s="860"/>
      <c r="AO1193" s="861"/>
      <c r="AP1193" s="861"/>
      <c r="AQ1193" s="861"/>
      <c r="AR1193" s="861"/>
      <c r="AS1193" s="861"/>
      <c r="AT1193" s="861"/>
      <c r="AU1193" s="861"/>
      <c r="AV1193" s="861"/>
      <c r="AW1193" s="861"/>
      <c r="AX1193" s="861"/>
      <c r="AY1193" s="861"/>
      <c r="AZ1193" s="861"/>
      <c r="BA1193" s="861"/>
      <c r="BB1193" s="861"/>
    </row>
    <row r="1194" spans="1:54" ht="12.6" customHeight="1" x14ac:dyDescent="0.25">
      <c r="A1194" s="856" t="s">
        <v>1903</v>
      </c>
      <c r="B1194" s="856"/>
      <c r="C1194" s="856"/>
      <c r="D1194" s="856"/>
      <c r="E1194" s="856"/>
      <c r="F1194" s="856"/>
      <c r="G1194" s="856"/>
      <c r="H1194" s="856"/>
      <c r="I1194" s="856"/>
      <c r="J1194" s="856"/>
      <c r="K1194" s="856"/>
      <c r="L1194" s="856"/>
      <c r="M1194" s="856"/>
      <c r="N1194" s="856"/>
      <c r="O1194" s="856"/>
      <c r="P1194" s="856"/>
      <c r="Q1194" s="856"/>
      <c r="R1194" s="856"/>
      <c r="S1194" s="856"/>
      <c r="T1194" s="856"/>
      <c r="U1194" s="856"/>
      <c r="V1194" s="856"/>
      <c r="W1194" s="856"/>
      <c r="X1194" s="856"/>
      <c r="Y1194" s="856"/>
      <c r="Z1194" s="856"/>
      <c r="AA1194" s="856"/>
      <c r="AB1194" s="856"/>
      <c r="AC1194" s="856"/>
      <c r="AD1194" s="856"/>
      <c r="AE1194" s="856"/>
      <c r="AF1194" s="860">
        <f>SUVAHAVUJ!$N$146</f>
        <v>0</v>
      </c>
      <c r="AG1194" s="860"/>
      <c r="AH1194" s="860"/>
      <c r="AI1194" s="860"/>
      <c r="AJ1194" s="860"/>
      <c r="AK1194" s="860"/>
      <c r="AL1194" s="860"/>
      <c r="AM1194" s="860"/>
      <c r="AN1194" s="860"/>
      <c r="AO1194" s="861">
        <f>SUVAHAVUJ!$X$146</f>
        <v>0</v>
      </c>
      <c r="AP1194" s="861"/>
      <c r="AQ1194" s="861"/>
      <c r="AR1194" s="861"/>
      <c r="AS1194" s="861"/>
      <c r="AT1194" s="861"/>
      <c r="AU1194" s="861"/>
      <c r="AV1194" s="861"/>
      <c r="AW1194" s="861"/>
      <c r="AX1194" s="861"/>
      <c r="AY1194" s="861"/>
      <c r="AZ1194" s="861"/>
      <c r="BA1194" s="861"/>
      <c r="BB1194" s="861"/>
    </row>
    <row r="1195" spans="1:54" ht="12.6" customHeight="1" x14ac:dyDescent="0.25">
      <c r="A1195" s="859"/>
      <c r="B1195" s="859"/>
      <c r="C1195" s="859"/>
      <c r="D1195" s="859"/>
      <c r="E1195" s="859"/>
      <c r="F1195" s="859"/>
      <c r="G1195" s="859"/>
      <c r="H1195" s="859"/>
      <c r="I1195" s="859"/>
      <c r="J1195" s="859"/>
      <c r="K1195" s="859"/>
      <c r="L1195" s="859"/>
      <c r="M1195" s="859"/>
      <c r="N1195" s="859"/>
      <c r="O1195" s="859"/>
      <c r="P1195" s="859"/>
      <c r="Q1195" s="859"/>
      <c r="R1195" s="859"/>
      <c r="S1195" s="859"/>
      <c r="T1195" s="859"/>
      <c r="U1195" s="859"/>
      <c r="V1195" s="859"/>
      <c r="W1195" s="859"/>
      <c r="X1195" s="859"/>
      <c r="Y1195" s="859"/>
      <c r="Z1195" s="859"/>
      <c r="AA1195" s="859"/>
      <c r="AB1195" s="859"/>
      <c r="AC1195" s="859"/>
      <c r="AD1195" s="859"/>
      <c r="AE1195" s="859"/>
      <c r="AF1195" s="860"/>
      <c r="AG1195" s="860"/>
      <c r="AH1195" s="860"/>
      <c r="AI1195" s="860"/>
      <c r="AJ1195" s="860"/>
      <c r="AK1195" s="860"/>
      <c r="AL1195" s="860"/>
      <c r="AM1195" s="860"/>
      <c r="AN1195" s="860"/>
      <c r="AO1195" s="861"/>
      <c r="AP1195" s="861"/>
      <c r="AQ1195" s="861"/>
      <c r="AR1195" s="861"/>
      <c r="AS1195" s="861"/>
      <c r="AT1195" s="861"/>
      <c r="AU1195" s="861"/>
      <c r="AV1195" s="861"/>
      <c r="AW1195" s="861"/>
      <c r="AX1195" s="861"/>
      <c r="AY1195" s="861"/>
      <c r="AZ1195" s="861"/>
      <c r="BA1195" s="861"/>
      <c r="BB1195" s="861"/>
    </row>
    <row r="1196" spans="1:54" ht="12.6" customHeight="1" x14ac:dyDescent="0.25">
      <c r="A1196" s="859"/>
      <c r="B1196" s="859"/>
      <c r="C1196" s="859"/>
      <c r="D1196" s="859"/>
      <c r="E1196" s="859"/>
      <c r="F1196" s="859"/>
      <c r="G1196" s="859"/>
      <c r="H1196" s="859"/>
      <c r="I1196" s="859"/>
      <c r="J1196" s="859"/>
      <c r="K1196" s="859"/>
      <c r="L1196" s="859"/>
      <c r="M1196" s="859"/>
      <c r="N1196" s="859"/>
      <c r="O1196" s="859"/>
      <c r="P1196" s="859"/>
      <c r="Q1196" s="859"/>
      <c r="R1196" s="859"/>
      <c r="S1196" s="859"/>
      <c r="T1196" s="859"/>
      <c r="U1196" s="859"/>
      <c r="V1196" s="859"/>
      <c r="W1196" s="859"/>
      <c r="X1196" s="859"/>
      <c r="Y1196" s="859"/>
      <c r="Z1196" s="859"/>
      <c r="AA1196" s="859"/>
      <c r="AB1196" s="859"/>
      <c r="AC1196" s="859"/>
      <c r="AD1196" s="859"/>
      <c r="AE1196" s="859"/>
      <c r="AF1196" s="860"/>
      <c r="AG1196" s="860"/>
      <c r="AH1196" s="860"/>
      <c r="AI1196" s="860"/>
      <c r="AJ1196" s="860"/>
      <c r="AK1196" s="860"/>
      <c r="AL1196" s="860"/>
      <c r="AM1196" s="860"/>
      <c r="AN1196" s="860"/>
      <c r="AO1196" s="861"/>
      <c r="AP1196" s="861"/>
      <c r="AQ1196" s="861"/>
      <c r="AR1196" s="861"/>
      <c r="AS1196" s="861"/>
      <c r="AT1196" s="861"/>
      <c r="AU1196" s="861"/>
      <c r="AV1196" s="861"/>
      <c r="AW1196" s="861"/>
      <c r="AX1196" s="861"/>
      <c r="AY1196" s="861"/>
      <c r="AZ1196" s="861"/>
      <c r="BA1196" s="861"/>
      <c r="BB1196" s="861"/>
    </row>
    <row r="1197" spans="1:54" ht="12.6" customHeight="1" x14ac:dyDescent="0.25">
      <c r="A1197" s="859"/>
      <c r="B1197" s="859"/>
      <c r="C1197" s="859"/>
      <c r="D1197" s="859"/>
      <c r="E1197" s="859"/>
      <c r="F1197" s="859"/>
      <c r="G1197" s="859"/>
      <c r="H1197" s="859"/>
      <c r="I1197" s="859"/>
      <c r="J1197" s="859"/>
      <c r="K1197" s="859"/>
      <c r="L1197" s="859"/>
      <c r="M1197" s="859"/>
      <c r="N1197" s="859"/>
      <c r="O1197" s="859"/>
      <c r="P1197" s="859"/>
      <c r="Q1197" s="859"/>
      <c r="R1197" s="859"/>
      <c r="S1197" s="859"/>
      <c r="T1197" s="859"/>
      <c r="U1197" s="859"/>
      <c r="V1197" s="859"/>
      <c r="W1197" s="859"/>
      <c r="X1197" s="859"/>
      <c r="Y1197" s="859"/>
      <c r="Z1197" s="859"/>
      <c r="AA1197" s="859"/>
      <c r="AB1197" s="859"/>
      <c r="AC1197" s="859"/>
      <c r="AD1197" s="859"/>
      <c r="AE1197" s="859"/>
      <c r="AF1197" s="860"/>
      <c r="AG1197" s="860"/>
      <c r="AH1197" s="860"/>
      <c r="AI1197" s="860"/>
      <c r="AJ1197" s="860"/>
      <c r="AK1197" s="860"/>
      <c r="AL1197" s="860"/>
      <c r="AM1197" s="860"/>
      <c r="AN1197" s="860"/>
      <c r="AO1197" s="861"/>
      <c r="AP1197" s="861"/>
      <c r="AQ1197" s="861"/>
      <c r="AR1197" s="861"/>
      <c r="AS1197" s="861"/>
      <c r="AT1197" s="861"/>
      <c r="AU1197" s="861"/>
      <c r="AV1197" s="861"/>
      <c r="AW1197" s="861"/>
      <c r="AX1197" s="861"/>
      <c r="AY1197" s="861"/>
      <c r="AZ1197" s="861"/>
      <c r="BA1197" s="861"/>
      <c r="BB1197" s="861"/>
    </row>
    <row r="1198" spans="1:54" ht="12.6" customHeight="1" x14ac:dyDescent="0.25">
      <c r="A1198" s="856" t="s">
        <v>1904</v>
      </c>
      <c r="B1198" s="856"/>
      <c r="C1198" s="856"/>
      <c r="D1198" s="856"/>
      <c r="E1198" s="856"/>
      <c r="F1198" s="856"/>
      <c r="G1198" s="856"/>
      <c r="H1198" s="856"/>
      <c r="I1198" s="856"/>
      <c r="J1198" s="856"/>
      <c r="K1198" s="856"/>
      <c r="L1198" s="856"/>
      <c r="M1198" s="856"/>
      <c r="N1198" s="856"/>
      <c r="O1198" s="856"/>
      <c r="P1198" s="856"/>
      <c r="Q1198" s="856"/>
      <c r="R1198" s="856"/>
      <c r="S1198" s="856"/>
      <c r="T1198" s="856"/>
      <c r="U1198" s="856"/>
      <c r="V1198" s="856"/>
      <c r="W1198" s="856"/>
      <c r="X1198" s="856"/>
      <c r="Y1198" s="856"/>
      <c r="Z1198" s="856"/>
      <c r="AA1198" s="856"/>
      <c r="AB1198" s="856"/>
      <c r="AC1198" s="856"/>
      <c r="AD1198" s="856"/>
      <c r="AE1198" s="856"/>
      <c r="AF1198" s="860">
        <f>SUVAHAVUJ!$N$147</f>
        <v>103415</v>
      </c>
      <c r="AG1198" s="860"/>
      <c r="AH1198" s="860"/>
      <c r="AI1198" s="860"/>
      <c r="AJ1198" s="860"/>
      <c r="AK1198" s="860"/>
      <c r="AL1198" s="860"/>
      <c r="AM1198" s="860"/>
      <c r="AN1198" s="860"/>
      <c r="AO1198" s="861">
        <f>SUVAHAVUJ!$X$147</f>
        <v>116849</v>
      </c>
      <c r="AP1198" s="861"/>
      <c r="AQ1198" s="861"/>
      <c r="AR1198" s="861"/>
      <c r="AS1198" s="861"/>
      <c r="AT1198" s="861"/>
      <c r="AU1198" s="861"/>
      <c r="AV1198" s="861"/>
      <c r="AW1198" s="861"/>
      <c r="AX1198" s="861"/>
      <c r="AY1198" s="861"/>
      <c r="AZ1198" s="861"/>
      <c r="BA1198" s="861"/>
      <c r="BB1198" s="861"/>
    </row>
    <row r="1199" spans="1:54" ht="12.6" customHeight="1" x14ac:dyDescent="0.25">
      <c r="A1199" s="859"/>
      <c r="B1199" s="859"/>
      <c r="C1199" s="859"/>
      <c r="D1199" s="859"/>
      <c r="E1199" s="859"/>
      <c r="F1199" s="859"/>
      <c r="G1199" s="859"/>
      <c r="H1199" s="859"/>
      <c r="I1199" s="859"/>
      <c r="J1199" s="859"/>
      <c r="K1199" s="859"/>
      <c r="L1199" s="859"/>
      <c r="M1199" s="859"/>
      <c r="N1199" s="859"/>
      <c r="O1199" s="859"/>
      <c r="P1199" s="859"/>
      <c r="Q1199" s="859"/>
      <c r="R1199" s="859"/>
      <c r="S1199" s="859"/>
      <c r="T1199" s="859"/>
      <c r="U1199" s="859"/>
      <c r="V1199" s="859"/>
      <c r="W1199" s="859"/>
      <c r="X1199" s="859"/>
      <c r="Y1199" s="859"/>
      <c r="Z1199" s="859"/>
      <c r="AA1199" s="859"/>
      <c r="AB1199" s="859"/>
      <c r="AC1199" s="859"/>
      <c r="AD1199" s="859"/>
      <c r="AE1199" s="859"/>
      <c r="AF1199" s="860"/>
      <c r="AG1199" s="860"/>
      <c r="AH1199" s="860"/>
      <c r="AI1199" s="860"/>
      <c r="AJ1199" s="860"/>
      <c r="AK1199" s="860"/>
      <c r="AL1199" s="860"/>
      <c r="AM1199" s="860"/>
      <c r="AN1199" s="860"/>
      <c r="AO1199" s="861"/>
      <c r="AP1199" s="861"/>
      <c r="AQ1199" s="861"/>
      <c r="AR1199" s="861"/>
      <c r="AS1199" s="861"/>
      <c r="AT1199" s="861"/>
      <c r="AU1199" s="861"/>
      <c r="AV1199" s="861"/>
      <c r="AW1199" s="861"/>
      <c r="AX1199" s="861"/>
      <c r="AY1199" s="861"/>
      <c r="AZ1199" s="861"/>
      <c r="BA1199" s="861"/>
      <c r="BB1199" s="861"/>
    </row>
    <row r="1200" spans="1:54" ht="12.6" customHeight="1" x14ac:dyDescent="0.25">
      <c r="A1200" s="859"/>
      <c r="B1200" s="859"/>
      <c r="C1200" s="859"/>
      <c r="D1200" s="859"/>
      <c r="E1200" s="859"/>
      <c r="F1200" s="859"/>
      <c r="G1200" s="859"/>
      <c r="H1200" s="859"/>
      <c r="I1200" s="859"/>
      <c r="J1200" s="859"/>
      <c r="K1200" s="859"/>
      <c r="L1200" s="859"/>
      <c r="M1200" s="859"/>
      <c r="N1200" s="859"/>
      <c r="O1200" s="859"/>
      <c r="P1200" s="859"/>
      <c r="Q1200" s="859"/>
      <c r="R1200" s="859"/>
      <c r="S1200" s="859"/>
      <c r="T1200" s="859"/>
      <c r="U1200" s="859"/>
      <c r="V1200" s="859"/>
      <c r="W1200" s="859"/>
      <c r="X1200" s="859"/>
      <c r="Y1200" s="859"/>
      <c r="Z1200" s="859"/>
      <c r="AA1200" s="859"/>
      <c r="AB1200" s="859"/>
      <c r="AC1200" s="859"/>
      <c r="AD1200" s="859"/>
      <c r="AE1200" s="859"/>
      <c r="AF1200" s="860"/>
      <c r="AG1200" s="860"/>
      <c r="AH1200" s="860"/>
      <c r="AI1200" s="860"/>
      <c r="AJ1200" s="860"/>
      <c r="AK1200" s="860"/>
      <c r="AL1200" s="860"/>
      <c r="AM1200" s="860"/>
      <c r="AN1200" s="860"/>
      <c r="AO1200" s="861"/>
      <c r="AP1200" s="861"/>
      <c r="AQ1200" s="861"/>
      <c r="AR1200" s="861"/>
      <c r="AS1200" s="861"/>
      <c r="AT1200" s="861"/>
      <c r="AU1200" s="861"/>
      <c r="AV1200" s="861"/>
      <c r="AW1200" s="861"/>
      <c r="AX1200" s="861"/>
      <c r="AY1200" s="861"/>
      <c r="AZ1200" s="861"/>
      <c r="BA1200" s="861"/>
      <c r="BB1200" s="861"/>
    </row>
    <row r="1201" spans="1:54" ht="12.6" customHeight="1" x14ac:dyDescent="0.25">
      <c r="A1201" s="859"/>
      <c r="B1201" s="859"/>
      <c r="C1201" s="859"/>
      <c r="D1201" s="859"/>
      <c r="E1201" s="859"/>
      <c r="F1201" s="859"/>
      <c r="G1201" s="859"/>
      <c r="H1201" s="859"/>
      <c r="I1201" s="859"/>
      <c r="J1201" s="859"/>
      <c r="K1201" s="859"/>
      <c r="L1201" s="859"/>
      <c r="M1201" s="859"/>
      <c r="N1201" s="859"/>
      <c r="O1201" s="859"/>
      <c r="P1201" s="859"/>
      <c r="Q1201" s="859"/>
      <c r="R1201" s="859"/>
      <c r="S1201" s="859"/>
      <c r="T1201" s="859"/>
      <c r="U1201" s="859"/>
      <c r="V1201" s="859"/>
      <c r="W1201" s="859"/>
      <c r="X1201" s="859"/>
      <c r="Y1201" s="859"/>
      <c r="Z1201" s="859"/>
      <c r="AA1201" s="859"/>
      <c r="AB1201" s="859"/>
      <c r="AC1201" s="859"/>
      <c r="AD1201" s="859"/>
      <c r="AE1201" s="859"/>
      <c r="AF1201" s="860"/>
      <c r="AG1201" s="860"/>
      <c r="AH1201" s="860"/>
      <c r="AI1201" s="860"/>
      <c r="AJ1201" s="860"/>
      <c r="AK1201" s="860"/>
      <c r="AL1201" s="860"/>
      <c r="AM1201" s="860"/>
      <c r="AN1201" s="860"/>
      <c r="AO1201" s="861"/>
      <c r="AP1201" s="861"/>
      <c r="AQ1201" s="861"/>
      <c r="AR1201" s="861"/>
      <c r="AS1201" s="861"/>
      <c r="AT1201" s="861"/>
      <c r="AU1201" s="861"/>
      <c r="AV1201" s="861"/>
      <c r="AW1201" s="861"/>
      <c r="AX1201" s="861"/>
      <c r="AY1201" s="861"/>
      <c r="AZ1201" s="861"/>
      <c r="BA1201" s="861"/>
      <c r="BB1201" s="861"/>
    </row>
    <row r="1202" spans="1:54" ht="12.6" customHeight="1" x14ac:dyDescent="0.25">
      <c r="A1202" s="859"/>
      <c r="B1202" s="859"/>
      <c r="C1202" s="859"/>
      <c r="D1202" s="859"/>
      <c r="E1202" s="859"/>
      <c r="F1202" s="859"/>
      <c r="G1202" s="859"/>
      <c r="H1202" s="859"/>
      <c r="I1202" s="859"/>
      <c r="J1202" s="859"/>
      <c r="K1202" s="859"/>
      <c r="L1202" s="859"/>
      <c r="M1202" s="859"/>
      <c r="N1202" s="859"/>
      <c r="O1202" s="859"/>
      <c r="P1202" s="859"/>
      <c r="Q1202" s="859"/>
      <c r="R1202" s="859"/>
      <c r="S1202" s="859"/>
      <c r="T1202" s="859"/>
      <c r="U1202" s="859"/>
      <c r="V1202" s="859"/>
      <c r="W1202" s="859"/>
      <c r="X1202" s="859"/>
      <c r="Y1202" s="859"/>
      <c r="Z1202" s="859"/>
      <c r="AA1202" s="859"/>
      <c r="AB1202" s="859"/>
      <c r="AC1202" s="859"/>
      <c r="AD1202" s="859"/>
      <c r="AE1202" s="859"/>
      <c r="AF1202" s="860"/>
      <c r="AG1202" s="860"/>
      <c r="AH1202" s="860"/>
      <c r="AI1202" s="860"/>
      <c r="AJ1202" s="860"/>
      <c r="AK1202" s="860"/>
      <c r="AL1202" s="860"/>
      <c r="AM1202" s="860"/>
      <c r="AN1202" s="860"/>
      <c r="AO1202" s="861"/>
      <c r="AP1202" s="861"/>
      <c r="AQ1202" s="861"/>
      <c r="AR1202" s="861"/>
      <c r="AS1202" s="861"/>
      <c r="AT1202" s="861"/>
      <c r="AU1202" s="861"/>
      <c r="AV1202" s="861"/>
      <c r="AW1202" s="861"/>
      <c r="AX1202" s="861"/>
      <c r="AY1202" s="861"/>
      <c r="AZ1202" s="861"/>
      <c r="BA1202" s="861"/>
      <c r="BB1202" s="861"/>
    </row>
    <row r="1203" spans="1:54" ht="12.6" customHeight="1" x14ac:dyDescent="0.25">
      <c r="A1203" s="859"/>
      <c r="B1203" s="859"/>
      <c r="C1203" s="859"/>
      <c r="D1203" s="859"/>
      <c r="E1203" s="859"/>
      <c r="F1203" s="859"/>
      <c r="G1203" s="859"/>
      <c r="H1203" s="859"/>
      <c r="I1203" s="859"/>
      <c r="J1203" s="859"/>
      <c r="K1203" s="859"/>
      <c r="L1203" s="859"/>
      <c r="M1203" s="859"/>
      <c r="N1203" s="859"/>
      <c r="O1203" s="859"/>
      <c r="P1203" s="859"/>
      <c r="Q1203" s="859"/>
      <c r="R1203" s="859"/>
      <c r="S1203" s="859"/>
      <c r="T1203" s="859"/>
      <c r="U1203" s="859"/>
      <c r="V1203" s="859"/>
      <c r="W1203" s="859"/>
      <c r="X1203" s="859"/>
      <c r="Y1203" s="859"/>
      <c r="Z1203" s="859"/>
      <c r="AA1203" s="859"/>
      <c r="AB1203" s="859"/>
      <c r="AC1203" s="859"/>
      <c r="AD1203" s="859"/>
      <c r="AE1203" s="859"/>
      <c r="AF1203" s="860"/>
      <c r="AG1203" s="860"/>
      <c r="AH1203" s="860"/>
      <c r="AI1203" s="860"/>
      <c r="AJ1203" s="860"/>
      <c r="AK1203" s="860"/>
      <c r="AL1203" s="860"/>
      <c r="AM1203" s="860"/>
      <c r="AN1203" s="860"/>
      <c r="AO1203" s="861"/>
      <c r="AP1203" s="861"/>
      <c r="AQ1203" s="861"/>
      <c r="AR1203" s="861"/>
      <c r="AS1203" s="861"/>
      <c r="AT1203" s="861"/>
      <c r="AU1203" s="861"/>
      <c r="AV1203" s="861"/>
      <c r="AW1203" s="861"/>
      <c r="AX1203" s="861"/>
      <c r="AY1203" s="861"/>
      <c r="AZ1203" s="861"/>
      <c r="BA1203" s="861"/>
      <c r="BB1203" s="861"/>
    </row>
    <row r="1204" spans="1:54" ht="12.6" customHeight="1" x14ac:dyDescent="0.25">
      <c r="A1204" s="227" t="s">
        <v>1905</v>
      </c>
    </row>
    <row r="1205" spans="1:54" ht="15" customHeight="1" x14ac:dyDescent="0.25">
      <c r="A1205" s="763"/>
      <c r="B1205" s="763"/>
      <c r="C1205" s="763"/>
      <c r="D1205" s="763"/>
      <c r="E1205" s="763"/>
      <c r="F1205" s="763"/>
      <c r="G1205" s="763"/>
      <c r="H1205" s="763"/>
      <c r="I1205" s="763"/>
      <c r="J1205" s="763"/>
      <c r="K1205" s="763"/>
      <c r="L1205" s="763"/>
      <c r="M1205" s="763"/>
      <c r="N1205" s="763"/>
      <c r="O1205" s="763"/>
      <c r="P1205" s="763"/>
      <c r="Q1205" s="763"/>
      <c r="R1205" s="763"/>
      <c r="S1205" s="763"/>
      <c r="T1205" s="763"/>
      <c r="U1205" s="763"/>
      <c r="V1205" s="763"/>
      <c r="W1205" s="763"/>
      <c r="X1205" s="763"/>
      <c r="Y1205" s="763"/>
      <c r="Z1205" s="763"/>
      <c r="AA1205" s="763"/>
      <c r="AB1205" s="763"/>
      <c r="AC1205" s="763"/>
      <c r="AD1205" s="763"/>
      <c r="AE1205" s="763"/>
      <c r="AF1205" s="763"/>
      <c r="AG1205" s="763"/>
      <c r="AH1205" s="763"/>
      <c r="AI1205" s="763"/>
      <c r="AJ1205" s="763"/>
      <c r="AK1205" s="763"/>
      <c r="AL1205" s="763"/>
      <c r="AM1205" s="763"/>
      <c r="AN1205" s="763"/>
      <c r="AO1205" s="763"/>
      <c r="AP1205" s="763"/>
      <c r="AQ1205" s="763"/>
      <c r="AR1205" s="763"/>
      <c r="AS1205" s="763"/>
      <c r="AT1205" s="763"/>
      <c r="AU1205" s="763"/>
      <c r="AV1205" s="763"/>
      <c r="AW1205" s="763"/>
      <c r="AX1205" s="763"/>
      <c r="AY1205" s="265"/>
      <c r="AZ1205" s="265"/>
      <c r="BA1205" s="265"/>
      <c r="BB1205" s="265"/>
    </row>
    <row r="1206" spans="1:54" ht="15" customHeight="1" x14ac:dyDescent="0.25">
      <c r="A1206" s="763"/>
      <c r="B1206" s="763"/>
      <c r="C1206" s="763"/>
      <c r="D1206" s="763"/>
      <c r="E1206" s="763"/>
      <c r="F1206" s="763"/>
      <c r="G1206" s="763"/>
      <c r="H1206" s="763"/>
      <c r="I1206" s="763"/>
      <c r="J1206" s="763"/>
      <c r="K1206" s="763"/>
      <c r="L1206" s="763"/>
      <c r="M1206" s="763"/>
      <c r="N1206" s="763"/>
      <c r="O1206" s="763"/>
      <c r="P1206" s="763"/>
      <c r="Q1206" s="763"/>
      <c r="R1206" s="763"/>
      <c r="S1206" s="763"/>
      <c r="T1206" s="763"/>
      <c r="U1206" s="763"/>
      <c r="V1206" s="763"/>
      <c r="W1206" s="763"/>
      <c r="X1206" s="763"/>
      <c r="Y1206" s="763"/>
      <c r="Z1206" s="763"/>
      <c r="AA1206" s="763"/>
      <c r="AB1206" s="763"/>
      <c r="AC1206" s="763"/>
      <c r="AD1206" s="763"/>
      <c r="AE1206" s="763"/>
      <c r="AF1206" s="763"/>
      <c r="AG1206" s="763"/>
      <c r="AH1206" s="763"/>
      <c r="AI1206" s="763"/>
      <c r="AJ1206" s="763"/>
      <c r="AK1206" s="763"/>
      <c r="AL1206" s="763"/>
      <c r="AM1206" s="763"/>
      <c r="AN1206" s="763"/>
      <c r="AO1206" s="763"/>
      <c r="AP1206" s="763"/>
      <c r="AQ1206" s="763"/>
      <c r="AR1206" s="763"/>
      <c r="AS1206" s="763"/>
      <c r="AT1206" s="763"/>
      <c r="AU1206" s="763"/>
      <c r="AV1206" s="763"/>
      <c r="AW1206" s="763"/>
      <c r="AX1206" s="763"/>
      <c r="AY1206" s="265"/>
      <c r="AZ1206" s="265"/>
      <c r="BA1206" s="265"/>
      <c r="BB1206" s="265"/>
    </row>
    <row r="1207" spans="1:54" s="208" customFormat="1" ht="12.6" customHeight="1" x14ac:dyDescent="0.25"/>
    <row r="1208" spans="1:54" ht="12.6" customHeight="1" x14ac:dyDescent="0.25">
      <c r="A1208" s="227" t="s">
        <v>1906</v>
      </c>
      <c r="B1208" s="227"/>
      <c r="C1208" s="227"/>
      <c r="D1208" s="227"/>
      <c r="E1208" s="227"/>
      <c r="F1208" s="227"/>
      <c r="G1208" s="227"/>
      <c r="H1208" s="227"/>
      <c r="I1208" s="227"/>
      <c r="J1208" s="227"/>
      <c r="K1208" s="227"/>
      <c r="L1208" s="227"/>
      <c r="M1208" s="227"/>
      <c r="N1208" s="227"/>
      <c r="O1208" s="227"/>
      <c r="P1208" s="227"/>
      <c r="Q1208" s="227"/>
      <c r="R1208" s="227"/>
      <c r="S1208" s="227"/>
      <c r="T1208" s="227"/>
      <c r="U1208" s="227"/>
      <c r="V1208" s="227"/>
      <c r="W1208" s="227"/>
      <c r="X1208" s="227"/>
      <c r="Y1208" s="227"/>
      <c r="Z1208" s="227"/>
      <c r="AA1208" s="227"/>
      <c r="AB1208" s="227"/>
      <c r="AC1208" s="227"/>
      <c r="AD1208" s="227"/>
      <c r="AE1208" s="227"/>
      <c r="AF1208" s="227"/>
      <c r="AG1208" s="227"/>
      <c r="AH1208" s="227"/>
      <c r="AI1208" s="227"/>
      <c r="AJ1208" s="227"/>
      <c r="AK1208" s="227"/>
      <c r="AL1208" s="227"/>
      <c r="AM1208" s="227"/>
      <c r="AN1208" s="227"/>
      <c r="AO1208" s="227"/>
      <c r="AP1208" s="227"/>
      <c r="AQ1208" s="227"/>
      <c r="AR1208" s="227"/>
      <c r="AS1208" s="227"/>
      <c r="AT1208" s="227"/>
      <c r="AU1208" s="227"/>
      <c r="AV1208" s="227"/>
      <c r="AW1208" s="227"/>
      <c r="AX1208" s="227"/>
      <c r="AY1208" s="227"/>
      <c r="AZ1208" s="227"/>
      <c r="BA1208" s="227"/>
      <c r="BB1208" s="227"/>
    </row>
    <row r="1209" spans="1:54" ht="12.6" customHeight="1" x14ac:dyDescent="0.25">
      <c r="A1209" s="29" t="s">
        <v>1316</v>
      </c>
    </row>
    <row r="1210" spans="1:54" ht="12.6" customHeight="1" x14ac:dyDescent="0.25">
      <c r="A1210" s="840" t="s">
        <v>1287</v>
      </c>
      <c r="B1210" s="840"/>
      <c r="C1210" s="840"/>
      <c r="D1210" s="840"/>
      <c r="E1210" s="840"/>
      <c r="F1210" s="840"/>
      <c r="G1210" s="840"/>
      <c r="H1210" s="840"/>
      <c r="I1210" s="840"/>
      <c r="J1210" s="840"/>
      <c r="K1210" s="840"/>
      <c r="L1210" s="840"/>
      <c r="M1210" s="840"/>
      <c r="N1210" s="840"/>
      <c r="O1210" s="840"/>
      <c r="P1210" s="840"/>
      <c r="Q1210" s="840"/>
      <c r="R1210" s="840"/>
      <c r="S1210" s="840"/>
      <c r="T1210" s="840"/>
      <c r="U1210" s="840"/>
      <c r="V1210" s="840"/>
      <c r="W1210" s="707" t="s">
        <v>1547</v>
      </c>
      <c r="X1210" s="707"/>
      <c r="Y1210" s="707"/>
      <c r="Z1210" s="707"/>
      <c r="AA1210" s="707"/>
      <c r="AB1210" s="707"/>
      <c r="AC1210" s="707"/>
      <c r="AD1210" s="707"/>
      <c r="AE1210" s="707"/>
      <c r="AF1210" s="707"/>
      <c r="AG1210" s="707"/>
      <c r="AH1210" s="707"/>
      <c r="AI1210" s="707"/>
      <c r="AJ1210" s="707"/>
      <c r="AK1210" s="707"/>
      <c r="AL1210" s="707"/>
      <c r="AM1210" s="768" t="s">
        <v>1907</v>
      </c>
      <c r="AN1210" s="768"/>
      <c r="AO1210" s="768"/>
      <c r="AP1210" s="768"/>
      <c r="AQ1210" s="768"/>
      <c r="AR1210" s="768"/>
      <c r="AS1210" s="768"/>
      <c r="AT1210" s="768"/>
      <c r="AU1210" s="768"/>
      <c r="AV1210" s="768"/>
      <c r="AW1210" s="768"/>
      <c r="AX1210" s="768"/>
      <c r="AY1210" s="768"/>
      <c r="AZ1210" s="768"/>
      <c r="BA1210" s="768"/>
      <c r="BB1210" s="768"/>
    </row>
    <row r="1211" spans="1:54" ht="12.6" customHeight="1" x14ac:dyDescent="0.25">
      <c r="A1211" s="840"/>
      <c r="B1211" s="840"/>
      <c r="C1211" s="840"/>
      <c r="D1211" s="840"/>
      <c r="E1211" s="840"/>
      <c r="F1211" s="840"/>
      <c r="G1211" s="840"/>
      <c r="H1211" s="840"/>
      <c r="I1211" s="840"/>
      <c r="J1211" s="840"/>
      <c r="K1211" s="840"/>
      <c r="L1211" s="840"/>
      <c r="M1211" s="840"/>
      <c r="N1211" s="840"/>
      <c r="O1211" s="840"/>
      <c r="P1211" s="840"/>
      <c r="Q1211" s="840"/>
      <c r="R1211" s="840"/>
      <c r="S1211" s="840"/>
      <c r="T1211" s="840"/>
      <c r="U1211" s="840"/>
      <c r="V1211" s="840"/>
      <c r="W1211" s="768" t="s">
        <v>1714</v>
      </c>
      <c r="X1211" s="768"/>
      <c r="Y1211" s="768"/>
      <c r="Z1211" s="768"/>
      <c r="AA1211" s="768"/>
      <c r="AB1211" s="768"/>
      <c r="AC1211" s="768"/>
      <c r="AD1211" s="768"/>
      <c r="AE1211" s="768" t="s">
        <v>1908</v>
      </c>
      <c r="AF1211" s="768"/>
      <c r="AG1211" s="768"/>
      <c r="AH1211" s="768"/>
      <c r="AI1211" s="768"/>
      <c r="AJ1211" s="768"/>
      <c r="AK1211" s="768"/>
      <c r="AL1211" s="768"/>
      <c r="AM1211" s="745" t="s">
        <v>1909</v>
      </c>
      <c r="AN1211" s="745"/>
      <c r="AO1211" s="745"/>
      <c r="AP1211" s="745"/>
      <c r="AQ1211" s="745"/>
      <c r="AR1211" s="745"/>
      <c r="AS1211" s="745"/>
      <c r="AT1211" s="745"/>
      <c r="AU1211" s="745"/>
      <c r="AV1211" s="745"/>
      <c r="AW1211" s="745"/>
      <c r="AX1211" s="745"/>
      <c r="AY1211" s="745"/>
      <c r="AZ1211" s="745"/>
      <c r="BA1211" s="745"/>
      <c r="BB1211" s="745"/>
    </row>
    <row r="1212" spans="1:54" ht="12.6" customHeight="1" x14ac:dyDescent="0.25">
      <c r="A1212" s="707" t="s">
        <v>1323</v>
      </c>
      <c r="B1212" s="707"/>
      <c r="C1212" s="707"/>
      <c r="D1212" s="707"/>
      <c r="E1212" s="707"/>
      <c r="F1212" s="707"/>
      <c r="G1212" s="707"/>
      <c r="H1212" s="707"/>
      <c r="I1212" s="707"/>
      <c r="J1212" s="707"/>
      <c r="K1212" s="707"/>
      <c r="L1212" s="707"/>
      <c r="M1212" s="707"/>
      <c r="N1212" s="707"/>
      <c r="O1212" s="707"/>
      <c r="P1212" s="707"/>
      <c r="Q1212" s="707"/>
      <c r="R1212" s="707"/>
      <c r="S1212" s="707"/>
      <c r="T1212" s="707"/>
      <c r="U1212" s="707"/>
      <c r="V1212" s="707"/>
      <c r="W1212" s="892" t="s">
        <v>1324</v>
      </c>
      <c r="X1212" s="892"/>
      <c r="Y1212" s="892"/>
      <c r="Z1212" s="892"/>
      <c r="AA1212" s="892"/>
      <c r="AB1212" s="892"/>
      <c r="AC1212" s="892"/>
      <c r="AD1212" s="892"/>
      <c r="AE1212" s="707" t="s">
        <v>1325</v>
      </c>
      <c r="AF1212" s="707"/>
      <c r="AG1212" s="707"/>
      <c r="AH1212" s="707"/>
      <c r="AI1212" s="707"/>
      <c r="AJ1212" s="707"/>
      <c r="AK1212" s="707"/>
      <c r="AL1212" s="707"/>
      <c r="AM1212" s="707" t="s">
        <v>1910</v>
      </c>
      <c r="AN1212" s="707"/>
      <c r="AO1212" s="707"/>
      <c r="AP1212" s="707"/>
      <c r="AQ1212" s="707"/>
      <c r="AR1212" s="707"/>
      <c r="AS1212" s="707"/>
      <c r="AT1212" s="707"/>
      <c r="AU1212" s="707"/>
      <c r="AV1212" s="707"/>
      <c r="AW1212" s="707"/>
      <c r="AX1212" s="707"/>
      <c r="AY1212" s="707"/>
      <c r="AZ1212" s="707"/>
      <c r="BA1212" s="707"/>
      <c r="BB1212" s="707"/>
    </row>
    <row r="1213" spans="1:54" ht="12.6" customHeight="1" x14ac:dyDescent="0.25">
      <c r="A1213" s="889" t="s">
        <v>1911</v>
      </c>
      <c r="B1213" s="889"/>
      <c r="C1213" s="889"/>
      <c r="D1213" s="889"/>
      <c r="E1213" s="889"/>
      <c r="F1213" s="889"/>
      <c r="G1213" s="889"/>
      <c r="H1213" s="889"/>
      <c r="I1213" s="889"/>
      <c r="J1213" s="889"/>
      <c r="K1213" s="889"/>
      <c r="L1213" s="889"/>
      <c r="M1213" s="889"/>
      <c r="N1213" s="889"/>
      <c r="O1213" s="889"/>
      <c r="P1213" s="889"/>
      <c r="Q1213" s="889"/>
      <c r="R1213" s="889"/>
      <c r="S1213" s="889"/>
      <c r="T1213" s="889"/>
      <c r="U1213" s="889"/>
      <c r="V1213" s="889"/>
      <c r="W1213" s="890"/>
      <c r="X1213" s="890"/>
      <c r="Y1213" s="890"/>
      <c r="Z1213" s="890"/>
      <c r="AA1213" s="890"/>
      <c r="AB1213" s="890"/>
      <c r="AC1213" s="890"/>
      <c r="AD1213" s="890"/>
      <c r="AE1213" s="893"/>
      <c r="AF1213" s="893"/>
      <c r="AG1213" s="893"/>
      <c r="AH1213" s="893"/>
      <c r="AI1213" s="893"/>
      <c r="AJ1213" s="893"/>
      <c r="AK1213" s="893"/>
      <c r="AL1213" s="893"/>
      <c r="AM1213" s="893"/>
      <c r="AN1213" s="893"/>
      <c r="AO1213" s="893"/>
      <c r="AP1213" s="893"/>
      <c r="AQ1213" s="893"/>
      <c r="AR1213" s="893"/>
      <c r="AS1213" s="893"/>
      <c r="AT1213" s="893"/>
      <c r="AU1213" s="893"/>
      <c r="AV1213" s="893"/>
      <c r="AW1213" s="893"/>
      <c r="AX1213" s="893"/>
      <c r="AY1213" s="893"/>
      <c r="AZ1213" s="893"/>
      <c r="BA1213" s="893"/>
      <c r="BB1213" s="893"/>
    </row>
    <row r="1214" spans="1:54" ht="12.6" customHeight="1" x14ac:dyDescent="0.25">
      <c r="A1214" s="708"/>
      <c r="B1214" s="708"/>
      <c r="C1214" s="708"/>
      <c r="D1214" s="708"/>
      <c r="E1214" s="708"/>
      <c r="F1214" s="708"/>
      <c r="G1214" s="708"/>
      <c r="H1214" s="708"/>
      <c r="I1214" s="708"/>
      <c r="J1214" s="708"/>
      <c r="K1214" s="708"/>
      <c r="L1214" s="708"/>
      <c r="M1214" s="708"/>
      <c r="N1214" s="708"/>
      <c r="O1214" s="708"/>
      <c r="P1214" s="708"/>
      <c r="Q1214" s="708"/>
      <c r="R1214" s="708"/>
      <c r="S1214" s="708"/>
      <c r="T1214" s="708"/>
      <c r="U1214" s="708"/>
      <c r="V1214" s="708"/>
      <c r="W1214" s="862"/>
      <c r="X1214" s="862"/>
      <c r="Y1214" s="862"/>
      <c r="Z1214" s="862"/>
      <c r="AA1214" s="862"/>
      <c r="AB1214" s="862"/>
      <c r="AC1214" s="862"/>
      <c r="AD1214" s="862"/>
      <c r="AE1214" s="709"/>
      <c r="AF1214" s="709"/>
      <c r="AG1214" s="709"/>
      <c r="AH1214" s="709"/>
      <c r="AI1214" s="709"/>
      <c r="AJ1214" s="709"/>
      <c r="AK1214" s="709"/>
      <c r="AL1214" s="709"/>
      <c r="AM1214" s="709"/>
      <c r="AN1214" s="709"/>
      <c r="AO1214" s="709"/>
      <c r="AP1214" s="709"/>
      <c r="AQ1214" s="709"/>
      <c r="AR1214" s="709"/>
      <c r="AS1214" s="709"/>
      <c r="AT1214" s="709"/>
      <c r="AU1214" s="709"/>
      <c r="AV1214" s="709"/>
      <c r="AW1214" s="709"/>
      <c r="AX1214" s="709"/>
      <c r="AY1214" s="709"/>
      <c r="AZ1214" s="709"/>
      <c r="BA1214" s="709"/>
      <c r="BB1214" s="709"/>
    </row>
    <row r="1215" spans="1:54" ht="12.6" customHeight="1" x14ac:dyDescent="0.25">
      <c r="A1215" s="708"/>
      <c r="B1215" s="708"/>
      <c r="C1215" s="708"/>
      <c r="D1215" s="708"/>
      <c r="E1215" s="708"/>
      <c r="F1215" s="708"/>
      <c r="G1215" s="708"/>
      <c r="H1215" s="708"/>
      <c r="I1215" s="708"/>
      <c r="J1215" s="708"/>
      <c r="K1215" s="708"/>
      <c r="L1215" s="708"/>
      <c r="M1215" s="708"/>
      <c r="N1215" s="708"/>
      <c r="O1215" s="708"/>
      <c r="P1215" s="708"/>
      <c r="Q1215" s="708"/>
      <c r="R1215" s="708"/>
      <c r="S1215" s="708"/>
      <c r="T1215" s="708"/>
      <c r="U1215" s="708"/>
      <c r="V1215" s="708"/>
      <c r="W1215" s="862"/>
      <c r="X1215" s="862"/>
      <c r="Y1215" s="862"/>
      <c r="Z1215" s="862"/>
      <c r="AA1215" s="862"/>
      <c r="AB1215" s="862"/>
      <c r="AC1215" s="862"/>
      <c r="AD1215" s="862"/>
      <c r="AE1215" s="709"/>
      <c r="AF1215" s="709"/>
      <c r="AG1215" s="709"/>
      <c r="AH1215" s="709"/>
      <c r="AI1215" s="709"/>
      <c r="AJ1215" s="709"/>
      <c r="AK1215" s="709"/>
      <c r="AL1215" s="709"/>
      <c r="AM1215" s="709"/>
      <c r="AN1215" s="709"/>
      <c r="AO1215" s="709"/>
      <c r="AP1215" s="709"/>
      <c r="AQ1215" s="709"/>
      <c r="AR1215" s="709"/>
      <c r="AS1215" s="709"/>
      <c r="AT1215" s="709"/>
      <c r="AU1215" s="709"/>
      <c r="AV1215" s="709"/>
      <c r="AW1215" s="709"/>
      <c r="AX1215" s="709"/>
      <c r="AY1215" s="709"/>
      <c r="AZ1215" s="709"/>
      <c r="BA1215" s="709"/>
      <c r="BB1215" s="709"/>
    </row>
    <row r="1216" spans="1:54" ht="12.6" customHeight="1" x14ac:dyDescent="0.25">
      <c r="A1216" s="708"/>
      <c r="B1216" s="708"/>
      <c r="C1216" s="708"/>
      <c r="D1216" s="708"/>
      <c r="E1216" s="708"/>
      <c r="F1216" s="708"/>
      <c r="G1216" s="708"/>
      <c r="H1216" s="708"/>
      <c r="I1216" s="708"/>
      <c r="J1216" s="708"/>
      <c r="K1216" s="708"/>
      <c r="L1216" s="708"/>
      <c r="M1216" s="708"/>
      <c r="N1216" s="708"/>
      <c r="O1216" s="708"/>
      <c r="P1216" s="708"/>
      <c r="Q1216" s="708"/>
      <c r="R1216" s="708"/>
      <c r="S1216" s="708"/>
      <c r="T1216" s="708"/>
      <c r="U1216" s="708"/>
      <c r="V1216" s="708"/>
      <c r="W1216" s="862"/>
      <c r="X1216" s="862"/>
      <c r="Y1216" s="862"/>
      <c r="Z1216" s="862"/>
      <c r="AA1216" s="862"/>
      <c r="AB1216" s="862"/>
      <c r="AC1216" s="862"/>
      <c r="AD1216" s="862"/>
      <c r="AE1216" s="709"/>
      <c r="AF1216" s="709"/>
      <c r="AG1216" s="709"/>
      <c r="AH1216" s="709"/>
      <c r="AI1216" s="709"/>
      <c r="AJ1216" s="709"/>
      <c r="AK1216" s="709"/>
      <c r="AL1216" s="709"/>
      <c r="AM1216" s="709"/>
      <c r="AN1216" s="709"/>
      <c r="AO1216" s="709"/>
      <c r="AP1216" s="709"/>
      <c r="AQ1216" s="709"/>
      <c r="AR1216" s="709"/>
      <c r="AS1216" s="709"/>
      <c r="AT1216" s="709"/>
      <c r="AU1216" s="709"/>
      <c r="AV1216" s="709"/>
      <c r="AW1216" s="709"/>
      <c r="AX1216" s="709"/>
      <c r="AY1216" s="709"/>
      <c r="AZ1216" s="709"/>
      <c r="BA1216" s="709"/>
      <c r="BB1216" s="709"/>
    </row>
    <row r="1217" spans="1:54" ht="12.6" customHeight="1" x14ac:dyDescent="0.25">
      <c r="A1217" s="708"/>
      <c r="B1217" s="708"/>
      <c r="C1217" s="708"/>
      <c r="D1217" s="708"/>
      <c r="E1217" s="708"/>
      <c r="F1217" s="708"/>
      <c r="G1217" s="708"/>
      <c r="H1217" s="708"/>
      <c r="I1217" s="708"/>
      <c r="J1217" s="708"/>
      <c r="K1217" s="708"/>
      <c r="L1217" s="708"/>
      <c r="M1217" s="708"/>
      <c r="N1217" s="708"/>
      <c r="O1217" s="708"/>
      <c r="P1217" s="708"/>
      <c r="Q1217" s="708"/>
      <c r="R1217" s="708"/>
      <c r="S1217" s="708"/>
      <c r="T1217" s="708"/>
      <c r="U1217" s="708"/>
      <c r="V1217" s="708"/>
      <c r="W1217" s="709"/>
      <c r="X1217" s="709"/>
      <c r="Y1217" s="709"/>
      <c r="Z1217" s="709"/>
      <c r="AA1217" s="709"/>
      <c r="AB1217" s="709"/>
      <c r="AC1217" s="709"/>
      <c r="AD1217" s="709"/>
      <c r="AE1217" s="709"/>
      <c r="AF1217" s="709"/>
      <c r="AG1217" s="709"/>
      <c r="AH1217" s="709"/>
      <c r="AI1217" s="709"/>
      <c r="AJ1217" s="709"/>
      <c r="AK1217" s="709"/>
      <c r="AL1217" s="709"/>
      <c r="AM1217" s="709"/>
      <c r="AN1217" s="709"/>
      <c r="AO1217" s="709"/>
      <c r="AP1217" s="709"/>
      <c r="AQ1217" s="709"/>
      <c r="AR1217" s="709"/>
      <c r="AS1217" s="709"/>
      <c r="AT1217" s="709"/>
      <c r="AU1217" s="709"/>
      <c r="AV1217" s="709"/>
      <c r="AW1217" s="709"/>
      <c r="AX1217" s="709"/>
      <c r="AY1217" s="709"/>
      <c r="AZ1217" s="709"/>
      <c r="BA1217" s="709"/>
      <c r="BB1217" s="709"/>
    </row>
    <row r="1218" spans="1:54" ht="12.6" customHeight="1" x14ac:dyDescent="0.25">
      <c r="A1218" s="885" t="s">
        <v>1912</v>
      </c>
      <c r="B1218" s="885"/>
      <c r="C1218" s="885"/>
      <c r="D1218" s="885"/>
      <c r="E1218" s="885"/>
      <c r="F1218" s="885"/>
      <c r="G1218" s="885"/>
      <c r="H1218" s="885"/>
      <c r="I1218" s="885"/>
      <c r="J1218" s="885"/>
      <c r="K1218" s="885"/>
      <c r="L1218" s="885"/>
      <c r="M1218" s="885"/>
      <c r="N1218" s="885"/>
      <c r="O1218" s="885"/>
      <c r="P1218" s="885"/>
      <c r="Q1218" s="885"/>
      <c r="R1218" s="885"/>
      <c r="S1218" s="885"/>
      <c r="T1218" s="885"/>
      <c r="U1218" s="885"/>
      <c r="V1218" s="885"/>
      <c r="W1218" s="890"/>
      <c r="X1218" s="890"/>
      <c r="Y1218" s="890"/>
      <c r="Z1218" s="890"/>
      <c r="AA1218" s="890"/>
      <c r="AB1218" s="890"/>
      <c r="AC1218" s="890"/>
      <c r="AD1218" s="890"/>
      <c r="AE1218" s="893"/>
      <c r="AF1218" s="893"/>
      <c r="AG1218" s="893"/>
      <c r="AH1218" s="893"/>
      <c r="AI1218" s="893"/>
      <c r="AJ1218" s="893"/>
      <c r="AK1218" s="893"/>
      <c r="AL1218" s="893"/>
      <c r="AM1218" s="893"/>
      <c r="AN1218" s="893"/>
      <c r="AO1218" s="893"/>
      <c r="AP1218" s="893"/>
      <c r="AQ1218" s="893"/>
      <c r="AR1218" s="893"/>
      <c r="AS1218" s="893"/>
      <c r="AT1218" s="893"/>
      <c r="AU1218" s="893"/>
      <c r="AV1218" s="893"/>
      <c r="AW1218" s="893"/>
      <c r="AX1218" s="893"/>
      <c r="AY1218" s="893"/>
      <c r="AZ1218" s="893"/>
      <c r="BA1218" s="893"/>
      <c r="BB1218" s="893"/>
    </row>
    <row r="1219" spans="1:54" ht="12.6" customHeight="1" x14ac:dyDescent="0.25">
      <c r="A1219" s="708"/>
      <c r="B1219" s="708"/>
      <c r="C1219" s="708"/>
      <c r="D1219" s="708"/>
      <c r="E1219" s="708"/>
      <c r="F1219" s="708"/>
      <c r="G1219" s="708"/>
      <c r="H1219" s="708"/>
      <c r="I1219" s="708"/>
      <c r="J1219" s="708"/>
      <c r="K1219" s="708"/>
      <c r="L1219" s="708"/>
      <c r="M1219" s="708"/>
      <c r="N1219" s="708"/>
      <c r="O1219" s="708"/>
      <c r="P1219" s="708"/>
      <c r="Q1219" s="708"/>
      <c r="R1219" s="708"/>
      <c r="S1219" s="708"/>
      <c r="T1219" s="708"/>
      <c r="U1219" s="708"/>
      <c r="V1219" s="708"/>
      <c r="W1219" s="862"/>
      <c r="X1219" s="862"/>
      <c r="Y1219" s="862"/>
      <c r="Z1219" s="862"/>
      <c r="AA1219" s="862"/>
      <c r="AB1219" s="862"/>
      <c r="AC1219" s="862"/>
      <c r="AD1219" s="862"/>
      <c r="AE1219" s="709"/>
      <c r="AF1219" s="709"/>
      <c r="AG1219" s="709"/>
      <c r="AH1219" s="709"/>
      <c r="AI1219" s="709"/>
      <c r="AJ1219" s="709"/>
      <c r="AK1219" s="709"/>
      <c r="AL1219" s="709"/>
      <c r="AM1219" s="709"/>
      <c r="AN1219" s="709"/>
      <c r="AO1219" s="709"/>
      <c r="AP1219" s="709"/>
      <c r="AQ1219" s="709"/>
      <c r="AR1219" s="709"/>
      <c r="AS1219" s="709"/>
      <c r="AT1219" s="709"/>
      <c r="AU1219" s="709"/>
      <c r="AV1219" s="709"/>
      <c r="AW1219" s="709"/>
      <c r="AX1219" s="709"/>
      <c r="AY1219" s="709"/>
      <c r="AZ1219" s="709"/>
      <c r="BA1219" s="709"/>
      <c r="BB1219" s="709"/>
    </row>
    <row r="1220" spans="1:54" ht="12.6" customHeight="1" x14ac:dyDescent="0.25">
      <c r="A1220" s="708"/>
      <c r="B1220" s="708"/>
      <c r="C1220" s="708"/>
      <c r="D1220" s="708"/>
      <c r="E1220" s="708"/>
      <c r="F1220" s="708"/>
      <c r="G1220" s="708"/>
      <c r="H1220" s="708"/>
      <c r="I1220" s="708"/>
      <c r="J1220" s="708"/>
      <c r="K1220" s="708"/>
      <c r="L1220" s="708"/>
      <c r="M1220" s="708"/>
      <c r="N1220" s="708"/>
      <c r="O1220" s="708"/>
      <c r="P1220" s="708"/>
      <c r="Q1220" s="708"/>
      <c r="R1220" s="708"/>
      <c r="S1220" s="708"/>
      <c r="T1220" s="708"/>
      <c r="U1220" s="708"/>
      <c r="V1220" s="708"/>
      <c r="W1220" s="883"/>
      <c r="X1220" s="883"/>
      <c r="Y1220" s="883"/>
      <c r="Z1220" s="883"/>
      <c r="AA1220" s="883"/>
      <c r="AB1220" s="883"/>
      <c r="AC1220" s="883"/>
      <c r="AD1220" s="883"/>
      <c r="AE1220" s="709"/>
      <c r="AF1220" s="709"/>
      <c r="AG1220" s="709"/>
      <c r="AH1220" s="709"/>
      <c r="AI1220" s="709"/>
      <c r="AJ1220" s="709"/>
      <c r="AK1220" s="709"/>
      <c r="AL1220" s="709"/>
      <c r="AM1220" s="709"/>
      <c r="AN1220" s="709"/>
      <c r="AO1220" s="709"/>
      <c r="AP1220" s="709"/>
      <c r="AQ1220" s="709"/>
      <c r="AR1220" s="709"/>
      <c r="AS1220" s="709"/>
      <c r="AT1220" s="709"/>
      <c r="AU1220" s="709"/>
      <c r="AV1220" s="709"/>
      <c r="AW1220" s="709"/>
      <c r="AX1220" s="709"/>
      <c r="AY1220" s="709"/>
      <c r="AZ1220" s="709"/>
      <c r="BA1220" s="709"/>
      <c r="BB1220" s="709"/>
    </row>
    <row r="1221" spans="1:54" ht="12.6" customHeight="1" x14ac:dyDescent="0.25">
      <c r="A1221" s="708"/>
      <c r="B1221" s="708"/>
      <c r="C1221" s="708"/>
      <c r="D1221" s="708"/>
      <c r="E1221" s="708"/>
      <c r="F1221" s="708"/>
      <c r="G1221" s="708"/>
      <c r="H1221" s="708"/>
      <c r="I1221" s="708"/>
      <c r="J1221" s="708"/>
      <c r="K1221" s="708"/>
      <c r="L1221" s="708"/>
      <c r="M1221" s="708"/>
      <c r="N1221" s="708"/>
      <c r="O1221" s="708"/>
      <c r="P1221" s="708"/>
      <c r="Q1221" s="708"/>
      <c r="R1221" s="708"/>
      <c r="S1221" s="708"/>
      <c r="T1221" s="708"/>
      <c r="U1221" s="708"/>
      <c r="V1221" s="708"/>
      <c r="W1221" s="883"/>
      <c r="X1221" s="883"/>
      <c r="Y1221" s="883"/>
      <c r="Z1221" s="883"/>
      <c r="AA1221" s="883"/>
      <c r="AB1221" s="883"/>
      <c r="AC1221" s="883"/>
      <c r="AD1221" s="883"/>
      <c r="AE1221" s="709"/>
      <c r="AF1221" s="709"/>
      <c r="AG1221" s="709"/>
      <c r="AH1221" s="709"/>
      <c r="AI1221" s="709"/>
      <c r="AJ1221" s="709"/>
      <c r="AK1221" s="709"/>
      <c r="AL1221" s="709"/>
      <c r="AM1221" s="709"/>
      <c r="AN1221" s="709"/>
      <c r="AO1221" s="709"/>
      <c r="AP1221" s="709"/>
      <c r="AQ1221" s="709"/>
      <c r="AR1221" s="709"/>
      <c r="AS1221" s="709"/>
      <c r="AT1221" s="709"/>
      <c r="AU1221" s="709"/>
      <c r="AV1221" s="709"/>
      <c r="AW1221" s="709"/>
      <c r="AX1221" s="709"/>
      <c r="AY1221" s="709"/>
      <c r="AZ1221" s="709"/>
      <c r="BA1221" s="709"/>
      <c r="BB1221" s="709"/>
    </row>
    <row r="1222" spans="1:54" ht="12.6" customHeight="1" x14ac:dyDescent="0.25">
      <c r="A1222" s="708"/>
      <c r="B1222" s="708"/>
      <c r="C1222" s="708"/>
      <c r="D1222" s="708"/>
      <c r="E1222" s="708"/>
      <c r="F1222" s="708"/>
      <c r="G1222" s="708"/>
      <c r="H1222" s="708"/>
      <c r="I1222" s="708"/>
      <c r="J1222" s="708"/>
      <c r="K1222" s="708"/>
      <c r="L1222" s="708"/>
      <c r="M1222" s="708"/>
      <c r="N1222" s="708"/>
      <c r="O1222" s="708"/>
      <c r="P1222" s="708"/>
      <c r="Q1222" s="708"/>
      <c r="R1222" s="708"/>
      <c r="S1222" s="708"/>
      <c r="T1222" s="708"/>
      <c r="U1222" s="708"/>
      <c r="V1222" s="708"/>
      <c r="W1222" s="883"/>
      <c r="X1222" s="883"/>
      <c r="Y1222" s="883"/>
      <c r="Z1222" s="883"/>
      <c r="AA1222" s="883"/>
      <c r="AB1222" s="883"/>
      <c r="AC1222" s="883"/>
      <c r="AD1222" s="883"/>
      <c r="AE1222" s="709"/>
      <c r="AF1222" s="709"/>
      <c r="AG1222" s="709"/>
      <c r="AH1222" s="709"/>
      <c r="AI1222" s="709"/>
      <c r="AJ1222" s="709"/>
      <c r="AK1222" s="709"/>
      <c r="AL1222" s="709"/>
      <c r="AM1222" s="709"/>
      <c r="AN1222" s="709"/>
      <c r="AO1222" s="709"/>
      <c r="AP1222" s="709"/>
      <c r="AQ1222" s="709"/>
      <c r="AR1222" s="709"/>
      <c r="AS1222" s="709"/>
      <c r="AT1222" s="709"/>
      <c r="AU1222" s="709"/>
      <c r="AV1222" s="709"/>
      <c r="AW1222" s="709"/>
      <c r="AX1222" s="709"/>
      <c r="AY1222" s="709"/>
      <c r="AZ1222" s="709"/>
      <c r="BA1222" s="709"/>
      <c r="BB1222" s="709"/>
    </row>
    <row r="1224" spans="1:54" ht="12.6" customHeight="1" x14ac:dyDescent="0.25">
      <c r="A1224" s="29" t="s">
        <v>1329</v>
      </c>
    </row>
    <row r="1225" spans="1:54" ht="12.6" customHeight="1" x14ac:dyDescent="0.25">
      <c r="A1225" s="241"/>
      <c r="B1225" s="242"/>
      <c r="C1225" s="242"/>
      <c r="D1225" s="242"/>
      <c r="E1225" s="242"/>
      <c r="F1225" s="242"/>
      <c r="G1225" s="242"/>
      <c r="H1225" s="242"/>
      <c r="I1225" s="242"/>
      <c r="J1225" s="242"/>
      <c r="K1225" s="242"/>
      <c r="L1225" s="242"/>
      <c r="M1225" s="242"/>
      <c r="N1225" s="242"/>
      <c r="O1225" s="242"/>
      <c r="P1225" s="242"/>
      <c r="Q1225" s="242"/>
      <c r="R1225" s="242"/>
      <c r="S1225" s="242"/>
      <c r="T1225" s="268"/>
      <c r="U1225" s="768"/>
      <c r="V1225" s="768"/>
      <c r="W1225" s="768"/>
      <c r="X1225" s="768"/>
      <c r="Y1225" s="768"/>
      <c r="Z1225" s="768"/>
      <c r="AA1225" s="768"/>
      <c r="AB1225" s="768"/>
      <c r="AC1225" s="768"/>
      <c r="AD1225" s="768"/>
      <c r="AE1225" s="768"/>
      <c r="AF1225" s="768"/>
      <c r="AG1225" s="768"/>
      <c r="AH1225" s="768"/>
      <c r="AI1225" s="768"/>
      <c r="AJ1225" s="807" t="s">
        <v>1720</v>
      </c>
      <c r="AK1225" s="807"/>
      <c r="AL1225" s="807"/>
      <c r="AM1225" s="807"/>
      <c r="AN1225" s="807"/>
      <c r="AO1225" s="807"/>
      <c r="AP1225" s="807"/>
      <c r="AQ1225" s="807"/>
      <c r="AR1225" s="807"/>
      <c r="AS1225" s="807"/>
      <c r="AT1225" s="807"/>
      <c r="AU1225" s="807"/>
      <c r="AV1225" s="807"/>
      <c r="AW1225" s="807"/>
      <c r="AX1225" s="807"/>
      <c r="AY1225" s="807"/>
      <c r="AZ1225" s="807"/>
      <c r="BA1225" s="807"/>
      <c r="BB1225" s="807"/>
    </row>
    <row r="1226" spans="1:54" ht="12.6" customHeight="1" x14ac:dyDescent="0.25">
      <c r="A1226" s="243"/>
      <c r="B1226" s="244"/>
      <c r="C1226" s="244"/>
      <c r="D1226" s="244"/>
      <c r="E1226" s="244"/>
      <c r="F1226" s="244"/>
      <c r="G1226" s="244"/>
      <c r="H1226" s="244"/>
      <c r="I1226" s="244"/>
      <c r="J1226" s="244"/>
      <c r="K1226" s="244"/>
      <c r="L1226" s="244"/>
      <c r="M1226" s="244"/>
      <c r="N1226" s="244"/>
      <c r="O1226" s="244"/>
      <c r="P1226" s="244"/>
      <c r="Q1226" s="244"/>
      <c r="R1226" s="244"/>
      <c r="S1226" s="244"/>
      <c r="T1226" s="269"/>
      <c r="U1226" s="745" t="s">
        <v>1288</v>
      </c>
      <c r="V1226" s="745"/>
      <c r="W1226" s="745"/>
      <c r="X1226" s="745"/>
      <c r="Y1226" s="745"/>
      <c r="Z1226" s="745"/>
      <c r="AA1226" s="745"/>
      <c r="AB1226" s="745"/>
      <c r="AC1226" s="745"/>
      <c r="AD1226" s="745"/>
      <c r="AE1226" s="745"/>
      <c r="AF1226" s="745"/>
      <c r="AG1226" s="745"/>
      <c r="AH1226" s="745"/>
      <c r="AI1226" s="745"/>
      <c r="AJ1226" s="828" t="s">
        <v>1721</v>
      </c>
      <c r="AK1226" s="828"/>
      <c r="AL1226" s="828"/>
      <c r="AM1226" s="828"/>
      <c r="AN1226" s="828"/>
      <c r="AO1226" s="828"/>
      <c r="AP1226" s="828"/>
      <c r="AQ1226" s="828"/>
      <c r="AR1226" s="828"/>
      <c r="AS1226" s="828"/>
      <c r="AT1226" s="828"/>
      <c r="AU1226" s="828"/>
      <c r="AV1226" s="828"/>
      <c r="AW1226" s="828"/>
      <c r="AX1226" s="828"/>
      <c r="AY1226" s="828"/>
      <c r="AZ1226" s="828"/>
      <c r="BA1226" s="828"/>
      <c r="BB1226" s="828"/>
    </row>
    <row r="1227" spans="1:54" ht="12.6" customHeight="1" x14ac:dyDescent="0.25">
      <c r="A1227" s="745" t="s">
        <v>1287</v>
      </c>
      <c r="B1227" s="745"/>
      <c r="C1227" s="745"/>
      <c r="D1227" s="745"/>
      <c r="E1227" s="745"/>
      <c r="F1227" s="745"/>
      <c r="G1227" s="745"/>
      <c r="H1227" s="745"/>
      <c r="I1227" s="745"/>
      <c r="J1227" s="745"/>
      <c r="K1227" s="745"/>
      <c r="L1227" s="745"/>
      <c r="M1227" s="745"/>
      <c r="N1227" s="745"/>
      <c r="O1227" s="745"/>
      <c r="P1227" s="745"/>
      <c r="Q1227" s="745"/>
      <c r="R1227" s="745"/>
      <c r="S1227" s="745"/>
      <c r="T1227" s="745"/>
      <c r="U1227" s="750"/>
      <c r="V1227" s="750"/>
      <c r="W1227" s="750"/>
      <c r="X1227" s="750"/>
      <c r="Y1227" s="750"/>
      <c r="Z1227" s="750"/>
      <c r="AA1227" s="750"/>
      <c r="AB1227" s="750"/>
      <c r="AC1227" s="750"/>
      <c r="AD1227" s="750"/>
      <c r="AE1227" s="750"/>
      <c r="AF1227" s="750"/>
      <c r="AG1227" s="750"/>
      <c r="AH1227" s="750"/>
      <c r="AI1227" s="750"/>
      <c r="AJ1227" s="829" t="s">
        <v>1486</v>
      </c>
      <c r="AK1227" s="829"/>
      <c r="AL1227" s="829"/>
      <c r="AM1227" s="829"/>
      <c r="AN1227" s="829"/>
      <c r="AO1227" s="829"/>
      <c r="AP1227" s="829"/>
      <c r="AQ1227" s="829"/>
      <c r="AR1227" s="829"/>
      <c r="AS1227" s="829"/>
      <c r="AT1227" s="829"/>
      <c r="AU1227" s="829"/>
      <c r="AV1227" s="829"/>
      <c r="AW1227" s="829"/>
      <c r="AX1227" s="829"/>
      <c r="AY1227" s="829"/>
      <c r="AZ1227" s="829"/>
      <c r="BA1227" s="829"/>
      <c r="BB1227" s="829"/>
    </row>
    <row r="1228" spans="1:54" ht="12.6" customHeight="1" x14ac:dyDescent="0.25">
      <c r="A1228" s="243"/>
      <c r="B1228" s="244"/>
      <c r="C1228" s="244"/>
      <c r="D1228" s="244"/>
      <c r="E1228" s="244"/>
      <c r="F1228" s="244"/>
      <c r="G1228" s="244"/>
      <c r="H1228" s="244"/>
      <c r="I1228" s="244"/>
      <c r="J1228" s="244"/>
      <c r="K1228" s="244"/>
      <c r="L1228" s="244"/>
      <c r="M1228" s="244"/>
      <c r="N1228" s="244"/>
      <c r="O1228" s="244"/>
      <c r="P1228" s="244"/>
      <c r="Q1228" s="244"/>
      <c r="R1228" s="244"/>
      <c r="S1228" s="244"/>
      <c r="T1228" s="269"/>
      <c r="U1228" s="768" t="s">
        <v>1913</v>
      </c>
      <c r="V1228" s="768"/>
      <c r="W1228" s="768"/>
      <c r="X1228" s="768"/>
      <c r="Y1228" s="768"/>
      <c r="Z1228" s="768"/>
      <c r="AA1228" s="768"/>
      <c r="AB1228" s="768"/>
      <c r="AC1228" s="768"/>
      <c r="AD1228" s="768"/>
      <c r="AE1228" s="768"/>
      <c r="AF1228" s="768"/>
      <c r="AG1228" s="768"/>
      <c r="AH1228" s="768"/>
      <c r="AI1228" s="768"/>
      <c r="AJ1228" s="807" t="s">
        <v>1913</v>
      </c>
      <c r="AK1228" s="807"/>
      <c r="AL1228" s="807"/>
      <c r="AM1228" s="807"/>
      <c r="AN1228" s="807"/>
      <c r="AO1228" s="807"/>
      <c r="AP1228" s="807"/>
      <c r="AQ1228" s="807"/>
      <c r="AR1228" s="807"/>
      <c r="AS1228" s="807"/>
      <c r="AT1228" s="807"/>
      <c r="AU1228" s="807"/>
      <c r="AV1228" s="807"/>
      <c r="AW1228" s="807"/>
      <c r="AX1228" s="807"/>
      <c r="AY1228" s="807"/>
      <c r="AZ1228" s="807"/>
      <c r="BA1228" s="807"/>
      <c r="BB1228" s="807"/>
    </row>
    <row r="1229" spans="1:54" ht="12.6" customHeight="1" x14ac:dyDescent="0.25">
      <c r="A1229" s="243"/>
      <c r="B1229" s="244"/>
      <c r="C1229" s="244"/>
      <c r="D1229" s="244"/>
      <c r="E1229" s="244"/>
      <c r="F1229" s="244"/>
      <c r="G1229" s="244"/>
      <c r="H1229" s="244"/>
      <c r="I1229" s="244"/>
      <c r="J1229" s="244"/>
      <c r="K1229" s="244"/>
      <c r="L1229" s="244"/>
      <c r="M1229" s="244"/>
      <c r="N1229" s="244"/>
      <c r="O1229" s="244"/>
      <c r="P1229" s="244"/>
      <c r="Q1229" s="244"/>
      <c r="R1229" s="244"/>
      <c r="S1229" s="244"/>
      <c r="T1229" s="269"/>
      <c r="U1229" s="745" t="s">
        <v>1914</v>
      </c>
      <c r="V1229" s="745"/>
      <c r="W1229" s="745"/>
      <c r="X1229" s="745"/>
      <c r="Y1229" s="745"/>
      <c r="Z1229" s="745"/>
      <c r="AA1229" s="745"/>
      <c r="AB1229" s="745"/>
      <c r="AC1229" s="745"/>
      <c r="AD1229" s="745"/>
      <c r="AE1229" s="745"/>
      <c r="AF1229" s="745"/>
      <c r="AG1229" s="745"/>
      <c r="AH1229" s="745"/>
      <c r="AI1229" s="745"/>
      <c r="AJ1229" s="828" t="s">
        <v>1914</v>
      </c>
      <c r="AK1229" s="828"/>
      <c r="AL1229" s="828"/>
      <c r="AM1229" s="828"/>
      <c r="AN1229" s="828"/>
      <c r="AO1229" s="828"/>
      <c r="AP1229" s="828"/>
      <c r="AQ1229" s="828"/>
      <c r="AR1229" s="828"/>
      <c r="AS1229" s="828"/>
      <c r="AT1229" s="828"/>
      <c r="AU1229" s="828"/>
      <c r="AV1229" s="828"/>
      <c r="AW1229" s="828"/>
      <c r="AX1229" s="828"/>
      <c r="AY1229" s="828"/>
      <c r="AZ1229" s="828"/>
      <c r="BA1229" s="828"/>
      <c r="BB1229" s="828"/>
    </row>
    <row r="1230" spans="1:54" ht="12.6" customHeight="1" x14ac:dyDescent="0.25">
      <c r="A1230" s="243"/>
      <c r="B1230" s="244"/>
      <c r="C1230" s="244"/>
      <c r="D1230" s="244"/>
      <c r="E1230" s="244"/>
      <c r="F1230" s="244"/>
      <c r="G1230" s="244"/>
      <c r="H1230" s="244"/>
      <c r="I1230" s="244"/>
      <c r="J1230" s="244"/>
      <c r="K1230" s="244"/>
      <c r="L1230" s="244"/>
      <c r="M1230" s="244"/>
      <c r="N1230" s="244"/>
      <c r="O1230" s="244"/>
      <c r="P1230" s="244"/>
      <c r="Q1230" s="244"/>
      <c r="R1230" s="244"/>
      <c r="S1230" s="244"/>
      <c r="T1230" s="269"/>
      <c r="U1230" s="251"/>
      <c r="V1230" s="312"/>
      <c r="W1230" s="312"/>
      <c r="X1230" s="312"/>
      <c r="Y1230" s="312"/>
      <c r="Z1230" s="312"/>
      <c r="AA1230" s="312"/>
      <c r="AB1230" s="312"/>
      <c r="AC1230" s="312"/>
      <c r="AD1230" s="312"/>
      <c r="AE1230" s="312"/>
      <c r="AF1230" s="312"/>
      <c r="AG1230" s="312"/>
      <c r="AH1230" s="312"/>
      <c r="AI1230" s="328"/>
      <c r="AJ1230" s="312"/>
      <c r="AK1230" s="312"/>
      <c r="AL1230" s="312"/>
      <c r="AM1230" s="312"/>
      <c r="AN1230" s="312"/>
      <c r="AO1230" s="312"/>
      <c r="AP1230" s="312"/>
      <c r="AQ1230" s="312"/>
      <c r="AR1230" s="312"/>
      <c r="AS1230" s="312"/>
      <c r="AT1230" s="312"/>
      <c r="AU1230" s="312"/>
      <c r="AV1230" s="312"/>
      <c r="AW1230" s="312"/>
      <c r="AX1230" s="312"/>
      <c r="AY1230" s="312"/>
      <c r="AZ1230" s="312"/>
      <c r="BA1230" s="312"/>
      <c r="BB1230" s="328"/>
    </row>
    <row r="1231" spans="1:54" ht="12.6" customHeight="1" x14ac:dyDescent="0.25">
      <c r="A1231" s="243"/>
      <c r="B1231" s="244"/>
      <c r="C1231" s="244"/>
      <c r="D1231" s="244"/>
      <c r="E1231" s="244"/>
      <c r="F1231" s="244"/>
      <c r="G1231" s="244"/>
      <c r="H1231" s="244"/>
      <c r="I1231" s="244"/>
      <c r="J1231" s="244"/>
      <c r="K1231" s="244"/>
      <c r="L1231" s="244"/>
      <c r="M1231" s="244"/>
      <c r="N1231" s="244"/>
      <c r="O1231" s="244"/>
      <c r="P1231" s="244"/>
      <c r="Q1231" s="244"/>
      <c r="R1231" s="244"/>
      <c r="S1231" s="244"/>
      <c r="T1231" s="269"/>
      <c r="U1231" s="768" t="s">
        <v>1915</v>
      </c>
      <c r="V1231" s="768"/>
      <c r="W1231" s="768"/>
      <c r="X1231" s="768"/>
      <c r="Y1231" s="768"/>
      <c r="Z1231" s="768"/>
      <c r="AA1231" s="768"/>
      <c r="AB1231" s="768"/>
      <c r="AC1231" s="768"/>
      <c r="AD1231" s="768" t="s">
        <v>1916</v>
      </c>
      <c r="AE1231" s="768"/>
      <c r="AF1231" s="768"/>
      <c r="AG1231" s="768"/>
      <c r="AH1231" s="768"/>
      <c r="AI1231" s="768"/>
      <c r="AJ1231" s="768" t="s">
        <v>1915</v>
      </c>
      <c r="AK1231" s="768"/>
      <c r="AL1231" s="768"/>
      <c r="AM1231" s="768"/>
      <c r="AN1231" s="768"/>
      <c r="AO1231" s="768"/>
      <c r="AP1231" s="768"/>
      <c r="AQ1231" s="768"/>
      <c r="AR1231" s="768" t="s">
        <v>1916</v>
      </c>
      <c r="AS1231" s="768"/>
      <c r="AT1231" s="768"/>
      <c r="AU1231" s="768"/>
      <c r="AV1231" s="768"/>
      <c r="AW1231" s="768"/>
      <c r="AX1231" s="768"/>
      <c r="AY1231" s="768"/>
      <c r="AZ1231" s="768"/>
      <c r="BA1231" s="768"/>
      <c r="BB1231" s="768"/>
    </row>
    <row r="1232" spans="1:54" ht="12.6" customHeight="1" x14ac:dyDescent="0.25">
      <c r="A1232" s="243"/>
      <c r="B1232" s="244"/>
      <c r="C1232" s="244"/>
      <c r="D1232" s="244"/>
      <c r="E1232" s="244"/>
      <c r="F1232" s="244"/>
      <c r="G1232" s="244"/>
      <c r="H1232" s="244"/>
      <c r="I1232" s="244"/>
      <c r="J1232" s="244"/>
      <c r="K1232" s="244"/>
      <c r="L1232" s="244"/>
      <c r="M1232" s="244"/>
      <c r="N1232" s="244"/>
      <c r="O1232" s="244"/>
      <c r="P1232" s="244"/>
      <c r="Q1232" s="244"/>
      <c r="R1232" s="244"/>
      <c r="S1232" s="244"/>
      <c r="T1232" s="269"/>
      <c r="U1232" s="745" t="s">
        <v>1917</v>
      </c>
      <c r="V1232" s="745"/>
      <c r="W1232" s="745"/>
      <c r="X1232" s="745"/>
      <c r="Y1232" s="745"/>
      <c r="Z1232" s="745"/>
      <c r="AA1232" s="745"/>
      <c r="AB1232" s="745"/>
      <c r="AC1232" s="745"/>
      <c r="AD1232" s="745" t="s">
        <v>1918</v>
      </c>
      <c r="AE1232" s="745"/>
      <c r="AF1232" s="745"/>
      <c r="AG1232" s="745"/>
      <c r="AH1232" s="745"/>
      <c r="AI1232" s="745"/>
      <c r="AJ1232" s="745" t="s">
        <v>1917</v>
      </c>
      <c r="AK1232" s="745"/>
      <c r="AL1232" s="745"/>
      <c r="AM1232" s="745"/>
      <c r="AN1232" s="745"/>
      <c r="AO1232" s="745"/>
      <c r="AP1232" s="745"/>
      <c r="AQ1232" s="745"/>
      <c r="AR1232" s="745" t="s">
        <v>1918</v>
      </c>
      <c r="AS1232" s="745"/>
      <c r="AT1232" s="745"/>
      <c r="AU1232" s="745"/>
      <c r="AV1232" s="745"/>
      <c r="AW1232" s="745"/>
      <c r="AX1232" s="745"/>
      <c r="AY1232" s="745"/>
      <c r="AZ1232" s="745"/>
      <c r="BA1232" s="745"/>
      <c r="BB1232" s="745"/>
    </row>
    <row r="1233" spans="1:54" ht="12.6" customHeight="1" x14ac:dyDescent="0.25">
      <c r="A1233" s="750" t="s">
        <v>1323</v>
      </c>
      <c r="B1233" s="750"/>
      <c r="C1233" s="750"/>
      <c r="D1233" s="750"/>
      <c r="E1233" s="750"/>
      <c r="F1233" s="750"/>
      <c r="G1233" s="750"/>
      <c r="H1233" s="750"/>
      <c r="I1233" s="750"/>
      <c r="J1233" s="750"/>
      <c r="K1233" s="750"/>
      <c r="L1233" s="750"/>
      <c r="M1233" s="750"/>
      <c r="N1233" s="750"/>
      <c r="O1233" s="750"/>
      <c r="P1233" s="750"/>
      <c r="Q1233" s="750"/>
      <c r="R1233" s="750"/>
      <c r="S1233" s="750"/>
      <c r="T1233" s="750"/>
      <c r="U1233" s="750" t="s">
        <v>1324</v>
      </c>
      <c r="V1233" s="750"/>
      <c r="W1233" s="750"/>
      <c r="X1233" s="750"/>
      <c r="Y1233" s="750"/>
      <c r="Z1233" s="750"/>
      <c r="AA1233" s="750"/>
      <c r="AB1233" s="750"/>
      <c r="AC1233" s="750"/>
      <c r="AD1233" s="750" t="s">
        <v>1325</v>
      </c>
      <c r="AE1233" s="750"/>
      <c r="AF1233" s="750"/>
      <c r="AG1233" s="750"/>
      <c r="AH1233" s="750"/>
      <c r="AI1233" s="750"/>
      <c r="AJ1233" s="750" t="s">
        <v>1326</v>
      </c>
      <c r="AK1233" s="750"/>
      <c r="AL1233" s="750"/>
      <c r="AM1233" s="750"/>
      <c r="AN1233" s="750"/>
      <c r="AO1233" s="750"/>
      <c r="AP1233" s="750"/>
      <c r="AQ1233" s="750"/>
      <c r="AR1233" s="750" t="s">
        <v>1327</v>
      </c>
      <c r="AS1233" s="750"/>
      <c r="AT1233" s="750"/>
      <c r="AU1233" s="750"/>
      <c r="AV1233" s="750"/>
      <c r="AW1233" s="750"/>
      <c r="AX1233" s="750"/>
      <c r="AY1233" s="750"/>
      <c r="AZ1233" s="750"/>
      <c r="BA1233" s="750"/>
      <c r="BB1233" s="750"/>
    </row>
    <row r="1234" spans="1:54" ht="12.6" customHeight="1" x14ac:dyDescent="0.25">
      <c r="A1234" s="243" t="s">
        <v>1911</v>
      </c>
      <c r="B1234" s="246"/>
      <c r="C1234" s="246"/>
      <c r="D1234" s="246"/>
      <c r="E1234" s="246"/>
      <c r="F1234" s="246"/>
      <c r="G1234" s="246"/>
      <c r="H1234" s="246"/>
      <c r="I1234" s="246"/>
      <c r="J1234" s="246"/>
      <c r="K1234" s="246"/>
      <c r="L1234" s="246"/>
      <c r="M1234" s="246"/>
      <c r="N1234" s="246"/>
      <c r="O1234" s="246"/>
      <c r="P1234" s="246"/>
      <c r="Q1234" s="246"/>
      <c r="R1234" s="246"/>
      <c r="S1234" s="246"/>
      <c r="T1234" s="246"/>
      <c r="U1234" s="893"/>
      <c r="V1234" s="893"/>
      <c r="W1234" s="893"/>
      <c r="X1234" s="893"/>
      <c r="Y1234" s="893"/>
      <c r="Z1234" s="893"/>
      <c r="AA1234" s="893"/>
      <c r="AB1234" s="893"/>
      <c r="AC1234" s="893"/>
      <c r="AD1234" s="893"/>
      <c r="AE1234" s="893"/>
      <c r="AF1234" s="893"/>
      <c r="AG1234" s="893"/>
      <c r="AH1234" s="893"/>
      <c r="AI1234" s="893"/>
      <c r="AJ1234" s="893"/>
      <c r="AK1234" s="893"/>
      <c r="AL1234" s="893"/>
      <c r="AM1234" s="893"/>
      <c r="AN1234" s="893"/>
      <c r="AO1234" s="893"/>
      <c r="AP1234" s="893"/>
      <c r="AQ1234" s="893"/>
      <c r="AR1234" s="893"/>
      <c r="AS1234" s="893"/>
      <c r="AT1234" s="893"/>
      <c r="AU1234" s="893"/>
      <c r="AV1234" s="893"/>
      <c r="AW1234" s="893"/>
      <c r="AX1234" s="893"/>
      <c r="AY1234" s="893"/>
      <c r="AZ1234" s="893"/>
      <c r="BA1234" s="893"/>
      <c r="BB1234" s="893"/>
    </row>
    <row r="1235" spans="1:54" ht="12.6" customHeight="1" x14ac:dyDescent="0.25">
      <c r="A1235" s="708"/>
      <c r="B1235" s="708"/>
      <c r="C1235" s="708"/>
      <c r="D1235" s="708"/>
      <c r="E1235" s="708"/>
      <c r="F1235" s="708"/>
      <c r="G1235" s="708"/>
      <c r="H1235" s="708"/>
      <c r="I1235" s="708"/>
      <c r="J1235" s="708"/>
      <c r="K1235" s="708"/>
      <c r="L1235" s="708"/>
      <c r="M1235" s="708"/>
      <c r="N1235" s="708"/>
      <c r="O1235" s="708"/>
      <c r="P1235" s="708"/>
      <c r="Q1235" s="708"/>
      <c r="R1235" s="708"/>
      <c r="S1235" s="708"/>
      <c r="T1235" s="708"/>
      <c r="U1235" s="862"/>
      <c r="V1235" s="862"/>
      <c r="W1235" s="862"/>
      <c r="X1235" s="862"/>
      <c r="Y1235" s="862"/>
      <c r="Z1235" s="862"/>
      <c r="AA1235" s="862"/>
      <c r="AB1235" s="862"/>
      <c r="AC1235" s="862"/>
      <c r="AD1235" s="709"/>
      <c r="AE1235" s="709"/>
      <c r="AF1235" s="709"/>
      <c r="AG1235" s="709"/>
      <c r="AH1235" s="709"/>
      <c r="AI1235" s="709"/>
      <c r="AJ1235" s="709"/>
      <c r="AK1235" s="709"/>
      <c r="AL1235" s="709"/>
      <c r="AM1235" s="709"/>
      <c r="AN1235" s="709"/>
      <c r="AO1235" s="709"/>
      <c r="AP1235" s="709"/>
      <c r="AQ1235" s="709"/>
      <c r="AR1235" s="709"/>
      <c r="AS1235" s="709"/>
      <c r="AT1235" s="709"/>
      <c r="AU1235" s="709"/>
      <c r="AV1235" s="709"/>
      <c r="AW1235" s="709"/>
      <c r="AX1235" s="709"/>
      <c r="AY1235" s="709"/>
      <c r="AZ1235" s="709"/>
      <c r="BA1235" s="709"/>
      <c r="BB1235" s="709"/>
    </row>
    <row r="1236" spans="1:54" ht="12.6" customHeight="1" x14ac:dyDescent="0.25">
      <c r="A1236" s="708"/>
      <c r="B1236" s="708"/>
      <c r="C1236" s="708"/>
      <c r="D1236" s="708"/>
      <c r="E1236" s="708"/>
      <c r="F1236" s="708"/>
      <c r="G1236" s="708"/>
      <c r="H1236" s="708"/>
      <c r="I1236" s="708"/>
      <c r="J1236" s="708"/>
      <c r="K1236" s="708"/>
      <c r="L1236" s="708"/>
      <c r="M1236" s="708"/>
      <c r="N1236" s="708"/>
      <c r="O1236" s="708"/>
      <c r="P1236" s="708"/>
      <c r="Q1236" s="708"/>
      <c r="R1236" s="708"/>
      <c r="S1236" s="708"/>
      <c r="T1236" s="708"/>
      <c r="U1236" s="862"/>
      <c r="V1236" s="862"/>
      <c r="W1236" s="862"/>
      <c r="X1236" s="862"/>
      <c r="Y1236" s="862"/>
      <c r="Z1236" s="862"/>
      <c r="AA1236" s="862"/>
      <c r="AB1236" s="862"/>
      <c r="AC1236" s="862"/>
      <c r="AD1236" s="709"/>
      <c r="AE1236" s="709"/>
      <c r="AF1236" s="709"/>
      <c r="AG1236" s="709"/>
      <c r="AH1236" s="709"/>
      <c r="AI1236" s="709"/>
      <c r="AJ1236" s="709"/>
      <c r="AK1236" s="709"/>
      <c r="AL1236" s="709"/>
      <c r="AM1236" s="709"/>
      <c r="AN1236" s="709"/>
      <c r="AO1236" s="709"/>
      <c r="AP1236" s="709"/>
      <c r="AQ1236" s="709"/>
      <c r="AR1236" s="709"/>
      <c r="AS1236" s="709"/>
      <c r="AT1236" s="709"/>
      <c r="AU1236" s="709"/>
      <c r="AV1236" s="709"/>
      <c r="AW1236" s="709"/>
      <c r="AX1236" s="709"/>
      <c r="AY1236" s="709"/>
      <c r="AZ1236" s="709"/>
      <c r="BA1236" s="709"/>
      <c r="BB1236" s="709"/>
    </row>
    <row r="1237" spans="1:54" ht="12.6" customHeight="1" x14ac:dyDescent="0.25">
      <c r="A1237" s="708"/>
      <c r="B1237" s="708"/>
      <c r="C1237" s="708"/>
      <c r="D1237" s="708"/>
      <c r="E1237" s="708"/>
      <c r="F1237" s="708"/>
      <c r="G1237" s="708"/>
      <c r="H1237" s="708"/>
      <c r="I1237" s="708"/>
      <c r="J1237" s="708"/>
      <c r="K1237" s="708"/>
      <c r="L1237" s="708"/>
      <c r="M1237" s="708"/>
      <c r="N1237" s="708"/>
      <c r="O1237" s="708"/>
      <c r="P1237" s="708"/>
      <c r="Q1237" s="708"/>
      <c r="R1237" s="708"/>
      <c r="S1237" s="708"/>
      <c r="T1237" s="708"/>
      <c r="U1237" s="862"/>
      <c r="V1237" s="862"/>
      <c r="W1237" s="862"/>
      <c r="X1237" s="862"/>
      <c r="Y1237" s="862"/>
      <c r="Z1237" s="862"/>
      <c r="AA1237" s="862"/>
      <c r="AB1237" s="862"/>
      <c r="AC1237" s="862"/>
      <c r="AD1237" s="709"/>
      <c r="AE1237" s="709"/>
      <c r="AF1237" s="709"/>
      <c r="AG1237" s="709"/>
      <c r="AH1237" s="709"/>
      <c r="AI1237" s="709"/>
      <c r="AJ1237" s="709"/>
      <c r="AK1237" s="709"/>
      <c r="AL1237" s="709"/>
      <c r="AM1237" s="709"/>
      <c r="AN1237" s="709"/>
      <c r="AO1237" s="709"/>
      <c r="AP1237" s="709"/>
      <c r="AQ1237" s="709"/>
      <c r="AR1237" s="709"/>
      <c r="AS1237" s="709"/>
      <c r="AT1237" s="709"/>
      <c r="AU1237" s="709"/>
      <c r="AV1237" s="709"/>
      <c r="AW1237" s="709"/>
      <c r="AX1237" s="709"/>
      <c r="AY1237" s="709"/>
      <c r="AZ1237" s="709"/>
      <c r="BA1237" s="709"/>
      <c r="BB1237" s="709"/>
    </row>
    <row r="1238" spans="1:54" ht="12.6" customHeight="1" x14ac:dyDescent="0.25">
      <c r="A1238" s="311" t="s">
        <v>1912</v>
      </c>
      <c r="B1238" s="246"/>
      <c r="C1238" s="246"/>
      <c r="D1238" s="246"/>
      <c r="E1238" s="246"/>
      <c r="F1238" s="246"/>
      <c r="G1238" s="246"/>
      <c r="H1238" s="246"/>
      <c r="I1238" s="246"/>
      <c r="J1238" s="246"/>
      <c r="K1238" s="246"/>
      <c r="L1238" s="246"/>
      <c r="M1238" s="246"/>
      <c r="N1238" s="246"/>
      <c r="O1238" s="246"/>
      <c r="P1238" s="246"/>
      <c r="Q1238" s="246"/>
      <c r="R1238" s="246"/>
      <c r="S1238" s="246"/>
      <c r="T1238" s="248"/>
      <c r="U1238" s="862"/>
      <c r="V1238" s="862"/>
      <c r="W1238" s="862"/>
      <c r="X1238" s="862"/>
      <c r="Y1238" s="862"/>
      <c r="Z1238" s="862"/>
      <c r="AA1238" s="862"/>
      <c r="AB1238" s="862"/>
      <c r="AC1238" s="862"/>
      <c r="AD1238" s="709"/>
      <c r="AE1238" s="709"/>
      <c r="AF1238" s="709"/>
      <c r="AG1238" s="709"/>
      <c r="AH1238" s="709"/>
      <c r="AI1238" s="709"/>
      <c r="AJ1238" s="709"/>
      <c r="AK1238" s="709"/>
      <c r="AL1238" s="709"/>
      <c r="AM1238" s="709"/>
      <c r="AN1238" s="709"/>
      <c r="AO1238" s="709"/>
      <c r="AP1238" s="709"/>
      <c r="AQ1238" s="709"/>
      <c r="AR1238" s="766"/>
      <c r="AS1238" s="766"/>
      <c r="AT1238" s="766"/>
      <c r="AU1238" s="766"/>
      <c r="AV1238" s="766"/>
      <c r="AW1238" s="766"/>
      <c r="AX1238" s="766"/>
      <c r="AY1238" s="766"/>
      <c r="AZ1238" s="766"/>
      <c r="BA1238" s="766"/>
      <c r="BB1238" s="766"/>
    </row>
    <row r="1239" spans="1:54" ht="12.6" customHeight="1" x14ac:dyDescent="0.25">
      <c r="A1239" s="708"/>
      <c r="B1239" s="708"/>
      <c r="C1239" s="708"/>
      <c r="D1239" s="708"/>
      <c r="E1239" s="708"/>
      <c r="F1239" s="708"/>
      <c r="G1239" s="708"/>
      <c r="H1239" s="708"/>
      <c r="I1239" s="708"/>
      <c r="J1239" s="708"/>
      <c r="K1239" s="708"/>
      <c r="L1239" s="708"/>
      <c r="M1239" s="708"/>
      <c r="N1239" s="708"/>
      <c r="O1239" s="708"/>
      <c r="P1239" s="708"/>
      <c r="Q1239" s="708"/>
      <c r="R1239" s="708"/>
      <c r="S1239" s="708"/>
      <c r="T1239" s="708"/>
      <c r="U1239" s="862"/>
      <c r="V1239" s="862"/>
      <c r="W1239" s="862"/>
      <c r="X1239" s="862"/>
      <c r="Y1239" s="862"/>
      <c r="Z1239" s="862"/>
      <c r="AA1239" s="862"/>
      <c r="AB1239" s="862"/>
      <c r="AC1239" s="862"/>
      <c r="AD1239" s="709"/>
      <c r="AE1239" s="709"/>
      <c r="AF1239" s="709"/>
      <c r="AG1239" s="709"/>
      <c r="AH1239" s="709"/>
      <c r="AI1239" s="709"/>
      <c r="AJ1239" s="709"/>
      <c r="AK1239" s="709"/>
      <c r="AL1239" s="709"/>
      <c r="AM1239" s="709"/>
      <c r="AN1239" s="709"/>
      <c r="AO1239" s="709"/>
      <c r="AP1239" s="709"/>
      <c r="AQ1239" s="709"/>
      <c r="AR1239" s="709"/>
      <c r="AS1239" s="709"/>
      <c r="AT1239" s="709"/>
      <c r="AU1239" s="709"/>
      <c r="AV1239" s="709"/>
      <c r="AW1239" s="709"/>
      <c r="AX1239" s="709"/>
      <c r="AY1239" s="709"/>
      <c r="AZ1239" s="709"/>
      <c r="BA1239" s="709"/>
      <c r="BB1239" s="709"/>
    </row>
    <row r="1240" spans="1:54" ht="12.6" customHeight="1" x14ac:dyDescent="0.25">
      <c r="A1240" s="708"/>
      <c r="B1240" s="708"/>
      <c r="C1240" s="708"/>
      <c r="D1240" s="708"/>
      <c r="E1240" s="708"/>
      <c r="F1240" s="708"/>
      <c r="G1240" s="708"/>
      <c r="H1240" s="708"/>
      <c r="I1240" s="708"/>
      <c r="J1240" s="708"/>
      <c r="K1240" s="708"/>
      <c r="L1240" s="708"/>
      <c r="M1240" s="708"/>
      <c r="N1240" s="708"/>
      <c r="O1240" s="708"/>
      <c r="P1240" s="708"/>
      <c r="Q1240" s="708"/>
      <c r="R1240" s="708"/>
      <c r="S1240" s="708"/>
      <c r="T1240" s="708"/>
      <c r="U1240" s="883"/>
      <c r="V1240" s="883"/>
      <c r="W1240" s="883"/>
      <c r="X1240" s="883"/>
      <c r="Y1240" s="883"/>
      <c r="Z1240" s="883"/>
      <c r="AA1240" s="883"/>
      <c r="AB1240" s="883"/>
      <c r="AC1240" s="883"/>
      <c r="AD1240" s="709"/>
      <c r="AE1240" s="709"/>
      <c r="AF1240" s="709"/>
      <c r="AG1240" s="709"/>
      <c r="AH1240" s="709"/>
      <c r="AI1240" s="709"/>
      <c r="AJ1240" s="709"/>
      <c r="AK1240" s="709"/>
      <c r="AL1240" s="709"/>
      <c r="AM1240" s="709"/>
      <c r="AN1240" s="709"/>
      <c r="AO1240" s="709"/>
      <c r="AP1240" s="709"/>
      <c r="AQ1240" s="709"/>
      <c r="AR1240" s="811"/>
      <c r="AS1240" s="811"/>
      <c r="AT1240" s="811"/>
      <c r="AU1240" s="811"/>
      <c r="AV1240" s="811"/>
      <c r="AW1240" s="811"/>
      <c r="AX1240" s="811"/>
      <c r="AY1240" s="811"/>
      <c r="AZ1240" s="811"/>
      <c r="BA1240" s="811"/>
      <c r="BB1240" s="811"/>
    </row>
    <row r="1241" spans="1:54" ht="12.6" customHeight="1" x14ac:dyDescent="0.25">
      <c r="A1241" s="708"/>
      <c r="B1241" s="708"/>
      <c r="C1241" s="708"/>
      <c r="D1241" s="708"/>
      <c r="E1241" s="708"/>
      <c r="F1241" s="708"/>
      <c r="G1241" s="708"/>
      <c r="H1241" s="708"/>
      <c r="I1241" s="708"/>
      <c r="J1241" s="708"/>
      <c r="K1241" s="708"/>
      <c r="L1241" s="708"/>
      <c r="M1241" s="708"/>
      <c r="N1241" s="708"/>
      <c r="O1241" s="708"/>
      <c r="P1241" s="708"/>
      <c r="Q1241" s="708"/>
      <c r="R1241" s="708"/>
      <c r="S1241" s="708"/>
      <c r="T1241" s="708"/>
      <c r="U1241" s="883"/>
      <c r="V1241" s="883"/>
      <c r="W1241" s="883"/>
      <c r="X1241" s="883"/>
      <c r="Y1241" s="883"/>
      <c r="Z1241" s="883"/>
      <c r="AA1241" s="883"/>
      <c r="AB1241" s="883"/>
      <c r="AC1241" s="883"/>
      <c r="AD1241" s="709"/>
      <c r="AE1241" s="709"/>
      <c r="AF1241" s="709"/>
      <c r="AG1241" s="709"/>
      <c r="AH1241" s="709"/>
      <c r="AI1241" s="709"/>
      <c r="AJ1241" s="709"/>
      <c r="AK1241" s="709"/>
      <c r="AL1241" s="709"/>
      <c r="AM1241" s="709"/>
      <c r="AN1241" s="709"/>
      <c r="AO1241" s="709"/>
      <c r="AP1241" s="709"/>
      <c r="AQ1241" s="709"/>
      <c r="AR1241" s="811"/>
      <c r="AS1241" s="811"/>
      <c r="AT1241" s="811"/>
      <c r="AU1241" s="811"/>
      <c r="AV1241" s="811"/>
      <c r="AW1241" s="811"/>
      <c r="AX1241" s="811"/>
      <c r="AY1241" s="811"/>
      <c r="AZ1241" s="811"/>
      <c r="BA1241" s="811"/>
      <c r="BB1241" s="811"/>
    </row>
    <row r="1242" spans="1:54" ht="12.6" customHeight="1" x14ac:dyDescent="0.25">
      <c r="A1242" s="227" t="s">
        <v>1344</v>
      </c>
    </row>
    <row r="1243" spans="1:54" ht="15" customHeight="1" x14ac:dyDescent="0.25">
      <c r="A1243" s="763"/>
      <c r="B1243" s="763"/>
      <c r="C1243" s="763"/>
      <c r="D1243" s="763"/>
      <c r="E1243" s="763"/>
      <c r="F1243" s="763"/>
      <c r="G1243" s="763"/>
      <c r="H1243" s="763"/>
      <c r="I1243" s="763"/>
      <c r="J1243" s="763"/>
      <c r="K1243" s="763"/>
      <c r="L1243" s="763"/>
      <c r="M1243" s="763"/>
      <c r="N1243" s="763"/>
      <c r="O1243" s="763"/>
      <c r="P1243" s="763"/>
      <c r="Q1243" s="763"/>
      <c r="R1243" s="763"/>
      <c r="S1243" s="763"/>
      <c r="T1243" s="763"/>
      <c r="U1243" s="763"/>
      <c r="V1243" s="763"/>
      <c r="W1243" s="763"/>
      <c r="X1243" s="763"/>
      <c r="Y1243" s="763"/>
      <c r="Z1243" s="763"/>
      <c r="AA1243" s="763"/>
      <c r="AB1243" s="763"/>
      <c r="AC1243" s="763"/>
      <c r="AD1243" s="763"/>
      <c r="AE1243" s="763"/>
      <c r="AF1243" s="763"/>
      <c r="AG1243" s="763"/>
      <c r="AH1243" s="763"/>
      <c r="AI1243" s="763"/>
      <c r="AJ1243" s="763"/>
      <c r="AK1243" s="763"/>
      <c r="AL1243" s="763"/>
      <c r="AM1243" s="763"/>
      <c r="AN1243" s="763"/>
      <c r="AO1243" s="763"/>
      <c r="AP1243" s="763"/>
      <c r="AQ1243" s="763"/>
      <c r="AR1243" s="763"/>
      <c r="AS1243" s="763"/>
      <c r="AT1243" s="763"/>
      <c r="AU1243" s="763"/>
      <c r="AV1243" s="763"/>
      <c r="AW1243" s="763"/>
      <c r="AX1243" s="763"/>
      <c r="AY1243" s="265"/>
      <c r="AZ1243" s="265"/>
      <c r="BA1243" s="265"/>
      <c r="BB1243" s="265"/>
    </row>
    <row r="1244" spans="1:54" ht="15" customHeight="1" x14ac:dyDescent="0.25">
      <c r="A1244" s="763"/>
      <c r="B1244" s="763"/>
      <c r="C1244" s="763"/>
      <c r="D1244" s="763"/>
      <c r="E1244" s="763"/>
      <c r="F1244" s="763"/>
      <c r="G1244" s="763"/>
      <c r="H1244" s="763"/>
      <c r="I1244" s="763"/>
      <c r="J1244" s="763"/>
      <c r="K1244" s="763"/>
      <c r="L1244" s="763"/>
      <c r="M1244" s="763"/>
      <c r="N1244" s="763"/>
      <c r="O1244" s="763"/>
      <c r="P1244" s="763"/>
      <c r="Q1244" s="763"/>
      <c r="R1244" s="763"/>
      <c r="S1244" s="763"/>
      <c r="T1244" s="763"/>
      <c r="U1244" s="763"/>
      <c r="V1244" s="763"/>
      <c r="W1244" s="763"/>
      <c r="X1244" s="763"/>
      <c r="Y1244" s="763"/>
      <c r="Z1244" s="763"/>
      <c r="AA1244" s="763"/>
      <c r="AB1244" s="763"/>
      <c r="AC1244" s="763"/>
      <c r="AD1244" s="763"/>
      <c r="AE1244" s="763"/>
      <c r="AF1244" s="763"/>
      <c r="AG1244" s="763"/>
      <c r="AH1244" s="763"/>
      <c r="AI1244" s="763"/>
      <c r="AJ1244" s="763"/>
      <c r="AK1244" s="763"/>
      <c r="AL1244" s="763"/>
      <c r="AM1244" s="763"/>
      <c r="AN1244" s="763"/>
      <c r="AO1244" s="763"/>
      <c r="AP1244" s="763"/>
      <c r="AQ1244" s="763"/>
      <c r="AR1244" s="763"/>
      <c r="AS1244" s="763"/>
      <c r="AT1244" s="763"/>
      <c r="AU1244" s="763"/>
      <c r="AV1244" s="763"/>
      <c r="AW1244" s="763"/>
      <c r="AX1244" s="763"/>
      <c r="AY1244" s="265"/>
      <c r="AZ1244" s="265"/>
      <c r="BA1244" s="265"/>
      <c r="BB1244" s="265"/>
    </row>
    <row r="1245" spans="1:54" ht="12.6" customHeight="1" x14ac:dyDescent="0.25">
      <c r="A1245" s="227" t="s">
        <v>1919</v>
      </c>
    </row>
    <row r="1246" spans="1:54" ht="12.6" customHeight="1" x14ac:dyDescent="0.25">
      <c r="A1246" s="241"/>
      <c r="B1246" s="242"/>
      <c r="C1246" s="242"/>
      <c r="D1246" s="242"/>
      <c r="E1246" s="242"/>
      <c r="F1246" s="242"/>
      <c r="G1246" s="242"/>
      <c r="H1246" s="242"/>
      <c r="I1246" s="242"/>
      <c r="J1246" s="242"/>
      <c r="K1246" s="242"/>
      <c r="L1246" s="242"/>
      <c r="M1246" s="242"/>
      <c r="N1246" s="242"/>
      <c r="O1246" s="242"/>
      <c r="P1246" s="242"/>
      <c r="Q1246" s="242"/>
      <c r="R1246" s="242"/>
      <c r="S1246" s="242"/>
      <c r="T1246" s="242"/>
      <c r="U1246" s="242"/>
      <c r="V1246" s="242"/>
      <c r="W1246" s="242"/>
      <c r="X1246" s="242"/>
      <c r="Y1246" s="242"/>
      <c r="Z1246" s="242"/>
      <c r="AA1246" s="242"/>
      <c r="AB1246" s="242"/>
      <c r="AC1246" s="268"/>
      <c r="AD1246" s="707" t="s">
        <v>1920</v>
      </c>
      <c r="AE1246" s="707"/>
      <c r="AF1246" s="707"/>
      <c r="AG1246" s="707"/>
      <c r="AH1246" s="707"/>
      <c r="AI1246" s="707"/>
      <c r="AJ1246" s="707"/>
      <c r="AK1246" s="707"/>
      <c r="AL1246" s="707"/>
      <c r="AM1246" s="707"/>
      <c r="AN1246" s="707"/>
      <c r="AO1246" s="707"/>
      <c r="AP1246" s="707"/>
      <c r="AQ1246" s="707"/>
      <c r="AR1246" s="707"/>
      <c r="AS1246" s="707"/>
      <c r="AT1246" s="707"/>
      <c r="AU1246" s="707"/>
      <c r="AV1246" s="707"/>
      <c r="AW1246" s="707"/>
      <c r="AX1246" s="707"/>
      <c r="AY1246" s="707"/>
      <c r="AZ1246" s="707"/>
      <c r="BA1246" s="707"/>
      <c r="BB1246" s="707"/>
    </row>
    <row r="1247" spans="1:54" ht="12.6" customHeight="1" x14ac:dyDescent="0.25">
      <c r="A1247" s="243"/>
      <c r="B1247" s="244"/>
      <c r="C1247" s="244"/>
      <c r="D1247" s="244"/>
      <c r="E1247" s="244"/>
      <c r="F1247" s="244"/>
      <c r="G1247" s="244"/>
      <c r="H1247" s="244"/>
      <c r="I1247" s="244"/>
      <c r="J1247" s="244"/>
      <c r="K1247" s="244"/>
      <c r="L1247" s="244"/>
      <c r="M1247" s="244"/>
      <c r="N1247" s="244"/>
      <c r="O1247" s="244"/>
      <c r="P1247" s="244"/>
      <c r="Q1247" s="244"/>
      <c r="R1247" s="244"/>
      <c r="S1247" s="244"/>
      <c r="T1247" s="244"/>
      <c r="U1247" s="244"/>
      <c r="V1247" s="244"/>
      <c r="W1247" s="244"/>
      <c r="X1247" s="244"/>
      <c r="Y1247" s="244"/>
      <c r="Z1247" s="244"/>
      <c r="AA1247" s="244"/>
      <c r="AB1247" s="244"/>
      <c r="AC1247" s="269"/>
      <c r="AD1247" s="768"/>
      <c r="AE1247" s="768"/>
      <c r="AF1247" s="768"/>
      <c r="AG1247" s="768"/>
      <c r="AH1247" s="768"/>
      <c r="AI1247" s="768"/>
      <c r="AJ1247" s="768"/>
      <c r="AK1247" s="768"/>
      <c r="AL1247" s="768"/>
      <c r="AM1247" s="768"/>
      <c r="AN1247" s="768" t="s">
        <v>1720</v>
      </c>
      <c r="AO1247" s="768"/>
      <c r="AP1247" s="768"/>
      <c r="AQ1247" s="768"/>
      <c r="AR1247" s="768"/>
      <c r="AS1247" s="768"/>
      <c r="AT1247" s="768"/>
      <c r="AU1247" s="768"/>
      <c r="AV1247" s="768"/>
      <c r="AW1247" s="768"/>
      <c r="AX1247" s="768"/>
      <c r="AY1247" s="768"/>
      <c r="AZ1247" s="768"/>
      <c r="BA1247" s="768"/>
      <c r="BB1247" s="768"/>
    </row>
    <row r="1248" spans="1:54" ht="12.6" customHeight="1" x14ac:dyDescent="0.25">
      <c r="A1248" s="243" t="s">
        <v>1921</v>
      </c>
      <c r="B1248" s="244"/>
      <c r="C1248" s="244"/>
      <c r="D1248" s="244"/>
      <c r="E1248" s="244"/>
      <c r="F1248" s="244"/>
      <c r="G1248" s="244"/>
      <c r="H1248" s="244"/>
      <c r="I1248" s="244"/>
      <c r="J1248" s="244"/>
      <c r="K1248" s="244"/>
      <c r="L1248" s="244"/>
      <c r="M1248" s="244"/>
      <c r="N1248" s="244"/>
      <c r="O1248" s="244"/>
      <c r="P1248" s="244"/>
      <c r="Q1248" s="244"/>
      <c r="R1248" s="244"/>
      <c r="S1248" s="244"/>
      <c r="T1248" s="244"/>
      <c r="U1248" s="244"/>
      <c r="V1248" s="244"/>
      <c r="W1248" s="244"/>
      <c r="X1248" s="244"/>
      <c r="Y1248" s="244"/>
      <c r="Z1248" s="244"/>
      <c r="AA1248" s="244"/>
      <c r="AB1248" s="244"/>
      <c r="AC1248" s="269"/>
      <c r="AD1248" s="745" t="s">
        <v>1922</v>
      </c>
      <c r="AE1248" s="745"/>
      <c r="AF1248" s="745"/>
      <c r="AG1248" s="745"/>
      <c r="AH1248" s="745"/>
      <c r="AI1248" s="745"/>
      <c r="AJ1248" s="745"/>
      <c r="AK1248" s="745"/>
      <c r="AL1248" s="745"/>
      <c r="AM1248" s="745"/>
      <c r="AN1248" s="745" t="s">
        <v>1653</v>
      </c>
      <c r="AO1248" s="745"/>
      <c r="AP1248" s="745"/>
      <c r="AQ1248" s="745"/>
      <c r="AR1248" s="745"/>
      <c r="AS1248" s="745"/>
      <c r="AT1248" s="745"/>
      <c r="AU1248" s="745"/>
      <c r="AV1248" s="745"/>
      <c r="AW1248" s="745"/>
      <c r="AX1248" s="745"/>
      <c r="AY1248" s="745"/>
      <c r="AZ1248" s="745"/>
      <c r="BA1248" s="745"/>
      <c r="BB1248" s="745"/>
    </row>
    <row r="1249" spans="1:54" ht="12.6" customHeight="1" x14ac:dyDescent="0.25">
      <c r="A1249" s="243"/>
      <c r="B1249" s="244"/>
      <c r="C1249" s="244"/>
      <c r="D1249" s="244"/>
      <c r="E1249" s="244"/>
      <c r="F1249" s="244"/>
      <c r="G1249" s="244"/>
      <c r="H1249" s="244"/>
      <c r="I1249" s="244"/>
      <c r="J1249" s="244"/>
      <c r="K1249" s="244"/>
      <c r="L1249" s="244"/>
      <c r="M1249" s="244"/>
      <c r="N1249" s="244"/>
      <c r="O1249" s="244"/>
      <c r="P1249" s="244"/>
      <c r="Q1249" s="244"/>
      <c r="R1249" s="244"/>
      <c r="S1249" s="244"/>
      <c r="T1249" s="244"/>
      <c r="U1249" s="244"/>
      <c r="V1249" s="244"/>
      <c r="W1249" s="244"/>
      <c r="X1249" s="244"/>
      <c r="Y1249" s="244"/>
      <c r="Z1249" s="244"/>
      <c r="AA1249" s="244"/>
      <c r="AB1249" s="244"/>
      <c r="AC1249" s="269"/>
      <c r="AD1249" s="745" t="s">
        <v>1486</v>
      </c>
      <c r="AE1249" s="745"/>
      <c r="AF1249" s="745"/>
      <c r="AG1249" s="745"/>
      <c r="AH1249" s="745"/>
      <c r="AI1249" s="745"/>
      <c r="AJ1249" s="745"/>
      <c r="AK1249" s="745"/>
      <c r="AL1249" s="745"/>
      <c r="AM1249" s="745"/>
      <c r="AN1249" s="745" t="s">
        <v>1290</v>
      </c>
      <c r="AO1249" s="745"/>
      <c r="AP1249" s="745"/>
      <c r="AQ1249" s="745"/>
      <c r="AR1249" s="745"/>
      <c r="AS1249" s="745"/>
      <c r="AT1249" s="745"/>
      <c r="AU1249" s="745"/>
      <c r="AV1249" s="745"/>
      <c r="AW1249" s="745"/>
      <c r="AX1249" s="745"/>
      <c r="AY1249" s="745"/>
      <c r="AZ1249" s="745"/>
      <c r="BA1249" s="745"/>
      <c r="BB1249" s="745"/>
    </row>
    <row r="1250" spans="1:54" ht="12.6" customHeight="1" x14ac:dyDescent="0.25">
      <c r="A1250" s="750" t="s">
        <v>1323</v>
      </c>
      <c r="B1250" s="750"/>
      <c r="C1250" s="750"/>
      <c r="D1250" s="750"/>
      <c r="E1250" s="750"/>
      <c r="F1250" s="750"/>
      <c r="G1250" s="750"/>
      <c r="H1250" s="750"/>
      <c r="I1250" s="750"/>
      <c r="J1250" s="750"/>
      <c r="K1250" s="750"/>
      <c r="L1250" s="750"/>
      <c r="M1250" s="750"/>
      <c r="N1250" s="750"/>
      <c r="O1250" s="750"/>
      <c r="P1250" s="750"/>
      <c r="Q1250" s="750"/>
      <c r="R1250" s="750"/>
      <c r="S1250" s="750"/>
      <c r="T1250" s="750"/>
      <c r="U1250" s="750"/>
      <c r="V1250" s="750"/>
      <c r="W1250" s="750"/>
      <c r="X1250" s="750"/>
      <c r="Y1250" s="750"/>
      <c r="Z1250" s="750"/>
      <c r="AA1250" s="750"/>
      <c r="AB1250" s="750"/>
      <c r="AC1250" s="750"/>
      <c r="AD1250" s="750" t="s">
        <v>1923</v>
      </c>
      <c r="AE1250" s="750"/>
      <c r="AF1250" s="750"/>
      <c r="AG1250" s="750"/>
      <c r="AH1250" s="750"/>
      <c r="AI1250" s="750"/>
      <c r="AJ1250" s="750"/>
      <c r="AK1250" s="750"/>
      <c r="AL1250" s="750"/>
      <c r="AM1250" s="750"/>
      <c r="AN1250" s="750" t="s">
        <v>1325</v>
      </c>
      <c r="AO1250" s="750"/>
      <c r="AP1250" s="750"/>
      <c r="AQ1250" s="750"/>
      <c r="AR1250" s="750"/>
      <c r="AS1250" s="750"/>
      <c r="AT1250" s="750"/>
      <c r="AU1250" s="750"/>
      <c r="AV1250" s="750"/>
      <c r="AW1250" s="750"/>
      <c r="AX1250" s="750"/>
      <c r="AY1250" s="750"/>
      <c r="AZ1250" s="750"/>
      <c r="BA1250" s="750"/>
      <c r="BB1250" s="750"/>
    </row>
    <row r="1251" spans="1:54" ht="12.6" customHeight="1" x14ac:dyDescent="0.25">
      <c r="A1251" s="258" t="s">
        <v>1924</v>
      </c>
      <c r="B1251" s="247"/>
      <c r="C1251" s="247"/>
      <c r="D1251" s="247"/>
      <c r="E1251" s="247"/>
      <c r="F1251" s="247"/>
      <c r="G1251" s="247"/>
      <c r="H1251" s="247"/>
      <c r="I1251" s="247"/>
      <c r="J1251" s="247"/>
      <c r="K1251" s="247"/>
      <c r="L1251" s="247"/>
      <c r="M1251" s="247"/>
      <c r="N1251" s="247"/>
      <c r="O1251" s="247"/>
      <c r="P1251" s="247"/>
      <c r="Q1251" s="247"/>
      <c r="R1251" s="247"/>
      <c r="S1251" s="247"/>
      <c r="T1251" s="247"/>
      <c r="U1251" s="247"/>
      <c r="V1251" s="247"/>
      <c r="W1251" s="247"/>
      <c r="X1251" s="247"/>
      <c r="Y1251" s="247"/>
      <c r="Z1251" s="247"/>
      <c r="AA1251" s="247"/>
      <c r="AB1251" s="247"/>
      <c r="AC1251" s="252"/>
      <c r="AD1251" s="811"/>
      <c r="AE1251" s="811"/>
      <c r="AF1251" s="811"/>
      <c r="AG1251" s="811"/>
      <c r="AH1251" s="811"/>
      <c r="AI1251" s="811"/>
      <c r="AJ1251" s="811"/>
      <c r="AK1251" s="811"/>
      <c r="AL1251" s="811"/>
      <c r="AM1251" s="811"/>
      <c r="AN1251" s="811"/>
      <c r="AO1251" s="811"/>
      <c r="AP1251" s="811"/>
      <c r="AQ1251" s="811"/>
      <c r="AR1251" s="811"/>
      <c r="AS1251" s="811"/>
      <c r="AT1251" s="811"/>
      <c r="AU1251" s="811"/>
      <c r="AV1251" s="811"/>
      <c r="AW1251" s="811"/>
      <c r="AX1251" s="811"/>
      <c r="AY1251" s="811"/>
      <c r="AZ1251" s="811"/>
      <c r="BA1251" s="811"/>
      <c r="BB1251" s="811"/>
    </row>
    <row r="1252" spans="1:54" ht="12.6" customHeight="1" x14ac:dyDescent="0.25">
      <c r="A1252" s="253" t="s">
        <v>1925</v>
      </c>
      <c r="B1252" s="246"/>
      <c r="C1252" s="246"/>
      <c r="D1252" s="246"/>
      <c r="E1252" s="246"/>
      <c r="F1252" s="246"/>
      <c r="G1252" s="246"/>
      <c r="H1252" s="246"/>
      <c r="I1252" s="246"/>
      <c r="J1252" s="246"/>
      <c r="K1252" s="246"/>
      <c r="L1252" s="246"/>
      <c r="M1252" s="246"/>
      <c r="N1252" s="246"/>
      <c r="O1252" s="246"/>
      <c r="P1252" s="246"/>
      <c r="Q1252" s="246"/>
      <c r="R1252" s="246"/>
      <c r="S1252" s="246"/>
      <c r="T1252" s="246"/>
      <c r="U1252" s="246"/>
      <c r="V1252" s="246"/>
      <c r="W1252" s="246"/>
      <c r="X1252" s="246"/>
      <c r="Y1252" s="246"/>
      <c r="Z1252" s="246"/>
      <c r="AA1252" s="246"/>
      <c r="AB1252" s="246"/>
      <c r="AC1252" s="248"/>
      <c r="AD1252" s="709"/>
      <c r="AE1252" s="709"/>
      <c r="AF1252" s="709"/>
      <c r="AG1252" s="709"/>
      <c r="AH1252" s="709"/>
      <c r="AI1252" s="709"/>
      <c r="AJ1252" s="709"/>
      <c r="AK1252" s="709"/>
      <c r="AL1252" s="709"/>
      <c r="AM1252" s="709"/>
      <c r="AN1252" s="709"/>
      <c r="AO1252" s="709"/>
      <c r="AP1252" s="709"/>
      <c r="AQ1252" s="709"/>
      <c r="AR1252" s="709"/>
      <c r="AS1252" s="709"/>
      <c r="AT1252" s="709"/>
      <c r="AU1252" s="709"/>
      <c r="AV1252" s="709"/>
      <c r="AW1252" s="709"/>
      <c r="AX1252" s="709"/>
      <c r="AY1252" s="709"/>
      <c r="AZ1252" s="709"/>
      <c r="BA1252" s="709"/>
      <c r="BB1252" s="709"/>
    </row>
    <row r="1253" spans="1:54" ht="12.6" customHeight="1" x14ac:dyDescent="0.25">
      <c r="A1253" s="253" t="s">
        <v>1926</v>
      </c>
      <c r="B1253" s="246"/>
      <c r="C1253" s="246"/>
      <c r="D1253" s="246"/>
      <c r="E1253" s="246"/>
      <c r="F1253" s="246"/>
      <c r="G1253" s="246"/>
      <c r="H1253" s="246"/>
      <c r="I1253" s="246"/>
      <c r="J1253" s="246"/>
      <c r="K1253" s="246"/>
      <c r="L1253" s="246"/>
      <c r="M1253" s="246"/>
      <c r="N1253" s="246"/>
      <c r="O1253" s="246"/>
      <c r="P1253" s="246"/>
      <c r="Q1253" s="246"/>
      <c r="R1253" s="246"/>
      <c r="S1253" s="246"/>
      <c r="T1253" s="246"/>
      <c r="U1253" s="246"/>
      <c r="V1253" s="246"/>
      <c r="W1253" s="246"/>
      <c r="X1253" s="246"/>
      <c r="Y1253" s="246"/>
      <c r="Z1253" s="246"/>
      <c r="AA1253" s="246"/>
      <c r="AB1253" s="246"/>
      <c r="AC1253" s="248"/>
      <c r="AD1253" s="709"/>
      <c r="AE1253" s="709"/>
      <c r="AF1253" s="709"/>
      <c r="AG1253" s="709"/>
      <c r="AH1253" s="709"/>
      <c r="AI1253" s="709"/>
      <c r="AJ1253" s="709"/>
      <c r="AK1253" s="709"/>
      <c r="AL1253" s="709"/>
      <c r="AM1253" s="709"/>
      <c r="AN1253" s="709"/>
      <c r="AO1253" s="709"/>
      <c r="AP1253" s="709"/>
      <c r="AQ1253" s="709"/>
      <c r="AR1253" s="709"/>
      <c r="AS1253" s="709"/>
      <c r="AT1253" s="709"/>
      <c r="AU1253" s="709"/>
      <c r="AV1253" s="709"/>
      <c r="AW1253" s="709"/>
      <c r="AX1253" s="709"/>
      <c r="AY1253" s="709"/>
      <c r="AZ1253" s="709"/>
      <c r="BA1253" s="709"/>
      <c r="BB1253" s="709"/>
    </row>
    <row r="1254" spans="1:54" ht="12.6" customHeight="1" x14ac:dyDescent="0.25">
      <c r="A1254" s="253" t="s">
        <v>1927</v>
      </c>
      <c r="B1254" s="246"/>
      <c r="C1254" s="246"/>
      <c r="D1254" s="246"/>
      <c r="E1254" s="246"/>
      <c r="F1254" s="246"/>
      <c r="G1254" s="246"/>
      <c r="H1254" s="246"/>
      <c r="I1254" s="246"/>
      <c r="J1254" s="246"/>
      <c r="K1254" s="246"/>
      <c r="L1254" s="246"/>
      <c r="M1254" s="246"/>
      <c r="N1254" s="246"/>
      <c r="O1254" s="246"/>
      <c r="P1254" s="246"/>
      <c r="Q1254" s="246"/>
      <c r="R1254" s="246"/>
      <c r="S1254" s="246"/>
      <c r="T1254" s="246"/>
      <c r="U1254" s="246"/>
      <c r="V1254" s="246"/>
      <c r="W1254" s="246"/>
      <c r="X1254" s="246"/>
      <c r="Y1254" s="246"/>
      <c r="Z1254" s="246"/>
      <c r="AA1254" s="246"/>
      <c r="AB1254" s="246"/>
      <c r="AC1254" s="248"/>
      <c r="AD1254" s="709"/>
      <c r="AE1254" s="709"/>
      <c r="AF1254" s="709"/>
      <c r="AG1254" s="709"/>
      <c r="AH1254" s="709"/>
      <c r="AI1254" s="709"/>
      <c r="AJ1254" s="709"/>
      <c r="AK1254" s="709"/>
      <c r="AL1254" s="709"/>
      <c r="AM1254" s="709"/>
      <c r="AN1254" s="709"/>
      <c r="AO1254" s="709"/>
      <c r="AP1254" s="709"/>
      <c r="AQ1254" s="709"/>
      <c r="AR1254" s="709"/>
      <c r="AS1254" s="709"/>
      <c r="AT1254" s="709"/>
      <c r="AU1254" s="709"/>
      <c r="AV1254" s="709"/>
      <c r="AW1254" s="709"/>
      <c r="AX1254" s="709"/>
      <c r="AY1254" s="709"/>
      <c r="AZ1254" s="709"/>
      <c r="BA1254" s="709"/>
      <c r="BB1254" s="709"/>
    </row>
    <row r="1255" spans="1:54" ht="12.6" customHeight="1" x14ac:dyDescent="0.25">
      <c r="A1255" s="311" t="s">
        <v>1328</v>
      </c>
      <c r="B1255" s="246"/>
      <c r="C1255" s="246"/>
      <c r="D1255" s="246"/>
      <c r="E1255" s="246"/>
      <c r="F1255" s="246"/>
      <c r="G1255" s="246"/>
      <c r="H1255" s="246"/>
      <c r="I1255" s="246"/>
      <c r="J1255" s="246"/>
      <c r="K1255" s="246"/>
      <c r="L1255" s="246"/>
      <c r="M1255" s="246"/>
      <c r="N1255" s="246"/>
      <c r="O1255" s="246"/>
      <c r="P1255" s="246"/>
      <c r="Q1255" s="246"/>
      <c r="R1255" s="246"/>
      <c r="S1255" s="246"/>
      <c r="T1255" s="246"/>
      <c r="U1255" s="246"/>
      <c r="V1255" s="246"/>
      <c r="W1255" s="246"/>
      <c r="X1255" s="246"/>
      <c r="Y1255" s="246"/>
      <c r="Z1255" s="246"/>
      <c r="AA1255" s="246"/>
      <c r="AB1255" s="246"/>
      <c r="AC1255" s="248"/>
      <c r="AD1255" s="709"/>
      <c r="AE1255" s="709"/>
      <c r="AF1255" s="709"/>
      <c r="AG1255" s="709"/>
      <c r="AH1255" s="709"/>
      <c r="AI1255" s="709"/>
      <c r="AJ1255" s="709"/>
      <c r="AK1255" s="709"/>
      <c r="AL1255" s="709"/>
      <c r="AM1255" s="709"/>
      <c r="AN1255" s="709"/>
      <c r="AO1255" s="709"/>
      <c r="AP1255" s="709"/>
      <c r="AQ1255" s="709"/>
      <c r="AR1255" s="709"/>
      <c r="AS1255" s="709"/>
      <c r="AT1255" s="709"/>
      <c r="AU1255" s="709"/>
      <c r="AV1255" s="709"/>
      <c r="AW1255" s="709"/>
      <c r="AX1255" s="709"/>
      <c r="AY1255" s="709"/>
      <c r="AZ1255" s="709"/>
      <c r="BA1255" s="709"/>
      <c r="BB1255" s="709"/>
    </row>
    <row r="1256" spans="1:54" ht="12.6" customHeight="1" x14ac:dyDescent="0.25">
      <c r="A1256" s="227" t="s">
        <v>1482</v>
      </c>
    </row>
    <row r="1257" spans="1:54" ht="15" customHeight="1" x14ac:dyDescent="0.25">
      <c r="A1257" s="763"/>
      <c r="B1257" s="763"/>
      <c r="C1257" s="763"/>
      <c r="D1257" s="763"/>
      <c r="E1257" s="763"/>
      <c r="F1257" s="763"/>
      <c r="G1257" s="763"/>
      <c r="H1257" s="763"/>
      <c r="I1257" s="763"/>
      <c r="J1257" s="763"/>
      <c r="K1257" s="763"/>
      <c r="L1257" s="763"/>
      <c r="M1257" s="763"/>
      <c r="N1257" s="763"/>
      <c r="O1257" s="763"/>
      <c r="P1257" s="763"/>
      <c r="Q1257" s="763"/>
      <c r="R1257" s="763"/>
      <c r="S1257" s="763"/>
      <c r="T1257" s="763"/>
      <c r="U1257" s="763"/>
      <c r="V1257" s="763"/>
      <c r="W1257" s="763"/>
      <c r="X1257" s="763"/>
      <c r="Y1257" s="763"/>
      <c r="Z1257" s="763"/>
      <c r="AA1257" s="763"/>
      <c r="AB1257" s="763"/>
      <c r="AC1257" s="763"/>
      <c r="AD1257" s="763"/>
      <c r="AE1257" s="763"/>
      <c r="AF1257" s="763"/>
      <c r="AG1257" s="763"/>
      <c r="AH1257" s="763"/>
      <c r="AI1257" s="763"/>
      <c r="AJ1257" s="763"/>
      <c r="AK1257" s="763"/>
      <c r="AL1257" s="763"/>
      <c r="AM1257" s="763"/>
      <c r="AN1257" s="763"/>
      <c r="AO1257" s="763"/>
      <c r="AP1257" s="763"/>
      <c r="AQ1257" s="763"/>
      <c r="AR1257" s="763"/>
      <c r="AS1257" s="763"/>
      <c r="AT1257" s="763"/>
      <c r="AU1257" s="763"/>
      <c r="AV1257" s="763"/>
      <c r="AW1257" s="763"/>
      <c r="AX1257" s="763"/>
      <c r="AY1257" s="265"/>
      <c r="AZ1257" s="265"/>
      <c r="BA1257" s="265"/>
      <c r="BB1257" s="265"/>
    </row>
    <row r="1258" spans="1:54" ht="15" customHeight="1" x14ac:dyDescent="0.25">
      <c r="A1258" s="763"/>
      <c r="B1258" s="763"/>
      <c r="C1258" s="763"/>
      <c r="D1258" s="763"/>
      <c r="E1258" s="763"/>
      <c r="F1258" s="763"/>
      <c r="G1258" s="763"/>
      <c r="H1258" s="763"/>
      <c r="I1258" s="763"/>
      <c r="J1258" s="763"/>
      <c r="K1258" s="763"/>
      <c r="L1258" s="763"/>
      <c r="M1258" s="763"/>
      <c r="N1258" s="763"/>
      <c r="O1258" s="763"/>
      <c r="P1258" s="763"/>
      <c r="Q1258" s="763"/>
      <c r="R1258" s="763"/>
      <c r="S1258" s="763"/>
      <c r="T1258" s="763"/>
      <c r="U1258" s="763"/>
      <c r="V1258" s="763"/>
      <c r="W1258" s="763"/>
      <c r="X1258" s="763"/>
      <c r="Y1258" s="763"/>
      <c r="Z1258" s="763"/>
      <c r="AA1258" s="763"/>
      <c r="AB1258" s="763"/>
      <c r="AC1258" s="763"/>
      <c r="AD1258" s="763"/>
      <c r="AE1258" s="763"/>
      <c r="AF1258" s="763"/>
      <c r="AG1258" s="763"/>
      <c r="AH1258" s="763"/>
      <c r="AI1258" s="763"/>
      <c r="AJ1258" s="763"/>
      <c r="AK1258" s="763"/>
      <c r="AL1258" s="763"/>
      <c r="AM1258" s="763"/>
      <c r="AN1258" s="763"/>
      <c r="AO1258" s="763"/>
      <c r="AP1258" s="763"/>
      <c r="AQ1258" s="763"/>
      <c r="AR1258" s="763"/>
      <c r="AS1258" s="763"/>
      <c r="AT1258" s="763"/>
      <c r="AU1258" s="763"/>
      <c r="AV1258" s="763"/>
      <c r="AW1258" s="763"/>
      <c r="AX1258" s="763"/>
      <c r="AY1258" s="265"/>
      <c r="AZ1258" s="265"/>
      <c r="BA1258" s="265"/>
      <c r="BB1258" s="265"/>
    </row>
    <row r="1259" spans="1:54" s="208" customFormat="1" ht="12.6" customHeight="1" x14ac:dyDescent="0.25"/>
    <row r="1260" spans="1:54" ht="12.6" customHeight="1" x14ac:dyDescent="0.25">
      <c r="A1260" s="227" t="s">
        <v>1928</v>
      </c>
    </row>
    <row r="1261" spans="1:54" ht="12.6" customHeight="1" x14ac:dyDescent="0.25">
      <c r="A1261" s="241"/>
      <c r="B1261" s="242"/>
      <c r="C1261" s="242"/>
      <c r="D1261" s="242"/>
      <c r="E1261" s="242"/>
      <c r="F1261" s="242"/>
      <c r="G1261" s="242"/>
      <c r="H1261" s="268"/>
      <c r="I1261" s="764" t="s">
        <v>1288</v>
      </c>
      <c r="J1261" s="764"/>
      <c r="K1261" s="764"/>
      <c r="L1261" s="764"/>
      <c r="M1261" s="764"/>
      <c r="N1261" s="764"/>
      <c r="O1261" s="764"/>
      <c r="P1261" s="764"/>
      <c r="Q1261" s="764"/>
      <c r="R1261" s="764"/>
      <c r="S1261" s="764"/>
      <c r="T1261" s="764"/>
      <c r="U1261" s="764"/>
      <c r="V1261" s="764"/>
      <c r="W1261" s="764"/>
      <c r="X1261" s="764"/>
      <c r="Y1261" s="764"/>
      <c r="Z1261" s="764"/>
      <c r="AA1261" s="764"/>
      <c r="AB1261" s="764"/>
      <c r="AC1261" s="768" t="s">
        <v>1784</v>
      </c>
      <c r="AD1261" s="768"/>
      <c r="AE1261" s="768"/>
      <c r="AF1261" s="768"/>
      <c r="AG1261" s="768"/>
      <c r="AH1261" s="768"/>
      <c r="AI1261" s="768"/>
      <c r="AJ1261" s="768"/>
      <c r="AK1261" s="768"/>
      <c r="AL1261" s="768"/>
      <c r="AM1261" s="768"/>
      <c r="AN1261" s="768"/>
      <c r="AO1261" s="768"/>
      <c r="AP1261" s="768"/>
      <c r="AQ1261" s="768"/>
      <c r="AR1261" s="768"/>
      <c r="AS1261" s="768"/>
      <c r="AT1261" s="768"/>
      <c r="AU1261" s="768"/>
      <c r="AV1261" s="768"/>
      <c r="AW1261" s="768"/>
      <c r="AX1261" s="768"/>
      <c r="AY1261" s="768"/>
      <c r="AZ1261" s="768"/>
      <c r="BA1261" s="768"/>
      <c r="BB1261" s="768"/>
    </row>
    <row r="1262" spans="1:54" ht="12.6" customHeight="1" x14ac:dyDescent="0.25">
      <c r="A1262" s="243"/>
      <c r="B1262" s="244"/>
      <c r="C1262" s="244"/>
      <c r="D1262" s="244"/>
      <c r="E1262" s="244"/>
      <c r="F1262" s="244"/>
      <c r="G1262" s="244"/>
      <c r="H1262" s="269"/>
      <c r="I1262" s="251"/>
      <c r="J1262" s="312"/>
      <c r="K1262" s="312"/>
      <c r="L1262" s="312"/>
      <c r="M1262" s="312"/>
      <c r="N1262" s="312"/>
      <c r="O1262" s="312"/>
      <c r="P1262" s="312"/>
      <c r="Q1262" s="312"/>
      <c r="R1262" s="312"/>
      <c r="S1262" s="312"/>
      <c r="T1262" s="312"/>
      <c r="U1262" s="312"/>
      <c r="V1262" s="312"/>
      <c r="W1262" s="312"/>
      <c r="X1262" s="312"/>
      <c r="Y1262" s="312"/>
      <c r="Z1262" s="312"/>
      <c r="AA1262" s="312"/>
      <c r="AB1262" s="312"/>
      <c r="AC1262" s="750" t="s">
        <v>1486</v>
      </c>
      <c r="AD1262" s="750"/>
      <c r="AE1262" s="750"/>
      <c r="AF1262" s="750"/>
      <c r="AG1262" s="750"/>
      <c r="AH1262" s="750"/>
      <c r="AI1262" s="750"/>
      <c r="AJ1262" s="750"/>
      <c r="AK1262" s="750"/>
      <c r="AL1262" s="750"/>
      <c r="AM1262" s="750"/>
      <c r="AN1262" s="750"/>
      <c r="AO1262" s="750"/>
      <c r="AP1262" s="750"/>
      <c r="AQ1262" s="750"/>
      <c r="AR1262" s="750"/>
      <c r="AS1262" s="750"/>
      <c r="AT1262" s="750"/>
      <c r="AU1262" s="750"/>
      <c r="AV1262" s="750"/>
      <c r="AW1262" s="750"/>
      <c r="AX1262" s="750"/>
      <c r="AY1262" s="750"/>
      <c r="AZ1262" s="750"/>
      <c r="BA1262" s="750"/>
      <c r="BB1262" s="750"/>
    </row>
    <row r="1263" spans="1:54" ht="12.6" customHeight="1" x14ac:dyDescent="0.25">
      <c r="A1263" s="745" t="s">
        <v>156</v>
      </c>
      <c r="B1263" s="745"/>
      <c r="C1263" s="745"/>
      <c r="D1263" s="745"/>
      <c r="E1263" s="745"/>
      <c r="F1263" s="745"/>
      <c r="G1263" s="745"/>
      <c r="H1263" s="745"/>
      <c r="I1263" s="894" t="s">
        <v>1785</v>
      </c>
      <c r="J1263" s="894"/>
      <c r="K1263" s="894"/>
      <c r="L1263" s="894"/>
      <c r="M1263" s="894"/>
      <c r="N1263" s="894"/>
      <c r="O1263" s="894"/>
      <c r="P1263" s="894"/>
      <c r="Q1263" s="894"/>
      <c r="R1263" s="894"/>
      <c r="S1263" s="894"/>
      <c r="T1263" s="894"/>
      <c r="U1263" s="894"/>
      <c r="V1263" s="894"/>
      <c r="W1263" s="894"/>
      <c r="X1263" s="894"/>
      <c r="Y1263" s="894"/>
      <c r="Z1263" s="894"/>
      <c r="AA1263" s="894"/>
      <c r="AB1263" s="894"/>
      <c r="AC1263" s="707" t="s">
        <v>1785</v>
      </c>
      <c r="AD1263" s="707"/>
      <c r="AE1263" s="707"/>
      <c r="AF1263" s="707"/>
      <c r="AG1263" s="707"/>
      <c r="AH1263" s="707"/>
      <c r="AI1263" s="707"/>
      <c r="AJ1263" s="707"/>
      <c r="AK1263" s="707"/>
      <c r="AL1263" s="707"/>
      <c r="AM1263" s="707"/>
      <c r="AN1263" s="707"/>
      <c r="AO1263" s="707"/>
      <c r="AP1263" s="707"/>
      <c r="AQ1263" s="707"/>
      <c r="AR1263" s="707"/>
      <c r="AS1263" s="707"/>
      <c r="AT1263" s="707"/>
      <c r="AU1263" s="707"/>
      <c r="AV1263" s="707"/>
      <c r="AW1263" s="707"/>
      <c r="AX1263" s="707"/>
      <c r="AY1263" s="707"/>
      <c r="AZ1263" s="707"/>
      <c r="BA1263" s="707"/>
      <c r="BB1263" s="707"/>
    </row>
    <row r="1264" spans="1:54" ht="12.6" customHeight="1" x14ac:dyDescent="0.25">
      <c r="A1264" s="745" t="s">
        <v>1786</v>
      </c>
      <c r="B1264" s="745"/>
      <c r="C1264" s="745"/>
      <c r="D1264" s="745"/>
      <c r="E1264" s="745"/>
      <c r="F1264" s="745"/>
      <c r="G1264" s="745"/>
      <c r="H1264" s="745"/>
      <c r="I1264" s="768" t="s">
        <v>1787</v>
      </c>
      <c r="J1264" s="768"/>
      <c r="K1264" s="768"/>
      <c r="L1264" s="768"/>
      <c r="M1264" s="768"/>
      <c r="N1264" s="768"/>
      <c r="O1264" s="768" t="s">
        <v>1788</v>
      </c>
      <c r="P1264" s="768"/>
      <c r="Q1264" s="768"/>
      <c r="R1264" s="768"/>
      <c r="S1264" s="768"/>
      <c r="T1264" s="768"/>
      <c r="U1264" s="768"/>
      <c r="V1264" s="768"/>
      <c r="W1264" s="764" t="s">
        <v>1789</v>
      </c>
      <c r="X1264" s="764"/>
      <c r="Y1264" s="764"/>
      <c r="Z1264" s="764"/>
      <c r="AA1264" s="764"/>
      <c r="AB1264" s="764"/>
      <c r="AC1264" s="768" t="s">
        <v>1787</v>
      </c>
      <c r="AD1264" s="768"/>
      <c r="AE1264" s="768"/>
      <c r="AF1264" s="768"/>
      <c r="AG1264" s="768"/>
      <c r="AH1264" s="768"/>
      <c r="AI1264" s="768" t="s">
        <v>1788</v>
      </c>
      <c r="AJ1264" s="768"/>
      <c r="AK1264" s="768"/>
      <c r="AL1264" s="768"/>
      <c r="AM1264" s="768"/>
      <c r="AN1264" s="768"/>
      <c r="AO1264" s="768"/>
      <c r="AP1264" s="768"/>
      <c r="AQ1264" s="768" t="s">
        <v>1789</v>
      </c>
      <c r="AR1264" s="768"/>
      <c r="AS1264" s="768"/>
      <c r="AT1264" s="768"/>
      <c r="AU1264" s="768"/>
      <c r="AV1264" s="768"/>
      <c r="AW1264" s="768"/>
      <c r="AX1264" s="768"/>
      <c r="AY1264" s="768"/>
      <c r="AZ1264" s="768"/>
      <c r="BA1264" s="768"/>
      <c r="BB1264" s="768"/>
    </row>
    <row r="1265" spans="1:54" ht="12.6" customHeight="1" x14ac:dyDescent="0.25">
      <c r="A1265" s="243"/>
      <c r="B1265" s="244"/>
      <c r="C1265" s="244"/>
      <c r="D1265" s="244"/>
      <c r="E1265" s="244"/>
      <c r="F1265" s="244"/>
      <c r="G1265" s="244"/>
      <c r="H1265" s="269"/>
      <c r="I1265" s="745" t="s">
        <v>1790</v>
      </c>
      <c r="J1265" s="745"/>
      <c r="K1265" s="745"/>
      <c r="L1265" s="745"/>
      <c r="M1265" s="745"/>
      <c r="N1265" s="745"/>
      <c r="O1265" s="745" t="s">
        <v>1791</v>
      </c>
      <c r="P1265" s="745"/>
      <c r="Q1265" s="745"/>
      <c r="R1265" s="745"/>
      <c r="S1265" s="745"/>
      <c r="T1265" s="745"/>
      <c r="U1265" s="745"/>
      <c r="V1265" s="745"/>
      <c r="W1265" s="747" t="s">
        <v>1792</v>
      </c>
      <c r="X1265" s="747"/>
      <c r="Y1265" s="747"/>
      <c r="Z1265" s="747"/>
      <c r="AA1265" s="747"/>
      <c r="AB1265" s="747"/>
      <c r="AC1265" s="745" t="s">
        <v>1790</v>
      </c>
      <c r="AD1265" s="745"/>
      <c r="AE1265" s="745"/>
      <c r="AF1265" s="745"/>
      <c r="AG1265" s="745"/>
      <c r="AH1265" s="745"/>
      <c r="AI1265" s="745" t="s">
        <v>1791</v>
      </c>
      <c r="AJ1265" s="745"/>
      <c r="AK1265" s="745"/>
      <c r="AL1265" s="745"/>
      <c r="AM1265" s="745"/>
      <c r="AN1265" s="745"/>
      <c r="AO1265" s="745"/>
      <c r="AP1265" s="745"/>
      <c r="AQ1265" s="745" t="s">
        <v>1792</v>
      </c>
      <c r="AR1265" s="745"/>
      <c r="AS1265" s="745"/>
      <c r="AT1265" s="745"/>
      <c r="AU1265" s="745"/>
      <c r="AV1265" s="745"/>
      <c r="AW1265" s="745"/>
      <c r="AX1265" s="745"/>
      <c r="AY1265" s="745"/>
      <c r="AZ1265" s="745"/>
      <c r="BA1265" s="745"/>
      <c r="BB1265" s="745"/>
    </row>
    <row r="1266" spans="1:54" ht="12.6" customHeight="1" x14ac:dyDescent="0.25">
      <c r="A1266" s="243"/>
      <c r="B1266" s="244"/>
      <c r="C1266" s="244"/>
      <c r="D1266" s="244"/>
      <c r="E1266" s="244"/>
      <c r="F1266" s="244"/>
      <c r="G1266" s="244"/>
      <c r="H1266" s="269"/>
      <c r="I1266" s="745" t="s">
        <v>1600</v>
      </c>
      <c r="J1266" s="745"/>
      <c r="K1266" s="745"/>
      <c r="L1266" s="745"/>
      <c r="M1266" s="745"/>
      <c r="N1266" s="745"/>
      <c r="O1266" s="745" t="s">
        <v>1600</v>
      </c>
      <c r="P1266" s="745"/>
      <c r="Q1266" s="745"/>
      <c r="R1266" s="745"/>
      <c r="S1266" s="745"/>
      <c r="T1266" s="745"/>
      <c r="U1266" s="745"/>
      <c r="V1266" s="745"/>
      <c r="W1266" s="747"/>
      <c r="X1266" s="747"/>
      <c r="Y1266" s="747"/>
      <c r="Z1266" s="747"/>
      <c r="AA1266" s="747"/>
      <c r="AB1266" s="747"/>
      <c r="AC1266" s="745" t="s">
        <v>1600</v>
      </c>
      <c r="AD1266" s="745"/>
      <c r="AE1266" s="745"/>
      <c r="AF1266" s="745"/>
      <c r="AG1266" s="745"/>
      <c r="AH1266" s="745"/>
      <c r="AI1266" s="745" t="s">
        <v>1600</v>
      </c>
      <c r="AJ1266" s="745"/>
      <c r="AK1266" s="745"/>
      <c r="AL1266" s="745"/>
      <c r="AM1266" s="745"/>
      <c r="AN1266" s="745"/>
      <c r="AO1266" s="745"/>
      <c r="AP1266" s="745"/>
      <c r="AQ1266" s="745"/>
      <c r="AR1266" s="745"/>
      <c r="AS1266" s="745"/>
      <c r="AT1266" s="745"/>
      <c r="AU1266" s="745"/>
      <c r="AV1266" s="745"/>
      <c r="AW1266" s="745"/>
      <c r="AX1266" s="745"/>
      <c r="AY1266" s="745"/>
      <c r="AZ1266" s="745"/>
      <c r="BA1266" s="745"/>
      <c r="BB1266" s="745"/>
    </row>
    <row r="1267" spans="1:54" ht="12.6" customHeight="1" x14ac:dyDescent="0.25">
      <c r="A1267" s="750" t="s">
        <v>1323</v>
      </c>
      <c r="B1267" s="750"/>
      <c r="C1267" s="750"/>
      <c r="D1267" s="750"/>
      <c r="E1267" s="750"/>
      <c r="F1267" s="750"/>
      <c r="G1267" s="750"/>
      <c r="H1267" s="750"/>
      <c r="I1267" s="750" t="s">
        <v>1324</v>
      </c>
      <c r="J1267" s="750"/>
      <c r="K1267" s="750"/>
      <c r="L1267" s="750"/>
      <c r="M1267" s="750"/>
      <c r="N1267" s="750"/>
      <c r="O1267" s="750" t="s">
        <v>1325</v>
      </c>
      <c r="P1267" s="750"/>
      <c r="Q1267" s="750"/>
      <c r="R1267" s="750"/>
      <c r="S1267" s="750"/>
      <c r="T1267" s="750"/>
      <c r="U1267" s="750"/>
      <c r="V1267" s="750"/>
      <c r="W1267" s="749" t="s">
        <v>1326</v>
      </c>
      <c r="X1267" s="749"/>
      <c r="Y1267" s="749"/>
      <c r="Z1267" s="749"/>
      <c r="AA1267" s="749"/>
      <c r="AB1267" s="749"/>
      <c r="AC1267" s="750" t="s">
        <v>1327</v>
      </c>
      <c r="AD1267" s="750"/>
      <c r="AE1267" s="750"/>
      <c r="AF1267" s="750"/>
      <c r="AG1267" s="750"/>
      <c r="AH1267" s="750"/>
      <c r="AI1267" s="750" t="s">
        <v>1333</v>
      </c>
      <c r="AJ1267" s="750"/>
      <c r="AK1267" s="750"/>
      <c r="AL1267" s="750"/>
      <c r="AM1267" s="750"/>
      <c r="AN1267" s="750"/>
      <c r="AO1267" s="750"/>
      <c r="AP1267" s="750"/>
      <c r="AQ1267" s="750" t="s">
        <v>1468</v>
      </c>
      <c r="AR1267" s="750"/>
      <c r="AS1267" s="750"/>
      <c r="AT1267" s="750"/>
      <c r="AU1267" s="750"/>
      <c r="AV1267" s="750"/>
      <c r="AW1267" s="750"/>
      <c r="AX1267" s="750"/>
      <c r="AY1267" s="750"/>
      <c r="AZ1267" s="750"/>
      <c r="BA1267" s="750"/>
      <c r="BB1267" s="750"/>
    </row>
    <row r="1268" spans="1:54" ht="12.6" customHeight="1" x14ac:dyDescent="0.25">
      <c r="A1268" s="258" t="s">
        <v>1793</v>
      </c>
      <c r="B1268" s="247"/>
      <c r="C1268" s="247"/>
      <c r="D1268" s="247"/>
      <c r="E1268" s="247"/>
      <c r="F1268" s="247"/>
      <c r="G1268" s="247"/>
      <c r="H1268" s="252"/>
      <c r="I1268" s="811"/>
      <c r="J1268" s="811"/>
      <c r="K1268" s="811"/>
      <c r="L1268" s="811"/>
      <c r="M1268" s="811"/>
      <c r="N1268" s="811"/>
      <c r="O1268" s="811"/>
      <c r="P1268" s="811"/>
      <c r="Q1268" s="811"/>
      <c r="R1268" s="811"/>
      <c r="S1268" s="811"/>
      <c r="T1268" s="811"/>
      <c r="U1268" s="811"/>
      <c r="V1268" s="811"/>
      <c r="W1268" s="895"/>
      <c r="X1268" s="895"/>
      <c r="Y1268" s="895"/>
      <c r="Z1268" s="895"/>
      <c r="AA1268" s="895"/>
      <c r="AB1268" s="895"/>
      <c r="AC1268" s="811"/>
      <c r="AD1268" s="811"/>
      <c r="AE1268" s="811"/>
      <c r="AF1268" s="811"/>
      <c r="AG1268" s="811"/>
      <c r="AH1268" s="811"/>
      <c r="AI1268" s="811"/>
      <c r="AJ1268" s="811"/>
      <c r="AK1268" s="811"/>
      <c r="AL1268" s="811"/>
      <c r="AM1268" s="811"/>
      <c r="AN1268" s="811"/>
      <c r="AO1268" s="811"/>
      <c r="AP1268" s="811"/>
      <c r="AQ1268" s="811"/>
      <c r="AR1268" s="811"/>
      <c r="AS1268" s="811"/>
      <c r="AT1268" s="811"/>
      <c r="AU1268" s="811"/>
      <c r="AV1268" s="811"/>
      <c r="AW1268" s="811"/>
      <c r="AX1268" s="811"/>
      <c r="AY1268" s="811"/>
      <c r="AZ1268" s="811"/>
      <c r="BA1268" s="811"/>
      <c r="BB1268" s="811"/>
    </row>
    <row r="1269" spans="1:54" ht="12.6" customHeight="1" x14ac:dyDescent="0.25">
      <c r="A1269" s="253" t="s">
        <v>1929</v>
      </c>
      <c r="B1269" s="246"/>
      <c r="C1269" s="246"/>
      <c r="D1269" s="246"/>
      <c r="E1269" s="246"/>
      <c r="F1269" s="246"/>
      <c r="G1269" s="246"/>
      <c r="H1269" s="248"/>
      <c r="I1269" s="709"/>
      <c r="J1269" s="709"/>
      <c r="K1269" s="709"/>
      <c r="L1269" s="709"/>
      <c r="M1269" s="709"/>
      <c r="N1269" s="709"/>
      <c r="O1269" s="709"/>
      <c r="P1269" s="709"/>
      <c r="Q1269" s="709"/>
      <c r="R1269" s="709"/>
      <c r="S1269" s="709"/>
      <c r="T1269" s="709"/>
      <c r="U1269" s="709"/>
      <c r="V1269" s="709"/>
      <c r="W1269" s="766"/>
      <c r="X1269" s="766"/>
      <c r="Y1269" s="766"/>
      <c r="Z1269" s="766"/>
      <c r="AA1269" s="766"/>
      <c r="AB1269" s="766"/>
      <c r="AC1269" s="709"/>
      <c r="AD1269" s="709"/>
      <c r="AE1269" s="709"/>
      <c r="AF1269" s="709"/>
      <c r="AG1269" s="709"/>
      <c r="AH1269" s="709"/>
      <c r="AI1269" s="709"/>
      <c r="AJ1269" s="709"/>
      <c r="AK1269" s="709"/>
      <c r="AL1269" s="709"/>
      <c r="AM1269" s="709"/>
      <c r="AN1269" s="709"/>
      <c r="AO1269" s="709"/>
      <c r="AP1269" s="709"/>
      <c r="AQ1269" s="709"/>
      <c r="AR1269" s="709"/>
      <c r="AS1269" s="709"/>
      <c r="AT1269" s="709"/>
      <c r="AU1269" s="709"/>
      <c r="AV1269" s="709"/>
      <c r="AW1269" s="709"/>
      <c r="AX1269" s="709"/>
      <c r="AY1269" s="709"/>
      <c r="AZ1269" s="709"/>
      <c r="BA1269" s="709"/>
      <c r="BB1269" s="709"/>
    </row>
    <row r="1270" spans="1:54" ht="12.6" customHeight="1" x14ac:dyDescent="0.25">
      <c r="A1270" s="311" t="s">
        <v>1328</v>
      </c>
      <c r="B1270" s="246"/>
      <c r="C1270" s="246"/>
      <c r="D1270" s="246"/>
      <c r="E1270" s="246"/>
      <c r="F1270" s="246"/>
      <c r="G1270" s="246"/>
      <c r="H1270" s="248"/>
      <c r="I1270" s="709">
        <f>SUM(I1268:N1269)</f>
        <v>0</v>
      </c>
      <c r="J1270" s="709"/>
      <c r="K1270" s="709"/>
      <c r="L1270" s="709"/>
      <c r="M1270" s="709"/>
      <c r="N1270" s="709"/>
      <c r="O1270" s="709">
        <f>SUM(O1268:V1269)</f>
        <v>0</v>
      </c>
      <c r="P1270" s="709"/>
      <c r="Q1270" s="709"/>
      <c r="R1270" s="709"/>
      <c r="S1270" s="709"/>
      <c r="T1270" s="709"/>
      <c r="U1270" s="709"/>
      <c r="V1270" s="709"/>
      <c r="W1270" s="766">
        <f>SUM(W1268:AB1269)</f>
        <v>0</v>
      </c>
      <c r="X1270" s="766"/>
      <c r="Y1270" s="766"/>
      <c r="Z1270" s="766"/>
      <c r="AA1270" s="766"/>
      <c r="AB1270" s="766"/>
      <c r="AC1270" s="709">
        <f>SUM(AC1268:AH1269)</f>
        <v>0</v>
      </c>
      <c r="AD1270" s="709"/>
      <c r="AE1270" s="709"/>
      <c r="AF1270" s="709"/>
      <c r="AG1270" s="709"/>
      <c r="AH1270" s="709"/>
      <c r="AI1270" s="709">
        <f>SUM(AI1268:AP1269)</f>
        <v>0</v>
      </c>
      <c r="AJ1270" s="709"/>
      <c r="AK1270" s="709"/>
      <c r="AL1270" s="709"/>
      <c r="AM1270" s="709"/>
      <c r="AN1270" s="709"/>
      <c r="AO1270" s="709"/>
      <c r="AP1270" s="709"/>
      <c r="AQ1270" s="709">
        <f>SUM(AQ1268:BB1269)</f>
        <v>0</v>
      </c>
      <c r="AR1270" s="709"/>
      <c r="AS1270" s="709"/>
      <c r="AT1270" s="709"/>
      <c r="AU1270" s="709"/>
      <c r="AV1270" s="709"/>
      <c r="AW1270" s="709"/>
      <c r="AX1270" s="709"/>
      <c r="AY1270" s="709"/>
      <c r="AZ1270" s="709"/>
      <c r="BA1270" s="709"/>
      <c r="BB1270" s="709"/>
    </row>
    <row r="1271" spans="1:54" ht="12.6" customHeight="1" x14ac:dyDescent="0.25">
      <c r="A1271" s="227" t="s">
        <v>1344</v>
      </c>
      <c r="N1271" s="287"/>
      <c r="O1271" s="287"/>
      <c r="P1271" s="287"/>
      <c r="Q1271" s="287"/>
      <c r="R1271" s="287"/>
      <c r="S1271" s="287"/>
      <c r="T1271" s="287"/>
      <c r="U1271" s="287"/>
      <c r="V1271" s="287"/>
      <c r="W1271" s="287"/>
      <c r="X1271" s="287"/>
      <c r="Y1271" s="287"/>
      <c r="Z1271" s="287"/>
      <c r="AA1271" s="287"/>
      <c r="AB1271" s="287"/>
      <c r="AC1271" s="287"/>
      <c r="AD1271" s="287"/>
      <c r="AE1271" s="287"/>
      <c r="AF1271" s="287"/>
    </row>
    <row r="1272" spans="1:54" ht="15" customHeight="1" x14ac:dyDescent="0.25">
      <c r="A1272" s="763"/>
      <c r="B1272" s="763"/>
      <c r="C1272" s="763"/>
      <c r="D1272" s="763"/>
      <c r="E1272" s="763"/>
      <c r="F1272" s="763"/>
      <c r="G1272" s="763"/>
      <c r="H1272" s="763"/>
      <c r="I1272" s="763"/>
      <c r="J1272" s="763"/>
      <c r="K1272" s="763"/>
      <c r="L1272" s="763"/>
      <c r="M1272" s="763"/>
      <c r="N1272" s="763"/>
      <c r="O1272" s="763"/>
      <c r="P1272" s="763"/>
      <c r="Q1272" s="763"/>
      <c r="R1272" s="763"/>
      <c r="S1272" s="763"/>
      <c r="T1272" s="763"/>
      <c r="U1272" s="763"/>
      <c r="V1272" s="763"/>
      <c r="W1272" s="763"/>
      <c r="X1272" s="763"/>
      <c r="Y1272" s="763"/>
      <c r="Z1272" s="763"/>
      <c r="AA1272" s="763"/>
      <c r="AB1272" s="763"/>
      <c r="AC1272" s="763"/>
      <c r="AD1272" s="763"/>
      <c r="AE1272" s="763"/>
      <c r="AF1272" s="763"/>
      <c r="AG1272" s="763"/>
      <c r="AH1272" s="763"/>
      <c r="AI1272" s="763"/>
      <c r="AJ1272" s="763"/>
      <c r="AK1272" s="763"/>
      <c r="AL1272" s="763"/>
      <c r="AM1272" s="763"/>
      <c r="AN1272" s="763"/>
      <c r="AO1272" s="763"/>
      <c r="AP1272" s="763"/>
      <c r="AQ1272" s="763"/>
      <c r="AR1272" s="763"/>
      <c r="AS1272" s="763"/>
      <c r="AT1272" s="763"/>
      <c r="AU1272" s="763"/>
      <c r="AV1272" s="763"/>
      <c r="AW1272" s="763"/>
      <c r="AX1272" s="763"/>
      <c r="AY1272" s="265"/>
      <c r="AZ1272" s="265"/>
      <c r="BA1272" s="265"/>
      <c r="BB1272" s="265"/>
    </row>
    <row r="1273" spans="1:54" ht="15" customHeight="1" x14ac:dyDescent="0.25">
      <c r="A1273" s="763"/>
      <c r="B1273" s="763"/>
      <c r="C1273" s="763"/>
      <c r="D1273" s="763"/>
      <c r="E1273" s="763"/>
      <c r="F1273" s="763"/>
      <c r="G1273" s="763"/>
      <c r="H1273" s="763"/>
      <c r="I1273" s="763"/>
      <c r="J1273" s="763"/>
      <c r="K1273" s="763"/>
      <c r="L1273" s="763"/>
      <c r="M1273" s="763"/>
      <c r="N1273" s="763"/>
      <c r="O1273" s="763"/>
      <c r="P1273" s="763"/>
      <c r="Q1273" s="763"/>
      <c r="R1273" s="763"/>
      <c r="S1273" s="763"/>
      <c r="T1273" s="763"/>
      <c r="U1273" s="763"/>
      <c r="V1273" s="763"/>
      <c r="W1273" s="763"/>
      <c r="X1273" s="763"/>
      <c r="Y1273" s="763"/>
      <c r="Z1273" s="763"/>
      <c r="AA1273" s="763"/>
      <c r="AB1273" s="763"/>
      <c r="AC1273" s="763"/>
      <c r="AD1273" s="763"/>
      <c r="AE1273" s="763"/>
      <c r="AF1273" s="763"/>
      <c r="AG1273" s="763"/>
      <c r="AH1273" s="763"/>
      <c r="AI1273" s="763"/>
      <c r="AJ1273" s="763"/>
      <c r="AK1273" s="763"/>
      <c r="AL1273" s="763"/>
      <c r="AM1273" s="763"/>
      <c r="AN1273" s="763"/>
      <c r="AO1273" s="763"/>
      <c r="AP1273" s="763"/>
      <c r="AQ1273" s="763"/>
      <c r="AR1273" s="763"/>
      <c r="AS1273" s="763"/>
      <c r="AT1273" s="763"/>
      <c r="AU1273" s="763"/>
      <c r="AV1273" s="763"/>
      <c r="AW1273" s="763"/>
      <c r="AX1273" s="763"/>
      <c r="AY1273" s="265"/>
      <c r="AZ1273" s="265"/>
      <c r="BA1273" s="265"/>
      <c r="BB1273" s="265"/>
    </row>
    <row r="1274" spans="1:54" s="225" customFormat="1" ht="12.6" customHeight="1" x14ac:dyDescent="0.25">
      <c r="A1274" s="220" t="s">
        <v>1930</v>
      </c>
      <c r="B1274" s="329"/>
      <c r="C1274" s="329"/>
      <c r="D1274" s="329"/>
      <c r="E1274" s="329"/>
      <c r="F1274" s="329"/>
      <c r="G1274" s="329"/>
      <c r="H1274" s="329"/>
      <c r="I1274" s="329"/>
      <c r="J1274" s="329"/>
      <c r="K1274" s="329"/>
      <c r="L1274" s="329"/>
      <c r="M1274" s="329"/>
      <c r="N1274" s="329"/>
      <c r="O1274" s="329"/>
      <c r="P1274" s="329"/>
      <c r="Q1274" s="329"/>
      <c r="R1274" s="329"/>
      <c r="S1274" s="329"/>
      <c r="T1274" s="329"/>
      <c r="U1274" s="329"/>
      <c r="V1274" s="329"/>
      <c r="W1274" s="329"/>
      <c r="X1274" s="329"/>
      <c r="Y1274" s="329"/>
      <c r="Z1274" s="329"/>
      <c r="AA1274" s="329"/>
      <c r="AB1274" s="329"/>
      <c r="AC1274" s="329"/>
      <c r="AD1274" s="329"/>
      <c r="AE1274" s="329"/>
      <c r="AF1274" s="329"/>
      <c r="AG1274" s="329"/>
      <c r="AH1274" s="329"/>
      <c r="AI1274" s="329"/>
      <c r="AJ1274" s="329"/>
      <c r="AK1274" s="329"/>
      <c r="AL1274" s="329"/>
      <c r="AM1274" s="329"/>
      <c r="AN1274" s="329"/>
      <c r="AO1274" s="329"/>
      <c r="AP1274" s="329"/>
      <c r="AQ1274" s="329"/>
      <c r="AR1274" s="329"/>
      <c r="AS1274" s="329"/>
      <c r="AT1274" s="329"/>
      <c r="AU1274" s="329"/>
      <c r="AV1274" s="329"/>
      <c r="AW1274" s="329"/>
      <c r="AX1274" s="329"/>
      <c r="AY1274" s="329"/>
      <c r="AZ1274" s="329"/>
      <c r="BA1274" s="329"/>
      <c r="BB1274" s="330"/>
    </row>
    <row r="1275" spans="1:54" ht="15" customHeight="1" x14ac:dyDescent="0.25">
      <c r="A1275" s="227" t="s">
        <v>1931</v>
      </c>
      <c r="B1275" s="320"/>
      <c r="C1275" s="320"/>
      <c r="D1275" s="320"/>
      <c r="E1275" s="320"/>
      <c r="F1275" s="320"/>
      <c r="G1275" s="320"/>
      <c r="H1275" s="320"/>
      <c r="I1275" s="320"/>
      <c r="J1275" s="320"/>
      <c r="K1275" s="320"/>
      <c r="L1275" s="320"/>
      <c r="M1275" s="320"/>
      <c r="N1275" s="320"/>
      <c r="O1275" s="320"/>
      <c r="P1275" s="320"/>
      <c r="Q1275" s="320"/>
      <c r="R1275" s="320"/>
      <c r="S1275" s="320"/>
      <c r="T1275" s="320"/>
      <c r="U1275" s="320"/>
      <c r="V1275" s="320"/>
      <c r="W1275" s="320"/>
      <c r="X1275" s="320"/>
      <c r="Y1275" s="320"/>
      <c r="Z1275" s="320"/>
      <c r="AA1275" s="320"/>
      <c r="AB1275" s="320"/>
      <c r="AC1275" s="320"/>
      <c r="AD1275" s="320"/>
      <c r="AE1275" s="320"/>
      <c r="AF1275" s="320"/>
      <c r="AG1275" s="320"/>
      <c r="AH1275" s="320"/>
      <c r="AI1275" s="320"/>
      <c r="AJ1275" s="320"/>
      <c r="AK1275" s="320"/>
      <c r="AL1275" s="320"/>
      <c r="AM1275" s="320"/>
      <c r="AN1275" s="320"/>
      <c r="AO1275" s="320"/>
      <c r="AP1275" s="320"/>
      <c r="AQ1275" s="320"/>
      <c r="AR1275" s="320"/>
      <c r="AS1275" s="320"/>
      <c r="AT1275" s="320"/>
      <c r="AU1275" s="320"/>
      <c r="AV1275" s="320"/>
      <c r="AW1275" s="320"/>
      <c r="AX1275" s="320"/>
      <c r="AY1275" s="320"/>
      <c r="AZ1275" s="320"/>
      <c r="BA1275" s="320"/>
      <c r="BB1275" s="331"/>
    </row>
    <row r="1276" spans="1:54" ht="15" customHeight="1" x14ac:dyDescent="0.25">
      <c r="A1276" s="896" t="s">
        <v>1932</v>
      </c>
      <c r="B1276" s="896"/>
      <c r="C1276" s="896"/>
      <c r="D1276" s="896"/>
      <c r="E1276" s="896"/>
      <c r="F1276" s="896"/>
      <c r="G1276" s="896"/>
      <c r="H1276" s="896"/>
      <c r="I1276" s="882" t="s">
        <v>1933</v>
      </c>
      <c r="J1276" s="882"/>
      <c r="K1276" s="882"/>
      <c r="L1276" s="882"/>
      <c r="M1276" s="882"/>
      <c r="N1276" s="882"/>
      <c r="O1276" s="882"/>
      <c r="P1276" s="882"/>
      <c r="Q1276" s="882"/>
      <c r="R1276" s="882"/>
      <c r="S1276" s="882"/>
      <c r="T1276" s="882"/>
      <c r="U1276" s="882"/>
      <c r="V1276" s="882"/>
      <c r="W1276" s="882" t="s">
        <v>1934</v>
      </c>
      <c r="X1276" s="882"/>
      <c r="Y1276" s="882"/>
      <c r="Z1276" s="882"/>
      <c r="AA1276" s="882"/>
      <c r="AB1276" s="882"/>
      <c r="AC1276" s="882"/>
      <c r="AD1276" s="882"/>
      <c r="AE1276" s="882"/>
      <c r="AF1276" s="882"/>
      <c r="AG1276" s="882"/>
      <c r="AH1276" s="882"/>
      <c r="AI1276" s="882" t="s">
        <v>1935</v>
      </c>
      <c r="AJ1276" s="882"/>
      <c r="AK1276" s="882"/>
      <c r="AL1276" s="882"/>
      <c r="AM1276" s="882"/>
      <c r="AN1276" s="882"/>
      <c r="AO1276" s="882"/>
      <c r="AP1276" s="882"/>
      <c r="AQ1276" s="882"/>
      <c r="AR1276" s="882"/>
      <c r="AS1276" s="882"/>
      <c r="AT1276" s="882"/>
      <c r="AU1276" s="882"/>
      <c r="AV1276" s="882"/>
      <c r="AW1276" s="882"/>
      <c r="AX1276" s="882"/>
      <c r="AY1276" s="882"/>
      <c r="AZ1276" s="882"/>
      <c r="BA1276" s="882"/>
      <c r="BB1276" s="882"/>
    </row>
    <row r="1277" spans="1:54" ht="15" customHeight="1" x14ac:dyDescent="0.25">
      <c r="A1277" s="896"/>
      <c r="B1277" s="896"/>
      <c r="C1277" s="896"/>
      <c r="D1277" s="896"/>
      <c r="E1277" s="896"/>
      <c r="F1277" s="896"/>
      <c r="G1277" s="896"/>
      <c r="H1277" s="896"/>
      <c r="I1277" s="882"/>
      <c r="J1277" s="882"/>
      <c r="K1277" s="882"/>
      <c r="L1277" s="882"/>
      <c r="M1277" s="882"/>
      <c r="N1277" s="882"/>
      <c r="O1277" s="882"/>
      <c r="P1277" s="882"/>
      <c r="Q1277" s="882"/>
      <c r="R1277" s="882"/>
      <c r="S1277" s="882"/>
      <c r="T1277" s="882"/>
      <c r="U1277" s="882"/>
      <c r="V1277" s="882"/>
      <c r="W1277" s="882"/>
      <c r="X1277" s="882"/>
      <c r="Y1277" s="882"/>
      <c r="Z1277" s="882"/>
      <c r="AA1277" s="882"/>
      <c r="AB1277" s="882"/>
      <c r="AC1277" s="882"/>
      <c r="AD1277" s="882"/>
      <c r="AE1277" s="882"/>
      <c r="AF1277" s="882"/>
      <c r="AG1277" s="882"/>
      <c r="AH1277" s="882"/>
      <c r="AI1277" s="882"/>
      <c r="AJ1277" s="882"/>
      <c r="AK1277" s="882"/>
      <c r="AL1277" s="882"/>
      <c r="AM1277" s="882"/>
      <c r="AN1277" s="882"/>
      <c r="AO1277" s="882"/>
      <c r="AP1277" s="882"/>
      <c r="AQ1277" s="882"/>
      <c r="AR1277" s="882"/>
      <c r="AS1277" s="882"/>
      <c r="AT1277" s="882"/>
      <c r="AU1277" s="882"/>
      <c r="AV1277" s="882"/>
      <c r="AW1277" s="882"/>
      <c r="AX1277" s="882"/>
      <c r="AY1277" s="882"/>
      <c r="AZ1277" s="882"/>
      <c r="BA1277" s="882"/>
      <c r="BB1277" s="882"/>
    </row>
    <row r="1278" spans="1:54" ht="15" customHeight="1" x14ac:dyDescent="0.25">
      <c r="A1278" s="896"/>
      <c r="B1278" s="896"/>
      <c r="C1278" s="896"/>
      <c r="D1278" s="896"/>
      <c r="E1278" s="896"/>
      <c r="F1278" s="896"/>
      <c r="G1278" s="896"/>
      <c r="H1278" s="896"/>
      <c r="I1278" s="897" t="s">
        <v>1288</v>
      </c>
      <c r="J1278" s="897"/>
      <c r="K1278" s="897"/>
      <c r="L1278" s="897"/>
      <c r="M1278" s="897"/>
      <c r="N1278" s="897"/>
      <c r="O1278" s="897" t="s">
        <v>1306</v>
      </c>
      <c r="P1278" s="897"/>
      <c r="Q1278" s="897"/>
      <c r="R1278" s="897"/>
      <c r="S1278" s="897"/>
      <c r="T1278" s="897"/>
      <c r="U1278" s="897"/>
      <c r="V1278" s="897"/>
      <c r="W1278" s="897" t="s">
        <v>1288</v>
      </c>
      <c r="X1278" s="897"/>
      <c r="Y1278" s="897"/>
      <c r="Z1278" s="897"/>
      <c r="AA1278" s="897"/>
      <c r="AB1278" s="897"/>
      <c r="AC1278" s="897" t="s">
        <v>1306</v>
      </c>
      <c r="AD1278" s="897"/>
      <c r="AE1278" s="897"/>
      <c r="AF1278" s="897"/>
      <c r="AG1278" s="897"/>
      <c r="AH1278" s="897"/>
      <c r="AI1278" s="897" t="s">
        <v>1288</v>
      </c>
      <c r="AJ1278" s="897"/>
      <c r="AK1278" s="897"/>
      <c r="AL1278" s="897"/>
      <c r="AM1278" s="897"/>
      <c r="AN1278" s="897"/>
      <c r="AO1278" s="897"/>
      <c r="AP1278" s="897"/>
      <c r="AQ1278" s="897" t="s">
        <v>1306</v>
      </c>
      <c r="AR1278" s="897"/>
      <c r="AS1278" s="897"/>
      <c r="AT1278" s="897"/>
      <c r="AU1278" s="897"/>
      <c r="AV1278" s="897"/>
      <c r="AW1278" s="897"/>
      <c r="AX1278" s="897"/>
      <c r="AY1278" s="897"/>
      <c r="AZ1278" s="897"/>
      <c r="BA1278" s="897"/>
      <c r="BB1278" s="897"/>
    </row>
    <row r="1279" spans="1:54" ht="15" customHeight="1" x14ac:dyDescent="0.25">
      <c r="A1279" s="896"/>
      <c r="B1279" s="896"/>
      <c r="C1279" s="896"/>
      <c r="D1279" s="896"/>
      <c r="E1279" s="896"/>
      <c r="F1279" s="896"/>
      <c r="G1279" s="896"/>
      <c r="H1279" s="896"/>
      <c r="I1279" s="897"/>
      <c r="J1279" s="897"/>
      <c r="K1279" s="897"/>
      <c r="L1279" s="897"/>
      <c r="M1279" s="897"/>
      <c r="N1279" s="897"/>
      <c r="O1279" s="897"/>
      <c r="P1279" s="897"/>
      <c r="Q1279" s="897"/>
      <c r="R1279" s="897"/>
      <c r="S1279" s="897"/>
      <c r="T1279" s="897"/>
      <c r="U1279" s="897"/>
      <c r="V1279" s="897"/>
      <c r="W1279" s="897"/>
      <c r="X1279" s="897"/>
      <c r="Y1279" s="897"/>
      <c r="Z1279" s="897"/>
      <c r="AA1279" s="897"/>
      <c r="AB1279" s="897"/>
      <c r="AC1279" s="897"/>
      <c r="AD1279" s="897"/>
      <c r="AE1279" s="897"/>
      <c r="AF1279" s="897"/>
      <c r="AG1279" s="897"/>
      <c r="AH1279" s="897"/>
      <c r="AI1279" s="897"/>
      <c r="AJ1279" s="897"/>
      <c r="AK1279" s="897"/>
      <c r="AL1279" s="897"/>
      <c r="AM1279" s="897"/>
      <c r="AN1279" s="897"/>
      <c r="AO1279" s="897"/>
      <c r="AP1279" s="897"/>
      <c r="AQ1279" s="897"/>
      <c r="AR1279" s="897"/>
      <c r="AS1279" s="897"/>
      <c r="AT1279" s="897"/>
      <c r="AU1279" s="897"/>
      <c r="AV1279" s="897"/>
      <c r="AW1279" s="897"/>
      <c r="AX1279" s="897"/>
      <c r="AY1279" s="897"/>
      <c r="AZ1279" s="897"/>
      <c r="BA1279" s="897"/>
      <c r="BB1279" s="897"/>
    </row>
    <row r="1280" spans="1:54" ht="31.5" customHeight="1" x14ac:dyDescent="0.25">
      <c r="A1280" s="896"/>
      <c r="B1280" s="896"/>
      <c r="C1280" s="896"/>
      <c r="D1280" s="896"/>
      <c r="E1280" s="896"/>
      <c r="F1280" s="896"/>
      <c r="G1280" s="896"/>
      <c r="H1280" s="896"/>
      <c r="I1280" s="897"/>
      <c r="J1280" s="897"/>
      <c r="K1280" s="897"/>
      <c r="L1280" s="897"/>
      <c r="M1280" s="897"/>
      <c r="N1280" s="897"/>
      <c r="O1280" s="897"/>
      <c r="P1280" s="897"/>
      <c r="Q1280" s="897"/>
      <c r="R1280" s="897"/>
      <c r="S1280" s="897"/>
      <c r="T1280" s="897"/>
      <c r="U1280" s="897"/>
      <c r="V1280" s="897"/>
      <c r="W1280" s="897"/>
      <c r="X1280" s="897"/>
      <c r="Y1280" s="897"/>
      <c r="Z1280" s="897"/>
      <c r="AA1280" s="897"/>
      <c r="AB1280" s="897"/>
      <c r="AC1280" s="897"/>
      <c r="AD1280" s="897"/>
      <c r="AE1280" s="897"/>
      <c r="AF1280" s="897"/>
      <c r="AG1280" s="897"/>
      <c r="AH1280" s="897"/>
      <c r="AI1280" s="897"/>
      <c r="AJ1280" s="897"/>
      <c r="AK1280" s="897"/>
      <c r="AL1280" s="897"/>
      <c r="AM1280" s="897"/>
      <c r="AN1280" s="897"/>
      <c r="AO1280" s="897"/>
      <c r="AP1280" s="897"/>
      <c r="AQ1280" s="897"/>
      <c r="AR1280" s="897"/>
      <c r="AS1280" s="897"/>
      <c r="AT1280" s="897"/>
      <c r="AU1280" s="897"/>
      <c r="AV1280" s="897"/>
      <c r="AW1280" s="897"/>
      <c r="AX1280" s="897"/>
      <c r="AY1280" s="897"/>
      <c r="AZ1280" s="897"/>
      <c r="BA1280" s="897"/>
      <c r="BB1280" s="897"/>
    </row>
    <row r="1281" spans="1:54" ht="15" customHeight="1" x14ac:dyDescent="0.25">
      <c r="A1281" s="750" t="s">
        <v>1323</v>
      </c>
      <c r="B1281" s="750"/>
      <c r="C1281" s="750"/>
      <c r="D1281" s="750"/>
      <c r="E1281" s="750"/>
      <c r="F1281" s="750"/>
      <c r="G1281" s="750"/>
      <c r="H1281" s="750"/>
      <c r="I1281" s="750" t="s">
        <v>1324</v>
      </c>
      <c r="J1281" s="750"/>
      <c r="K1281" s="750"/>
      <c r="L1281" s="750"/>
      <c r="M1281" s="750"/>
      <c r="N1281" s="750"/>
      <c r="O1281" s="750" t="s">
        <v>1325</v>
      </c>
      <c r="P1281" s="750"/>
      <c r="Q1281" s="750"/>
      <c r="R1281" s="750"/>
      <c r="S1281" s="750"/>
      <c r="T1281" s="750"/>
      <c r="U1281" s="750"/>
      <c r="V1281" s="750"/>
      <c r="W1281" s="749" t="s">
        <v>1326</v>
      </c>
      <c r="X1281" s="749"/>
      <c r="Y1281" s="749"/>
      <c r="Z1281" s="749"/>
      <c r="AA1281" s="749"/>
      <c r="AB1281" s="749"/>
      <c r="AC1281" s="750" t="s">
        <v>1327</v>
      </c>
      <c r="AD1281" s="750"/>
      <c r="AE1281" s="750"/>
      <c r="AF1281" s="750"/>
      <c r="AG1281" s="750"/>
      <c r="AH1281" s="750"/>
      <c r="AI1281" s="750" t="s">
        <v>1333</v>
      </c>
      <c r="AJ1281" s="750"/>
      <c r="AK1281" s="750"/>
      <c r="AL1281" s="750"/>
      <c r="AM1281" s="750"/>
      <c r="AN1281" s="750"/>
      <c r="AO1281" s="750"/>
      <c r="AP1281" s="750"/>
      <c r="AQ1281" s="750" t="s">
        <v>1468</v>
      </c>
      <c r="AR1281" s="750"/>
      <c r="AS1281" s="750"/>
      <c r="AT1281" s="750"/>
      <c r="AU1281" s="750"/>
      <c r="AV1281" s="750"/>
      <c r="AW1281" s="750"/>
      <c r="AX1281" s="750"/>
      <c r="AY1281" s="750"/>
      <c r="AZ1281" s="750"/>
      <c r="BA1281" s="750"/>
      <c r="BB1281" s="750"/>
    </row>
    <row r="1282" spans="1:54" ht="15" customHeight="1" x14ac:dyDescent="0.25">
      <c r="A1282" s="708"/>
      <c r="B1282" s="708"/>
      <c r="C1282" s="708"/>
      <c r="D1282" s="708"/>
      <c r="E1282" s="708"/>
      <c r="F1282" s="708"/>
      <c r="G1282" s="708"/>
      <c r="H1282" s="708"/>
      <c r="I1282" s="811"/>
      <c r="J1282" s="811"/>
      <c r="K1282" s="811"/>
      <c r="L1282" s="811"/>
      <c r="M1282" s="811"/>
      <c r="N1282" s="811"/>
      <c r="O1282" s="811"/>
      <c r="P1282" s="811"/>
      <c r="Q1282" s="811"/>
      <c r="R1282" s="811"/>
      <c r="S1282" s="811"/>
      <c r="T1282" s="811"/>
      <c r="U1282" s="811"/>
      <c r="V1282" s="811"/>
      <c r="W1282" s="895"/>
      <c r="X1282" s="895"/>
      <c r="Y1282" s="895"/>
      <c r="Z1282" s="895"/>
      <c r="AA1282" s="895"/>
      <c r="AB1282" s="895"/>
      <c r="AC1282" s="811"/>
      <c r="AD1282" s="811"/>
      <c r="AE1282" s="811"/>
      <c r="AF1282" s="811"/>
      <c r="AG1282" s="811"/>
      <c r="AH1282" s="811"/>
      <c r="AI1282" s="811"/>
      <c r="AJ1282" s="811"/>
      <c r="AK1282" s="811"/>
      <c r="AL1282" s="811"/>
      <c r="AM1282" s="811"/>
      <c r="AN1282" s="811"/>
      <c r="AO1282" s="811"/>
      <c r="AP1282" s="811"/>
      <c r="AQ1282" s="811"/>
      <c r="AR1282" s="811"/>
      <c r="AS1282" s="811"/>
      <c r="AT1282" s="811"/>
      <c r="AU1282" s="811"/>
      <c r="AV1282" s="811"/>
      <c r="AW1282" s="811"/>
      <c r="AX1282" s="811"/>
      <c r="AY1282" s="811"/>
      <c r="AZ1282" s="811"/>
      <c r="BA1282" s="811"/>
      <c r="BB1282" s="811"/>
    </row>
    <row r="1283" spans="1:54" ht="15" customHeight="1" x14ac:dyDescent="0.25">
      <c r="A1283" s="708"/>
      <c r="B1283" s="708"/>
      <c r="C1283" s="708"/>
      <c r="D1283" s="708"/>
      <c r="E1283" s="708"/>
      <c r="F1283" s="708"/>
      <c r="G1283" s="708"/>
      <c r="H1283" s="708"/>
      <c r="I1283" s="709"/>
      <c r="J1283" s="709"/>
      <c r="K1283" s="709"/>
      <c r="L1283" s="709"/>
      <c r="M1283" s="709"/>
      <c r="N1283" s="709"/>
      <c r="O1283" s="709"/>
      <c r="P1283" s="709"/>
      <c r="Q1283" s="709"/>
      <c r="R1283" s="709"/>
      <c r="S1283" s="709"/>
      <c r="T1283" s="709"/>
      <c r="U1283" s="709"/>
      <c r="V1283" s="709"/>
      <c r="W1283" s="766"/>
      <c r="X1283" s="766"/>
      <c r="Y1283" s="766"/>
      <c r="Z1283" s="766"/>
      <c r="AA1283" s="766"/>
      <c r="AB1283" s="766"/>
      <c r="AC1283" s="709"/>
      <c r="AD1283" s="709"/>
      <c r="AE1283" s="709"/>
      <c r="AF1283" s="709"/>
      <c r="AG1283" s="709"/>
      <c r="AH1283" s="709"/>
      <c r="AI1283" s="709"/>
      <c r="AJ1283" s="709"/>
      <c r="AK1283" s="709"/>
      <c r="AL1283" s="709"/>
      <c r="AM1283" s="709"/>
      <c r="AN1283" s="709"/>
      <c r="AO1283" s="709"/>
      <c r="AP1283" s="709"/>
      <c r="AQ1283" s="709"/>
      <c r="AR1283" s="709"/>
      <c r="AS1283" s="709"/>
      <c r="AT1283" s="709"/>
      <c r="AU1283" s="709"/>
      <c r="AV1283" s="709"/>
      <c r="AW1283" s="709"/>
      <c r="AX1283" s="709"/>
      <c r="AY1283" s="709"/>
      <c r="AZ1283" s="709"/>
      <c r="BA1283" s="709"/>
      <c r="BB1283" s="709"/>
    </row>
    <row r="1284" spans="1:54" ht="15" customHeight="1" x14ac:dyDescent="0.25">
      <c r="A1284" s="708"/>
      <c r="B1284" s="708"/>
      <c r="C1284" s="708"/>
      <c r="D1284" s="708"/>
      <c r="E1284" s="708"/>
      <c r="F1284" s="708"/>
      <c r="G1284" s="708"/>
      <c r="H1284" s="708"/>
      <c r="I1284" s="709"/>
      <c r="J1284" s="709"/>
      <c r="K1284" s="709"/>
      <c r="L1284" s="709"/>
      <c r="M1284" s="709"/>
      <c r="N1284" s="709"/>
      <c r="O1284" s="709"/>
      <c r="P1284" s="709"/>
      <c r="Q1284" s="709"/>
      <c r="R1284" s="709"/>
      <c r="S1284" s="709"/>
      <c r="T1284" s="709"/>
      <c r="U1284" s="709"/>
      <c r="V1284" s="709"/>
      <c r="W1284" s="766"/>
      <c r="X1284" s="766"/>
      <c r="Y1284" s="766"/>
      <c r="Z1284" s="766"/>
      <c r="AA1284" s="766"/>
      <c r="AB1284" s="766"/>
      <c r="AC1284" s="709"/>
      <c r="AD1284" s="709"/>
      <c r="AE1284" s="709"/>
      <c r="AF1284" s="709"/>
      <c r="AG1284" s="709"/>
      <c r="AH1284" s="709"/>
      <c r="AI1284" s="709"/>
      <c r="AJ1284" s="709"/>
      <c r="AK1284" s="709"/>
      <c r="AL1284" s="709"/>
      <c r="AM1284" s="709"/>
      <c r="AN1284" s="709"/>
      <c r="AO1284" s="709"/>
      <c r="AP1284" s="709"/>
      <c r="AQ1284" s="709"/>
      <c r="AR1284" s="709"/>
      <c r="AS1284" s="709"/>
      <c r="AT1284" s="709"/>
      <c r="AU1284" s="709"/>
      <c r="AV1284" s="709"/>
      <c r="AW1284" s="709"/>
      <c r="AX1284" s="709"/>
      <c r="AY1284" s="709"/>
      <c r="AZ1284" s="709"/>
      <c r="BA1284" s="709"/>
      <c r="BB1284" s="709"/>
    </row>
    <row r="1285" spans="1:54" ht="15" customHeight="1" x14ac:dyDescent="0.25">
      <c r="A1285" s="708"/>
      <c r="B1285" s="708"/>
      <c r="C1285" s="708"/>
      <c r="D1285" s="708"/>
      <c r="E1285" s="708"/>
      <c r="F1285" s="708"/>
      <c r="G1285" s="708"/>
      <c r="H1285" s="708"/>
      <c r="I1285" s="811"/>
      <c r="J1285" s="811"/>
      <c r="K1285" s="811"/>
      <c r="L1285" s="811"/>
      <c r="M1285" s="811"/>
      <c r="N1285" s="811"/>
      <c r="O1285" s="811"/>
      <c r="P1285" s="811"/>
      <c r="Q1285" s="811"/>
      <c r="R1285" s="811"/>
      <c r="S1285" s="811"/>
      <c r="T1285" s="811"/>
      <c r="U1285" s="811"/>
      <c r="V1285" s="811"/>
      <c r="W1285" s="895"/>
      <c r="X1285" s="895"/>
      <c r="Y1285" s="895"/>
      <c r="Z1285" s="895"/>
      <c r="AA1285" s="895"/>
      <c r="AB1285" s="895"/>
      <c r="AC1285" s="811"/>
      <c r="AD1285" s="811"/>
      <c r="AE1285" s="811"/>
      <c r="AF1285" s="811"/>
      <c r="AG1285" s="811"/>
      <c r="AH1285" s="811"/>
      <c r="AI1285" s="811"/>
      <c r="AJ1285" s="811"/>
      <c r="AK1285" s="811"/>
      <c r="AL1285" s="811"/>
      <c r="AM1285" s="811"/>
      <c r="AN1285" s="811"/>
      <c r="AO1285" s="811"/>
      <c r="AP1285" s="811"/>
      <c r="AQ1285" s="811"/>
      <c r="AR1285" s="811"/>
      <c r="AS1285" s="811"/>
      <c r="AT1285" s="811"/>
      <c r="AU1285" s="811"/>
      <c r="AV1285" s="811"/>
      <c r="AW1285" s="811"/>
      <c r="AX1285" s="811"/>
      <c r="AY1285" s="811"/>
      <c r="AZ1285" s="811"/>
      <c r="BA1285" s="811"/>
      <c r="BB1285" s="811"/>
    </row>
    <row r="1286" spans="1:54" ht="15" customHeight="1" x14ac:dyDescent="0.25">
      <c r="A1286" s="708"/>
      <c r="B1286" s="708"/>
      <c r="C1286" s="708"/>
      <c r="D1286" s="708"/>
      <c r="E1286" s="708"/>
      <c r="F1286" s="708"/>
      <c r="G1286" s="708"/>
      <c r="H1286" s="708"/>
      <c r="I1286" s="811"/>
      <c r="J1286" s="811"/>
      <c r="K1286" s="811"/>
      <c r="L1286" s="811"/>
      <c r="M1286" s="811"/>
      <c r="N1286" s="811"/>
      <c r="O1286" s="811"/>
      <c r="P1286" s="811"/>
      <c r="Q1286" s="811"/>
      <c r="R1286" s="811"/>
      <c r="S1286" s="811"/>
      <c r="T1286" s="811"/>
      <c r="U1286" s="811"/>
      <c r="V1286" s="811"/>
      <c r="W1286" s="895"/>
      <c r="X1286" s="895"/>
      <c r="Y1286" s="895"/>
      <c r="Z1286" s="895"/>
      <c r="AA1286" s="895"/>
      <c r="AB1286" s="895"/>
      <c r="AC1286" s="811"/>
      <c r="AD1286" s="811"/>
      <c r="AE1286" s="811"/>
      <c r="AF1286" s="811"/>
      <c r="AG1286" s="811"/>
      <c r="AH1286" s="811"/>
      <c r="AI1286" s="811"/>
      <c r="AJ1286" s="811"/>
      <c r="AK1286" s="811"/>
      <c r="AL1286" s="811"/>
      <c r="AM1286" s="811"/>
      <c r="AN1286" s="811"/>
      <c r="AO1286" s="811"/>
      <c r="AP1286" s="811"/>
      <c r="AQ1286" s="811"/>
      <c r="AR1286" s="811"/>
      <c r="AS1286" s="811"/>
      <c r="AT1286" s="811"/>
      <c r="AU1286" s="811"/>
      <c r="AV1286" s="811"/>
      <c r="AW1286" s="811"/>
      <c r="AX1286" s="811"/>
      <c r="AY1286" s="811"/>
      <c r="AZ1286" s="811"/>
      <c r="BA1286" s="811"/>
      <c r="BB1286" s="811"/>
    </row>
    <row r="1287" spans="1:54" ht="15" customHeight="1" x14ac:dyDescent="0.25">
      <c r="A1287" s="708" t="s">
        <v>1328</v>
      </c>
      <c r="B1287" s="708"/>
      <c r="C1287" s="708"/>
      <c r="D1287" s="708"/>
      <c r="E1287" s="708"/>
      <c r="F1287" s="708"/>
      <c r="G1287" s="708"/>
      <c r="H1287" s="708"/>
      <c r="I1287" s="811">
        <f>SUM(I1282:N1286)</f>
        <v>0</v>
      </c>
      <c r="J1287" s="811"/>
      <c r="K1287" s="811"/>
      <c r="L1287" s="811"/>
      <c r="M1287" s="811"/>
      <c r="N1287" s="811"/>
      <c r="O1287" s="811">
        <f>SUM(O1282:V1286)</f>
        <v>0</v>
      </c>
      <c r="P1287" s="811"/>
      <c r="Q1287" s="811"/>
      <c r="R1287" s="811"/>
      <c r="S1287" s="811"/>
      <c r="T1287" s="811"/>
      <c r="U1287" s="811"/>
      <c r="V1287" s="811"/>
      <c r="W1287" s="895">
        <f>SUM(W1282:AB1286)</f>
        <v>0</v>
      </c>
      <c r="X1287" s="895"/>
      <c r="Y1287" s="895"/>
      <c r="Z1287" s="895"/>
      <c r="AA1287" s="895"/>
      <c r="AB1287" s="895"/>
      <c r="AC1287" s="811">
        <f>SUM(AC1282:AH1286)</f>
        <v>0</v>
      </c>
      <c r="AD1287" s="811"/>
      <c r="AE1287" s="811"/>
      <c r="AF1287" s="811"/>
      <c r="AG1287" s="811"/>
      <c r="AH1287" s="811"/>
      <c r="AI1287" s="811">
        <f>SUM(AI1282:AP1286)</f>
        <v>0</v>
      </c>
      <c r="AJ1287" s="811"/>
      <c r="AK1287" s="811"/>
      <c r="AL1287" s="811"/>
      <c r="AM1287" s="811"/>
      <c r="AN1287" s="811"/>
      <c r="AO1287" s="811"/>
      <c r="AP1287" s="811"/>
      <c r="AQ1287" s="811">
        <f>SUM(AQ1282:BB1286)</f>
        <v>0</v>
      </c>
      <c r="AR1287" s="811"/>
      <c r="AS1287" s="811"/>
      <c r="AT1287" s="811"/>
      <c r="AU1287" s="811"/>
      <c r="AV1287" s="811"/>
      <c r="AW1287" s="811"/>
      <c r="AX1287" s="811"/>
      <c r="AY1287" s="811"/>
      <c r="AZ1287" s="811"/>
      <c r="BA1287" s="811"/>
      <c r="BB1287" s="811"/>
    </row>
    <row r="1288" spans="1:54" ht="12.6" customHeight="1" x14ac:dyDescent="0.25">
      <c r="A1288" s="227" t="s">
        <v>1482</v>
      </c>
      <c r="N1288" s="287"/>
      <c r="O1288" s="287"/>
      <c r="P1288" s="287"/>
      <c r="Q1288" s="287"/>
      <c r="R1288" s="287"/>
      <c r="S1288" s="287"/>
      <c r="T1288" s="287"/>
      <c r="U1288" s="287"/>
      <c r="V1288" s="287"/>
      <c r="W1288" s="287"/>
      <c r="X1288" s="287"/>
      <c r="Y1288" s="287"/>
      <c r="Z1288" s="287"/>
      <c r="AA1288" s="287"/>
      <c r="AB1288" s="287"/>
      <c r="AC1288" s="287"/>
      <c r="AD1288" s="287"/>
      <c r="AE1288" s="287"/>
      <c r="AF1288" s="287"/>
    </row>
    <row r="1289" spans="1:54" ht="15" customHeight="1" x14ac:dyDescent="0.25">
      <c r="A1289" s="763"/>
      <c r="B1289" s="763"/>
      <c r="C1289" s="763"/>
      <c r="D1289" s="763"/>
      <c r="E1289" s="763"/>
      <c r="F1289" s="763"/>
      <c r="G1289" s="763"/>
      <c r="H1289" s="763"/>
      <c r="I1289" s="763"/>
      <c r="J1289" s="763"/>
      <c r="K1289" s="763"/>
      <c r="L1289" s="763"/>
      <c r="M1289" s="763"/>
      <c r="N1289" s="763"/>
      <c r="O1289" s="763"/>
      <c r="P1289" s="763"/>
      <c r="Q1289" s="763"/>
      <c r="R1289" s="763"/>
      <c r="S1289" s="763"/>
      <c r="T1289" s="763"/>
      <c r="U1289" s="763"/>
      <c r="V1289" s="763"/>
      <c r="W1289" s="763"/>
      <c r="X1289" s="763"/>
      <c r="Y1289" s="763"/>
      <c r="Z1289" s="763"/>
      <c r="AA1289" s="763"/>
      <c r="AB1289" s="763"/>
      <c r="AC1289" s="763"/>
      <c r="AD1289" s="763"/>
      <c r="AE1289" s="763"/>
      <c r="AF1289" s="763"/>
      <c r="AG1289" s="763"/>
      <c r="AH1289" s="763"/>
      <c r="AI1289" s="763"/>
      <c r="AJ1289" s="763"/>
      <c r="AK1289" s="763"/>
      <c r="AL1289" s="763"/>
      <c r="AM1289" s="763"/>
      <c r="AN1289" s="763"/>
      <c r="AO1289" s="763"/>
      <c r="AP1289" s="763"/>
      <c r="AQ1289" s="763"/>
      <c r="AR1289" s="763"/>
      <c r="AS1289" s="763"/>
      <c r="AT1289" s="763"/>
      <c r="AU1289" s="763"/>
      <c r="AV1289" s="763"/>
      <c r="AW1289" s="763"/>
      <c r="AX1289" s="763"/>
      <c r="AY1289" s="265"/>
      <c r="AZ1289" s="265"/>
      <c r="BA1289" s="265"/>
      <c r="BB1289" s="265"/>
    </row>
    <row r="1290" spans="1:54" ht="15" customHeight="1" x14ac:dyDescent="0.25">
      <c r="A1290" s="763"/>
      <c r="B1290" s="763"/>
      <c r="C1290" s="763"/>
      <c r="D1290" s="763"/>
      <c r="E1290" s="763"/>
      <c r="F1290" s="763"/>
      <c r="G1290" s="763"/>
      <c r="H1290" s="763"/>
      <c r="I1290" s="763"/>
      <c r="J1290" s="763"/>
      <c r="K1290" s="763"/>
      <c r="L1290" s="763"/>
      <c r="M1290" s="763"/>
      <c r="N1290" s="763"/>
      <c r="O1290" s="763"/>
      <c r="P1290" s="763"/>
      <c r="Q1290" s="763"/>
      <c r="R1290" s="763"/>
      <c r="S1290" s="763"/>
      <c r="T1290" s="763"/>
      <c r="U1290" s="763"/>
      <c r="V1290" s="763"/>
      <c r="W1290" s="763"/>
      <c r="X1290" s="763"/>
      <c r="Y1290" s="763"/>
      <c r="Z1290" s="763"/>
      <c r="AA1290" s="763"/>
      <c r="AB1290" s="763"/>
      <c r="AC1290" s="763"/>
      <c r="AD1290" s="763"/>
      <c r="AE1290" s="763"/>
      <c r="AF1290" s="763"/>
      <c r="AG1290" s="763"/>
      <c r="AH1290" s="763"/>
      <c r="AI1290" s="763"/>
      <c r="AJ1290" s="763"/>
      <c r="AK1290" s="763"/>
      <c r="AL1290" s="763"/>
      <c r="AM1290" s="763"/>
      <c r="AN1290" s="763"/>
      <c r="AO1290" s="763"/>
      <c r="AP1290" s="763"/>
      <c r="AQ1290" s="763"/>
      <c r="AR1290" s="763"/>
      <c r="AS1290" s="763"/>
      <c r="AT1290" s="763"/>
      <c r="AU1290" s="763"/>
      <c r="AV1290" s="763"/>
      <c r="AW1290" s="763"/>
      <c r="AX1290" s="763"/>
      <c r="AY1290" s="265"/>
      <c r="AZ1290" s="265"/>
      <c r="BA1290" s="265"/>
      <c r="BB1290" s="265"/>
    </row>
    <row r="1291" spans="1:54" ht="15" customHeight="1" x14ac:dyDescent="0.25">
      <c r="A1291" s="320"/>
      <c r="B1291" s="320"/>
      <c r="C1291" s="320"/>
      <c r="D1291" s="320"/>
      <c r="E1291" s="320"/>
      <c r="F1291" s="320"/>
      <c r="G1291" s="320"/>
      <c r="H1291" s="320"/>
      <c r="I1291" s="320"/>
      <c r="J1291" s="320"/>
      <c r="K1291" s="320"/>
      <c r="L1291" s="320"/>
      <c r="M1291" s="320"/>
      <c r="N1291" s="320"/>
      <c r="O1291" s="320"/>
      <c r="P1291" s="320"/>
      <c r="Q1291" s="320"/>
      <c r="R1291" s="320"/>
      <c r="S1291" s="320"/>
      <c r="T1291" s="320"/>
      <c r="U1291" s="320"/>
      <c r="V1291" s="320"/>
      <c r="W1291" s="320"/>
      <c r="X1291" s="320"/>
      <c r="Y1291" s="320"/>
      <c r="Z1291" s="320"/>
      <c r="AA1291" s="320"/>
      <c r="AB1291" s="320"/>
      <c r="AC1291" s="320"/>
      <c r="AD1291" s="320"/>
      <c r="AE1291" s="320"/>
      <c r="AF1291" s="320"/>
      <c r="AG1291" s="320"/>
      <c r="AH1291" s="320"/>
      <c r="AI1291" s="320"/>
      <c r="AJ1291" s="320"/>
      <c r="AK1291" s="320"/>
      <c r="AL1291" s="320"/>
      <c r="AM1291" s="320"/>
      <c r="AN1291" s="320"/>
      <c r="AO1291" s="320"/>
      <c r="AP1291" s="320"/>
      <c r="AQ1291" s="320"/>
      <c r="AR1291" s="320"/>
      <c r="AS1291" s="320"/>
      <c r="AT1291" s="320"/>
      <c r="AU1291" s="320"/>
      <c r="AV1291" s="320"/>
      <c r="AW1291" s="320"/>
      <c r="AX1291" s="320"/>
      <c r="AY1291" s="320"/>
      <c r="AZ1291" s="320"/>
      <c r="BA1291" s="320"/>
      <c r="BB1291" s="331"/>
    </row>
    <row r="1292" spans="1:54" ht="12.6" customHeight="1" x14ac:dyDescent="0.25">
      <c r="A1292" s="227" t="s">
        <v>1936</v>
      </c>
    </row>
    <row r="1293" spans="1:54" ht="12.6" customHeight="1" x14ac:dyDescent="0.25">
      <c r="A1293" s="896" t="s">
        <v>1287</v>
      </c>
      <c r="B1293" s="896"/>
      <c r="C1293" s="896"/>
      <c r="D1293" s="896"/>
      <c r="E1293" s="896"/>
      <c r="F1293" s="896"/>
      <c r="G1293" s="896"/>
      <c r="H1293" s="896"/>
      <c r="I1293" s="896"/>
      <c r="J1293" s="896"/>
      <c r="K1293" s="896"/>
      <c r="L1293" s="896"/>
      <c r="M1293" s="768" t="s">
        <v>1937</v>
      </c>
      <c r="N1293" s="768"/>
      <c r="O1293" s="768"/>
      <c r="P1293" s="768"/>
      <c r="Q1293" s="768"/>
      <c r="R1293" s="768"/>
      <c r="S1293" s="768"/>
      <c r="T1293" s="768" t="s">
        <v>1720</v>
      </c>
      <c r="U1293" s="768"/>
      <c r="V1293" s="768"/>
      <c r="W1293" s="768"/>
      <c r="X1293" s="768"/>
      <c r="Y1293" s="768"/>
      <c r="Z1293" s="768"/>
      <c r="AA1293" s="768"/>
      <c r="AB1293" s="768"/>
      <c r="AC1293" s="768"/>
      <c r="AD1293" s="768"/>
      <c r="AE1293" s="768"/>
      <c r="AF1293" s="768"/>
      <c r="AG1293" s="768"/>
      <c r="AH1293" s="807" t="s">
        <v>1938</v>
      </c>
      <c r="AI1293" s="807"/>
      <c r="AJ1293" s="807"/>
      <c r="AK1293" s="807"/>
      <c r="AL1293" s="807"/>
      <c r="AM1293" s="807"/>
      <c r="AN1293" s="807"/>
      <c r="AO1293" s="807"/>
      <c r="AP1293" s="807"/>
      <c r="AQ1293" s="807"/>
      <c r="AR1293" s="807"/>
      <c r="AS1293" s="807"/>
      <c r="AT1293" s="807"/>
      <c r="AU1293" s="807"/>
      <c r="AV1293" s="807"/>
      <c r="AW1293" s="807"/>
      <c r="AX1293" s="807"/>
      <c r="AY1293" s="807"/>
      <c r="AZ1293" s="807"/>
      <c r="BA1293" s="807"/>
      <c r="BB1293" s="807"/>
    </row>
    <row r="1294" spans="1:54" ht="12.6" customHeight="1" x14ac:dyDescent="0.25">
      <c r="A1294" s="896"/>
      <c r="B1294" s="896"/>
      <c r="C1294" s="896"/>
      <c r="D1294" s="896"/>
      <c r="E1294" s="896"/>
      <c r="F1294" s="896"/>
      <c r="G1294" s="896"/>
      <c r="H1294" s="896"/>
      <c r="I1294" s="896"/>
      <c r="J1294" s="896"/>
      <c r="K1294" s="896"/>
      <c r="L1294" s="896"/>
      <c r="M1294" s="745" t="s">
        <v>1894</v>
      </c>
      <c r="N1294" s="745"/>
      <c r="O1294" s="745"/>
      <c r="P1294" s="745"/>
      <c r="Q1294" s="745"/>
      <c r="R1294" s="745"/>
      <c r="S1294" s="745"/>
      <c r="T1294" s="745" t="s">
        <v>1721</v>
      </c>
      <c r="U1294" s="745"/>
      <c r="V1294" s="745"/>
      <c r="W1294" s="745"/>
      <c r="X1294" s="745"/>
      <c r="Y1294" s="745"/>
      <c r="Z1294" s="745"/>
      <c r="AA1294" s="745"/>
      <c r="AB1294" s="745"/>
      <c r="AC1294" s="745"/>
      <c r="AD1294" s="745"/>
      <c r="AE1294" s="745"/>
      <c r="AF1294" s="745"/>
      <c r="AG1294" s="745"/>
      <c r="AH1294" s="828" t="s">
        <v>1939</v>
      </c>
      <c r="AI1294" s="828"/>
      <c r="AJ1294" s="828"/>
      <c r="AK1294" s="828"/>
      <c r="AL1294" s="828"/>
      <c r="AM1294" s="828"/>
      <c r="AN1294" s="828"/>
      <c r="AO1294" s="828"/>
      <c r="AP1294" s="828"/>
      <c r="AQ1294" s="828"/>
      <c r="AR1294" s="828"/>
      <c r="AS1294" s="828"/>
      <c r="AT1294" s="828"/>
      <c r="AU1294" s="828"/>
      <c r="AV1294" s="828"/>
      <c r="AW1294" s="828"/>
      <c r="AX1294" s="828"/>
      <c r="AY1294" s="828"/>
      <c r="AZ1294" s="828"/>
      <c r="BA1294" s="828"/>
      <c r="BB1294" s="828"/>
    </row>
    <row r="1295" spans="1:54" ht="12.6" customHeight="1" x14ac:dyDescent="0.25">
      <c r="A1295" s="896"/>
      <c r="B1295" s="896"/>
      <c r="C1295" s="896"/>
      <c r="D1295" s="896"/>
      <c r="E1295" s="896"/>
      <c r="F1295" s="896"/>
      <c r="G1295" s="896"/>
      <c r="H1295" s="896"/>
      <c r="I1295" s="896"/>
      <c r="J1295" s="896"/>
      <c r="K1295" s="896"/>
      <c r="L1295" s="896"/>
      <c r="M1295" s="750" t="s">
        <v>1486</v>
      </c>
      <c r="N1295" s="750"/>
      <c r="O1295" s="750"/>
      <c r="P1295" s="750"/>
      <c r="Q1295" s="750"/>
      <c r="R1295" s="750"/>
      <c r="S1295" s="750"/>
      <c r="T1295" s="750" t="s">
        <v>1486</v>
      </c>
      <c r="U1295" s="750"/>
      <c r="V1295" s="750"/>
      <c r="W1295" s="750"/>
      <c r="X1295" s="750"/>
      <c r="Y1295" s="750"/>
      <c r="Z1295" s="750"/>
      <c r="AA1295" s="750"/>
      <c r="AB1295" s="750"/>
      <c r="AC1295" s="750"/>
      <c r="AD1295" s="750"/>
      <c r="AE1295" s="750"/>
      <c r="AF1295" s="750"/>
      <c r="AG1295" s="750"/>
      <c r="AH1295" s="829" t="s">
        <v>1940</v>
      </c>
      <c r="AI1295" s="829"/>
      <c r="AJ1295" s="829"/>
      <c r="AK1295" s="829"/>
      <c r="AL1295" s="829"/>
      <c r="AM1295" s="829"/>
      <c r="AN1295" s="829"/>
      <c r="AO1295" s="829"/>
      <c r="AP1295" s="829"/>
      <c r="AQ1295" s="829"/>
      <c r="AR1295" s="829"/>
      <c r="AS1295" s="829"/>
      <c r="AT1295" s="829"/>
      <c r="AU1295" s="829"/>
      <c r="AV1295" s="829"/>
      <c r="AW1295" s="829"/>
      <c r="AX1295" s="829"/>
      <c r="AY1295" s="829"/>
      <c r="AZ1295" s="829"/>
      <c r="BA1295" s="829"/>
      <c r="BB1295" s="829"/>
    </row>
    <row r="1296" spans="1:54" ht="12.6" customHeight="1" x14ac:dyDescent="0.25">
      <c r="A1296" s="896"/>
      <c r="B1296" s="896"/>
      <c r="C1296" s="896"/>
      <c r="D1296" s="896"/>
      <c r="E1296" s="896"/>
      <c r="F1296" s="896"/>
      <c r="G1296" s="896"/>
      <c r="H1296" s="896"/>
      <c r="I1296" s="896"/>
      <c r="J1296" s="896"/>
      <c r="K1296" s="896"/>
      <c r="L1296" s="896"/>
      <c r="M1296" s="768" t="s">
        <v>1941</v>
      </c>
      <c r="N1296" s="768"/>
      <c r="O1296" s="768"/>
      <c r="P1296" s="768"/>
      <c r="Q1296" s="768"/>
      <c r="R1296" s="768"/>
      <c r="S1296" s="768"/>
      <c r="T1296" s="768" t="s">
        <v>1941</v>
      </c>
      <c r="U1296" s="768"/>
      <c r="V1296" s="768"/>
      <c r="W1296" s="768"/>
      <c r="X1296" s="768"/>
      <c r="Y1296" s="768"/>
      <c r="Z1296" s="768"/>
      <c r="AA1296" s="768" t="s">
        <v>1942</v>
      </c>
      <c r="AB1296" s="768"/>
      <c r="AC1296" s="768"/>
      <c r="AD1296" s="768"/>
      <c r="AE1296" s="768"/>
      <c r="AF1296" s="768"/>
      <c r="AG1296" s="768"/>
      <c r="AH1296" s="768" t="s">
        <v>1937</v>
      </c>
      <c r="AI1296" s="768"/>
      <c r="AJ1296" s="768"/>
      <c r="AK1296" s="768"/>
      <c r="AL1296" s="768"/>
      <c r="AM1296" s="768"/>
      <c r="AN1296" s="768"/>
      <c r="AO1296" s="768" t="s">
        <v>1720</v>
      </c>
      <c r="AP1296" s="768"/>
      <c r="AQ1296" s="768"/>
      <c r="AR1296" s="768"/>
      <c r="AS1296" s="768"/>
      <c r="AT1296" s="768"/>
      <c r="AU1296" s="768"/>
      <c r="AV1296" s="768"/>
      <c r="AW1296" s="768"/>
      <c r="AX1296" s="768"/>
      <c r="AY1296" s="768"/>
      <c r="AZ1296" s="768"/>
      <c r="BA1296" s="768"/>
      <c r="BB1296" s="768"/>
    </row>
    <row r="1297" spans="1:54" ht="12.6" customHeight="1" x14ac:dyDescent="0.25">
      <c r="A1297" s="896"/>
      <c r="B1297" s="896"/>
      <c r="C1297" s="896"/>
      <c r="D1297" s="896"/>
      <c r="E1297" s="896"/>
      <c r="F1297" s="896"/>
      <c r="G1297" s="896"/>
      <c r="H1297" s="896"/>
      <c r="I1297" s="896"/>
      <c r="J1297" s="896"/>
      <c r="K1297" s="896"/>
      <c r="L1297" s="896"/>
      <c r="M1297" s="745" t="s">
        <v>1943</v>
      </c>
      <c r="N1297" s="745"/>
      <c r="O1297" s="745"/>
      <c r="P1297" s="745"/>
      <c r="Q1297" s="745"/>
      <c r="R1297" s="745"/>
      <c r="S1297" s="745"/>
      <c r="T1297" s="745" t="s">
        <v>1943</v>
      </c>
      <c r="U1297" s="745"/>
      <c r="V1297" s="745"/>
      <c r="W1297" s="745"/>
      <c r="X1297" s="745"/>
      <c r="Y1297" s="745"/>
      <c r="Z1297" s="745"/>
      <c r="AA1297" s="745" t="s">
        <v>1944</v>
      </c>
      <c r="AB1297" s="745"/>
      <c r="AC1297" s="745"/>
      <c r="AD1297" s="745"/>
      <c r="AE1297" s="745"/>
      <c r="AF1297" s="745"/>
      <c r="AG1297" s="745"/>
      <c r="AH1297" s="745" t="s">
        <v>1894</v>
      </c>
      <c r="AI1297" s="745"/>
      <c r="AJ1297" s="745"/>
      <c r="AK1297" s="745"/>
      <c r="AL1297" s="745"/>
      <c r="AM1297" s="745"/>
      <c r="AN1297" s="745"/>
      <c r="AO1297" s="745" t="s">
        <v>1653</v>
      </c>
      <c r="AP1297" s="745"/>
      <c r="AQ1297" s="745"/>
      <c r="AR1297" s="745"/>
      <c r="AS1297" s="745"/>
      <c r="AT1297" s="745"/>
      <c r="AU1297" s="745"/>
      <c r="AV1297" s="745"/>
      <c r="AW1297" s="745"/>
      <c r="AX1297" s="745"/>
      <c r="AY1297" s="745"/>
      <c r="AZ1297" s="745"/>
      <c r="BA1297" s="745"/>
      <c r="BB1297" s="745"/>
    </row>
    <row r="1298" spans="1:54" ht="12.6" customHeight="1" x14ac:dyDescent="0.25">
      <c r="A1298" s="896"/>
      <c r="B1298" s="896"/>
      <c r="C1298" s="896"/>
      <c r="D1298" s="896"/>
      <c r="E1298" s="896"/>
      <c r="F1298" s="896"/>
      <c r="G1298" s="896"/>
      <c r="H1298" s="896"/>
      <c r="I1298" s="896"/>
      <c r="J1298" s="896"/>
      <c r="K1298" s="896"/>
      <c r="L1298" s="896"/>
      <c r="M1298" s="745"/>
      <c r="N1298" s="745"/>
      <c r="O1298" s="745"/>
      <c r="P1298" s="745"/>
      <c r="Q1298" s="745"/>
      <c r="R1298" s="745"/>
      <c r="S1298" s="745"/>
      <c r="T1298" s="745"/>
      <c r="U1298" s="745"/>
      <c r="V1298" s="745"/>
      <c r="W1298" s="745"/>
      <c r="X1298" s="745"/>
      <c r="Y1298" s="745"/>
      <c r="Z1298" s="745"/>
      <c r="AA1298" s="745"/>
      <c r="AB1298" s="745"/>
      <c r="AC1298" s="745"/>
      <c r="AD1298" s="745"/>
      <c r="AE1298" s="745"/>
      <c r="AF1298" s="745"/>
      <c r="AG1298" s="745"/>
      <c r="AH1298" s="745" t="s">
        <v>1486</v>
      </c>
      <c r="AI1298" s="745"/>
      <c r="AJ1298" s="745"/>
      <c r="AK1298" s="745"/>
      <c r="AL1298" s="745"/>
      <c r="AM1298" s="745"/>
      <c r="AN1298" s="745"/>
      <c r="AO1298" s="745" t="s">
        <v>1290</v>
      </c>
      <c r="AP1298" s="745"/>
      <c r="AQ1298" s="745"/>
      <c r="AR1298" s="745"/>
      <c r="AS1298" s="745"/>
      <c r="AT1298" s="745"/>
      <c r="AU1298" s="745"/>
      <c r="AV1298" s="745"/>
      <c r="AW1298" s="745"/>
      <c r="AX1298" s="745"/>
      <c r="AY1298" s="745"/>
      <c r="AZ1298" s="745"/>
      <c r="BA1298" s="745"/>
      <c r="BB1298" s="745"/>
    </row>
    <row r="1299" spans="1:54" ht="12.6" customHeight="1" x14ac:dyDescent="0.25">
      <c r="A1299" s="745" t="s">
        <v>1323</v>
      </c>
      <c r="B1299" s="745"/>
      <c r="C1299" s="745"/>
      <c r="D1299" s="745"/>
      <c r="E1299" s="745"/>
      <c r="F1299" s="745"/>
      <c r="G1299" s="745"/>
      <c r="H1299" s="745"/>
      <c r="I1299" s="745"/>
      <c r="J1299" s="745"/>
      <c r="K1299" s="745"/>
      <c r="L1299" s="745"/>
      <c r="M1299" s="750" t="s">
        <v>1324</v>
      </c>
      <c r="N1299" s="750"/>
      <c r="O1299" s="750"/>
      <c r="P1299" s="750"/>
      <c r="Q1299" s="750"/>
      <c r="R1299" s="750"/>
      <c r="S1299" s="750"/>
      <c r="T1299" s="750" t="s">
        <v>1325</v>
      </c>
      <c r="U1299" s="750"/>
      <c r="V1299" s="750"/>
      <c r="W1299" s="750"/>
      <c r="X1299" s="750"/>
      <c r="Y1299" s="750"/>
      <c r="Z1299" s="750"/>
      <c r="AA1299" s="750" t="s">
        <v>1326</v>
      </c>
      <c r="AB1299" s="750"/>
      <c r="AC1299" s="750"/>
      <c r="AD1299" s="750"/>
      <c r="AE1299" s="750"/>
      <c r="AF1299" s="750"/>
      <c r="AG1299" s="750"/>
      <c r="AH1299" s="750" t="s">
        <v>1327</v>
      </c>
      <c r="AI1299" s="750"/>
      <c r="AJ1299" s="750"/>
      <c r="AK1299" s="750"/>
      <c r="AL1299" s="750"/>
      <c r="AM1299" s="750"/>
      <c r="AN1299" s="750"/>
      <c r="AO1299" s="750" t="s">
        <v>1333</v>
      </c>
      <c r="AP1299" s="750"/>
      <c r="AQ1299" s="750"/>
      <c r="AR1299" s="750"/>
      <c r="AS1299" s="750"/>
      <c r="AT1299" s="750"/>
      <c r="AU1299" s="750"/>
      <c r="AV1299" s="750"/>
      <c r="AW1299" s="750"/>
      <c r="AX1299" s="750"/>
      <c r="AY1299" s="750"/>
      <c r="AZ1299" s="750"/>
      <c r="BA1299" s="750"/>
      <c r="BB1299" s="750"/>
    </row>
    <row r="1300" spans="1:54" ht="12.6" customHeight="1" x14ac:dyDescent="0.25">
      <c r="A1300" s="257" t="s">
        <v>1945</v>
      </c>
      <c r="B1300" s="249"/>
      <c r="C1300" s="249"/>
      <c r="D1300" s="249"/>
      <c r="E1300" s="249"/>
      <c r="F1300" s="249"/>
      <c r="G1300" s="249"/>
      <c r="H1300" s="249"/>
      <c r="I1300" s="249"/>
      <c r="J1300" s="249"/>
      <c r="K1300" s="249"/>
      <c r="L1300" s="250"/>
      <c r="M1300" s="709">
        <f>'HL KNIHA VYPOC'!$G$87+'HL KNIHA VYPOC'!G88</f>
        <v>12884.289999999999</v>
      </c>
      <c r="N1300" s="709"/>
      <c r="O1300" s="709"/>
      <c r="P1300" s="709"/>
      <c r="Q1300" s="709"/>
      <c r="R1300" s="709"/>
      <c r="S1300" s="709"/>
      <c r="T1300" s="709">
        <f>'HL KNIHA VYPOC'!$K$87+'HL KNIHA VYPOC'!K88</f>
        <v>2396.9000000000015</v>
      </c>
      <c r="U1300" s="709"/>
      <c r="V1300" s="709"/>
      <c r="W1300" s="709"/>
      <c r="X1300" s="709"/>
      <c r="Y1300" s="709"/>
      <c r="Z1300" s="709"/>
      <c r="AA1300" s="709">
        <f>'HL KNIHA VYPOC'!$H$87+'HL KNIHA VYPOC'!H88</f>
        <v>14149.86</v>
      </c>
      <c r="AB1300" s="709"/>
      <c r="AC1300" s="709"/>
      <c r="AD1300" s="709"/>
      <c r="AE1300" s="709"/>
      <c r="AF1300" s="709"/>
      <c r="AG1300" s="709"/>
      <c r="AH1300" s="709">
        <f>SUM(M1300-T1300)</f>
        <v>10487.389999999998</v>
      </c>
      <c r="AI1300" s="709"/>
      <c r="AJ1300" s="709"/>
      <c r="AK1300" s="709"/>
      <c r="AL1300" s="709"/>
      <c r="AM1300" s="709"/>
      <c r="AN1300" s="709"/>
      <c r="AO1300" s="709">
        <f>SUM(AA1300-T1300)</f>
        <v>11752.96</v>
      </c>
      <c r="AP1300" s="709"/>
      <c r="AQ1300" s="709"/>
      <c r="AR1300" s="709"/>
      <c r="AS1300" s="709"/>
      <c r="AT1300" s="709"/>
      <c r="AU1300" s="709"/>
      <c r="AV1300" s="709"/>
      <c r="AW1300" s="709"/>
      <c r="AX1300" s="709"/>
      <c r="AY1300" s="709"/>
      <c r="AZ1300" s="709"/>
      <c r="BA1300" s="709"/>
      <c r="BB1300" s="709"/>
    </row>
    <row r="1301" spans="1:54" ht="12.6" customHeight="1" x14ac:dyDescent="0.25">
      <c r="A1301" s="332" t="s">
        <v>1946</v>
      </c>
      <c r="B1301" s="333"/>
      <c r="C1301" s="333"/>
      <c r="D1301" s="333"/>
      <c r="E1301" s="333"/>
      <c r="F1301" s="333"/>
      <c r="G1301" s="333"/>
      <c r="H1301" s="333"/>
      <c r="I1301" s="333"/>
      <c r="J1301" s="333"/>
      <c r="K1301" s="333"/>
      <c r="L1301" s="334"/>
      <c r="M1301" s="709"/>
      <c r="N1301" s="709"/>
      <c r="O1301" s="709"/>
      <c r="P1301" s="709"/>
      <c r="Q1301" s="709"/>
      <c r="R1301" s="709"/>
      <c r="S1301" s="709"/>
      <c r="T1301" s="709"/>
      <c r="U1301" s="709"/>
      <c r="V1301" s="709"/>
      <c r="W1301" s="709"/>
      <c r="X1301" s="709"/>
      <c r="Y1301" s="709"/>
      <c r="Z1301" s="709"/>
      <c r="AA1301" s="709"/>
      <c r="AB1301" s="709"/>
      <c r="AC1301" s="709"/>
      <c r="AD1301" s="709"/>
      <c r="AE1301" s="709"/>
      <c r="AF1301" s="709"/>
      <c r="AG1301" s="709"/>
      <c r="AH1301" s="709"/>
      <c r="AI1301" s="709"/>
      <c r="AJ1301" s="709"/>
      <c r="AK1301" s="709"/>
      <c r="AL1301" s="709"/>
      <c r="AM1301" s="709"/>
      <c r="AN1301" s="709"/>
      <c r="AO1301" s="709"/>
      <c r="AP1301" s="709"/>
      <c r="AQ1301" s="709"/>
      <c r="AR1301" s="709"/>
      <c r="AS1301" s="709"/>
      <c r="AT1301" s="709"/>
      <c r="AU1301" s="709"/>
      <c r="AV1301" s="709"/>
      <c r="AW1301" s="709"/>
      <c r="AX1301" s="709"/>
      <c r="AY1301" s="709"/>
      <c r="AZ1301" s="709"/>
      <c r="BA1301" s="709"/>
      <c r="BB1301" s="709"/>
    </row>
    <row r="1302" spans="1:54" ht="12.6" customHeight="1" x14ac:dyDescent="0.25">
      <c r="A1302" s="253" t="s">
        <v>1634</v>
      </c>
      <c r="B1302" s="246"/>
      <c r="C1302" s="246"/>
      <c r="D1302" s="246"/>
      <c r="E1302" s="246"/>
      <c r="F1302" s="246"/>
      <c r="G1302" s="246"/>
      <c r="H1302" s="246"/>
      <c r="I1302" s="246"/>
      <c r="J1302" s="246"/>
      <c r="K1302" s="246"/>
      <c r="L1302" s="248"/>
      <c r="M1302" s="709">
        <f>'HL KNIHA VYPOC'!$G$89</f>
        <v>31820.989999999991</v>
      </c>
      <c r="N1302" s="709"/>
      <c r="O1302" s="709"/>
      <c r="P1302" s="709"/>
      <c r="Q1302" s="709"/>
      <c r="R1302" s="709"/>
      <c r="S1302" s="709"/>
      <c r="T1302" s="709">
        <f>'HL KNIHA VYPOC'!$K$89</f>
        <v>38846.539999999994</v>
      </c>
      <c r="U1302" s="709"/>
      <c r="V1302" s="709"/>
      <c r="W1302" s="709"/>
      <c r="X1302" s="709"/>
      <c r="Y1302" s="709"/>
      <c r="Z1302" s="709"/>
      <c r="AA1302" s="709">
        <f>'HL KNIHA VYPOC'!$H$89</f>
        <v>42656.4</v>
      </c>
      <c r="AB1302" s="709"/>
      <c r="AC1302" s="709"/>
      <c r="AD1302" s="709"/>
      <c r="AE1302" s="709"/>
      <c r="AF1302" s="709"/>
      <c r="AG1302" s="709"/>
      <c r="AH1302" s="709">
        <f>SUM(M1302-T1302)</f>
        <v>-7025.5500000000029</v>
      </c>
      <c r="AI1302" s="709"/>
      <c r="AJ1302" s="709"/>
      <c r="AK1302" s="709"/>
      <c r="AL1302" s="709"/>
      <c r="AM1302" s="709"/>
      <c r="AN1302" s="709"/>
      <c r="AO1302" s="709">
        <f>SUM(AA1302-T1302)</f>
        <v>3809.8600000000079</v>
      </c>
      <c r="AP1302" s="709"/>
      <c r="AQ1302" s="709"/>
      <c r="AR1302" s="709"/>
      <c r="AS1302" s="709"/>
      <c r="AT1302" s="709"/>
      <c r="AU1302" s="709"/>
      <c r="AV1302" s="709"/>
      <c r="AW1302" s="709"/>
      <c r="AX1302" s="709"/>
      <c r="AY1302" s="709"/>
      <c r="AZ1302" s="709"/>
      <c r="BA1302" s="709"/>
      <c r="BB1302" s="709"/>
    </row>
    <row r="1303" spans="1:54" ht="12.6" customHeight="1" x14ac:dyDescent="0.25">
      <c r="A1303" s="253" t="s">
        <v>1635</v>
      </c>
      <c r="B1303" s="246"/>
      <c r="C1303" s="246"/>
      <c r="D1303" s="246"/>
      <c r="E1303" s="246"/>
      <c r="F1303" s="246"/>
      <c r="G1303" s="246"/>
      <c r="H1303" s="246"/>
      <c r="I1303" s="246"/>
      <c r="J1303" s="246"/>
      <c r="K1303" s="246"/>
      <c r="L1303" s="248"/>
      <c r="M1303" s="709">
        <f>'HL KNIHA VYPOC'!$G$90</f>
        <v>3379.4800000000014</v>
      </c>
      <c r="N1303" s="709"/>
      <c r="O1303" s="709"/>
      <c r="P1303" s="709"/>
      <c r="Q1303" s="709"/>
      <c r="R1303" s="709"/>
      <c r="S1303" s="709"/>
      <c r="T1303" s="709">
        <f>'HL KNIHA VYPOC'!$K$90</f>
        <v>2340.4799999999996</v>
      </c>
      <c r="U1303" s="709"/>
      <c r="V1303" s="709"/>
      <c r="W1303" s="709"/>
      <c r="X1303" s="709"/>
      <c r="Y1303" s="709"/>
      <c r="Z1303" s="709"/>
      <c r="AA1303" s="709">
        <f>'HL KNIHA VYPOC'!$H$90</f>
        <v>6588.09</v>
      </c>
      <c r="AB1303" s="709"/>
      <c r="AC1303" s="709"/>
      <c r="AD1303" s="709"/>
      <c r="AE1303" s="709"/>
      <c r="AF1303" s="709"/>
      <c r="AG1303" s="709"/>
      <c r="AH1303" s="709">
        <f>SUM(M1303-T1303)</f>
        <v>1039.0000000000018</v>
      </c>
      <c r="AI1303" s="709"/>
      <c r="AJ1303" s="709"/>
      <c r="AK1303" s="709"/>
      <c r="AL1303" s="709"/>
      <c r="AM1303" s="709"/>
      <c r="AN1303" s="709"/>
      <c r="AO1303" s="709">
        <f>SUM(AA1303-T1303)</f>
        <v>4247.6100000000006</v>
      </c>
      <c r="AP1303" s="709"/>
      <c r="AQ1303" s="709"/>
      <c r="AR1303" s="709"/>
      <c r="AS1303" s="709"/>
      <c r="AT1303" s="709"/>
      <c r="AU1303" s="709"/>
      <c r="AV1303" s="709"/>
      <c r="AW1303" s="709"/>
      <c r="AX1303" s="709"/>
      <c r="AY1303" s="709"/>
      <c r="AZ1303" s="709"/>
      <c r="BA1303" s="709"/>
      <c r="BB1303" s="709"/>
    </row>
    <row r="1304" spans="1:54" ht="12.6" customHeight="1" x14ac:dyDescent="0.25">
      <c r="A1304" s="311" t="s">
        <v>1328</v>
      </c>
      <c r="B1304" s="246"/>
      <c r="C1304" s="246"/>
      <c r="D1304" s="246"/>
      <c r="E1304" s="246"/>
      <c r="F1304" s="246"/>
      <c r="G1304" s="246"/>
      <c r="H1304" s="246"/>
      <c r="I1304" s="246"/>
      <c r="J1304" s="246"/>
      <c r="K1304" s="246"/>
      <c r="L1304" s="248"/>
      <c r="M1304" s="709">
        <f>SUM(M1300:S1303)</f>
        <v>48084.759999999995</v>
      </c>
      <c r="N1304" s="709"/>
      <c r="O1304" s="709"/>
      <c r="P1304" s="709"/>
      <c r="Q1304" s="709"/>
      <c r="R1304" s="709"/>
      <c r="S1304" s="709"/>
      <c r="T1304" s="709">
        <f>SUM(T1300:Z1303)</f>
        <v>43583.92</v>
      </c>
      <c r="U1304" s="709"/>
      <c r="V1304" s="709"/>
      <c r="W1304" s="709"/>
      <c r="X1304" s="709"/>
      <c r="Y1304" s="709"/>
      <c r="Z1304" s="709"/>
      <c r="AA1304" s="709">
        <f>SUM(AA1300:AG1303)</f>
        <v>63394.350000000006</v>
      </c>
      <c r="AB1304" s="709"/>
      <c r="AC1304" s="709"/>
      <c r="AD1304" s="709"/>
      <c r="AE1304" s="709"/>
      <c r="AF1304" s="709"/>
      <c r="AG1304" s="709"/>
      <c r="AH1304" s="709">
        <f>SUM(M1304-T1304)</f>
        <v>4500.8399999999965</v>
      </c>
      <c r="AI1304" s="709"/>
      <c r="AJ1304" s="709"/>
      <c r="AK1304" s="709"/>
      <c r="AL1304" s="709"/>
      <c r="AM1304" s="709"/>
      <c r="AN1304" s="709"/>
      <c r="AO1304" s="709">
        <f>SUM(AA1304-T1304)</f>
        <v>19810.430000000008</v>
      </c>
      <c r="AP1304" s="709"/>
      <c r="AQ1304" s="709"/>
      <c r="AR1304" s="709"/>
      <c r="AS1304" s="709"/>
      <c r="AT1304" s="709"/>
      <c r="AU1304" s="709"/>
      <c r="AV1304" s="709"/>
      <c r="AW1304" s="709"/>
      <c r="AX1304" s="709"/>
      <c r="AY1304" s="709"/>
      <c r="AZ1304" s="709"/>
      <c r="BA1304" s="709"/>
      <c r="BB1304" s="709"/>
    </row>
    <row r="1305" spans="1:54" ht="12.6" customHeight="1" x14ac:dyDescent="0.25">
      <c r="A1305" s="253" t="s">
        <v>1947</v>
      </c>
      <c r="B1305" s="246"/>
      <c r="C1305" s="246"/>
      <c r="D1305" s="246"/>
      <c r="E1305" s="246"/>
      <c r="F1305" s="246"/>
      <c r="G1305" s="246"/>
      <c r="H1305" s="246"/>
      <c r="I1305" s="246"/>
      <c r="J1305" s="246"/>
      <c r="K1305" s="246"/>
      <c r="L1305" s="248"/>
      <c r="M1305" s="707" t="s">
        <v>30</v>
      </c>
      <c r="N1305" s="707"/>
      <c r="O1305" s="707"/>
      <c r="P1305" s="707"/>
      <c r="Q1305" s="707"/>
      <c r="R1305" s="707"/>
      <c r="S1305" s="707"/>
      <c r="T1305" s="707" t="s">
        <v>30</v>
      </c>
      <c r="U1305" s="707"/>
      <c r="V1305" s="707"/>
      <c r="W1305" s="707"/>
      <c r="X1305" s="707"/>
      <c r="Y1305" s="707"/>
      <c r="Z1305" s="707"/>
      <c r="AA1305" s="707" t="s">
        <v>30</v>
      </c>
      <c r="AB1305" s="707"/>
      <c r="AC1305" s="707"/>
      <c r="AD1305" s="707"/>
      <c r="AE1305" s="707"/>
      <c r="AF1305" s="707"/>
      <c r="AG1305" s="707"/>
      <c r="AH1305" s="709">
        <f>'HL KNIHA VYPOC'!$G$305</f>
        <v>0</v>
      </c>
      <c r="AI1305" s="709"/>
      <c r="AJ1305" s="709"/>
      <c r="AK1305" s="709"/>
      <c r="AL1305" s="709"/>
      <c r="AM1305" s="709"/>
      <c r="AN1305" s="709"/>
      <c r="AO1305" s="709">
        <f>'HL KNIHA VYPOC'!$K$305</f>
        <v>0</v>
      </c>
      <c r="AP1305" s="709"/>
      <c r="AQ1305" s="709"/>
      <c r="AR1305" s="709"/>
      <c r="AS1305" s="709"/>
      <c r="AT1305" s="709"/>
      <c r="AU1305" s="709"/>
      <c r="AV1305" s="709"/>
      <c r="AW1305" s="709"/>
      <c r="AX1305" s="709"/>
      <c r="AY1305" s="709"/>
      <c r="AZ1305" s="709"/>
      <c r="BA1305" s="709"/>
      <c r="BB1305" s="709"/>
    </row>
    <row r="1306" spans="1:54" ht="12.6" customHeight="1" x14ac:dyDescent="0.25">
      <c r="A1306" s="253" t="s">
        <v>1948</v>
      </c>
      <c r="B1306" s="246"/>
      <c r="C1306" s="246"/>
      <c r="D1306" s="246"/>
      <c r="E1306" s="246"/>
      <c r="F1306" s="246"/>
      <c r="G1306" s="246"/>
      <c r="H1306" s="246"/>
      <c r="I1306" s="246"/>
      <c r="J1306" s="246"/>
      <c r="K1306" s="246"/>
      <c r="L1306" s="248"/>
      <c r="M1306" s="707" t="s">
        <v>30</v>
      </c>
      <c r="N1306" s="707"/>
      <c r="O1306" s="707"/>
      <c r="P1306" s="707"/>
      <c r="Q1306" s="707"/>
      <c r="R1306" s="707"/>
      <c r="S1306" s="707"/>
      <c r="T1306" s="707" t="s">
        <v>30</v>
      </c>
      <c r="U1306" s="707"/>
      <c r="V1306" s="707"/>
      <c r="W1306" s="707"/>
      <c r="X1306" s="707"/>
      <c r="Y1306" s="707"/>
      <c r="Z1306" s="707"/>
      <c r="AA1306" s="707" t="s">
        <v>30</v>
      </c>
      <c r="AB1306" s="707"/>
      <c r="AC1306" s="707"/>
      <c r="AD1306" s="707"/>
      <c r="AE1306" s="707"/>
      <c r="AF1306" s="707"/>
      <c r="AG1306" s="707"/>
      <c r="AH1306" s="709">
        <f>'HL KNIHA VYPOC'!$G$275</f>
        <v>1230.81</v>
      </c>
      <c r="AI1306" s="709"/>
      <c r="AJ1306" s="709"/>
      <c r="AK1306" s="709"/>
      <c r="AL1306" s="709"/>
      <c r="AM1306" s="709"/>
      <c r="AN1306" s="709"/>
      <c r="AO1306" s="709">
        <f>'HL KNIHA VYPOC'!$K$275</f>
        <v>1373.79</v>
      </c>
      <c r="AP1306" s="709"/>
      <c r="AQ1306" s="709"/>
      <c r="AR1306" s="709"/>
      <c r="AS1306" s="709"/>
      <c r="AT1306" s="709"/>
      <c r="AU1306" s="709"/>
      <c r="AV1306" s="709"/>
      <c r="AW1306" s="709"/>
      <c r="AX1306" s="709"/>
      <c r="AY1306" s="709"/>
      <c r="AZ1306" s="709"/>
      <c r="BA1306" s="709"/>
      <c r="BB1306" s="709"/>
    </row>
    <row r="1307" spans="1:54" ht="12.6" customHeight="1" x14ac:dyDescent="0.25">
      <c r="A1307" s="253" t="s">
        <v>1949</v>
      </c>
      <c r="B1307" s="246"/>
      <c r="C1307" s="246"/>
      <c r="D1307" s="246"/>
      <c r="E1307" s="246"/>
      <c r="F1307" s="246"/>
      <c r="G1307" s="246"/>
      <c r="H1307" s="246"/>
      <c r="I1307" s="246"/>
      <c r="J1307" s="246"/>
      <c r="K1307" s="246"/>
      <c r="L1307" s="248"/>
      <c r="M1307" s="707" t="s">
        <v>30</v>
      </c>
      <c r="N1307" s="707"/>
      <c r="O1307" s="707"/>
      <c r="P1307" s="707"/>
      <c r="Q1307" s="707"/>
      <c r="R1307" s="707"/>
      <c r="S1307" s="707"/>
      <c r="T1307" s="707" t="s">
        <v>30</v>
      </c>
      <c r="U1307" s="707"/>
      <c r="V1307" s="707"/>
      <c r="W1307" s="707"/>
      <c r="X1307" s="707"/>
      <c r="Y1307" s="707"/>
      <c r="Z1307" s="707"/>
      <c r="AA1307" s="707" t="s">
        <v>30</v>
      </c>
      <c r="AB1307" s="707"/>
      <c r="AC1307" s="707"/>
      <c r="AD1307" s="707"/>
      <c r="AE1307" s="707"/>
      <c r="AF1307" s="707"/>
      <c r="AG1307" s="707"/>
      <c r="AH1307" s="709">
        <f>'HL KNIHA VYPOC'!$G$299</f>
        <v>0</v>
      </c>
      <c r="AI1307" s="709"/>
      <c r="AJ1307" s="709"/>
      <c r="AK1307" s="709"/>
      <c r="AL1307" s="709"/>
      <c r="AM1307" s="709"/>
      <c r="AN1307" s="709"/>
      <c r="AO1307" s="709">
        <f>'HL KNIHA VYPOC'!$K$299</f>
        <v>0</v>
      </c>
      <c r="AP1307" s="709"/>
      <c r="AQ1307" s="709"/>
      <c r="AR1307" s="709"/>
      <c r="AS1307" s="709"/>
      <c r="AT1307" s="709"/>
      <c r="AU1307" s="709"/>
      <c r="AV1307" s="709"/>
      <c r="AW1307" s="709"/>
      <c r="AX1307" s="709"/>
      <c r="AY1307" s="709"/>
      <c r="AZ1307" s="709"/>
      <c r="BA1307" s="709"/>
      <c r="BB1307" s="709"/>
    </row>
    <row r="1308" spans="1:54" ht="12.6" customHeight="1" x14ac:dyDescent="0.25">
      <c r="A1308" s="257" t="s">
        <v>1806</v>
      </c>
      <c r="B1308" s="249"/>
      <c r="C1308" s="249"/>
      <c r="D1308" s="249"/>
      <c r="E1308" s="249"/>
      <c r="F1308" s="249"/>
      <c r="G1308" s="249"/>
      <c r="H1308" s="249"/>
      <c r="I1308" s="249"/>
      <c r="J1308" s="249"/>
      <c r="K1308" s="249"/>
      <c r="L1308" s="250"/>
      <c r="M1308" s="768" t="s">
        <v>30</v>
      </c>
      <c r="N1308" s="768"/>
      <c r="O1308" s="768"/>
      <c r="P1308" s="768"/>
      <c r="Q1308" s="768"/>
      <c r="R1308" s="768"/>
      <c r="S1308" s="768"/>
      <c r="T1308" s="768" t="s">
        <v>30</v>
      </c>
      <c r="U1308" s="768"/>
      <c r="V1308" s="768"/>
      <c r="W1308" s="768"/>
      <c r="X1308" s="768"/>
      <c r="Y1308" s="768"/>
      <c r="Z1308" s="768"/>
      <c r="AA1308" s="768" t="s">
        <v>30</v>
      </c>
      <c r="AB1308" s="768"/>
      <c r="AC1308" s="768"/>
      <c r="AD1308" s="768"/>
      <c r="AE1308" s="768"/>
      <c r="AF1308" s="768"/>
      <c r="AG1308" s="768"/>
      <c r="AH1308" s="898"/>
      <c r="AI1308" s="898"/>
      <c r="AJ1308" s="898"/>
      <c r="AK1308" s="898"/>
      <c r="AL1308" s="898"/>
      <c r="AM1308" s="898"/>
      <c r="AN1308" s="898"/>
      <c r="AO1308" s="898"/>
      <c r="AP1308" s="898"/>
      <c r="AQ1308" s="898"/>
      <c r="AR1308" s="898"/>
      <c r="AS1308" s="898"/>
      <c r="AT1308" s="898"/>
      <c r="AU1308" s="898"/>
      <c r="AV1308" s="898"/>
      <c r="AW1308" s="898"/>
      <c r="AX1308" s="898"/>
      <c r="AY1308" s="898"/>
      <c r="AZ1308" s="898"/>
      <c r="BA1308" s="898"/>
      <c r="BB1308" s="898"/>
    </row>
    <row r="1309" spans="1:54" ht="12.6" customHeight="1" x14ac:dyDescent="0.25">
      <c r="A1309" s="241" t="s">
        <v>1938</v>
      </c>
      <c r="B1309" s="249"/>
      <c r="C1309" s="249"/>
      <c r="D1309" s="249"/>
      <c r="E1309" s="249"/>
      <c r="F1309" s="249"/>
      <c r="G1309" s="249"/>
      <c r="H1309" s="249"/>
      <c r="I1309" s="249"/>
      <c r="J1309" s="249"/>
      <c r="K1309" s="249"/>
      <c r="L1309" s="250"/>
      <c r="M1309" s="706" t="s">
        <v>30</v>
      </c>
      <c r="N1309" s="706"/>
      <c r="O1309" s="706"/>
      <c r="P1309" s="706"/>
      <c r="Q1309" s="706"/>
      <c r="R1309" s="706"/>
      <c r="S1309" s="706"/>
      <c r="T1309" s="706" t="s">
        <v>30</v>
      </c>
      <c r="U1309" s="706"/>
      <c r="V1309" s="706"/>
      <c r="W1309" s="706"/>
      <c r="X1309" s="706"/>
      <c r="Y1309" s="706"/>
      <c r="Z1309" s="706"/>
      <c r="AA1309" s="706" t="s">
        <v>30</v>
      </c>
      <c r="AB1309" s="706"/>
      <c r="AC1309" s="706"/>
      <c r="AD1309" s="706"/>
      <c r="AE1309" s="706"/>
      <c r="AF1309" s="706"/>
      <c r="AG1309" s="706"/>
      <c r="AH1309" s="709">
        <f>SUM(AH1304)</f>
        <v>4500.8399999999965</v>
      </c>
      <c r="AI1309" s="709"/>
      <c r="AJ1309" s="709"/>
      <c r="AK1309" s="709"/>
      <c r="AL1309" s="709"/>
      <c r="AM1309" s="709"/>
      <c r="AN1309" s="709"/>
      <c r="AO1309" s="709">
        <f>SUM(AO1304)</f>
        <v>19810.430000000008</v>
      </c>
      <c r="AP1309" s="709"/>
      <c r="AQ1309" s="709"/>
      <c r="AR1309" s="709"/>
      <c r="AS1309" s="709"/>
      <c r="AT1309" s="709"/>
      <c r="AU1309" s="709"/>
      <c r="AV1309" s="709"/>
      <c r="AW1309" s="709"/>
      <c r="AX1309" s="709"/>
      <c r="AY1309" s="709"/>
      <c r="AZ1309" s="709"/>
      <c r="BA1309" s="709"/>
      <c r="BB1309" s="709"/>
    </row>
    <row r="1310" spans="1:54" ht="12.6" customHeight="1" x14ac:dyDescent="0.25">
      <c r="A1310" s="243" t="s">
        <v>1939</v>
      </c>
      <c r="B1310" s="208"/>
      <c r="C1310" s="208"/>
      <c r="D1310" s="208"/>
      <c r="E1310" s="208"/>
      <c r="F1310" s="208"/>
      <c r="G1310" s="208"/>
      <c r="H1310" s="208"/>
      <c r="I1310" s="208"/>
      <c r="J1310" s="208"/>
      <c r="K1310" s="208"/>
      <c r="L1310" s="245"/>
      <c r="M1310" s="706"/>
      <c r="N1310" s="706"/>
      <c r="O1310" s="706"/>
      <c r="P1310" s="706"/>
      <c r="Q1310" s="706"/>
      <c r="R1310" s="706"/>
      <c r="S1310" s="706"/>
      <c r="T1310" s="706"/>
      <c r="U1310" s="706"/>
      <c r="V1310" s="706"/>
      <c r="W1310" s="706"/>
      <c r="X1310" s="706"/>
      <c r="Y1310" s="706"/>
      <c r="Z1310" s="706"/>
      <c r="AA1310" s="706"/>
      <c r="AB1310" s="706"/>
      <c r="AC1310" s="706"/>
      <c r="AD1310" s="706"/>
      <c r="AE1310" s="706"/>
      <c r="AF1310" s="706"/>
      <c r="AG1310" s="706"/>
      <c r="AH1310" s="709"/>
      <c r="AI1310" s="709"/>
      <c r="AJ1310" s="709"/>
      <c r="AK1310" s="709"/>
      <c r="AL1310" s="709"/>
      <c r="AM1310" s="709"/>
      <c r="AN1310" s="709"/>
      <c r="AO1310" s="709"/>
      <c r="AP1310" s="709"/>
      <c r="AQ1310" s="709"/>
      <c r="AR1310" s="709"/>
      <c r="AS1310" s="709"/>
      <c r="AT1310" s="709"/>
      <c r="AU1310" s="709"/>
      <c r="AV1310" s="709"/>
      <c r="AW1310" s="709"/>
      <c r="AX1310" s="709"/>
      <c r="AY1310" s="709"/>
      <c r="AZ1310" s="709"/>
      <c r="BA1310" s="709"/>
      <c r="BB1310" s="709"/>
    </row>
    <row r="1311" spans="1:54" ht="12.6" customHeight="1" x14ac:dyDescent="0.25">
      <c r="A1311" s="243" t="s">
        <v>1950</v>
      </c>
      <c r="B1311" s="208"/>
      <c r="C1311" s="208"/>
      <c r="D1311" s="208"/>
      <c r="E1311" s="208"/>
      <c r="F1311" s="208"/>
      <c r="G1311" s="208"/>
      <c r="H1311" s="208"/>
      <c r="I1311" s="208"/>
      <c r="J1311" s="208"/>
      <c r="K1311" s="208"/>
      <c r="L1311" s="245"/>
      <c r="M1311" s="706"/>
      <c r="N1311" s="706"/>
      <c r="O1311" s="706"/>
      <c r="P1311" s="706"/>
      <c r="Q1311" s="706"/>
      <c r="R1311" s="706"/>
      <c r="S1311" s="706"/>
      <c r="T1311" s="706"/>
      <c r="U1311" s="706"/>
      <c r="V1311" s="706"/>
      <c r="W1311" s="706"/>
      <c r="X1311" s="706"/>
      <c r="Y1311" s="706"/>
      <c r="Z1311" s="706"/>
      <c r="AA1311" s="706"/>
      <c r="AB1311" s="706"/>
      <c r="AC1311" s="706"/>
      <c r="AD1311" s="706"/>
      <c r="AE1311" s="706"/>
      <c r="AF1311" s="706"/>
      <c r="AG1311" s="706"/>
      <c r="AH1311" s="709"/>
      <c r="AI1311" s="709"/>
      <c r="AJ1311" s="709"/>
      <c r="AK1311" s="709"/>
      <c r="AL1311" s="709"/>
      <c r="AM1311" s="709"/>
      <c r="AN1311" s="709"/>
      <c r="AO1311" s="709"/>
      <c r="AP1311" s="709"/>
      <c r="AQ1311" s="709"/>
      <c r="AR1311" s="709"/>
      <c r="AS1311" s="709"/>
      <c r="AT1311" s="709"/>
      <c r="AU1311" s="709"/>
      <c r="AV1311" s="709"/>
      <c r="AW1311" s="709"/>
      <c r="AX1311" s="709"/>
      <c r="AY1311" s="709"/>
      <c r="AZ1311" s="709"/>
      <c r="BA1311" s="709"/>
      <c r="BB1311" s="709"/>
    </row>
    <row r="1312" spans="1:54" ht="12.6" customHeight="1" x14ac:dyDescent="0.25">
      <c r="A1312" s="251" t="s">
        <v>1951</v>
      </c>
      <c r="B1312" s="247"/>
      <c r="C1312" s="247"/>
      <c r="D1312" s="247"/>
      <c r="E1312" s="247"/>
      <c r="F1312" s="247"/>
      <c r="G1312" s="247"/>
      <c r="H1312" s="247"/>
      <c r="I1312" s="247"/>
      <c r="J1312" s="247"/>
      <c r="K1312" s="247"/>
      <c r="L1312" s="252"/>
      <c r="M1312" s="706"/>
      <c r="N1312" s="706"/>
      <c r="O1312" s="706"/>
      <c r="P1312" s="706"/>
      <c r="Q1312" s="706"/>
      <c r="R1312" s="706"/>
      <c r="S1312" s="706"/>
      <c r="T1312" s="706"/>
      <c r="U1312" s="706"/>
      <c r="V1312" s="706"/>
      <c r="W1312" s="706"/>
      <c r="X1312" s="706"/>
      <c r="Y1312" s="706"/>
      <c r="Z1312" s="706"/>
      <c r="AA1312" s="706"/>
      <c r="AB1312" s="706"/>
      <c r="AC1312" s="706"/>
      <c r="AD1312" s="706"/>
      <c r="AE1312" s="706"/>
      <c r="AF1312" s="706"/>
      <c r="AG1312" s="706"/>
      <c r="AH1312" s="709"/>
      <c r="AI1312" s="709"/>
      <c r="AJ1312" s="709"/>
      <c r="AK1312" s="709"/>
      <c r="AL1312" s="709"/>
      <c r="AM1312" s="709"/>
      <c r="AN1312" s="709"/>
      <c r="AO1312" s="709"/>
      <c r="AP1312" s="709"/>
      <c r="AQ1312" s="709"/>
      <c r="AR1312" s="709"/>
      <c r="AS1312" s="709"/>
      <c r="AT1312" s="709"/>
      <c r="AU1312" s="709"/>
      <c r="AV1312" s="709"/>
      <c r="AW1312" s="709"/>
      <c r="AX1312" s="709"/>
      <c r="AY1312" s="709"/>
      <c r="AZ1312" s="709"/>
      <c r="BA1312" s="709"/>
      <c r="BB1312" s="709"/>
    </row>
    <row r="1313" spans="1:54" ht="12.6" customHeight="1" x14ac:dyDescent="0.25">
      <c r="A1313" s="227" t="s">
        <v>1344</v>
      </c>
    </row>
    <row r="1314" spans="1:54" ht="15" customHeight="1" x14ac:dyDescent="0.25">
      <c r="A1314" s="763"/>
      <c r="B1314" s="763"/>
      <c r="C1314" s="763"/>
      <c r="D1314" s="763"/>
      <c r="E1314" s="763"/>
      <c r="F1314" s="763"/>
      <c r="G1314" s="763"/>
      <c r="H1314" s="763"/>
      <c r="I1314" s="763"/>
      <c r="J1314" s="763"/>
      <c r="K1314" s="763"/>
      <c r="L1314" s="763"/>
      <c r="M1314" s="763"/>
      <c r="N1314" s="763"/>
      <c r="O1314" s="763"/>
      <c r="P1314" s="763"/>
      <c r="Q1314" s="763"/>
      <c r="R1314" s="763"/>
      <c r="S1314" s="763"/>
      <c r="T1314" s="763"/>
      <c r="U1314" s="763"/>
      <c r="V1314" s="763"/>
      <c r="W1314" s="763"/>
      <c r="X1314" s="763"/>
      <c r="Y1314" s="763"/>
      <c r="Z1314" s="763"/>
      <c r="AA1314" s="763"/>
      <c r="AB1314" s="763"/>
      <c r="AC1314" s="763"/>
      <c r="AD1314" s="763"/>
      <c r="AE1314" s="763"/>
      <c r="AF1314" s="763"/>
      <c r="AG1314" s="763"/>
      <c r="AH1314" s="763"/>
      <c r="AI1314" s="763"/>
      <c r="AJ1314" s="763"/>
      <c r="AK1314" s="763"/>
      <c r="AL1314" s="763"/>
      <c r="AM1314" s="763"/>
      <c r="AN1314" s="763"/>
      <c r="AO1314" s="763"/>
      <c r="AP1314" s="763"/>
      <c r="AQ1314" s="763"/>
      <c r="AR1314" s="763"/>
      <c r="AS1314" s="763"/>
      <c r="AT1314" s="763"/>
      <c r="AU1314" s="763"/>
      <c r="AV1314" s="763"/>
      <c r="AW1314" s="763"/>
      <c r="AX1314" s="763"/>
      <c r="AY1314" s="265"/>
      <c r="AZ1314" s="265"/>
      <c r="BA1314" s="265"/>
      <c r="BB1314" s="265"/>
    </row>
    <row r="1315" spans="1:54" ht="15" customHeight="1" x14ac:dyDescent="0.25">
      <c r="A1315" s="763"/>
      <c r="B1315" s="763"/>
      <c r="C1315" s="763"/>
      <c r="D1315" s="763"/>
      <c r="E1315" s="763"/>
      <c r="F1315" s="763"/>
      <c r="G1315" s="763"/>
      <c r="H1315" s="763"/>
      <c r="I1315" s="763"/>
      <c r="J1315" s="763"/>
      <c r="K1315" s="763"/>
      <c r="L1315" s="763"/>
      <c r="M1315" s="763"/>
      <c r="N1315" s="763"/>
      <c r="O1315" s="763"/>
      <c r="P1315" s="763"/>
      <c r="Q1315" s="763"/>
      <c r="R1315" s="763"/>
      <c r="S1315" s="763"/>
      <c r="T1315" s="763"/>
      <c r="U1315" s="763"/>
      <c r="V1315" s="763"/>
      <c r="W1315" s="763"/>
      <c r="X1315" s="763"/>
      <c r="Y1315" s="763"/>
      <c r="Z1315" s="763"/>
      <c r="AA1315" s="763"/>
      <c r="AB1315" s="763"/>
      <c r="AC1315" s="763"/>
      <c r="AD1315" s="763"/>
      <c r="AE1315" s="763"/>
      <c r="AF1315" s="763"/>
      <c r="AG1315" s="763"/>
      <c r="AH1315" s="763"/>
      <c r="AI1315" s="763"/>
      <c r="AJ1315" s="763"/>
      <c r="AK1315" s="763"/>
      <c r="AL1315" s="763"/>
      <c r="AM1315" s="763"/>
      <c r="AN1315" s="763"/>
      <c r="AO1315" s="763"/>
      <c r="AP1315" s="763"/>
      <c r="AQ1315" s="763"/>
      <c r="AR1315" s="763"/>
      <c r="AS1315" s="763"/>
      <c r="AT1315" s="763"/>
      <c r="AU1315" s="763"/>
      <c r="AV1315" s="763"/>
      <c r="AW1315" s="763"/>
      <c r="AX1315" s="763"/>
      <c r="AY1315" s="265"/>
      <c r="AZ1315" s="265"/>
      <c r="BA1315" s="265"/>
      <c r="BB1315" s="265"/>
    </row>
    <row r="1316" spans="1:54" ht="30" customHeight="1" x14ac:dyDescent="0.25">
      <c r="A1316" s="899" t="s">
        <v>1952</v>
      </c>
      <c r="B1316" s="899"/>
      <c r="C1316" s="899"/>
      <c r="D1316" s="899"/>
      <c r="E1316" s="899"/>
      <c r="F1316" s="899"/>
      <c r="G1316" s="899"/>
      <c r="H1316" s="899"/>
      <c r="I1316" s="899"/>
      <c r="J1316" s="899"/>
      <c r="K1316" s="899"/>
      <c r="L1316" s="899"/>
      <c r="M1316" s="899"/>
      <c r="N1316" s="899"/>
      <c r="O1316" s="899"/>
      <c r="P1316" s="899"/>
      <c r="Q1316" s="899"/>
      <c r="R1316" s="899"/>
      <c r="S1316" s="899"/>
      <c r="T1316" s="899"/>
      <c r="U1316" s="899"/>
      <c r="V1316" s="899"/>
      <c r="W1316" s="899"/>
      <c r="X1316" s="899"/>
      <c r="Y1316" s="899"/>
      <c r="Z1316" s="899"/>
      <c r="AA1316" s="899"/>
      <c r="AB1316" s="899"/>
      <c r="AC1316" s="899"/>
      <c r="AD1316" s="899"/>
      <c r="AE1316" s="899"/>
      <c r="AF1316" s="899"/>
      <c r="AG1316" s="899"/>
      <c r="AH1316" s="899"/>
      <c r="AI1316" s="899"/>
      <c r="AJ1316" s="899"/>
      <c r="AK1316" s="899"/>
      <c r="AL1316" s="899"/>
      <c r="AM1316" s="899"/>
      <c r="AN1316" s="899"/>
      <c r="AO1316" s="899"/>
      <c r="AP1316" s="899"/>
      <c r="AQ1316" s="899"/>
      <c r="AR1316" s="899"/>
      <c r="AS1316" s="899"/>
      <c r="AT1316" s="899"/>
      <c r="AU1316" s="899"/>
      <c r="AV1316" s="899"/>
      <c r="AW1316" s="899"/>
      <c r="AX1316" s="899"/>
      <c r="AY1316" s="899"/>
      <c r="AZ1316" s="899"/>
      <c r="BA1316" s="899"/>
      <c r="BB1316" s="320"/>
    </row>
    <row r="1317" spans="1:54" ht="30.75" customHeight="1" x14ac:dyDescent="0.25">
      <c r="A1317" s="853" t="s">
        <v>1287</v>
      </c>
      <c r="B1317" s="853"/>
      <c r="C1317" s="853"/>
      <c r="D1317" s="853"/>
      <c r="E1317" s="853"/>
      <c r="F1317" s="853"/>
      <c r="G1317" s="853"/>
      <c r="H1317" s="853"/>
      <c r="I1317" s="853"/>
      <c r="J1317" s="853"/>
      <c r="K1317" s="853"/>
      <c r="L1317" s="853"/>
      <c r="M1317" s="853"/>
      <c r="N1317" s="853"/>
      <c r="O1317" s="853"/>
      <c r="P1317" s="853"/>
      <c r="Q1317" s="853"/>
      <c r="R1317" s="853"/>
      <c r="S1317" s="853"/>
      <c r="T1317" s="853"/>
      <c r="U1317" s="853"/>
      <c r="V1317" s="853"/>
      <c r="W1317" s="853"/>
      <c r="X1317" s="853"/>
      <c r="Y1317" s="853"/>
      <c r="Z1317" s="853"/>
      <c r="AA1317" s="853"/>
      <c r="AB1317" s="853"/>
      <c r="AC1317" s="853"/>
      <c r="AD1317" s="853"/>
      <c r="AE1317" s="853"/>
      <c r="AF1317" s="854" t="s">
        <v>1288</v>
      </c>
      <c r="AG1317" s="854"/>
      <c r="AH1317" s="854"/>
      <c r="AI1317" s="854"/>
      <c r="AJ1317" s="854"/>
      <c r="AK1317" s="854"/>
      <c r="AL1317" s="854"/>
      <c r="AM1317" s="854"/>
      <c r="AN1317" s="854"/>
      <c r="AO1317" s="855" t="s">
        <v>1306</v>
      </c>
      <c r="AP1317" s="855"/>
      <c r="AQ1317" s="855"/>
      <c r="AR1317" s="855"/>
      <c r="AS1317" s="855"/>
      <c r="AT1317" s="855"/>
      <c r="AU1317" s="855"/>
      <c r="AV1317" s="855"/>
      <c r="AW1317" s="855"/>
      <c r="AX1317" s="855"/>
      <c r="AY1317" s="855"/>
      <c r="AZ1317" s="855"/>
      <c r="BA1317" s="855"/>
      <c r="BB1317" s="855"/>
    </row>
    <row r="1318" spans="1:54" ht="15" customHeight="1" x14ac:dyDescent="0.25">
      <c r="A1318" s="856" t="s">
        <v>1953</v>
      </c>
      <c r="B1318" s="856"/>
      <c r="C1318" s="856"/>
      <c r="D1318" s="856"/>
      <c r="E1318" s="856"/>
      <c r="F1318" s="856"/>
      <c r="G1318" s="856"/>
      <c r="H1318" s="856"/>
      <c r="I1318" s="856"/>
      <c r="J1318" s="856"/>
      <c r="K1318" s="856"/>
      <c r="L1318" s="856"/>
      <c r="M1318" s="856"/>
      <c r="N1318" s="856"/>
      <c r="O1318" s="856"/>
      <c r="P1318" s="856"/>
      <c r="Q1318" s="856"/>
      <c r="R1318" s="856"/>
      <c r="S1318" s="856"/>
      <c r="T1318" s="856"/>
      <c r="U1318" s="856"/>
      <c r="V1318" s="856"/>
      <c r="W1318" s="856"/>
      <c r="X1318" s="856"/>
      <c r="Y1318" s="856"/>
      <c r="Z1318" s="856"/>
      <c r="AA1318" s="856"/>
      <c r="AB1318" s="856"/>
      <c r="AC1318" s="856"/>
      <c r="AD1318" s="856"/>
      <c r="AE1318" s="856"/>
      <c r="AF1318" s="860"/>
      <c r="AG1318" s="860"/>
      <c r="AH1318" s="860"/>
      <c r="AI1318" s="860"/>
      <c r="AJ1318" s="860"/>
      <c r="AK1318" s="860"/>
      <c r="AL1318" s="860"/>
      <c r="AM1318" s="860"/>
      <c r="AN1318" s="860"/>
      <c r="AO1318" s="861"/>
      <c r="AP1318" s="861"/>
      <c r="AQ1318" s="861"/>
      <c r="AR1318" s="861"/>
      <c r="AS1318" s="861"/>
      <c r="AT1318" s="861"/>
      <c r="AU1318" s="861"/>
      <c r="AV1318" s="861"/>
      <c r="AW1318" s="861"/>
      <c r="AX1318" s="861"/>
      <c r="AY1318" s="861"/>
      <c r="AZ1318" s="861"/>
      <c r="BA1318" s="861"/>
      <c r="BB1318" s="861"/>
    </row>
    <row r="1319" spans="1:54" ht="15" customHeight="1" x14ac:dyDescent="0.25">
      <c r="A1319" s="859"/>
      <c r="B1319" s="859"/>
      <c r="C1319" s="859"/>
      <c r="D1319" s="859"/>
      <c r="E1319" s="859"/>
      <c r="F1319" s="859"/>
      <c r="G1319" s="859"/>
      <c r="H1319" s="859"/>
      <c r="I1319" s="859"/>
      <c r="J1319" s="859"/>
      <c r="K1319" s="859"/>
      <c r="L1319" s="859"/>
      <c r="M1319" s="859"/>
      <c r="N1319" s="859"/>
      <c r="O1319" s="859"/>
      <c r="P1319" s="859"/>
      <c r="Q1319" s="859"/>
      <c r="R1319" s="859"/>
      <c r="S1319" s="859"/>
      <c r="T1319" s="859"/>
      <c r="U1319" s="859"/>
      <c r="V1319" s="859"/>
      <c r="W1319" s="859"/>
      <c r="X1319" s="859"/>
      <c r="Y1319" s="859"/>
      <c r="Z1319" s="859"/>
      <c r="AA1319" s="859"/>
      <c r="AB1319" s="859"/>
      <c r="AC1319" s="859"/>
      <c r="AD1319" s="859"/>
      <c r="AE1319" s="859"/>
      <c r="AF1319" s="860"/>
      <c r="AG1319" s="860"/>
      <c r="AH1319" s="860"/>
      <c r="AI1319" s="860"/>
      <c r="AJ1319" s="860"/>
      <c r="AK1319" s="860"/>
      <c r="AL1319" s="860"/>
      <c r="AM1319" s="860"/>
      <c r="AN1319" s="860"/>
      <c r="AO1319" s="861"/>
      <c r="AP1319" s="861"/>
      <c r="AQ1319" s="861"/>
      <c r="AR1319" s="861"/>
      <c r="AS1319" s="861"/>
      <c r="AT1319" s="861"/>
      <c r="AU1319" s="861"/>
      <c r="AV1319" s="861"/>
      <c r="AW1319" s="861"/>
      <c r="AX1319" s="861"/>
      <c r="AY1319" s="861"/>
      <c r="AZ1319" s="861"/>
      <c r="BA1319" s="861"/>
      <c r="BB1319" s="861"/>
    </row>
    <row r="1320" spans="1:54" ht="15" customHeight="1" x14ac:dyDescent="0.25">
      <c r="A1320" s="859"/>
      <c r="B1320" s="859"/>
      <c r="C1320" s="859"/>
      <c r="D1320" s="859"/>
      <c r="E1320" s="859"/>
      <c r="F1320" s="859"/>
      <c r="G1320" s="859"/>
      <c r="H1320" s="859"/>
      <c r="I1320" s="859"/>
      <c r="J1320" s="859"/>
      <c r="K1320" s="859"/>
      <c r="L1320" s="859"/>
      <c r="M1320" s="859"/>
      <c r="N1320" s="859"/>
      <c r="O1320" s="859"/>
      <c r="P1320" s="859"/>
      <c r="Q1320" s="859"/>
      <c r="R1320" s="859"/>
      <c r="S1320" s="859"/>
      <c r="T1320" s="859"/>
      <c r="U1320" s="859"/>
      <c r="V1320" s="859"/>
      <c r="W1320" s="859"/>
      <c r="X1320" s="859"/>
      <c r="Y1320" s="859"/>
      <c r="Z1320" s="859"/>
      <c r="AA1320" s="859"/>
      <c r="AB1320" s="859"/>
      <c r="AC1320" s="859"/>
      <c r="AD1320" s="859"/>
      <c r="AE1320" s="859"/>
      <c r="AF1320" s="860"/>
      <c r="AG1320" s="860"/>
      <c r="AH1320" s="860"/>
      <c r="AI1320" s="860"/>
      <c r="AJ1320" s="860"/>
      <c r="AK1320" s="860"/>
      <c r="AL1320" s="860"/>
      <c r="AM1320" s="860"/>
      <c r="AN1320" s="860"/>
      <c r="AO1320" s="861"/>
      <c r="AP1320" s="861"/>
      <c r="AQ1320" s="861"/>
      <c r="AR1320" s="861"/>
      <c r="AS1320" s="861"/>
      <c r="AT1320" s="861"/>
      <c r="AU1320" s="861"/>
      <c r="AV1320" s="861"/>
      <c r="AW1320" s="861"/>
      <c r="AX1320" s="861"/>
      <c r="AY1320" s="861"/>
      <c r="AZ1320" s="861"/>
      <c r="BA1320" s="861"/>
      <c r="BB1320" s="861"/>
    </row>
    <row r="1321" spans="1:54" ht="15" customHeight="1" x14ac:dyDescent="0.25">
      <c r="A1321" s="856" t="s">
        <v>1954</v>
      </c>
      <c r="B1321" s="856"/>
      <c r="C1321" s="856"/>
      <c r="D1321" s="856"/>
      <c r="E1321" s="856"/>
      <c r="F1321" s="856"/>
      <c r="G1321" s="856"/>
      <c r="H1321" s="856"/>
      <c r="I1321" s="856"/>
      <c r="J1321" s="856"/>
      <c r="K1321" s="856"/>
      <c r="L1321" s="856"/>
      <c r="M1321" s="856"/>
      <c r="N1321" s="856"/>
      <c r="O1321" s="856"/>
      <c r="P1321" s="856"/>
      <c r="Q1321" s="856"/>
      <c r="R1321" s="856"/>
      <c r="S1321" s="856"/>
      <c r="T1321" s="856"/>
      <c r="U1321" s="856"/>
      <c r="V1321" s="856"/>
      <c r="W1321" s="856"/>
      <c r="X1321" s="856"/>
      <c r="Y1321" s="856"/>
      <c r="Z1321" s="856"/>
      <c r="AA1321" s="856"/>
      <c r="AB1321" s="856"/>
      <c r="AC1321" s="856"/>
      <c r="AD1321" s="856"/>
      <c r="AE1321" s="856"/>
      <c r="AF1321" s="860">
        <f>SUM(SUVAHAVUJ!N150-AF1342-AF1343-AF1344)</f>
        <v>322819.8</v>
      </c>
      <c r="AG1321" s="860"/>
      <c r="AH1321" s="860"/>
      <c r="AI1321" s="860"/>
      <c r="AJ1321" s="860"/>
      <c r="AK1321" s="860"/>
      <c r="AL1321" s="860"/>
      <c r="AM1321" s="860"/>
      <c r="AN1321" s="860"/>
      <c r="AO1321" s="861">
        <f>SUM(SUVAHAVUJ!X150-AO1342-AO1343-AO1344)</f>
        <v>356931.64999999997</v>
      </c>
      <c r="AP1321" s="861"/>
      <c r="AQ1321" s="861"/>
      <c r="AR1321" s="861"/>
      <c r="AS1321" s="861"/>
      <c r="AT1321" s="861"/>
      <c r="AU1321" s="861"/>
      <c r="AV1321" s="861"/>
      <c r="AW1321" s="861"/>
      <c r="AX1321" s="861"/>
      <c r="AY1321" s="861"/>
      <c r="AZ1321" s="861"/>
      <c r="BA1321" s="861"/>
      <c r="BB1321" s="861"/>
    </row>
    <row r="1322" spans="1:54" ht="15" customHeight="1" x14ac:dyDescent="0.25">
      <c r="A1322" s="859"/>
      <c r="B1322" s="859"/>
      <c r="C1322" s="859"/>
      <c r="D1322" s="859"/>
      <c r="E1322" s="859"/>
      <c r="F1322" s="859"/>
      <c r="G1322" s="859"/>
      <c r="H1322" s="859"/>
      <c r="I1322" s="859"/>
      <c r="J1322" s="859"/>
      <c r="K1322" s="859"/>
      <c r="L1322" s="859"/>
      <c r="M1322" s="859"/>
      <c r="N1322" s="859"/>
      <c r="O1322" s="859"/>
      <c r="P1322" s="859"/>
      <c r="Q1322" s="859"/>
      <c r="R1322" s="859"/>
      <c r="S1322" s="859"/>
      <c r="T1322" s="859"/>
      <c r="U1322" s="859"/>
      <c r="V1322" s="859"/>
      <c r="W1322" s="859"/>
      <c r="X1322" s="859"/>
      <c r="Y1322" s="859"/>
      <c r="Z1322" s="859"/>
      <c r="AA1322" s="859"/>
      <c r="AB1322" s="859"/>
      <c r="AC1322" s="859"/>
      <c r="AD1322" s="859"/>
      <c r="AE1322" s="859"/>
      <c r="AF1322" s="860"/>
      <c r="AG1322" s="860"/>
      <c r="AH1322" s="860"/>
      <c r="AI1322" s="860"/>
      <c r="AJ1322" s="860"/>
      <c r="AK1322" s="860"/>
      <c r="AL1322" s="860"/>
      <c r="AM1322" s="860"/>
      <c r="AN1322" s="860"/>
      <c r="AO1322" s="861"/>
      <c r="AP1322" s="861"/>
      <c r="AQ1322" s="861"/>
      <c r="AR1322" s="861"/>
      <c r="AS1322" s="861"/>
      <c r="AT1322" s="861"/>
      <c r="AU1322" s="861"/>
      <c r="AV1322" s="861"/>
      <c r="AW1322" s="861"/>
      <c r="AX1322" s="861"/>
      <c r="AY1322" s="861"/>
      <c r="AZ1322" s="861"/>
      <c r="BA1322" s="861"/>
      <c r="BB1322" s="861"/>
    </row>
    <row r="1323" spans="1:54" ht="15" customHeight="1" x14ac:dyDescent="0.25">
      <c r="A1323" s="859"/>
      <c r="B1323" s="859"/>
      <c r="C1323" s="859"/>
      <c r="D1323" s="859"/>
      <c r="E1323" s="859"/>
      <c r="F1323" s="859"/>
      <c r="G1323" s="859"/>
      <c r="H1323" s="859"/>
      <c r="I1323" s="859"/>
      <c r="J1323" s="859"/>
      <c r="K1323" s="859"/>
      <c r="L1323" s="859"/>
      <c r="M1323" s="859"/>
      <c r="N1323" s="859"/>
      <c r="O1323" s="859"/>
      <c r="P1323" s="859"/>
      <c r="Q1323" s="859"/>
      <c r="R1323" s="859"/>
      <c r="S1323" s="859"/>
      <c r="T1323" s="859"/>
      <c r="U1323" s="859"/>
      <c r="V1323" s="859"/>
      <c r="W1323" s="859"/>
      <c r="X1323" s="859"/>
      <c r="Y1323" s="859"/>
      <c r="Z1323" s="859"/>
      <c r="AA1323" s="859"/>
      <c r="AB1323" s="859"/>
      <c r="AC1323" s="859"/>
      <c r="AD1323" s="859"/>
      <c r="AE1323" s="859"/>
      <c r="AF1323" s="860"/>
      <c r="AG1323" s="860"/>
      <c r="AH1323" s="860"/>
      <c r="AI1323" s="860"/>
      <c r="AJ1323" s="860"/>
      <c r="AK1323" s="860"/>
      <c r="AL1323" s="860"/>
      <c r="AM1323" s="860"/>
      <c r="AN1323" s="860"/>
      <c r="AO1323" s="861"/>
      <c r="AP1323" s="861"/>
      <c r="AQ1323" s="861"/>
      <c r="AR1323" s="861"/>
      <c r="AS1323" s="861"/>
      <c r="AT1323" s="861"/>
      <c r="AU1323" s="861"/>
      <c r="AV1323" s="861"/>
      <c r="AW1323" s="861"/>
      <c r="AX1323" s="861"/>
      <c r="AY1323" s="861"/>
      <c r="AZ1323" s="861"/>
      <c r="BA1323" s="861"/>
      <c r="BB1323" s="861"/>
    </row>
    <row r="1324" spans="1:54" ht="15" customHeight="1" x14ac:dyDescent="0.25">
      <c r="A1324" s="859"/>
      <c r="B1324" s="859"/>
      <c r="C1324" s="859"/>
      <c r="D1324" s="859"/>
      <c r="E1324" s="859"/>
      <c r="F1324" s="859"/>
      <c r="G1324" s="859"/>
      <c r="H1324" s="859"/>
      <c r="I1324" s="859"/>
      <c r="J1324" s="859"/>
      <c r="K1324" s="859"/>
      <c r="L1324" s="859"/>
      <c r="M1324" s="859"/>
      <c r="N1324" s="859"/>
      <c r="O1324" s="859"/>
      <c r="P1324" s="859"/>
      <c r="Q1324" s="859"/>
      <c r="R1324" s="859"/>
      <c r="S1324" s="859"/>
      <c r="T1324" s="859"/>
      <c r="U1324" s="859"/>
      <c r="V1324" s="859"/>
      <c r="W1324" s="859"/>
      <c r="X1324" s="859"/>
      <c r="Y1324" s="859"/>
      <c r="Z1324" s="859"/>
      <c r="AA1324" s="859"/>
      <c r="AB1324" s="859"/>
      <c r="AC1324" s="859"/>
      <c r="AD1324" s="859"/>
      <c r="AE1324" s="859"/>
      <c r="AF1324" s="860"/>
      <c r="AG1324" s="860"/>
      <c r="AH1324" s="860"/>
      <c r="AI1324" s="860"/>
      <c r="AJ1324" s="860"/>
      <c r="AK1324" s="860"/>
      <c r="AL1324" s="860"/>
      <c r="AM1324" s="860"/>
      <c r="AN1324" s="860"/>
      <c r="AO1324" s="861"/>
      <c r="AP1324" s="861"/>
      <c r="AQ1324" s="861"/>
      <c r="AR1324" s="861"/>
      <c r="AS1324" s="861"/>
      <c r="AT1324" s="861"/>
      <c r="AU1324" s="861"/>
      <c r="AV1324" s="861"/>
      <c r="AW1324" s="861"/>
      <c r="AX1324" s="861"/>
      <c r="AY1324" s="861"/>
      <c r="AZ1324" s="861"/>
      <c r="BA1324" s="861"/>
      <c r="BB1324" s="861"/>
    </row>
    <row r="1325" spans="1:54" ht="15" customHeight="1" x14ac:dyDescent="0.25">
      <c r="A1325" s="856" t="s">
        <v>1955</v>
      </c>
      <c r="B1325" s="856"/>
      <c r="C1325" s="856"/>
      <c r="D1325" s="856"/>
      <c r="E1325" s="856"/>
      <c r="F1325" s="856"/>
      <c r="G1325" s="856"/>
      <c r="H1325" s="856"/>
      <c r="I1325" s="856"/>
      <c r="J1325" s="856"/>
      <c r="K1325" s="856"/>
      <c r="L1325" s="856"/>
      <c r="M1325" s="856"/>
      <c r="N1325" s="856"/>
      <c r="O1325" s="856"/>
      <c r="P1325" s="856"/>
      <c r="Q1325" s="856"/>
      <c r="R1325" s="856"/>
      <c r="S1325" s="856"/>
      <c r="T1325" s="856"/>
      <c r="U1325" s="856"/>
      <c r="V1325" s="856"/>
      <c r="W1325" s="856"/>
      <c r="X1325" s="856"/>
      <c r="Y1325" s="856"/>
      <c r="Z1325" s="856"/>
      <c r="AA1325" s="856"/>
      <c r="AB1325" s="856"/>
      <c r="AC1325" s="856"/>
      <c r="AD1325" s="856"/>
      <c r="AE1325" s="856"/>
      <c r="AF1325" s="860"/>
      <c r="AG1325" s="860"/>
      <c r="AH1325" s="860"/>
      <c r="AI1325" s="860"/>
      <c r="AJ1325" s="860"/>
      <c r="AK1325" s="860"/>
      <c r="AL1325" s="860"/>
      <c r="AM1325" s="860"/>
      <c r="AN1325" s="860"/>
      <c r="AO1325" s="861"/>
      <c r="AP1325" s="861"/>
      <c r="AQ1325" s="861"/>
      <c r="AR1325" s="861"/>
      <c r="AS1325" s="861"/>
      <c r="AT1325" s="861"/>
      <c r="AU1325" s="861"/>
      <c r="AV1325" s="861"/>
      <c r="AW1325" s="861"/>
      <c r="AX1325" s="861"/>
      <c r="AY1325" s="861"/>
      <c r="AZ1325" s="861"/>
      <c r="BA1325" s="861"/>
      <c r="BB1325" s="861"/>
    </row>
    <row r="1326" spans="1:54" ht="15" customHeight="1" x14ac:dyDescent="0.25">
      <c r="A1326" s="859" t="s">
        <v>1956</v>
      </c>
      <c r="B1326" s="859"/>
      <c r="C1326" s="859"/>
      <c r="D1326" s="859"/>
      <c r="E1326" s="859"/>
      <c r="F1326" s="859"/>
      <c r="G1326" s="859"/>
      <c r="H1326" s="859"/>
      <c r="I1326" s="859"/>
      <c r="J1326" s="859"/>
      <c r="K1326" s="859"/>
      <c r="L1326" s="859"/>
      <c r="M1326" s="859"/>
      <c r="N1326" s="859"/>
      <c r="O1326" s="859"/>
      <c r="P1326" s="859"/>
      <c r="Q1326" s="859"/>
      <c r="R1326" s="859"/>
      <c r="S1326" s="859"/>
      <c r="T1326" s="859"/>
      <c r="U1326" s="859"/>
      <c r="V1326" s="859"/>
      <c r="W1326" s="859"/>
      <c r="X1326" s="859"/>
      <c r="Y1326" s="859"/>
      <c r="Z1326" s="859"/>
      <c r="AA1326" s="859"/>
      <c r="AB1326" s="859"/>
      <c r="AC1326" s="859"/>
      <c r="AD1326" s="859"/>
      <c r="AE1326" s="859"/>
      <c r="AF1326" s="860">
        <f>SUVAHAVUJ!$N$190</f>
        <v>0</v>
      </c>
      <c r="AG1326" s="860"/>
      <c r="AH1326" s="860"/>
      <c r="AI1326" s="860"/>
      <c r="AJ1326" s="860"/>
      <c r="AK1326" s="860"/>
      <c r="AL1326" s="860"/>
      <c r="AM1326" s="860"/>
      <c r="AN1326" s="860"/>
      <c r="AO1326" s="861">
        <f>SUVAHAVUJ!$X$190</f>
        <v>0</v>
      </c>
      <c r="AP1326" s="861"/>
      <c r="AQ1326" s="861"/>
      <c r="AR1326" s="861"/>
      <c r="AS1326" s="861"/>
      <c r="AT1326" s="861"/>
      <c r="AU1326" s="861"/>
      <c r="AV1326" s="861"/>
      <c r="AW1326" s="861"/>
      <c r="AX1326" s="861"/>
      <c r="AY1326" s="861"/>
      <c r="AZ1326" s="861"/>
      <c r="BA1326" s="861"/>
      <c r="BB1326" s="861"/>
    </row>
    <row r="1327" spans="1:54" ht="15" customHeight="1" x14ac:dyDescent="0.25">
      <c r="A1327" s="859" t="s">
        <v>1957</v>
      </c>
      <c r="B1327" s="859"/>
      <c r="C1327" s="859"/>
      <c r="D1327" s="859"/>
      <c r="E1327" s="859"/>
      <c r="F1327" s="859"/>
      <c r="G1327" s="859"/>
      <c r="H1327" s="859"/>
      <c r="I1327" s="859"/>
      <c r="J1327" s="859"/>
      <c r="K1327" s="859"/>
      <c r="L1327" s="859"/>
      <c r="M1327" s="859"/>
      <c r="N1327" s="859"/>
      <c r="O1327" s="859"/>
      <c r="P1327" s="859"/>
      <c r="Q1327" s="859"/>
      <c r="R1327" s="859"/>
      <c r="S1327" s="859"/>
      <c r="T1327" s="859"/>
      <c r="U1327" s="859"/>
      <c r="V1327" s="859"/>
      <c r="W1327" s="859"/>
      <c r="X1327" s="859"/>
      <c r="Y1327" s="859"/>
      <c r="Z1327" s="859"/>
      <c r="AA1327" s="859"/>
      <c r="AB1327" s="859"/>
      <c r="AC1327" s="859"/>
      <c r="AD1327" s="859"/>
      <c r="AE1327" s="859"/>
      <c r="AF1327" s="860"/>
      <c r="AG1327" s="860"/>
      <c r="AH1327" s="860"/>
      <c r="AI1327" s="860"/>
      <c r="AJ1327" s="860"/>
      <c r="AK1327" s="860"/>
      <c r="AL1327" s="860"/>
      <c r="AM1327" s="860"/>
      <c r="AN1327" s="860"/>
      <c r="AO1327" s="861"/>
      <c r="AP1327" s="861"/>
      <c r="AQ1327" s="861"/>
      <c r="AR1327" s="861"/>
      <c r="AS1327" s="861"/>
      <c r="AT1327" s="861"/>
      <c r="AU1327" s="861"/>
      <c r="AV1327" s="861"/>
      <c r="AW1327" s="861"/>
      <c r="AX1327" s="861"/>
      <c r="AY1327" s="861"/>
      <c r="AZ1327" s="861"/>
      <c r="BA1327" s="861"/>
      <c r="BB1327" s="861"/>
    </row>
    <row r="1328" spans="1:54" ht="15" customHeight="1" x14ac:dyDescent="0.25">
      <c r="A1328" s="859" t="s">
        <v>1958</v>
      </c>
      <c r="B1328" s="859"/>
      <c r="C1328" s="859"/>
      <c r="D1328" s="859"/>
      <c r="E1328" s="859"/>
      <c r="F1328" s="859"/>
      <c r="G1328" s="859"/>
      <c r="H1328" s="859"/>
      <c r="I1328" s="859"/>
      <c r="J1328" s="859"/>
      <c r="K1328" s="859"/>
      <c r="L1328" s="859"/>
      <c r="M1328" s="859"/>
      <c r="N1328" s="859"/>
      <c r="O1328" s="859"/>
      <c r="P1328" s="859"/>
      <c r="Q1328" s="859"/>
      <c r="R1328" s="859"/>
      <c r="S1328" s="859"/>
      <c r="T1328" s="859"/>
      <c r="U1328" s="859"/>
      <c r="V1328" s="859"/>
      <c r="W1328" s="859"/>
      <c r="X1328" s="859"/>
      <c r="Y1328" s="859"/>
      <c r="Z1328" s="859"/>
      <c r="AA1328" s="859"/>
      <c r="AB1328" s="859"/>
      <c r="AC1328" s="859"/>
      <c r="AD1328" s="859"/>
      <c r="AE1328" s="859"/>
      <c r="AF1328" s="860"/>
      <c r="AG1328" s="860"/>
      <c r="AH1328" s="860"/>
      <c r="AI1328" s="860"/>
      <c r="AJ1328" s="860"/>
      <c r="AK1328" s="860"/>
      <c r="AL1328" s="860"/>
      <c r="AM1328" s="860"/>
      <c r="AN1328" s="860"/>
      <c r="AO1328" s="861"/>
      <c r="AP1328" s="861"/>
      <c r="AQ1328" s="861"/>
      <c r="AR1328" s="861"/>
      <c r="AS1328" s="861"/>
      <c r="AT1328" s="861"/>
      <c r="AU1328" s="861"/>
      <c r="AV1328" s="861"/>
      <c r="AW1328" s="861"/>
      <c r="AX1328" s="861"/>
      <c r="AY1328" s="861"/>
      <c r="AZ1328" s="861"/>
      <c r="BA1328" s="861"/>
      <c r="BB1328" s="861"/>
    </row>
    <row r="1329" spans="1:54" ht="15" customHeight="1" x14ac:dyDescent="0.25">
      <c r="A1329" s="859"/>
      <c r="B1329" s="859"/>
      <c r="C1329" s="859"/>
      <c r="D1329" s="859"/>
      <c r="E1329" s="859"/>
      <c r="F1329" s="859"/>
      <c r="G1329" s="859"/>
      <c r="H1329" s="859"/>
      <c r="I1329" s="859"/>
      <c r="J1329" s="859"/>
      <c r="K1329" s="859"/>
      <c r="L1329" s="859"/>
      <c r="M1329" s="859"/>
      <c r="N1329" s="859"/>
      <c r="O1329" s="859"/>
      <c r="P1329" s="859"/>
      <c r="Q1329" s="859"/>
      <c r="R1329" s="859"/>
      <c r="S1329" s="859"/>
      <c r="T1329" s="859"/>
      <c r="U1329" s="859"/>
      <c r="V1329" s="859"/>
      <c r="W1329" s="859"/>
      <c r="X1329" s="859"/>
      <c r="Y1329" s="859"/>
      <c r="Z1329" s="859"/>
      <c r="AA1329" s="859"/>
      <c r="AB1329" s="859"/>
      <c r="AC1329" s="859"/>
      <c r="AD1329" s="859"/>
      <c r="AE1329" s="859"/>
      <c r="AF1329" s="860"/>
      <c r="AG1329" s="860"/>
      <c r="AH1329" s="860"/>
      <c r="AI1329" s="860"/>
      <c r="AJ1329" s="860"/>
      <c r="AK1329" s="860"/>
      <c r="AL1329" s="860"/>
      <c r="AM1329" s="860"/>
      <c r="AN1329" s="860"/>
      <c r="AO1329" s="861"/>
      <c r="AP1329" s="861"/>
      <c r="AQ1329" s="861"/>
      <c r="AR1329" s="861"/>
      <c r="AS1329" s="861"/>
      <c r="AT1329" s="861"/>
      <c r="AU1329" s="861"/>
      <c r="AV1329" s="861"/>
      <c r="AW1329" s="861"/>
      <c r="AX1329" s="861"/>
      <c r="AY1329" s="861"/>
      <c r="AZ1329" s="861"/>
      <c r="BA1329" s="861"/>
      <c r="BB1329" s="861"/>
    </row>
    <row r="1330" spans="1:54" ht="15" customHeight="1" x14ac:dyDescent="0.25">
      <c r="A1330" s="859"/>
      <c r="B1330" s="859"/>
      <c r="C1330" s="859"/>
      <c r="D1330" s="859"/>
      <c r="E1330" s="859"/>
      <c r="F1330" s="859"/>
      <c r="G1330" s="859"/>
      <c r="H1330" s="859"/>
      <c r="I1330" s="859"/>
      <c r="J1330" s="859"/>
      <c r="K1330" s="859"/>
      <c r="L1330" s="859"/>
      <c r="M1330" s="859"/>
      <c r="N1330" s="859"/>
      <c r="O1330" s="859"/>
      <c r="P1330" s="859"/>
      <c r="Q1330" s="859"/>
      <c r="R1330" s="859"/>
      <c r="S1330" s="859"/>
      <c r="T1330" s="859"/>
      <c r="U1330" s="859"/>
      <c r="V1330" s="859"/>
      <c r="W1330" s="859"/>
      <c r="X1330" s="859"/>
      <c r="Y1330" s="859"/>
      <c r="Z1330" s="859"/>
      <c r="AA1330" s="859"/>
      <c r="AB1330" s="859"/>
      <c r="AC1330" s="859"/>
      <c r="AD1330" s="859"/>
      <c r="AE1330" s="859"/>
      <c r="AF1330" s="860"/>
      <c r="AG1330" s="860"/>
      <c r="AH1330" s="860"/>
      <c r="AI1330" s="860"/>
      <c r="AJ1330" s="860"/>
      <c r="AK1330" s="860"/>
      <c r="AL1330" s="860"/>
      <c r="AM1330" s="860"/>
      <c r="AN1330" s="860"/>
      <c r="AO1330" s="861"/>
      <c r="AP1330" s="861"/>
      <c r="AQ1330" s="861"/>
      <c r="AR1330" s="861"/>
      <c r="AS1330" s="861"/>
      <c r="AT1330" s="861"/>
      <c r="AU1330" s="861"/>
      <c r="AV1330" s="861"/>
      <c r="AW1330" s="861"/>
      <c r="AX1330" s="861"/>
      <c r="AY1330" s="861"/>
      <c r="AZ1330" s="861"/>
      <c r="BA1330" s="861"/>
      <c r="BB1330" s="861"/>
    </row>
    <row r="1331" spans="1:54" ht="15" customHeight="1" x14ac:dyDescent="0.25">
      <c r="A1331" s="859"/>
      <c r="B1331" s="859"/>
      <c r="C1331" s="859"/>
      <c r="D1331" s="859"/>
      <c r="E1331" s="859"/>
      <c r="F1331" s="859"/>
      <c r="G1331" s="859"/>
      <c r="H1331" s="859"/>
      <c r="I1331" s="859"/>
      <c r="J1331" s="859"/>
      <c r="K1331" s="859"/>
      <c r="L1331" s="859"/>
      <c r="M1331" s="859"/>
      <c r="N1331" s="859"/>
      <c r="O1331" s="859"/>
      <c r="P1331" s="859"/>
      <c r="Q1331" s="859"/>
      <c r="R1331" s="859"/>
      <c r="S1331" s="859"/>
      <c r="T1331" s="859"/>
      <c r="U1331" s="859"/>
      <c r="V1331" s="859"/>
      <c r="W1331" s="859"/>
      <c r="X1331" s="859"/>
      <c r="Y1331" s="859"/>
      <c r="Z1331" s="859"/>
      <c r="AA1331" s="859"/>
      <c r="AB1331" s="859"/>
      <c r="AC1331" s="859"/>
      <c r="AD1331" s="859"/>
      <c r="AE1331" s="859"/>
      <c r="AF1331" s="860"/>
      <c r="AG1331" s="860"/>
      <c r="AH1331" s="860"/>
      <c r="AI1331" s="860"/>
      <c r="AJ1331" s="860"/>
      <c r="AK1331" s="860"/>
      <c r="AL1331" s="860"/>
      <c r="AM1331" s="860"/>
      <c r="AN1331" s="860"/>
      <c r="AO1331" s="861"/>
      <c r="AP1331" s="861"/>
      <c r="AQ1331" s="861"/>
      <c r="AR1331" s="861"/>
      <c r="AS1331" s="861"/>
      <c r="AT1331" s="861"/>
      <c r="AU1331" s="861"/>
      <c r="AV1331" s="861"/>
      <c r="AW1331" s="861"/>
      <c r="AX1331" s="861"/>
      <c r="AY1331" s="861"/>
      <c r="AZ1331" s="861"/>
      <c r="BA1331" s="861"/>
      <c r="BB1331" s="861"/>
    </row>
    <row r="1332" spans="1:54" ht="15" customHeight="1" x14ac:dyDescent="0.25">
      <c r="A1332" s="856"/>
      <c r="B1332" s="856"/>
      <c r="C1332" s="856"/>
      <c r="D1332" s="856"/>
      <c r="E1332" s="856"/>
      <c r="F1332" s="856"/>
      <c r="G1332" s="856"/>
      <c r="H1332" s="856"/>
      <c r="I1332" s="856"/>
      <c r="J1332" s="856"/>
      <c r="K1332" s="856"/>
      <c r="L1332" s="856"/>
      <c r="M1332" s="856"/>
      <c r="N1332" s="856"/>
      <c r="O1332" s="856"/>
      <c r="P1332" s="856"/>
      <c r="Q1332" s="856"/>
      <c r="R1332" s="856"/>
      <c r="S1332" s="856"/>
      <c r="T1332" s="856"/>
      <c r="U1332" s="856"/>
      <c r="V1332" s="856"/>
      <c r="W1332" s="856"/>
      <c r="X1332" s="856"/>
      <c r="Y1332" s="856"/>
      <c r="Z1332" s="856"/>
      <c r="AA1332" s="856"/>
      <c r="AB1332" s="856"/>
      <c r="AC1332" s="856"/>
      <c r="AD1332" s="856"/>
      <c r="AE1332" s="856"/>
      <c r="AF1332" s="860"/>
      <c r="AG1332" s="860"/>
      <c r="AH1332" s="860"/>
      <c r="AI1332" s="860"/>
      <c r="AJ1332" s="860"/>
      <c r="AK1332" s="860"/>
      <c r="AL1332" s="860"/>
      <c r="AM1332" s="860"/>
      <c r="AN1332" s="860"/>
      <c r="AO1332" s="861"/>
      <c r="AP1332" s="861"/>
      <c r="AQ1332" s="861"/>
      <c r="AR1332" s="861"/>
      <c r="AS1332" s="861"/>
      <c r="AT1332" s="861"/>
      <c r="AU1332" s="861"/>
      <c r="AV1332" s="861"/>
      <c r="AW1332" s="861"/>
      <c r="AX1332" s="861"/>
      <c r="AY1332" s="861"/>
      <c r="AZ1332" s="861"/>
      <c r="BA1332" s="861"/>
      <c r="BB1332" s="861"/>
    </row>
    <row r="1333" spans="1:54" ht="15" customHeight="1" x14ac:dyDescent="0.25">
      <c r="A1333" s="859"/>
      <c r="B1333" s="859"/>
      <c r="C1333" s="859"/>
      <c r="D1333" s="859"/>
      <c r="E1333" s="859"/>
      <c r="F1333" s="859"/>
      <c r="G1333" s="859"/>
      <c r="H1333" s="859"/>
      <c r="I1333" s="859"/>
      <c r="J1333" s="859"/>
      <c r="K1333" s="859"/>
      <c r="L1333" s="859"/>
      <c r="M1333" s="859"/>
      <c r="N1333" s="859"/>
      <c r="O1333" s="859"/>
      <c r="P1333" s="859"/>
      <c r="Q1333" s="859"/>
      <c r="R1333" s="859"/>
      <c r="S1333" s="859"/>
      <c r="T1333" s="859"/>
      <c r="U1333" s="859"/>
      <c r="V1333" s="859"/>
      <c r="W1333" s="859"/>
      <c r="X1333" s="859"/>
      <c r="Y1333" s="859"/>
      <c r="Z1333" s="859"/>
      <c r="AA1333" s="859"/>
      <c r="AB1333" s="859"/>
      <c r="AC1333" s="859"/>
      <c r="AD1333" s="859"/>
      <c r="AE1333" s="859"/>
      <c r="AF1333" s="860"/>
      <c r="AG1333" s="860"/>
      <c r="AH1333" s="860"/>
      <c r="AI1333" s="860"/>
      <c r="AJ1333" s="860"/>
      <c r="AK1333" s="860"/>
      <c r="AL1333" s="860"/>
      <c r="AM1333" s="860"/>
      <c r="AN1333" s="860"/>
      <c r="AO1333" s="861"/>
      <c r="AP1333" s="861"/>
      <c r="AQ1333" s="861"/>
      <c r="AR1333" s="861"/>
      <c r="AS1333" s="861"/>
      <c r="AT1333" s="861"/>
      <c r="AU1333" s="861"/>
      <c r="AV1333" s="861"/>
      <c r="AW1333" s="861"/>
      <c r="AX1333" s="861"/>
      <c r="AY1333" s="861"/>
      <c r="AZ1333" s="861"/>
      <c r="BA1333" s="861"/>
      <c r="BB1333" s="861"/>
    </row>
    <row r="1334" spans="1:54" ht="15" customHeight="1" x14ac:dyDescent="0.25">
      <c r="A1334" s="859"/>
      <c r="B1334" s="859"/>
      <c r="C1334" s="859"/>
      <c r="D1334" s="859"/>
      <c r="E1334" s="859"/>
      <c r="F1334" s="859"/>
      <c r="G1334" s="859"/>
      <c r="H1334" s="859"/>
      <c r="I1334" s="859"/>
      <c r="J1334" s="859"/>
      <c r="K1334" s="859"/>
      <c r="L1334" s="859"/>
      <c r="M1334" s="859"/>
      <c r="N1334" s="859"/>
      <c r="O1334" s="859"/>
      <c r="P1334" s="859"/>
      <c r="Q1334" s="859"/>
      <c r="R1334" s="859"/>
      <c r="S1334" s="859"/>
      <c r="T1334" s="859"/>
      <c r="U1334" s="859"/>
      <c r="V1334" s="859"/>
      <c r="W1334" s="859"/>
      <c r="X1334" s="859"/>
      <c r="Y1334" s="859"/>
      <c r="Z1334" s="859"/>
      <c r="AA1334" s="859"/>
      <c r="AB1334" s="859"/>
      <c r="AC1334" s="859"/>
      <c r="AD1334" s="859"/>
      <c r="AE1334" s="859"/>
      <c r="AF1334" s="860"/>
      <c r="AG1334" s="860"/>
      <c r="AH1334" s="860"/>
      <c r="AI1334" s="860"/>
      <c r="AJ1334" s="860"/>
      <c r="AK1334" s="860"/>
      <c r="AL1334" s="860"/>
      <c r="AM1334" s="860"/>
      <c r="AN1334" s="860"/>
      <c r="AO1334" s="861"/>
      <c r="AP1334" s="861"/>
      <c r="AQ1334" s="861"/>
      <c r="AR1334" s="861"/>
      <c r="AS1334" s="861"/>
      <c r="AT1334" s="861"/>
      <c r="AU1334" s="861"/>
      <c r="AV1334" s="861"/>
      <c r="AW1334" s="861"/>
      <c r="AX1334" s="861"/>
      <c r="AY1334" s="861"/>
      <c r="AZ1334" s="861"/>
      <c r="BA1334" s="861"/>
      <c r="BB1334" s="861"/>
    </row>
    <row r="1335" spans="1:54" ht="11.25" customHeight="1" x14ac:dyDescent="0.25">
      <c r="A1335" s="227" t="s">
        <v>1482</v>
      </c>
    </row>
    <row r="1336" spans="1:54" ht="15" customHeight="1" x14ac:dyDescent="0.25">
      <c r="A1336" s="763"/>
      <c r="B1336" s="763"/>
      <c r="C1336" s="763"/>
      <c r="D1336" s="763"/>
      <c r="E1336" s="763"/>
      <c r="F1336" s="763"/>
      <c r="G1336" s="763"/>
      <c r="H1336" s="763"/>
      <c r="I1336" s="763"/>
      <c r="J1336" s="763"/>
      <c r="K1336" s="763"/>
      <c r="L1336" s="763"/>
      <c r="M1336" s="763"/>
      <c r="N1336" s="763"/>
      <c r="O1336" s="763"/>
      <c r="P1336" s="763"/>
      <c r="Q1336" s="763"/>
      <c r="R1336" s="763"/>
      <c r="S1336" s="763"/>
      <c r="T1336" s="763"/>
      <c r="U1336" s="763"/>
      <c r="V1336" s="763"/>
      <c r="W1336" s="763"/>
      <c r="X1336" s="763"/>
      <c r="Y1336" s="763"/>
      <c r="Z1336" s="763"/>
      <c r="AA1336" s="763"/>
      <c r="AB1336" s="763"/>
      <c r="AC1336" s="763"/>
      <c r="AD1336" s="763"/>
      <c r="AE1336" s="763"/>
      <c r="AF1336" s="763"/>
      <c r="AG1336" s="763"/>
      <c r="AH1336" s="763"/>
      <c r="AI1336" s="763"/>
      <c r="AJ1336" s="763"/>
      <c r="AK1336" s="763"/>
      <c r="AL1336" s="763"/>
      <c r="AM1336" s="763"/>
      <c r="AN1336" s="763"/>
      <c r="AO1336" s="763"/>
      <c r="AP1336" s="763"/>
      <c r="AQ1336" s="763"/>
      <c r="AR1336" s="763"/>
      <c r="AS1336" s="763"/>
      <c r="AT1336" s="763"/>
      <c r="AU1336" s="763"/>
      <c r="AV1336" s="763"/>
      <c r="AW1336" s="763"/>
      <c r="AX1336" s="763"/>
      <c r="AY1336" s="265"/>
      <c r="AZ1336" s="265"/>
      <c r="BA1336" s="265"/>
      <c r="BB1336" s="265"/>
    </row>
    <row r="1337" spans="1:54" ht="15" customHeight="1" x14ac:dyDescent="0.25">
      <c r="A1337" s="763"/>
      <c r="B1337" s="763"/>
      <c r="C1337" s="763"/>
      <c r="D1337" s="763"/>
      <c r="E1337" s="763"/>
      <c r="F1337" s="763"/>
      <c r="G1337" s="763"/>
      <c r="H1337" s="763"/>
      <c r="I1337" s="763"/>
      <c r="J1337" s="763"/>
      <c r="K1337" s="763"/>
      <c r="L1337" s="763"/>
      <c r="M1337" s="763"/>
      <c r="N1337" s="763"/>
      <c r="O1337" s="763"/>
      <c r="P1337" s="763"/>
      <c r="Q1337" s="763"/>
      <c r="R1337" s="763"/>
      <c r="S1337" s="763"/>
      <c r="T1337" s="763"/>
      <c r="U1337" s="763"/>
      <c r="V1337" s="763"/>
      <c r="W1337" s="763"/>
      <c r="X1337" s="763"/>
      <c r="Y1337" s="763"/>
      <c r="Z1337" s="763"/>
      <c r="AA1337" s="763"/>
      <c r="AB1337" s="763"/>
      <c r="AC1337" s="763"/>
      <c r="AD1337" s="763"/>
      <c r="AE1337" s="763"/>
      <c r="AF1337" s="763"/>
      <c r="AG1337" s="763"/>
      <c r="AH1337" s="763"/>
      <c r="AI1337" s="763"/>
      <c r="AJ1337" s="763"/>
      <c r="AK1337" s="763"/>
      <c r="AL1337" s="763"/>
      <c r="AM1337" s="763"/>
      <c r="AN1337" s="763"/>
      <c r="AO1337" s="763"/>
      <c r="AP1337" s="763"/>
      <c r="AQ1337" s="763"/>
      <c r="AR1337" s="763"/>
      <c r="AS1337" s="763"/>
      <c r="AT1337" s="763"/>
      <c r="AU1337" s="763"/>
      <c r="AV1337" s="763"/>
      <c r="AW1337" s="763"/>
      <c r="AX1337" s="763"/>
      <c r="AY1337" s="265"/>
      <c r="AZ1337" s="265"/>
      <c r="BA1337" s="265"/>
      <c r="BB1337" s="265"/>
    </row>
    <row r="1338" spans="1:54" ht="12.6" customHeight="1" x14ac:dyDescent="0.25">
      <c r="A1338" s="227" t="s">
        <v>1959</v>
      </c>
    </row>
    <row r="1339" spans="1:54" ht="12.6" customHeight="1" x14ac:dyDescent="0.25">
      <c r="A1339" s="241"/>
      <c r="B1339" s="242"/>
      <c r="C1339" s="242"/>
      <c r="D1339" s="242"/>
      <c r="E1339" s="242"/>
      <c r="F1339" s="242"/>
      <c r="G1339" s="242"/>
      <c r="H1339" s="242"/>
      <c r="I1339" s="242"/>
      <c r="J1339" s="242"/>
      <c r="K1339" s="242"/>
      <c r="L1339" s="242"/>
      <c r="M1339" s="242"/>
      <c r="N1339" s="242"/>
      <c r="O1339" s="242"/>
      <c r="P1339" s="242"/>
      <c r="Q1339" s="242"/>
      <c r="R1339" s="242"/>
      <c r="S1339" s="242"/>
      <c r="T1339" s="242"/>
      <c r="U1339" s="242"/>
      <c r="V1339" s="242"/>
      <c r="W1339" s="242"/>
      <c r="X1339" s="242"/>
      <c r="Y1339" s="242"/>
      <c r="Z1339" s="242"/>
      <c r="AA1339" s="242"/>
      <c r="AB1339" s="242"/>
      <c r="AC1339" s="242"/>
      <c r="AD1339" s="242"/>
      <c r="AE1339" s="268"/>
      <c r="AF1339" s="241"/>
      <c r="AG1339" s="299"/>
      <c r="AH1339" s="299"/>
      <c r="AI1339" s="299"/>
      <c r="AJ1339" s="299"/>
      <c r="AK1339" s="299"/>
      <c r="AL1339" s="299"/>
      <c r="AM1339" s="299"/>
      <c r="AN1339" s="300"/>
      <c r="AO1339" s="807" t="s">
        <v>1720</v>
      </c>
      <c r="AP1339" s="807"/>
      <c r="AQ1339" s="807"/>
      <c r="AR1339" s="807"/>
      <c r="AS1339" s="807"/>
      <c r="AT1339" s="807"/>
      <c r="AU1339" s="807"/>
      <c r="AV1339" s="807"/>
      <c r="AW1339" s="807"/>
      <c r="AX1339" s="807"/>
      <c r="AY1339" s="807"/>
      <c r="AZ1339" s="807"/>
      <c r="BA1339" s="807"/>
      <c r="BB1339" s="807"/>
    </row>
    <row r="1340" spans="1:54" ht="12.6" customHeight="1" x14ac:dyDescent="0.25">
      <c r="A1340" s="768" t="s">
        <v>1287</v>
      </c>
      <c r="B1340" s="768"/>
      <c r="C1340" s="768"/>
      <c r="D1340" s="768"/>
      <c r="E1340" s="768"/>
      <c r="F1340" s="768"/>
      <c r="G1340" s="768"/>
      <c r="H1340" s="768"/>
      <c r="I1340" s="768"/>
      <c r="J1340" s="768"/>
      <c r="K1340" s="768"/>
      <c r="L1340" s="768"/>
      <c r="M1340" s="768"/>
      <c r="N1340" s="768"/>
      <c r="O1340" s="768"/>
      <c r="P1340" s="768"/>
      <c r="Q1340" s="768"/>
      <c r="R1340" s="768"/>
      <c r="S1340" s="768"/>
      <c r="T1340" s="768"/>
      <c r="U1340" s="768"/>
      <c r="V1340" s="768"/>
      <c r="W1340" s="768"/>
      <c r="X1340" s="768"/>
      <c r="Y1340" s="768"/>
      <c r="Z1340" s="768"/>
      <c r="AA1340" s="768"/>
      <c r="AB1340" s="768"/>
      <c r="AC1340" s="768"/>
      <c r="AD1340" s="768"/>
      <c r="AE1340" s="768"/>
      <c r="AF1340" s="768" t="s">
        <v>1922</v>
      </c>
      <c r="AG1340" s="768"/>
      <c r="AH1340" s="768"/>
      <c r="AI1340" s="768"/>
      <c r="AJ1340" s="768"/>
      <c r="AK1340" s="768"/>
      <c r="AL1340" s="768"/>
      <c r="AM1340" s="768"/>
      <c r="AN1340" s="768"/>
      <c r="AO1340" s="807" t="s">
        <v>1653</v>
      </c>
      <c r="AP1340" s="807"/>
      <c r="AQ1340" s="807"/>
      <c r="AR1340" s="807"/>
      <c r="AS1340" s="807"/>
      <c r="AT1340" s="807"/>
      <c r="AU1340" s="807"/>
      <c r="AV1340" s="807"/>
      <c r="AW1340" s="807"/>
      <c r="AX1340" s="807"/>
      <c r="AY1340" s="807"/>
      <c r="AZ1340" s="807"/>
      <c r="BA1340" s="807"/>
      <c r="BB1340" s="807"/>
    </row>
    <row r="1341" spans="1:54" ht="12.6" customHeight="1" x14ac:dyDescent="0.25">
      <c r="A1341" s="243"/>
      <c r="B1341" s="244"/>
      <c r="C1341" s="244"/>
      <c r="D1341" s="244"/>
      <c r="E1341" s="244"/>
      <c r="F1341" s="244"/>
      <c r="G1341" s="244"/>
      <c r="H1341" s="244"/>
      <c r="I1341" s="244"/>
      <c r="J1341" s="244"/>
      <c r="K1341" s="244"/>
      <c r="L1341" s="244"/>
      <c r="M1341" s="244"/>
      <c r="N1341" s="244"/>
      <c r="O1341" s="244"/>
      <c r="P1341" s="244"/>
      <c r="Q1341" s="244"/>
      <c r="R1341" s="244"/>
      <c r="S1341" s="244"/>
      <c r="T1341" s="244"/>
      <c r="U1341" s="244"/>
      <c r="V1341" s="244"/>
      <c r="W1341" s="244"/>
      <c r="X1341" s="244"/>
      <c r="Y1341" s="244"/>
      <c r="Z1341" s="244"/>
      <c r="AA1341" s="244"/>
      <c r="AB1341" s="244"/>
      <c r="AC1341" s="244"/>
      <c r="AD1341" s="244"/>
      <c r="AE1341" s="269"/>
      <c r="AF1341" s="750" t="s">
        <v>1486</v>
      </c>
      <c r="AG1341" s="750"/>
      <c r="AH1341" s="750"/>
      <c r="AI1341" s="750"/>
      <c r="AJ1341" s="750"/>
      <c r="AK1341" s="750"/>
      <c r="AL1341" s="750"/>
      <c r="AM1341" s="750"/>
      <c r="AN1341" s="750"/>
      <c r="AO1341" s="829" t="s">
        <v>1290</v>
      </c>
      <c r="AP1341" s="829"/>
      <c r="AQ1341" s="829"/>
      <c r="AR1341" s="829"/>
      <c r="AS1341" s="829"/>
      <c r="AT1341" s="829"/>
      <c r="AU1341" s="829"/>
      <c r="AV1341" s="829"/>
      <c r="AW1341" s="829"/>
      <c r="AX1341" s="829"/>
      <c r="AY1341" s="829"/>
      <c r="AZ1341" s="829"/>
      <c r="BA1341" s="829"/>
      <c r="BB1341" s="829"/>
    </row>
    <row r="1342" spans="1:54" ht="12.6" customHeight="1" x14ac:dyDescent="0.25">
      <c r="A1342" s="708" t="s">
        <v>1960</v>
      </c>
      <c r="B1342" s="708"/>
      <c r="C1342" s="708"/>
      <c r="D1342" s="708"/>
      <c r="E1342" s="708"/>
      <c r="F1342" s="708"/>
      <c r="G1342" s="708"/>
      <c r="H1342" s="708"/>
      <c r="I1342" s="708"/>
      <c r="J1342" s="708"/>
      <c r="K1342" s="708"/>
      <c r="L1342" s="708"/>
      <c r="M1342" s="708"/>
      <c r="N1342" s="708"/>
      <c r="O1342" s="708"/>
      <c r="P1342" s="708"/>
      <c r="Q1342" s="708"/>
      <c r="R1342" s="708"/>
      <c r="S1342" s="708"/>
      <c r="T1342" s="708"/>
      <c r="U1342" s="708"/>
      <c r="V1342" s="708"/>
      <c r="W1342" s="708"/>
      <c r="X1342" s="708"/>
      <c r="Y1342" s="708"/>
      <c r="Z1342" s="708"/>
      <c r="AA1342" s="708"/>
      <c r="AB1342" s="708"/>
      <c r="AC1342" s="708"/>
      <c r="AD1342" s="708"/>
      <c r="AE1342" s="708"/>
      <c r="AF1342" s="876">
        <f>'HL KNIHA VYPOC'!$G$352*-1</f>
        <v>32713.86</v>
      </c>
      <c r="AG1342" s="876"/>
      <c r="AH1342" s="876"/>
      <c r="AI1342" s="876"/>
      <c r="AJ1342" s="876"/>
      <c r="AK1342" s="876"/>
      <c r="AL1342" s="876"/>
      <c r="AM1342" s="876"/>
      <c r="AN1342" s="876"/>
      <c r="AO1342" s="900">
        <f>'HL KNIHA VYPOC'!$K$352*-1</f>
        <v>42721.78</v>
      </c>
      <c r="AP1342" s="900"/>
      <c r="AQ1342" s="900"/>
      <c r="AR1342" s="900"/>
      <c r="AS1342" s="900"/>
      <c r="AT1342" s="900"/>
      <c r="AU1342" s="900"/>
      <c r="AV1342" s="900"/>
      <c r="AW1342" s="900"/>
      <c r="AX1342" s="900"/>
      <c r="AY1342" s="900"/>
      <c r="AZ1342" s="900"/>
      <c r="BA1342" s="900"/>
      <c r="BB1342" s="900"/>
    </row>
    <row r="1343" spans="1:54" ht="12.6" customHeight="1" x14ac:dyDescent="0.25">
      <c r="A1343" s="708" t="s">
        <v>1961</v>
      </c>
      <c r="B1343" s="708"/>
      <c r="C1343" s="708"/>
      <c r="D1343" s="708"/>
      <c r="E1343" s="708"/>
      <c r="F1343" s="708"/>
      <c r="G1343" s="708"/>
      <c r="H1343" s="708"/>
      <c r="I1343" s="708"/>
      <c r="J1343" s="708"/>
      <c r="K1343" s="708"/>
      <c r="L1343" s="708"/>
      <c r="M1343" s="708"/>
      <c r="N1343" s="708"/>
      <c r="O1343" s="708"/>
      <c r="P1343" s="708"/>
      <c r="Q1343" s="708"/>
      <c r="R1343" s="708"/>
      <c r="S1343" s="708"/>
      <c r="T1343" s="708"/>
      <c r="U1343" s="708"/>
      <c r="V1343" s="708"/>
      <c r="W1343" s="708"/>
      <c r="X1343" s="708"/>
      <c r="Y1343" s="708"/>
      <c r="Z1343" s="708"/>
      <c r="AA1343" s="708"/>
      <c r="AB1343" s="708"/>
      <c r="AC1343" s="708"/>
      <c r="AD1343" s="708"/>
      <c r="AE1343" s="708"/>
      <c r="AF1343" s="876">
        <f>'HL KNIHA VYPOC'!$G$353*-1</f>
        <v>10073.34</v>
      </c>
      <c r="AG1343" s="876"/>
      <c r="AH1343" s="876"/>
      <c r="AI1343" s="876"/>
      <c r="AJ1343" s="876"/>
      <c r="AK1343" s="876"/>
      <c r="AL1343" s="876"/>
      <c r="AM1343" s="876"/>
      <c r="AN1343" s="876"/>
      <c r="AO1343" s="900">
        <f>'HL KNIHA VYPOC'!$K$353*-1</f>
        <v>2130.5700000000002</v>
      </c>
      <c r="AP1343" s="900"/>
      <c r="AQ1343" s="900"/>
      <c r="AR1343" s="900"/>
      <c r="AS1343" s="900"/>
      <c r="AT1343" s="900"/>
      <c r="AU1343" s="900"/>
      <c r="AV1343" s="900"/>
      <c r="AW1343" s="900"/>
      <c r="AX1343" s="900"/>
      <c r="AY1343" s="900"/>
      <c r="AZ1343" s="900"/>
      <c r="BA1343" s="900"/>
      <c r="BB1343" s="900"/>
    </row>
    <row r="1344" spans="1:54" ht="12.6" customHeight="1" x14ac:dyDescent="0.25">
      <c r="A1344" s="708" t="s">
        <v>1962</v>
      </c>
      <c r="B1344" s="708"/>
      <c r="C1344" s="708"/>
      <c r="D1344" s="708"/>
      <c r="E1344" s="708"/>
      <c r="F1344" s="708"/>
      <c r="G1344" s="708"/>
      <c r="H1344" s="708"/>
      <c r="I1344" s="708"/>
      <c r="J1344" s="708"/>
      <c r="K1344" s="708"/>
      <c r="L1344" s="708"/>
      <c r="M1344" s="708"/>
      <c r="N1344" s="708"/>
      <c r="O1344" s="708"/>
      <c r="P1344" s="708"/>
      <c r="Q1344" s="708"/>
      <c r="R1344" s="708"/>
      <c r="S1344" s="708"/>
      <c r="T1344" s="708"/>
      <c r="U1344" s="708"/>
      <c r="V1344" s="708"/>
      <c r="W1344" s="708"/>
      <c r="X1344" s="708"/>
      <c r="Y1344" s="708"/>
      <c r="Z1344" s="708"/>
      <c r="AA1344" s="708"/>
      <c r="AB1344" s="708"/>
      <c r="AC1344" s="708"/>
      <c r="AD1344" s="708"/>
      <c r="AE1344" s="708"/>
      <c r="AF1344" s="876">
        <f>'HL KNIHA VYPOC'!$G$354*-1</f>
        <v>0</v>
      </c>
      <c r="AG1344" s="876"/>
      <c r="AH1344" s="876"/>
      <c r="AI1344" s="876"/>
      <c r="AJ1344" s="876"/>
      <c r="AK1344" s="876"/>
      <c r="AL1344" s="876"/>
      <c r="AM1344" s="876"/>
      <c r="AN1344" s="876"/>
      <c r="AO1344" s="900">
        <f>'HL KNIHA VYPOC'!$K$354*-1</f>
        <v>0</v>
      </c>
      <c r="AP1344" s="900"/>
      <c r="AQ1344" s="900"/>
      <c r="AR1344" s="900"/>
      <c r="AS1344" s="900"/>
      <c r="AT1344" s="900"/>
      <c r="AU1344" s="900"/>
      <c r="AV1344" s="900"/>
      <c r="AW1344" s="900"/>
      <c r="AX1344" s="900"/>
      <c r="AY1344" s="900"/>
      <c r="AZ1344" s="900"/>
      <c r="BA1344" s="900"/>
      <c r="BB1344" s="900"/>
    </row>
    <row r="1345" spans="1:69" ht="12.6" customHeight="1" x14ac:dyDescent="0.25">
      <c r="A1345" s="708" t="s">
        <v>1963</v>
      </c>
      <c r="B1345" s="708"/>
      <c r="C1345" s="708"/>
      <c r="D1345" s="708"/>
      <c r="E1345" s="708"/>
      <c r="F1345" s="708"/>
      <c r="G1345" s="708"/>
      <c r="H1345" s="708"/>
      <c r="I1345" s="708"/>
      <c r="J1345" s="708"/>
      <c r="K1345" s="708"/>
      <c r="L1345" s="708"/>
      <c r="M1345" s="708"/>
      <c r="N1345" s="708"/>
      <c r="O1345" s="708"/>
      <c r="P1345" s="708"/>
      <c r="Q1345" s="708"/>
      <c r="R1345" s="708"/>
      <c r="S1345" s="708"/>
      <c r="T1345" s="708"/>
      <c r="U1345" s="708"/>
      <c r="V1345" s="708"/>
      <c r="W1345" s="708"/>
      <c r="X1345" s="708"/>
      <c r="Y1345" s="708"/>
      <c r="Z1345" s="708"/>
      <c r="AA1345" s="708"/>
      <c r="AB1345" s="708"/>
      <c r="AC1345" s="708"/>
      <c r="AD1345" s="708"/>
      <c r="AE1345" s="708"/>
      <c r="AF1345" s="876">
        <f>'HL KNIHA VYPOC'!$G$355*-1</f>
        <v>0</v>
      </c>
      <c r="AG1345" s="876"/>
      <c r="AH1345" s="876"/>
      <c r="AI1345" s="876"/>
      <c r="AJ1345" s="876"/>
      <c r="AK1345" s="876"/>
      <c r="AL1345" s="876"/>
      <c r="AM1345" s="876"/>
      <c r="AN1345" s="876"/>
      <c r="AO1345" s="900">
        <f>'HL KNIHA VYPOC'!$K$355*-1</f>
        <v>0</v>
      </c>
      <c r="AP1345" s="900"/>
      <c r="AQ1345" s="900"/>
      <c r="AR1345" s="900"/>
      <c r="AS1345" s="900"/>
      <c r="AT1345" s="900"/>
      <c r="AU1345" s="900"/>
      <c r="AV1345" s="900"/>
      <c r="AW1345" s="900"/>
      <c r="AX1345" s="900"/>
      <c r="AY1345" s="900"/>
      <c r="AZ1345" s="900"/>
      <c r="BA1345" s="900"/>
      <c r="BB1345" s="900"/>
    </row>
    <row r="1346" spans="1:69" ht="12.6" customHeight="1" x14ac:dyDescent="0.25">
      <c r="A1346" s="708" t="s">
        <v>1964</v>
      </c>
      <c r="B1346" s="708"/>
      <c r="C1346" s="708"/>
      <c r="D1346" s="708"/>
      <c r="E1346" s="708"/>
      <c r="F1346" s="708"/>
      <c r="G1346" s="708"/>
      <c r="H1346" s="708"/>
      <c r="I1346" s="708"/>
      <c r="J1346" s="708"/>
      <c r="K1346" s="708"/>
      <c r="L1346" s="708"/>
      <c r="M1346" s="708"/>
      <c r="N1346" s="708"/>
      <c r="O1346" s="708"/>
      <c r="P1346" s="708"/>
      <c r="Q1346" s="708"/>
      <c r="R1346" s="708"/>
      <c r="S1346" s="708"/>
      <c r="T1346" s="708"/>
      <c r="U1346" s="708"/>
      <c r="V1346" s="708"/>
      <c r="W1346" s="708"/>
      <c r="X1346" s="708"/>
      <c r="Y1346" s="708"/>
      <c r="Z1346" s="708"/>
      <c r="AA1346" s="708"/>
      <c r="AB1346" s="708"/>
      <c r="AC1346" s="708"/>
      <c r="AD1346" s="708"/>
      <c r="AE1346" s="708"/>
      <c r="AF1346" s="876">
        <f>'HL KNIHA VYPOC'!$G$373*-1</f>
        <v>741</v>
      </c>
      <c r="AG1346" s="876"/>
      <c r="AH1346" s="876"/>
      <c r="AI1346" s="876"/>
      <c r="AJ1346" s="876"/>
      <c r="AK1346" s="876"/>
      <c r="AL1346" s="876"/>
      <c r="AM1346" s="876"/>
      <c r="AN1346" s="876"/>
      <c r="AO1346" s="900">
        <f>'HL KNIHA VYPOC'!$K$373*-1</f>
        <v>1317</v>
      </c>
      <c r="AP1346" s="900"/>
      <c r="AQ1346" s="900"/>
      <c r="AR1346" s="900"/>
      <c r="AS1346" s="900"/>
      <c r="AT1346" s="900"/>
      <c r="AU1346" s="900"/>
      <c r="AV1346" s="900"/>
      <c r="AW1346" s="900"/>
      <c r="AX1346" s="900"/>
      <c r="AY1346" s="900"/>
      <c r="AZ1346" s="900"/>
      <c r="BA1346" s="900"/>
      <c r="BB1346" s="900"/>
    </row>
    <row r="1347" spans="1:69" ht="12.6" customHeight="1" x14ac:dyDescent="0.25">
      <c r="A1347" s="708" t="s">
        <v>1965</v>
      </c>
      <c r="B1347" s="708"/>
      <c r="C1347" s="708"/>
      <c r="D1347" s="708"/>
      <c r="E1347" s="708"/>
      <c r="F1347" s="708"/>
      <c r="G1347" s="708"/>
      <c r="H1347" s="708"/>
      <c r="I1347" s="708"/>
      <c r="J1347" s="708"/>
      <c r="K1347" s="708"/>
      <c r="L1347" s="708"/>
      <c r="M1347" s="708"/>
      <c r="N1347" s="708"/>
      <c r="O1347" s="708"/>
      <c r="P1347" s="708"/>
      <c r="Q1347" s="708"/>
      <c r="R1347" s="708"/>
      <c r="S1347" s="708"/>
      <c r="T1347" s="708"/>
      <c r="U1347" s="708"/>
      <c r="V1347" s="708"/>
      <c r="W1347" s="708"/>
      <c r="X1347" s="708"/>
      <c r="Y1347" s="708"/>
      <c r="Z1347" s="708"/>
      <c r="AA1347" s="708"/>
      <c r="AB1347" s="708"/>
      <c r="AC1347" s="708"/>
      <c r="AD1347" s="708"/>
      <c r="AE1347" s="708"/>
      <c r="AF1347" s="876">
        <f>SUM(BF1349-AF1342-AF1343-AF1344-AF1345-AF1346)</f>
        <v>322078.8</v>
      </c>
      <c r="AG1347" s="876"/>
      <c r="AH1347" s="876"/>
      <c r="AI1347" s="876"/>
      <c r="AJ1347" s="876"/>
      <c r="AK1347" s="876"/>
      <c r="AL1347" s="876"/>
      <c r="AM1347" s="876"/>
      <c r="AN1347" s="876"/>
      <c r="AO1347" s="900">
        <f>SUM(BF1347-AO1342-AO1343-AO1344-AO1345-AO1346)</f>
        <v>355614.64999999997</v>
      </c>
      <c r="AP1347" s="900"/>
      <c r="AQ1347" s="900"/>
      <c r="AR1347" s="900"/>
      <c r="AS1347" s="900"/>
      <c r="AT1347" s="900"/>
      <c r="AU1347" s="900"/>
      <c r="AV1347" s="900"/>
      <c r="AW1347" s="900"/>
      <c r="AX1347" s="900"/>
      <c r="AY1347" s="900"/>
      <c r="AZ1347" s="900"/>
      <c r="BA1347" s="900"/>
      <c r="BB1347" s="900"/>
      <c r="BF1347" s="901">
        <f>SUVAHAVUJ!$X$150</f>
        <v>401784</v>
      </c>
      <c r="BG1347" s="901"/>
      <c r="BH1347" s="901"/>
      <c r="BI1347" s="901"/>
      <c r="BJ1347" s="901"/>
      <c r="BK1347" s="901"/>
      <c r="BL1347" s="901"/>
      <c r="BM1347" s="901"/>
      <c r="BN1347" s="901"/>
    </row>
    <row r="1348" spans="1:69" ht="12.6" customHeight="1" x14ac:dyDescent="0.25">
      <c r="A1348" s="817" t="s">
        <v>1966</v>
      </c>
      <c r="B1348" s="817"/>
      <c r="C1348" s="817"/>
      <c r="D1348" s="817"/>
      <c r="E1348" s="817"/>
      <c r="F1348" s="817"/>
      <c r="G1348" s="817"/>
      <c r="H1348" s="817"/>
      <c r="I1348" s="817"/>
      <c r="J1348" s="817"/>
      <c r="K1348" s="817"/>
      <c r="L1348" s="817"/>
      <c r="M1348" s="817"/>
      <c r="N1348" s="817"/>
      <c r="O1348" s="817"/>
      <c r="P1348" s="817"/>
      <c r="Q1348" s="817"/>
      <c r="R1348" s="817"/>
      <c r="S1348" s="817"/>
      <c r="T1348" s="817"/>
      <c r="U1348" s="817"/>
      <c r="V1348" s="817"/>
      <c r="W1348" s="817"/>
      <c r="X1348" s="817"/>
      <c r="Y1348" s="817"/>
      <c r="Z1348" s="817"/>
      <c r="AA1348" s="817"/>
      <c r="AB1348" s="817"/>
      <c r="AC1348" s="817"/>
      <c r="AD1348" s="817"/>
      <c r="AE1348" s="817"/>
      <c r="AF1348" s="876">
        <f>SUM(SUVAHAVUJ!N150+SUVAHAVUJ!N177)</f>
        <v>365607</v>
      </c>
      <c r="AG1348" s="876"/>
      <c r="AH1348" s="876"/>
      <c r="AI1348" s="876"/>
      <c r="AJ1348" s="876"/>
      <c r="AK1348" s="876"/>
      <c r="AL1348" s="876"/>
      <c r="AM1348" s="876"/>
      <c r="AN1348" s="876"/>
      <c r="AO1348" s="900">
        <f>SUM(SUVAHAVUJ!X150+SUVAHAVUJ!X177)</f>
        <v>401784</v>
      </c>
      <c r="AP1348" s="900"/>
      <c r="AQ1348" s="900"/>
      <c r="AR1348" s="900"/>
      <c r="AS1348" s="900"/>
      <c r="AT1348" s="900"/>
      <c r="AU1348" s="900"/>
      <c r="AV1348" s="900"/>
      <c r="AW1348" s="900"/>
      <c r="AX1348" s="900"/>
      <c r="AY1348" s="900"/>
      <c r="AZ1348" s="900"/>
      <c r="BA1348" s="900"/>
      <c r="BB1348" s="900"/>
      <c r="BF1348" s="901"/>
      <c r="BG1348" s="901"/>
      <c r="BH1348" s="901"/>
      <c r="BI1348" s="901"/>
      <c r="BJ1348" s="901"/>
      <c r="BK1348" s="901"/>
      <c r="BL1348" s="901"/>
      <c r="BM1348" s="901"/>
      <c r="BN1348" s="901"/>
    </row>
    <row r="1349" spans="1:69" ht="12.6" customHeight="1" x14ac:dyDescent="0.25">
      <c r="A1349" s="817" t="s">
        <v>1967</v>
      </c>
      <c r="B1349" s="817"/>
      <c r="C1349" s="817"/>
      <c r="D1349" s="817"/>
      <c r="E1349" s="817"/>
      <c r="F1349" s="817"/>
      <c r="G1349" s="817"/>
      <c r="H1349" s="817"/>
      <c r="I1349" s="817"/>
      <c r="J1349" s="817"/>
      <c r="K1349" s="817"/>
      <c r="L1349" s="817"/>
      <c r="M1349" s="817"/>
      <c r="N1349" s="817"/>
      <c r="O1349" s="817"/>
      <c r="P1349" s="817"/>
      <c r="Q1349" s="817"/>
      <c r="R1349" s="817"/>
      <c r="S1349" s="817"/>
      <c r="T1349" s="817"/>
      <c r="U1349" s="817"/>
      <c r="V1349" s="817"/>
      <c r="W1349" s="817"/>
      <c r="X1349" s="817"/>
      <c r="Y1349" s="817"/>
      <c r="Z1349" s="817"/>
      <c r="AA1349" s="817"/>
      <c r="AB1349" s="817"/>
      <c r="AC1349" s="817"/>
      <c r="AD1349" s="817"/>
      <c r="AE1349" s="817"/>
      <c r="AF1349" s="876">
        <f>SUVAHAVUJ!$N$149</f>
        <v>43528</v>
      </c>
      <c r="AG1349" s="876"/>
      <c r="AH1349" s="876"/>
      <c r="AI1349" s="876"/>
      <c r="AJ1349" s="876"/>
      <c r="AK1349" s="876"/>
      <c r="AL1349" s="876"/>
      <c r="AM1349" s="876"/>
      <c r="AN1349" s="876"/>
      <c r="AO1349" s="900">
        <f>SUVAHAVUJ!$X$149</f>
        <v>46170</v>
      </c>
      <c r="AP1349" s="900"/>
      <c r="AQ1349" s="900"/>
      <c r="AR1349" s="900"/>
      <c r="AS1349" s="900"/>
      <c r="AT1349" s="900"/>
      <c r="AU1349" s="900"/>
      <c r="AV1349" s="900"/>
      <c r="AW1349" s="900"/>
      <c r="AX1349" s="900"/>
      <c r="AY1349" s="900"/>
      <c r="AZ1349" s="900"/>
      <c r="BA1349" s="900"/>
      <c r="BB1349" s="900"/>
      <c r="BF1349" s="901">
        <f>SUVAHAVUJ!$N$150</f>
        <v>365607</v>
      </c>
      <c r="BG1349" s="901"/>
      <c r="BH1349" s="901"/>
      <c r="BI1349" s="901"/>
      <c r="BJ1349" s="901"/>
      <c r="BK1349" s="901"/>
      <c r="BL1349" s="901"/>
      <c r="BM1349" s="901"/>
      <c r="BN1349" s="901"/>
      <c r="BO1349" s="901"/>
      <c r="BP1349" s="901"/>
      <c r="BQ1349" s="901"/>
    </row>
    <row r="1350" spans="1:69" ht="11.25" customHeight="1" x14ac:dyDescent="0.25">
      <c r="A1350" s="227" t="s">
        <v>1482</v>
      </c>
    </row>
    <row r="1351" spans="1:69" ht="15" customHeight="1" x14ac:dyDescent="0.25">
      <c r="A1351" s="763"/>
      <c r="B1351" s="763"/>
      <c r="C1351" s="763"/>
      <c r="D1351" s="763"/>
      <c r="E1351" s="763"/>
      <c r="F1351" s="763"/>
      <c r="G1351" s="763"/>
      <c r="H1351" s="763"/>
      <c r="I1351" s="763"/>
      <c r="J1351" s="763"/>
      <c r="K1351" s="763"/>
      <c r="L1351" s="763"/>
      <c r="M1351" s="763"/>
      <c r="N1351" s="763"/>
      <c r="O1351" s="763"/>
      <c r="P1351" s="763"/>
      <c r="Q1351" s="763"/>
      <c r="R1351" s="763"/>
      <c r="S1351" s="763"/>
      <c r="T1351" s="763"/>
      <c r="U1351" s="763"/>
      <c r="V1351" s="763"/>
      <c r="W1351" s="763"/>
      <c r="X1351" s="763"/>
      <c r="Y1351" s="763"/>
      <c r="Z1351" s="763"/>
      <c r="AA1351" s="763"/>
      <c r="AB1351" s="763"/>
      <c r="AC1351" s="763"/>
      <c r="AD1351" s="763"/>
      <c r="AE1351" s="763"/>
      <c r="AF1351" s="763"/>
      <c r="AG1351" s="763"/>
      <c r="AH1351" s="763"/>
      <c r="AI1351" s="763"/>
      <c r="AJ1351" s="763"/>
      <c r="AK1351" s="763"/>
      <c r="AL1351" s="763"/>
      <c r="AM1351" s="763"/>
      <c r="AN1351" s="763"/>
      <c r="AO1351" s="763"/>
      <c r="AP1351" s="763"/>
      <c r="AQ1351" s="763"/>
      <c r="AR1351" s="763"/>
      <c r="AS1351" s="763"/>
      <c r="AT1351" s="763"/>
      <c r="AU1351" s="763"/>
      <c r="AV1351" s="763"/>
      <c r="AW1351" s="763"/>
      <c r="AX1351" s="763"/>
      <c r="AY1351" s="265"/>
      <c r="AZ1351" s="265"/>
      <c r="BA1351" s="265"/>
      <c r="BB1351" s="265"/>
    </row>
    <row r="1352" spans="1:69" ht="15" customHeight="1" x14ac:dyDescent="0.25">
      <c r="A1352" s="763"/>
      <c r="B1352" s="763"/>
      <c r="C1352" s="763"/>
      <c r="D1352" s="763"/>
      <c r="E1352" s="763"/>
      <c r="F1352" s="763"/>
      <c r="G1352" s="763"/>
      <c r="H1352" s="763"/>
      <c r="I1352" s="763"/>
      <c r="J1352" s="763"/>
      <c r="K1352" s="763"/>
      <c r="L1352" s="763"/>
      <c r="M1352" s="763"/>
      <c r="N1352" s="763"/>
      <c r="O1352" s="763"/>
      <c r="P1352" s="763"/>
      <c r="Q1352" s="763"/>
      <c r="R1352" s="763"/>
      <c r="S1352" s="763"/>
      <c r="T1352" s="763"/>
      <c r="U1352" s="763"/>
      <c r="V1352" s="763"/>
      <c r="W1352" s="763"/>
      <c r="X1352" s="763"/>
      <c r="Y1352" s="763"/>
      <c r="Z1352" s="763"/>
      <c r="AA1352" s="763"/>
      <c r="AB1352" s="763"/>
      <c r="AC1352" s="763"/>
      <c r="AD1352" s="763"/>
      <c r="AE1352" s="763"/>
      <c r="AF1352" s="763"/>
      <c r="AG1352" s="763"/>
      <c r="AH1352" s="763"/>
      <c r="AI1352" s="763"/>
      <c r="AJ1352" s="763"/>
      <c r="AK1352" s="763"/>
      <c r="AL1352" s="763"/>
      <c r="AM1352" s="763"/>
      <c r="AN1352" s="763"/>
      <c r="AO1352" s="763"/>
      <c r="AP1352" s="763"/>
      <c r="AQ1352" s="763"/>
      <c r="AR1352" s="763"/>
      <c r="AS1352" s="763"/>
      <c r="AT1352" s="763"/>
      <c r="AU1352" s="763"/>
      <c r="AV1352" s="763"/>
      <c r="AW1352" s="763"/>
      <c r="AX1352" s="763"/>
      <c r="AY1352" s="265"/>
      <c r="AZ1352" s="265"/>
      <c r="BA1352" s="265"/>
      <c r="BB1352" s="265"/>
    </row>
    <row r="1353" spans="1:69" s="225" customFormat="1" ht="12.6" customHeight="1" x14ac:dyDescent="0.25">
      <c r="A1353" s="335" t="s">
        <v>1968</v>
      </c>
      <c r="B1353" s="336"/>
      <c r="C1353" s="336"/>
      <c r="D1353" s="336"/>
      <c r="E1353" s="336"/>
      <c r="F1353" s="336"/>
      <c r="G1353" s="336"/>
      <c r="H1353" s="336"/>
      <c r="I1353" s="336"/>
      <c r="J1353" s="336"/>
      <c r="K1353" s="336"/>
      <c r="L1353" s="336"/>
      <c r="M1353" s="336"/>
      <c r="N1353" s="336"/>
      <c r="O1353" s="336"/>
      <c r="P1353" s="336"/>
      <c r="Q1353" s="336"/>
      <c r="R1353" s="336"/>
      <c r="S1353" s="336"/>
      <c r="T1353" s="336"/>
      <c r="U1353" s="336"/>
      <c r="V1353" s="336"/>
      <c r="W1353" s="336"/>
      <c r="X1353" s="336"/>
      <c r="Y1353" s="336"/>
      <c r="Z1353" s="336"/>
      <c r="AA1353" s="336"/>
      <c r="AB1353" s="336"/>
      <c r="AC1353" s="336"/>
      <c r="AD1353" s="336"/>
      <c r="AE1353" s="336"/>
      <c r="AF1353" s="336"/>
      <c r="AG1353" s="336"/>
      <c r="AH1353" s="336"/>
      <c r="AI1353" s="336"/>
      <c r="AJ1353" s="336"/>
      <c r="AK1353" s="336"/>
      <c r="AL1353" s="336"/>
      <c r="AM1353" s="336"/>
      <c r="AN1353" s="336"/>
      <c r="AO1353" s="336"/>
      <c r="AP1353" s="336"/>
      <c r="AQ1353" s="336"/>
      <c r="AR1353" s="336"/>
      <c r="AS1353" s="336"/>
      <c r="AT1353" s="336"/>
      <c r="AU1353" s="336"/>
      <c r="AV1353" s="336"/>
      <c r="AW1353" s="336"/>
      <c r="AX1353" s="336"/>
      <c r="AY1353" s="336"/>
      <c r="AZ1353" s="336"/>
      <c r="BA1353" s="336"/>
      <c r="BB1353" s="336"/>
    </row>
    <row r="1354" spans="1:69" ht="12" hidden="1" customHeight="1" x14ac:dyDescent="0.25">
      <c r="A1354" s="301"/>
      <c r="B1354" s="302"/>
      <c r="C1354" s="302"/>
      <c r="D1354" s="302"/>
      <c r="E1354" s="302"/>
      <c r="F1354" s="302"/>
      <c r="G1354" s="302"/>
      <c r="H1354" s="302"/>
      <c r="I1354" s="302"/>
      <c r="J1354" s="302"/>
      <c r="K1354" s="302"/>
      <c r="L1354" s="302"/>
      <c r="M1354" s="302"/>
      <c r="N1354" s="302"/>
      <c r="O1354" s="302"/>
      <c r="P1354" s="302"/>
      <c r="Q1354" s="302"/>
      <c r="R1354" s="302"/>
      <c r="S1354" s="302"/>
      <c r="T1354" s="302"/>
      <c r="U1354" s="302"/>
      <c r="V1354" s="302"/>
      <c r="W1354" s="302"/>
      <c r="X1354" s="302"/>
      <c r="Y1354" s="302"/>
      <c r="Z1354" s="302"/>
      <c r="AA1354" s="302"/>
      <c r="AB1354" s="302"/>
      <c r="AC1354" s="302"/>
      <c r="AD1354" s="302"/>
      <c r="AE1354" s="302"/>
      <c r="AF1354" s="302"/>
      <c r="AG1354" s="302"/>
      <c r="AH1354" s="302"/>
      <c r="AI1354" s="302"/>
      <c r="AJ1354" s="302"/>
      <c r="AK1354" s="302"/>
      <c r="AL1354" s="302"/>
      <c r="AM1354" s="302"/>
      <c r="AN1354" s="302"/>
      <c r="AO1354" s="302"/>
      <c r="AP1354" s="302"/>
      <c r="AQ1354" s="302"/>
      <c r="AR1354" s="302"/>
      <c r="AS1354" s="302"/>
      <c r="AT1354" s="302"/>
      <c r="AU1354" s="302"/>
      <c r="AV1354" s="302"/>
      <c r="AW1354" s="302"/>
      <c r="AX1354" s="302"/>
      <c r="AY1354" s="302"/>
      <c r="AZ1354" s="302"/>
      <c r="BA1354" s="302"/>
      <c r="BB1354" s="303"/>
    </row>
    <row r="1355" spans="1:69" ht="12.6" customHeight="1" x14ac:dyDescent="0.25">
      <c r="A1355" s="227" t="s">
        <v>1969</v>
      </c>
    </row>
    <row r="1356" spans="1:69" ht="12.6" customHeight="1" x14ac:dyDescent="0.25">
      <c r="A1356" s="241"/>
      <c r="B1356" s="242"/>
      <c r="C1356" s="242"/>
      <c r="D1356" s="242"/>
      <c r="E1356" s="242"/>
      <c r="F1356" s="242"/>
      <c r="G1356" s="242"/>
      <c r="H1356" s="242"/>
      <c r="I1356" s="242"/>
      <c r="J1356" s="242"/>
      <c r="K1356" s="242"/>
      <c r="L1356" s="242"/>
      <c r="M1356" s="242"/>
      <c r="N1356" s="242"/>
      <c r="O1356" s="242"/>
      <c r="P1356" s="242"/>
      <c r="Q1356" s="242"/>
      <c r="R1356" s="242"/>
      <c r="S1356" s="242"/>
      <c r="T1356" s="242"/>
      <c r="U1356" s="242"/>
      <c r="V1356" s="242"/>
      <c r="W1356" s="242"/>
      <c r="X1356" s="242"/>
      <c r="Y1356" s="242"/>
      <c r="Z1356" s="242"/>
      <c r="AA1356" s="242"/>
      <c r="AB1356" s="242"/>
      <c r="AC1356" s="242"/>
      <c r="AD1356" s="242"/>
      <c r="AE1356" s="268"/>
      <c r="AF1356" s="241"/>
      <c r="AG1356" s="299"/>
      <c r="AH1356" s="299"/>
      <c r="AI1356" s="299"/>
      <c r="AJ1356" s="299"/>
      <c r="AK1356" s="299"/>
      <c r="AL1356" s="299"/>
      <c r="AM1356" s="299"/>
      <c r="AN1356" s="300"/>
      <c r="AO1356" s="768" t="s">
        <v>1720</v>
      </c>
      <c r="AP1356" s="768"/>
      <c r="AQ1356" s="768"/>
      <c r="AR1356" s="768"/>
      <c r="AS1356" s="768"/>
      <c r="AT1356" s="768"/>
      <c r="AU1356" s="768"/>
      <c r="AV1356" s="768"/>
      <c r="AW1356" s="768"/>
      <c r="AX1356" s="768"/>
      <c r="AY1356" s="768"/>
      <c r="AZ1356" s="768"/>
      <c r="BA1356" s="768"/>
      <c r="BB1356" s="768"/>
    </row>
    <row r="1357" spans="1:69" ht="12.6" customHeight="1" x14ac:dyDescent="0.25">
      <c r="A1357" s="745" t="s">
        <v>1287</v>
      </c>
      <c r="B1357" s="745"/>
      <c r="C1357" s="745"/>
      <c r="D1357" s="745"/>
      <c r="E1357" s="745"/>
      <c r="F1357" s="745"/>
      <c r="G1357" s="745"/>
      <c r="H1357" s="745"/>
      <c r="I1357" s="745"/>
      <c r="J1357" s="745"/>
      <c r="K1357" s="745"/>
      <c r="L1357" s="745"/>
      <c r="M1357" s="745"/>
      <c r="N1357" s="745"/>
      <c r="O1357" s="745"/>
      <c r="P1357" s="745"/>
      <c r="Q1357" s="745"/>
      <c r="R1357" s="745"/>
      <c r="S1357" s="745"/>
      <c r="T1357" s="745"/>
      <c r="U1357" s="745"/>
      <c r="V1357" s="745"/>
      <c r="W1357" s="745"/>
      <c r="X1357" s="745"/>
      <c r="Y1357" s="745"/>
      <c r="Z1357" s="745"/>
      <c r="AA1357" s="745"/>
      <c r="AB1357" s="745"/>
      <c r="AC1357" s="745"/>
      <c r="AD1357" s="745"/>
      <c r="AE1357" s="745"/>
      <c r="AF1357" s="745" t="s">
        <v>1922</v>
      </c>
      <c r="AG1357" s="745"/>
      <c r="AH1357" s="745"/>
      <c r="AI1357" s="745"/>
      <c r="AJ1357" s="745"/>
      <c r="AK1357" s="745"/>
      <c r="AL1357" s="745"/>
      <c r="AM1357" s="745"/>
      <c r="AN1357" s="745"/>
      <c r="AO1357" s="745" t="s">
        <v>1653</v>
      </c>
      <c r="AP1357" s="745"/>
      <c r="AQ1357" s="745"/>
      <c r="AR1357" s="745"/>
      <c r="AS1357" s="745"/>
      <c r="AT1357" s="745"/>
      <c r="AU1357" s="745"/>
      <c r="AV1357" s="745"/>
      <c r="AW1357" s="745"/>
      <c r="AX1357" s="745"/>
      <c r="AY1357" s="745"/>
      <c r="AZ1357" s="745"/>
      <c r="BA1357" s="745"/>
      <c r="BB1357" s="745"/>
    </row>
    <row r="1358" spans="1:69" ht="12.6" customHeight="1" x14ac:dyDescent="0.25">
      <c r="A1358" s="251"/>
      <c r="B1358" s="312"/>
      <c r="C1358" s="312"/>
      <c r="D1358" s="312"/>
      <c r="E1358" s="312"/>
      <c r="F1358" s="312"/>
      <c r="G1358" s="312"/>
      <c r="H1358" s="312"/>
      <c r="I1358" s="312"/>
      <c r="J1358" s="312"/>
      <c r="K1358" s="312"/>
      <c r="L1358" s="312"/>
      <c r="M1358" s="312"/>
      <c r="N1358" s="312"/>
      <c r="O1358" s="312"/>
      <c r="P1358" s="312"/>
      <c r="Q1358" s="312"/>
      <c r="R1358" s="312"/>
      <c r="S1358" s="312"/>
      <c r="T1358" s="312"/>
      <c r="U1358" s="312"/>
      <c r="V1358" s="312"/>
      <c r="W1358" s="312"/>
      <c r="X1358" s="312"/>
      <c r="Y1358" s="312"/>
      <c r="Z1358" s="312"/>
      <c r="AA1358" s="312"/>
      <c r="AB1358" s="312"/>
      <c r="AC1358" s="312"/>
      <c r="AD1358" s="312"/>
      <c r="AE1358" s="328"/>
      <c r="AF1358" s="750" t="s">
        <v>1486</v>
      </c>
      <c r="AG1358" s="750"/>
      <c r="AH1358" s="750"/>
      <c r="AI1358" s="750"/>
      <c r="AJ1358" s="750"/>
      <c r="AK1358" s="750"/>
      <c r="AL1358" s="750"/>
      <c r="AM1358" s="750"/>
      <c r="AN1358" s="750"/>
      <c r="AO1358" s="750" t="s">
        <v>1290</v>
      </c>
      <c r="AP1358" s="750"/>
      <c r="AQ1358" s="750"/>
      <c r="AR1358" s="750"/>
      <c r="AS1358" s="750"/>
      <c r="AT1358" s="750"/>
      <c r="AU1358" s="750"/>
      <c r="AV1358" s="750"/>
      <c r="AW1358" s="750"/>
      <c r="AX1358" s="750"/>
      <c r="AY1358" s="750"/>
      <c r="AZ1358" s="750"/>
      <c r="BA1358" s="750"/>
      <c r="BB1358" s="750"/>
    </row>
    <row r="1359" spans="1:69" ht="12.6" customHeight="1" x14ac:dyDescent="0.25">
      <c r="A1359" s="817" t="s">
        <v>1970</v>
      </c>
      <c r="B1359" s="817"/>
      <c r="C1359" s="817"/>
      <c r="D1359" s="817"/>
      <c r="E1359" s="817"/>
      <c r="F1359" s="817"/>
      <c r="G1359" s="817"/>
      <c r="H1359" s="817"/>
      <c r="I1359" s="817"/>
      <c r="J1359" s="817"/>
      <c r="K1359" s="817"/>
      <c r="L1359" s="817"/>
      <c r="M1359" s="817"/>
      <c r="N1359" s="817"/>
      <c r="O1359" s="817"/>
      <c r="P1359" s="817"/>
      <c r="Q1359" s="817"/>
      <c r="R1359" s="817"/>
      <c r="S1359" s="817"/>
      <c r="T1359" s="817"/>
      <c r="U1359" s="817"/>
      <c r="V1359" s="817"/>
      <c r="W1359" s="817"/>
      <c r="X1359" s="817"/>
      <c r="Y1359" s="817"/>
      <c r="Z1359" s="817"/>
      <c r="AA1359" s="817"/>
      <c r="AB1359" s="817"/>
      <c r="AC1359" s="817"/>
      <c r="AD1359" s="817"/>
      <c r="AE1359" s="817"/>
      <c r="AF1359" s="709">
        <f>SUVAHAVUJ!$N$162</f>
        <v>39967</v>
      </c>
      <c r="AG1359" s="709"/>
      <c r="AH1359" s="709"/>
      <c r="AI1359" s="709"/>
      <c r="AJ1359" s="709"/>
      <c r="AK1359" s="709"/>
      <c r="AL1359" s="709"/>
      <c r="AM1359" s="709"/>
      <c r="AN1359" s="709"/>
      <c r="AO1359" s="709">
        <f>SUVAHAVUJ!$X$162</f>
        <v>37604</v>
      </c>
      <c r="AP1359" s="709"/>
      <c r="AQ1359" s="709"/>
      <c r="AR1359" s="709"/>
      <c r="AS1359" s="709"/>
      <c r="AT1359" s="709"/>
      <c r="AU1359" s="709"/>
      <c r="AV1359" s="709"/>
      <c r="AW1359" s="709"/>
      <c r="AX1359" s="709"/>
      <c r="AY1359" s="709"/>
      <c r="AZ1359" s="709"/>
      <c r="BA1359" s="709"/>
      <c r="BB1359" s="709"/>
    </row>
    <row r="1360" spans="1:69" ht="12.6" customHeight="1" x14ac:dyDescent="0.25">
      <c r="A1360" s="708" t="s">
        <v>1971</v>
      </c>
      <c r="B1360" s="708"/>
      <c r="C1360" s="708"/>
      <c r="D1360" s="708"/>
      <c r="E1360" s="708"/>
      <c r="F1360" s="708"/>
      <c r="G1360" s="708"/>
      <c r="H1360" s="708"/>
      <c r="I1360" s="708"/>
      <c r="J1360" s="708"/>
      <c r="K1360" s="708"/>
      <c r="L1360" s="708"/>
      <c r="M1360" s="708"/>
      <c r="N1360" s="708"/>
      <c r="O1360" s="708"/>
      <c r="P1360" s="708"/>
      <c r="Q1360" s="708"/>
      <c r="R1360" s="708"/>
      <c r="S1360" s="708"/>
      <c r="T1360" s="708"/>
      <c r="U1360" s="708"/>
      <c r="V1360" s="708"/>
      <c r="W1360" s="708"/>
      <c r="X1360" s="708"/>
      <c r="Y1360" s="708"/>
      <c r="Z1360" s="708"/>
      <c r="AA1360" s="708"/>
      <c r="AB1360" s="708"/>
      <c r="AC1360" s="708"/>
      <c r="AD1360" s="708"/>
      <c r="AE1360" s="708"/>
      <c r="AF1360" s="709"/>
      <c r="AG1360" s="709"/>
      <c r="AH1360" s="709"/>
      <c r="AI1360" s="709"/>
      <c r="AJ1360" s="709"/>
      <c r="AK1360" s="709"/>
      <c r="AL1360" s="709"/>
      <c r="AM1360" s="709"/>
      <c r="AN1360" s="709"/>
      <c r="AO1360" s="709"/>
      <c r="AP1360" s="709"/>
      <c r="AQ1360" s="709"/>
      <c r="AR1360" s="709"/>
      <c r="AS1360" s="709"/>
      <c r="AT1360" s="709"/>
      <c r="AU1360" s="709"/>
      <c r="AV1360" s="709"/>
      <c r="AW1360" s="709"/>
      <c r="AX1360" s="709"/>
      <c r="AY1360" s="709"/>
      <c r="AZ1360" s="709"/>
      <c r="BA1360" s="709"/>
      <c r="BB1360" s="709"/>
    </row>
    <row r="1361" spans="1:54" ht="12.6" customHeight="1" x14ac:dyDescent="0.25">
      <c r="A1361" s="708" t="s">
        <v>1972</v>
      </c>
      <c r="B1361" s="708"/>
      <c r="C1361" s="708"/>
      <c r="D1361" s="708"/>
      <c r="E1361" s="708"/>
      <c r="F1361" s="708"/>
      <c r="G1361" s="708"/>
      <c r="H1361" s="708"/>
      <c r="I1361" s="708"/>
      <c r="J1361" s="708"/>
      <c r="K1361" s="708"/>
      <c r="L1361" s="708"/>
      <c r="M1361" s="708"/>
      <c r="N1361" s="708"/>
      <c r="O1361" s="708"/>
      <c r="P1361" s="708"/>
      <c r="Q1361" s="708"/>
      <c r="R1361" s="708"/>
      <c r="S1361" s="708"/>
      <c r="T1361" s="708"/>
      <c r="U1361" s="708"/>
      <c r="V1361" s="708"/>
      <c r="W1361" s="708"/>
      <c r="X1361" s="708"/>
      <c r="Y1361" s="708"/>
      <c r="Z1361" s="708"/>
      <c r="AA1361" s="708"/>
      <c r="AB1361" s="708"/>
      <c r="AC1361" s="708"/>
      <c r="AD1361" s="708"/>
      <c r="AE1361" s="708"/>
      <c r="AF1361" s="709"/>
      <c r="AG1361" s="709"/>
      <c r="AH1361" s="709"/>
      <c r="AI1361" s="709"/>
      <c r="AJ1361" s="709"/>
      <c r="AK1361" s="709"/>
      <c r="AL1361" s="709"/>
      <c r="AM1361" s="709"/>
      <c r="AN1361" s="709"/>
      <c r="AO1361" s="709"/>
      <c r="AP1361" s="709"/>
      <c r="AQ1361" s="709"/>
      <c r="AR1361" s="709"/>
      <c r="AS1361" s="709"/>
      <c r="AT1361" s="709"/>
      <c r="AU1361" s="709"/>
      <c r="AV1361" s="709"/>
      <c r="AW1361" s="709"/>
      <c r="AX1361" s="709"/>
      <c r="AY1361" s="709"/>
      <c r="AZ1361" s="709"/>
      <c r="BA1361" s="709"/>
      <c r="BB1361" s="709"/>
    </row>
    <row r="1362" spans="1:54" ht="12.6" customHeight="1" x14ac:dyDescent="0.25">
      <c r="A1362" s="708" t="s">
        <v>1973</v>
      </c>
      <c r="B1362" s="708"/>
      <c r="C1362" s="708"/>
      <c r="D1362" s="708"/>
      <c r="E1362" s="708"/>
      <c r="F1362" s="708"/>
      <c r="G1362" s="708"/>
      <c r="H1362" s="708"/>
      <c r="I1362" s="708"/>
      <c r="J1362" s="708"/>
      <c r="K1362" s="708"/>
      <c r="L1362" s="708"/>
      <c r="M1362" s="708"/>
      <c r="N1362" s="708"/>
      <c r="O1362" s="708"/>
      <c r="P1362" s="708"/>
      <c r="Q1362" s="708"/>
      <c r="R1362" s="708"/>
      <c r="S1362" s="708"/>
      <c r="T1362" s="708"/>
      <c r="U1362" s="708"/>
      <c r="V1362" s="708"/>
      <c r="W1362" s="708"/>
      <c r="X1362" s="708"/>
      <c r="Y1362" s="708"/>
      <c r="Z1362" s="708"/>
      <c r="AA1362" s="708"/>
      <c r="AB1362" s="708"/>
      <c r="AC1362" s="708"/>
      <c r="AD1362" s="708"/>
      <c r="AE1362" s="708"/>
      <c r="AF1362" s="709"/>
      <c r="AG1362" s="709"/>
      <c r="AH1362" s="709"/>
      <c r="AI1362" s="709"/>
      <c r="AJ1362" s="709"/>
      <c r="AK1362" s="709"/>
      <c r="AL1362" s="709"/>
      <c r="AM1362" s="709"/>
      <c r="AN1362" s="709"/>
      <c r="AO1362" s="709"/>
      <c r="AP1362" s="709"/>
      <c r="AQ1362" s="709"/>
      <c r="AR1362" s="709"/>
      <c r="AS1362" s="709"/>
      <c r="AT1362" s="709"/>
      <c r="AU1362" s="709"/>
      <c r="AV1362" s="709"/>
      <c r="AW1362" s="709"/>
      <c r="AX1362" s="709"/>
      <c r="AY1362" s="709"/>
      <c r="AZ1362" s="709"/>
      <c r="BA1362" s="709"/>
      <c r="BB1362" s="709"/>
    </row>
    <row r="1363" spans="1:54" ht="12.6" customHeight="1" x14ac:dyDescent="0.25">
      <c r="A1363" s="708" t="s">
        <v>1974</v>
      </c>
      <c r="B1363" s="708"/>
      <c r="C1363" s="708"/>
      <c r="D1363" s="708"/>
      <c r="E1363" s="708"/>
      <c r="F1363" s="708"/>
      <c r="G1363" s="708"/>
      <c r="H1363" s="708"/>
      <c r="I1363" s="708"/>
      <c r="J1363" s="708"/>
      <c r="K1363" s="708"/>
      <c r="L1363" s="708"/>
      <c r="M1363" s="708"/>
      <c r="N1363" s="708"/>
      <c r="O1363" s="708"/>
      <c r="P1363" s="708"/>
      <c r="Q1363" s="708"/>
      <c r="R1363" s="708"/>
      <c r="S1363" s="708"/>
      <c r="T1363" s="708"/>
      <c r="U1363" s="708"/>
      <c r="V1363" s="708"/>
      <c r="W1363" s="708"/>
      <c r="X1363" s="708"/>
      <c r="Y1363" s="708"/>
      <c r="Z1363" s="708"/>
      <c r="AA1363" s="708"/>
      <c r="AB1363" s="708"/>
      <c r="AC1363" s="708"/>
      <c r="AD1363" s="708"/>
      <c r="AE1363" s="708"/>
      <c r="AF1363" s="709"/>
      <c r="AG1363" s="709"/>
      <c r="AH1363" s="709"/>
      <c r="AI1363" s="709"/>
      <c r="AJ1363" s="709"/>
      <c r="AK1363" s="709"/>
      <c r="AL1363" s="709"/>
      <c r="AM1363" s="709"/>
      <c r="AN1363" s="709"/>
      <c r="AO1363" s="709"/>
      <c r="AP1363" s="709"/>
      <c r="AQ1363" s="709"/>
      <c r="AR1363" s="709"/>
      <c r="AS1363" s="709"/>
      <c r="AT1363" s="709"/>
      <c r="AU1363" s="709"/>
      <c r="AV1363" s="709"/>
      <c r="AW1363" s="709"/>
      <c r="AX1363" s="709"/>
      <c r="AY1363" s="709"/>
      <c r="AZ1363" s="709"/>
      <c r="BA1363" s="709"/>
      <c r="BB1363" s="709"/>
    </row>
    <row r="1364" spans="1:54" ht="12.6" customHeight="1" x14ac:dyDescent="0.25">
      <c r="A1364" s="708" t="s">
        <v>1975</v>
      </c>
      <c r="B1364" s="708"/>
      <c r="C1364" s="708"/>
      <c r="D1364" s="708"/>
      <c r="E1364" s="708"/>
      <c r="F1364" s="708"/>
      <c r="G1364" s="708"/>
      <c r="H1364" s="708"/>
      <c r="I1364" s="708"/>
      <c r="J1364" s="708"/>
      <c r="K1364" s="708"/>
      <c r="L1364" s="708"/>
      <c r="M1364" s="708"/>
      <c r="N1364" s="708"/>
      <c r="O1364" s="708"/>
      <c r="P1364" s="708"/>
      <c r="Q1364" s="708"/>
      <c r="R1364" s="708"/>
      <c r="S1364" s="708"/>
      <c r="T1364" s="708"/>
      <c r="U1364" s="708"/>
      <c r="V1364" s="708"/>
      <c r="W1364" s="708"/>
      <c r="X1364" s="708"/>
      <c r="Y1364" s="708"/>
      <c r="Z1364" s="708"/>
      <c r="AA1364" s="708"/>
      <c r="AB1364" s="708"/>
      <c r="AC1364" s="708"/>
      <c r="AD1364" s="708"/>
      <c r="AE1364" s="708"/>
      <c r="AF1364" s="709"/>
      <c r="AG1364" s="709"/>
      <c r="AH1364" s="709"/>
      <c r="AI1364" s="709"/>
      <c r="AJ1364" s="709"/>
      <c r="AK1364" s="709"/>
      <c r="AL1364" s="709"/>
      <c r="AM1364" s="709"/>
      <c r="AN1364" s="709"/>
      <c r="AO1364" s="709"/>
      <c r="AP1364" s="709"/>
      <c r="AQ1364" s="709"/>
      <c r="AR1364" s="709"/>
      <c r="AS1364" s="709"/>
      <c r="AT1364" s="709"/>
      <c r="AU1364" s="709"/>
      <c r="AV1364" s="709"/>
      <c r="AW1364" s="709"/>
      <c r="AX1364" s="709"/>
      <c r="AY1364" s="709"/>
      <c r="AZ1364" s="709"/>
      <c r="BA1364" s="709"/>
      <c r="BB1364" s="709"/>
    </row>
    <row r="1365" spans="1:54" ht="12.6" customHeight="1" x14ac:dyDescent="0.25">
      <c r="A1365" s="708" t="s">
        <v>1976</v>
      </c>
      <c r="B1365" s="708"/>
      <c r="C1365" s="708"/>
      <c r="D1365" s="708"/>
      <c r="E1365" s="708"/>
      <c r="F1365" s="708"/>
      <c r="G1365" s="708"/>
      <c r="H1365" s="708"/>
      <c r="I1365" s="708"/>
      <c r="J1365" s="708"/>
      <c r="K1365" s="708"/>
      <c r="L1365" s="708"/>
      <c r="M1365" s="708"/>
      <c r="N1365" s="708"/>
      <c r="O1365" s="708"/>
      <c r="P1365" s="708"/>
      <c r="Q1365" s="708"/>
      <c r="R1365" s="708"/>
      <c r="S1365" s="708"/>
      <c r="T1365" s="708"/>
      <c r="U1365" s="708"/>
      <c r="V1365" s="708"/>
      <c r="W1365" s="708"/>
      <c r="X1365" s="708"/>
      <c r="Y1365" s="708"/>
      <c r="Z1365" s="708"/>
      <c r="AA1365" s="708"/>
      <c r="AB1365" s="708"/>
      <c r="AC1365" s="708"/>
      <c r="AD1365" s="708"/>
      <c r="AE1365" s="708"/>
      <c r="AF1365" s="709"/>
      <c r="AG1365" s="709"/>
      <c r="AH1365" s="709"/>
      <c r="AI1365" s="709"/>
      <c r="AJ1365" s="709"/>
      <c r="AK1365" s="709"/>
      <c r="AL1365" s="709"/>
      <c r="AM1365" s="709"/>
      <c r="AN1365" s="709"/>
      <c r="AO1365" s="709"/>
      <c r="AP1365" s="709"/>
      <c r="AQ1365" s="709"/>
      <c r="AR1365" s="709"/>
      <c r="AS1365" s="709"/>
      <c r="AT1365" s="709"/>
      <c r="AU1365" s="709"/>
      <c r="AV1365" s="709"/>
      <c r="AW1365" s="709"/>
      <c r="AX1365" s="709"/>
      <c r="AY1365" s="709"/>
      <c r="AZ1365" s="709"/>
      <c r="BA1365" s="709"/>
      <c r="BB1365" s="709"/>
    </row>
    <row r="1366" spans="1:54" ht="12.6" customHeight="1" x14ac:dyDescent="0.25">
      <c r="A1366" s="902" t="s">
        <v>1977</v>
      </c>
      <c r="B1366" s="902"/>
      <c r="C1366" s="902"/>
      <c r="D1366" s="902"/>
      <c r="E1366" s="902"/>
      <c r="F1366" s="902"/>
      <c r="G1366" s="902"/>
      <c r="H1366" s="902"/>
      <c r="I1366" s="902"/>
      <c r="J1366" s="902"/>
      <c r="K1366" s="902"/>
      <c r="L1366" s="902"/>
      <c r="M1366" s="902"/>
      <c r="N1366" s="902"/>
      <c r="O1366" s="902"/>
      <c r="P1366" s="902"/>
      <c r="Q1366" s="902"/>
      <c r="R1366" s="902"/>
      <c r="S1366" s="902"/>
      <c r="T1366" s="902"/>
      <c r="U1366" s="902"/>
      <c r="V1366" s="902"/>
      <c r="W1366" s="902"/>
      <c r="X1366" s="902"/>
      <c r="Y1366" s="902"/>
      <c r="Z1366" s="902"/>
      <c r="AA1366" s="902"/>
      <c r="AB1366" s="902"/>
      <c r="AC1366" s="902"/>
      <c r="AD1366" s="902"/>
      <c r="AE1366" s="902"/>
      <c r="AF1366" s="709"/>
      <c r="AG1366" s="709"/>
      <c r="AH1366" s="709"/>
      <c r="AI1366" s="709"/>
      <c r="AJ1366" s="709"/>
      <c r="AK1366" s="709"/>
      <c r="AL1366" s="709"/>
      <c r="AM1366" s="709"/>
      <c r="AN1366" s="709"/>
      <c r="AO1366" s="709"/>
      <c r="AP1366" s="709"/>
      <c r="AQ1366" s="709"/>
      <c r="AR1366" s="709"/>
      <c r="AS1366" s="709"/>
      <c r="AT1366" s="709"/>
      <c r="AU1366" s="709"/>
      <c r="AV1366" s="709"/>
      <c r="AW1366" s="709"/>
      <c r="AX1366" s="709"/>
      <c r="AY1366" s="709"/>
      <c r="AZ1366" s="709"/>
      <c r="BA1366" s="709"/>
      <c r="BB1366" s="709"/>
    </row>
    <row r="1367" spans="1:54" ht="12.6" customHeight="1" x14ac:dyDescent="0.25">
      <c r="A1367" s="902"/>
      <c r="B1367" s="902"/>
      <c r="C1367" s="902"/>
      <c r="D1367" s="902"/>
      <c r="E1367" s="902"/>
      <c r="F1367" s="902"/>
      <c r="G1367" s="902"/>
      <c r="H1367" s="902"/>
      <c r="I1367" s="902"/>
      <c r="J1367" s="902"/>
      <c r="K1367" s="902"/>
      <c r="L1367" s="902"/>
      <c r="M1367" s="902"/>
      <c r="N1367" s="902"/>
      <c r="O1367" s="902"/>
      <c r="P1367" s="902"/>
      <c r="Q1367" s="902"/>
      <c r="R1367" s="902"/>
      <c r="S1367" s="902"/>
      <c r="T1367" s="902"/>
      <c r="U1367" s="902"/>
      <c r="V1367" s="902"/>
      <c r="W1367" s="902"/>
      <c r="X1367" s="902"/>
      <c r="Y1367" s="902"/>
      <c r="Z1367" s="902"/>
      <c r="AA1367" s="902"/>
      <c r="AB1367" s="902"/>
      <c r="AC1367" s="902"/>
      <c r="AD1367" s="902"/>
      <c r="AE1367" s="902"/>
      <c r="AF1367" s="709"/>
      <c r="AG1367" s="709"/>
      <c r="AH1367" s="709"/>
      <c r="AI1367" s="709"/>
      <c r="AJ1367" s="709"/>
      <c r="AK1367" s="709"/>
      <c r="AL1367" s="709"/>
      <c r="AM1367" s="709"/>
      <c r="AN1367" s="709"/>
      <c r="AO1367" s="709"/>
      <c r="AP1367" s="709"/>
      <c r="AQ1367" s="709"/>
      <c r="AR1367" s="709"/>
      <c r="AS1367" s="709"/>
      <c r="AT1367" s="709"/>
      <c r="AU1367" s="709"/>
      <c r="AV1367" s="709"/>
      <c r="AW1367" s="709"/>
      <c r="AX1367" s="709"/>
      <c r="AY1367" s="709"/>
      <c r="AZ1367" s="709"/>
      <c r="BA1367" s="709"/>
      <c r="BB1367" s="709"/>
    </row>
    <row r="1368" spans="1:54" ht="12.6" customHeight="1" x14ac:dyDescent="0.25">
      <c r="A1368" s="902"/>
      <c r="B1368" s="902"/>
      <c r="C1368" s="902"/>
      <c r="D1368" s="902"/>
      <c r="E1368" s="902"/>
      <c r="F1368" s="902"/>
      <c r="G1368" s="902"/>
      <c r="H1368" s="902"/>
      <c r="I1368" s="902"/>
      <c r="J1368" s="902"/>
      <c r="K1368" s="902"/>
      <c r="L1368" s="902"/>
      <c r="M1368" s="902"/>
      <c r="N1368" s="902"/>
      <c r="O1368" s="902"/>
      <c r="P1368" s="902"/>
      <c r="Q1368" s="902"/>
      <c r="R1368" s="902"/>
      <c r="S1368" s="902"/>
      <c r="T1368" s="902"/>
      <c r="U1368" s="902"/>
      <c r="V1368" s="902"/>
      <c r="W1368" s="902"/>
      <c r="X1368" s="902"/>
      <c r="Y1368" s="902"/>
      <c r="Z1368" s="902"/>
      <c r="AA1368" s="902"/>
      <c r="AB1368" s="902"/>
      <c r="AC1368" s="902"/>
      <c r="AD1368" s="902"/>
      <c r="AE1368" s="902"/>
      <c r="AF1368" s="709"/>
      <c r="AG1368" s="709"/>
      <c r="AH1368" s="709"/>
      <c r="AI1368" s="709"/>
      <c r="AJ1368" s="709"/>
      <c r="AK1368" s="709"/>
      <c r="AL1368" s="709"/>
      <c r="AM1368" s="709"/>
      <c r="AN1368" s="709"/>
      <c r="AO1368" s="709"/>
      <c r="AP1368" s="709"/>
      <c r="AQ1368" s="709"/>
      <c r="AR1368" s="709"/>
      <c r="AS1368" s="709"/>
      <c r="AT1368" s="709"/>
      <c r="AU1368" s="709"/>
      <c r="AV1368" s="709"/>
      <c r="AW1368" s="709"/>
      <c r="AX1368" s="709"/>
      <c r="AY1368" s="709"/>
      <c r="AZ1368" s="709"/>
      <c r="BA1368" s="709"/>
      <c r="BB1368" s="709"/>
    </row>
    <row r="1369" spans="1:54" ht="12.6" customHeight="1" x14ac:dyDescent="0.25">
      <c r="A1369" s="902"/>
      <c r="B1369" s="902"/>
      <c r="C1369" s="902"/>
      <c r="D1369" s="902"/>
      <c r="E1369" s="902"/>
      <c r="F1369" s="902"/>
      <c r="G1369" s="902"/>
      <c r="H1369" s="902"/>
      <c r="I1369" s="902"/>
      <c r="J1369" s="902"/>
      <c r="K1369" s="902"/>
      <c r="L1369" s="902"/>
      <c r="M1369" s="902"/>
      <c r="N1369" s="902"/>
      <c r="O1369" s="902"/>
      <c r="P1369" s="902"/>
      <c r="Q1369" s="902"/>
      <c r="R1369" s="902"/>
      <c r="S1369" s="902"/>
      <c r="T1369" s="902"/>
      <c r="U1369" s="902"/>
      <c r="V1369" s="902"/>
      <c r="W1369" s="902"/>
      <c r="X1369" s="902"/>
      <c r="Y1369" s="902"/>
      <c r="Z1369" s="902"/>
      <c r="AA1369" s="902"/>
      <c r="AB1369" s="902"/>
      <c r="AC1369" s="902"/>
      <c r="AD1369" s="902"/>
      <c r="AE1369" s="902"/>
      <c r="AF1369" s="709"/>
      <c r="AG1369" s="709"/>
      <c r="AH1369" s="709"/>
      <c r="AI1369" s="709"/>
      <c r="AJ1369" s="709"/>
      <c r="AK1369" s="709"/>
      <c r="AL1369" s="709"/>
      <c r="AM1369" s="709"/>
      <c r="AN1369" s="709"/>
      <c r="AO1369" s="709"/>
      <c r="AP1369" s="709"/>
      <c r="AQ1369" s="709"/>
      <c r="AR1369" s="709"/>
      <c r="AS1369" s="709"/>
      <c r="AT1369" s="709"/>
      <c r="AU1369" s="709"/>
      <c r="AV1369" s="709"/>
      <c r="AW1369" s="709"/>
      <c r="AX1369" s="709"/>
      <c r="AY1369" s="709"/>
      <c r="AZ1369" s="709"/>
      <c r="BA1369" s="709"/>
      <c r="BB1369" s="709"/>
    </row>
    <row r="1370" spans="1:54" ht="12.6" customHeight="1" x14ac:dyDescent="0.25">
      <c r="A1370" s="903" t="s">
        <v>1978</v>
      </c>
      <c r="B1370" s="903"/>
      <c r="C1370" s="903"/>
      <c r="D1370" s="903"/>
      <c r="E1370" s="903"/>
      <c r="F1370" s="903"/>
      <c r="G1370" s="903"/>
      <c r="H1370" s="903"/>
      <c r="I1370" s="903"/>
      <c r="J1370" s="903"/>
      <c r="K1370" s="903"/>
      <c r="L1370" s="903"/>
      <c r="M1370" s="903"/>
      <c r="N1370" s="903"/>
      <c r="O1370" s="903"/>
      <c r="P1370" s="903"/>
      <c r="Q1370" s="903"/>
      <c r="R1370" s="903"/>
      <c r="S1370" s="903"/>
      <c r="T1370" s="903"/>
      <c r="U1370" s="903"/>
      <c r="V1370" s="903"/>
      <c r="W1370" s="903"/>
      <c r="X1370" s="903"/>
      <c r="Y1370" s="903"/>
      <c r="Z1370" s="903"/>
      <c r="AA1370" s="903"/>
      <c r="AB1370" s="903"/>
      <c r="AC1370" s="903"/>
      <c r="AD1370" s="903"/>
      <c r="AE1370" s="903"/>
      <c r="AF1370" s="709"/>
      <c r="AG1370" s="709"/>
      <c r="AH1370" s="709"/>
      <c r="AI1370" s="709"/>
      <c r="AJ1370" s="709"/>
      <c r="AK1370" s="709"/>
      <c r="AL1370" s="709"/>
      <c r="AM1370" s="709"/>
      <c r="AN1370" s="709"/>
      <c r="AO1370" s="709"/>
      <c r="AP1370" s="709"/>
      <c r="AQ1370" s="709"/>
      <c r="AR1370" s="709"/>
      <c r="AS1370" s="709"/>
      <c r="AT1370" s="709"/>
      <c r="AU1370" s="709"/>
      <c r="AV1370" s="709"/>
      <c r="AW1370" s="709"/>
      <c r="AX1370" s="709"/>
      <c r="AY1370" s="709"/>
      <c r="AZ1370" s="709"/>
      <c r="BA1370" s="709"/>
      <c r="BB1370" s="709"/>
    </row>
    <row r="1371" spans="1:54" ht="12.6" customHeight="1" x14ac:dyDescent="0.25">
      <c r="A1371" s="902"/>
      <c r="B1371" s="902"/>
      <c r="C1371" s="902"/>
      <c r="D1371" s="902"/>
      <c r="E1371" s="902"/>
      <c r="F1371" s="902"/>
      <c r="G1371" s="902"/>
      <c r="H1371" s="902"/>
      <c r="I1371" s="902"/>
      <c r="J1371" s="902"/>
      <c r="K1371" s="902"/>
      <c r="L1371" s="902"/>
      <c r="M1371" s="902"/>
      <c r="N1371" s="902"/>
      <c r="O1371" s="902"/>
      <c r="P1371" s="902"/>
      <c r="Q1371" s="902"/>
      <c r="R1371" s="902"/>
      <c r="S1371" s="902"/>
      <c r="T1371" s="902"/>
      <c r="U1371" s="902"/>
      <c r="V1371" s="902"/>
      <c r="W1371" s="902"/>
      <c r="X1371" s="902"/>
      <c r="Y1371" s="902"/>
      <c r="Z1371" s="902"/>
      <c r="AA1371" s="902"/>
      <c r="AB1371" s="902"/>
      <c r="AC1371" s="902"/>
      <c r="AD1371" s="902"/>
      <c r="AE1371" s="902"/>
      <c r="AF1371" s="709"/>
      <c r="AG1371" s="709"/>
      <c r="AH1371" s="709"/>
      <c r="AI1371" s="709"/>
      <c r="AJ1371" s="709"/>
      <c r="AK1371" s="709"/>
      <c r="AL1371" s="709"/>
      <c r="AM1371" s="709"/>
      <c r="AN1371" s="709"/>
      <c r="AO1371" s="709"/>
      <c r="AP1371" s="709"/>
      <c r="AQ1371" s="709"/>
      <c r="AR1371" s="709"/>
      <c r="AS1371" s="709"/>
      <c r="AT1371" s="709"/>
      <c r="AU1371" s="709"/>
      <c r="AV1371" s="709"/>
      <c r="AW1371" s="709"/>
      <c r="AX1371" s="709"/>
      <c r="AY1371" s="709"/>
      <c r="AZ1371" s="709"/>
      <c r="BA1371" s="709"/>
      <c r="BB1371" s="709"/>
    </row>
    <row r="1372" spans="1:54" ht="12.6" customHeight="1" x14ac:dyDescent="0.25">
      <c r="A1372" s="902"/>
      <c r="B1372" s="902"/>
      <c r="C1372" s="902"/>
      <c r="D1372" s="902"/>
      <c r="E1372" s="902"/>
      <c r="F1372" s="902"/>
      <c r="G1372" s="902"/>
      <c r="H1372" s="902"/>
      <c r="I1372" s="902"/>
      <c r="J1372" s="902"/>
      <c r="K1372" s="902"/>
      <c r="L1372" s="902"/>
      <c r="M1372" s="902"/>
      <c r="N1372" s="902"/>
      <c r="O1372" s="902"/>
      <c r="P1372" s="902"/>
      <c r="Q1372" s="902"/>
      <c r="R1372" s="902"/>
      <c r="S1372" s="902"/>
      <c r="T1372" s="902"/>
      <c r="U1372" s="902"/>
      <c r="V1372" s="902"/>
      <c r="W1372" s="902"/>
      <c r="X1372" s="902"/>
      <c r="Y1372" s="902"/>
      <c r="Z1372" s="902"/>
      <c r="AA1372" s="902"/>
      <c r="AB1372" s="902"/>
      <c r="AC1372" s="902"/>
      <c r="AD1372" s="902"/>
      <c r="AE1372" s="902"/>
      <c r="AF1372" s="709"/>
      <c r="AG1372" s="709"/>
      <c r="AH1372" s="709"/>
      <c r="AI1372" s="709"/>
      <c r="AJ1372" s="709"/>
      <c r="AK1372" s="709"/>
      <c r="AL1372" s="709"/>
      <c r="AM1372" s="709"/>
      <c r="AN1372" s="709"/>
      <c r="AO1372" s="709"/>
      <c r="AP1372" s="709"/>
      <c r="AQ1372" s="709"/>
      <c r="AR1372" s="709"/>
      <c r="AS1372" s="709"/>
      <c r="AT1372" s="709"/>
      <c r="AU1372" s="709"/>
      <c r="AV1372" s="709"/>
      <c r="AW1372" s="709"/>
      <c r="AX1372" s="709"/>
      <c r="AY1372" s="709"/>
      <c r="AZ1372" s="709"/>
      <c r="BA1372" s="709"/>
      <c r="BB1372" s="709"/>
    </row>
    <row r="1373" spans="1:54" ht="12.6" customHeight="1" x14ac:dyDescent="0.25">
      <c r="A1373" s="902"/>
      <c r="B1373" s="902"/>
      <c r="C1373" s="902"/>
      <c r="D1373" s="902"/>
      <c r="E1373" s="902"/>
      <c r="F1373" s="902"/>
      <c r="G1373" s="902"/>
      <c r="H1373" s="902"/>
      <c r="I1373" s="902"/>
      <c r="J1373" s="902"/>
      <c r="K1373" s="902"/>
      <c r="L1373" s="902"/>
      <c r="M1373" s="902"/>
      <c r="N1373" s="902"/>
      <c r="O1373" s="902"/>
      <c r="P1373" s="902"/>
      <c r="Q1373" s="902"/>
      <c r="R1373" s="902"/>
      <c r="S1373" s="902"/>
      <c r="T1373" s="902"/>
      <c r="U1373" s="902"/>
      <c r="V1373" s="902"/>
      <c r="W1373" s="902"/>
      <c r="X1373" s="902"/>
      <c r="Y1373" s="902"/>
      <c r="Z1373" s="902"/>
      <c r="AA1373" s="902"/>
      <c r="AB1373" s="902"/>
      <c r="AC1373" s="902"/>
      <c r="AD1373" s="902"/>
      <c r="AE1373" s="902"/>
      <c r="AF1373" s="709"/>
      <c r="AG1373" s="709"/>
      <c r="AH1373" s="709"/>
      <c r="AI1373" s="709"/>
      <c r="AJ1373" s="709"/>
      <c r="AK1373" s="709"/>
      <c r="AL1373" s="709"/>
      <c r="AM1373" s="709"/>
      <c r="AN1373" s="709"/>
      <c r="AO1373" s="709"/>
      <c r="AP1373" s="709"/>
      <c r="AQ1373" s="709"/>
      <c r="AR1373" s="709"/>
      <c r="AS1373" s="709"/>
      <c r="AT1373" s="709"/>
      <c r="AU1373" s="709"/>
      <c r="AV1373" s="709"/>
      <c r="AW1373" s="709"/>
      <c r="AX1373" s="709"/>
      <c r="AY1373" s="709"/>
      <c r="AZ1373" s="709"/>
      <c r="BA1373" s="709"/>
      <c r="BB1373" s="709"/>
    </row>
    <row r="1374" spans="1:54" ht="12.6" customHeight="1" x14ac:dyDescent="0.25">
      <c r="A1374" s="902"/>
      <c r="B1374" s="902"/>
      <c r="C1374" s="902"/>
      <c r="D1374" s="902"/>
      <c r="E1374" s="902"/>
      <c r="F1374" s="902"/>
      <c r="G1374" s="902"/>
      <c r="H1374" s="902"/>
      <c r="I1374" s="902"/>
      <c r="J1374" s="902"/>
      <c r="K1374" s="902"/>
      <c r="L1374" s="902"/>
      <c r="M1374" s="902"/>
      <c r="N1374" s="902"/>
      <c r="O1374" s="902"/>
      <c r="P1374" s="902"/>
      <c r="Q1374" s="902"/>
      <c r="R1374" s="902"/>
      <c r="S1374" s="902"/>
      <c r="T1374" s="902"/>
      <c r="U1374" s="902"/>
      <c r="V1374" s="902"/>
      <c r="W1374" s="902"/>
      <c r="X1374" s="902"/>
      <c r="Y1374" s="902"/>
      <c r="Z1374" s="902"/>
      <c r="AA1374" s="902"/>
      <c r="AB1374" s="902"/>
      <c r="AC1374" s="902"/>
      <c r="AD1374" s="902"/>
      <c r="AE1374" s="902"/>
      <c r="AF1374" s="709"/>
      <c r="AG1374" s="709"/>
      <c r="AH1374" s="709"/>
      <c r="AI1374" s="709"/>
      <c r="AJ1374" s="709"/>
      <c r="AK1374" s="709"/>
      <c r="AL1374" s="709"/>
      <c r="AM1374" s="709"/>
      <c r="AN1374" s="709"/>
      <c r="AO1374" s="709"/>
      <c r="AP1374" s="709"/>
      <c r="AQ1374" s="709"/>
      <c r="AR1374" s="709"/>
      <c r="AS1374" s="709"/>
      <c r="AT1374" s="709"/>
      <c r="AU1374" s="709"/>
      <c r="AV1374" s="709"/>
      <c r="AW1374" s="709"/>
      <c r="AX1374" s="709"/>
      <c r="AY1374" s="709"/>
      <c r="AZ1374" s="709"/>
      <c r="BA1374" s="709"/>
      <c r="BB1374" s="709"/>
    </row>
    <row r="1375" spans="1:54" ht="12.6" customHeight="1" x14ac:dyDescent="0.25">
      <c r="A1375" s="903" t="s">
        <v>1979</v>
      </c>
      <c r="B1375" s="903"/>
      <c r="C1375" s="903"/>
      <c r="D1375" s="903"/>
      <c r="E1375" s="903"/>
      <c r="F1375" s="903"/>
      <c r="G1375" s="903"/>
      <c r="H1375" s="903"/>
      <c r="I1375" s="903"/>
      <c r="J1375" s="903"/>
      <c r="K1375" s="903"/>
      <c r="L1375" s="903"/>
      <c r="M1375" s="903"/>
      <c r="N1375" s="903"/>
      <c r="O1375" s="903"/>
      <c r="P1375" s="903"/>
      <c r="Q1375" s="903"/>
      <c r="R1375" s="903"/>
      <c r="S1375" s="903"/>
      <c r="T1375" s="903"/>
      <c r="U1375" s="903"/>
      <c r="V1375" s="903"/>
      <c r="W1375" s="903"/>
      <c r="X1375" s="903"/>
      <c r="Y1375" s="903"/>
      <c r="Z1375" s="903"/>
      <c r="AA1375" s="903"/>
      <c r="AB1375" s="903"/>
      <c r="AC1375" s="903"/>
      <c r="AD1375" s="903"/>
      <c r="AE1375" s="903"/>
      <c r="AF1375" s="709">
        <f>SUVAHAVUJ!$N$193</f>
        <v>8641</v>
      </c>
      <c r="AG1375" s="709"/>
      <c r="AH1375" s="709"/>
      <c r="AI1375" s="709"/>
      <c r="AJ1375" s="709"/>
      <c r="AK1375" s="709"/>
      <c r="AL1375" s="709"/>
      <c r="AM1375" s="709"/>
      <c r="AN1375" s="709"/>
      <c r="AO1375" s="709">
        <f>SUVAHAVUJ!$X$193</f>
        <v>10245</v>
      </c>
      <c r="AP1375" s="709"/>
      <c r="AQ1375" s="709"/>
      <c r="AR1375" s="709"/>
      <c r="AS1375" s="709"/>
      <c r="AT1375" s="709"/>
      <c r="AU1375" s="709"/>
      <c r="AV1375" s="709"/>
      <c r="AW1375" s="709"/>
      <c r="AX1375" s="709"/>
      <c r="AY1375" s="709"/>
      <c r="AZ1375" s="709"/>
      <c r="BA1375" s="709"/>
      <c r="BB1375" s="709"/>
    </row>
    <row r="1376" spans="1:54" ht="12.6" customHeight="1" x14ac:dyDescent="0.25">
      <c r="A1376" s="902" t="s">
        <v>1980</v>
      </c>
      <c r="B1376" s="902"/>
      <c r="C1376" s="902"/>
      <c r="D1376" s="902"/>
      <c r="E1376" s="902"/>
      <c r="F1376" s="902"/>
      <c r="G1376" s="902"/>
      <c r="H1376" s="902"/>
      <c r="I1376" s="902"/>
      <c r="J1376" s="902"/>
      <c r="K1376" s="902"/>
      <c r="L1376" s="902"/>
      <c r="M1376" s="902"/>
      <c r="N1376" s="902"/>
      <c r="O1376" s="902"/>
      <c r="P1376" s="902"/>
      <c r="Q1376" s="902"/>
      <c r="R1376" s="902"/>
      <c r="S1376" s="902"/>
      <c r="T1376" s="902"/>
      <c r="U1376" s="902"/>
      <c r="V1376" s="902"/>
      <c r="W1376" s="902"/>
      <c r="X1376" s="902"/>
      <c r="Y1376" s="902"/>
      <c r="Z1376" s="902"/>
      <c r="AA1376" s="902"/>
      <c r="AB1376" s="902"/>
      <c r="AC1376" s="902"/>
      <c r="AD1376" s="902"/>
      <c r="AE1376" s="902"/>
      <c r="AF1376" s="709">
        <f>SUVAHAVUJ!$N$200</f>
        <v>0</v>
      </c>
      <c r="AG1376" s="709"/>
      <c r="AH1376" s="709"/>
      <c r="AI1376" s="709"/>
      <c r="AJ1376" s="709"/>
      <c r="AK1376" s="709"/>
      <c r="AL1376" s="709"/>
      <c r="AM1376" s="709"/>
      <c r="AN1376" s="709"/>
      <c r="AO1376" s="709">
        <f>SUVAHAVUJ!$X$200</f>
        <v>0</v>
      </c>
      <c r="AP1376" s="709"/>
      <c r="AQ1376" s="709"/>
      <c r="AR1376" s="709"/>
      <c r="AS1376" s="709"/>
      <c r="AT1376" s="709"/>
      <c r="AU1376" s="709"/>
      <c r="AV1376" s="709"/>
      <c r="AW1376" s="709"/>
      <c r="AX1376" s="709"/>
      <c r="AY1376" s="709"/>
      <c r="AZ1376" s="709"/>
      <c r="BA1376" s="709"/>
      <c r="BB1376" s="709"/>
    </row>
    <row r="1377" spans="1:54" ht="12.6" customHeight="1" x14ac:dyDescent="0.25">
      <c r="A1377" s="902" t="s">
        <v>1981</v>
      </c>
      <c r="B1377" s="902"/>
      <c r="C1377" s="902"/>
      <c r="D1377" s="902"/>
      <c r="E1377" s="902"/>
      <c r="F1377" s="902"/>
      <c r="G1377" s="902"/>
      <c r="H1377" s="902"/>
      <c r="I1377" s="902"/>
      <c r="J1377" s="902"/>
      <c r="K1377" s="902"/>
      <c r="L1377" s="902"/>
      <c r="M1377" s="902"/>
      <c r="N1377" s="902"/>
      <c r="O1377" s="902"/>
      <c r="P1377" s="902"/>
      <c r="Q1377" s="902"/>
      <c r="R1377" s="902"/>
      <c r="S1377" s="902"/>
      <c r="T1377" s="902"/>
      <c r="U1377" s="902"/>
      <c r="V1377" s="902"/>
      <c r="W1377" s="902"/>
      <c r="X1377" s="902"/>
      <c r="Y1377" s="902"/>
      <c r="Z1377" s="902"/>
      <c r="AA1377" s="902"/>
      <c r="AB1377" s="902"/>
      <c r="AC1377" s="902"/>
      <c r="AD1377" s="902"/>
      <c r="AE1377" s="902"/>
      <c r="AF1377" s="709"/>
      <c r="AG1377" s="709"/>
      <c r="AH1377" s="709"/>
      <c r="AI1377" s="709"/>
      <c r="AJ1377" s="709"/>
      <c r="AK1377" s="709"/>
      <c r="AL1377" s="709"/>
      <c r="AM1377" s="709"/>
      <c r="AN1377" s="709"/>
      <c r="AO1377" s="709"/>
      <c r="AP1377" s="709"/>
      <c r="AQ1377" s="709"/>
      <c r="AR1377" s="709"/>
      <c r="AS1377" s="709"/>
      <c r="AT1377" s="709"/>
      <c r="AU1377" s="709"/>
      <c r="AV1377" s="709"/>
      <c r="AW1377" s="709"/>
      <c r="AX1377" s="709"/>
      <c r="AY1377" s="709"/>
      <c r="AZ1377" s="709"/>
      <c r="BA1377" s="709"/>
      <c r="BB1377" s="709"/>
    </row>
    <row r="1378" spans="1:54" ht="12.6" customHeight="1" x14ac:dyDescent="0.25">
      <c r="A1378" s="902" t="s">
        <v>1982</v>
      </c>
      <c r="B1378" s="902"/>
      <c r="C1378" s="902"/>
      <c r="D1378" s="902"/>
      <c r="E1378" s="902"/>
      <c r="F1378" s="902"/>
      <c r="G1378" s="902"/>
      <c r="H1378" s="902"/>
      <c r="I1378" s="902"/>
      <c r="J1378" s="902"/>
      <c r="K1378" s="902"/>
      <c r="L1378" s="902"/>
      <c r="M1378" s="902"/>
      <c r="N1378" s="902"/>
      <c r="O1378" s="902"/>
      <c r="P1378" s="902"/>
      <c r="Q1378" s="902"/>
      <c r="R1378" s="902"/>
      <c r="S1378" s="902"/>
      <c r="T1378" s="902"/>
      <c r="U1378" s="902"/>
      <c r="V1378" s="902"/>
      <c r="W1378" s="902"/>
      <c r="X1378" s="902"/>
      <c r="Y1378" s="902"/>
      <c r="Z1378" s="902"/>
      <c r="AA1378" s="902"/>
      <c r="AB1378" s="902"/>
      <c r="AC1378" s="902"/>
      <c r="AD1378" s="902"/>
      <c r="AE1378" s="902"/>
      <c r="AF1378" s="709"/>
      <c r="AG1378" s="709"/>
      <c r="AH1378" s="709"/>
      <c r="AI1378" s="709"/>
      <c r="AJ1378" s="709"/>
      <c r="AK1378" s="709"/>
      <c r="AL1378" s="709"/>
      <c r="AM1378" s="709"/>
      <c r="AN1378" s="709"/>
      <c r="AO1378" s="709"/>
      <c r="AP1378" s="709"/>
      <c r="AQ1378" s="709"/>
      <c r="AR1378" s="709"/>
      <c r="AS1378" s="709"/>
      <c r="AT1378" s="709"/>
      <c r="AU1378" s="709"/>
      <c r="AV1378" s="709"/>
      <c r="AW1378" s="709"/>
      <c r="AX1378" s="709"/>
      <c r="AY1378" s="709"/>
      <c r="AZ1378" s="709"/>
      <c r="BA1378" s="709"/>
      <c r="BB1378" s="709"/>
    </row>
    <row r="1379" spans="1:54" ht="12.6" customHeight="1" x14ac:dyDescent="0.25">
      <c r="A1379" s="902"/>
      <c r="B1379" s="902"/>
      <c r="C1379" s="902"/>
      <c r="D1379" s="902"/>
      <c r="E1379" s="902"/>
      <c r="F1379" s="902"/>
      <c r="G1379" s="902"/>
      <c r="H1379" s="902"/>
      <c r="I1379" s="902"/>
      <c r="J1379" s="902"/>
      <c r="K1379" s="902"/>
      <c r="L1379" s="902"/>
      <c r="M1379" s="902"/>
      <c r="N1379" s="902"/>
      <c r="O1379" s="902"/>
      <c r="P1379" s="902"/>
      <c r="Q1379" s="902"/>
      <c r="R1379" s="902"/>
      <c r="S1379" s="902"/>
      <c r="T1379" s="902"/>
      <c r="U1379" s="902"/>
      <c r="V1379" s="902"/>
      <c r="W1379" s="902"/>
      <c r="X1379" s="902"/>
      <c r="Y1379" s="902"/>
      <c r="Z1379" s="902"/>
      <c r="AA1379" s="902"/>
      <c r="AB1379" s="902"/>
      <c r="AC1379" s="902"/>
      <c r="AD1379" s="902"/>
      <c r="AE1379" s="902"/>
      <c r="AF1379" s="709"/>
      <c r="AG1379" s="709"/>
      <c r="AH1379" s="709"/>
      <c r="AI1379" s="709"/>
      <c r="AJ1379" s="709"/>
      <c r="AK1379" s="709"/>
      <c r="AL1379" s="709"/>
      <c r="AM1379" s="709"/>
      <c r="AN1379" s="709"/>
      <c r="AO1379" s="709"/>
      <c r="AP1379" s="709"/>
      <c r="AQ1379" s="709"/>
      <c r="AR1379" s="709"/>
      <c r="AS1379" s="709"/>
      <c r="AT1379" s="709"/>
      <c r="AU1379" s="709"/>
      <c r="AV1379" s="709"/>
      <c r="AW1379" s="709"/>
      <c r="AX1379" s="709"/>
      <c r="AY1379" s="709"/>
      <c r="AZ1379" s="709"/>
      <c r="BA1379" s="709"/>
      <c r="BB1379" s="709"/>
    </row>
    <row r="1380" spans="1:54" ht="12.6" customHeight="1" x14ac:dyDescent="0.25">
      <c r="A1380" s="902"/>
      <c r="B1380" s="902"/>
      <c r="C1380" s="902"/>
      <c r="D1380" s="902"/>
      <c r="E1380" s="902"/>
      <c r="F1380" s="902"/>
      <c r="G1380" s="902"/>
      <c r="H1380" s="902"/>
      <c r="I1380" s="902"/>
      <c r="J1380" s="902"/>
      <c r="K1380" s="902"/>
      <c r="L1380" s="902"/>
      <c r="M1380" s="902"/>
      <c r="N1380" s="902"/>
      <c r="O1380" s="902"/>
      <c r="P1380" s="902"/>
      <c r="Q1380" s="902"/>
      <c r="R1380" s="902"/>
      <c r="S1380" s="902"/>
      <c r="T1380" s="902"/>
      <c r="U1380" s="902"/>
      <c r="V1380" s="902"/>
      <c r="W1380" s="902"/>
      <c r="X1380" s="902"/>
      <c r="Y1380" s="902"/>
      <c r="Z1380" s="902"/>
      <c r="AA1380" s="902"/>
      <c r="AB1380" s="902"/>
      <c r="AC1380" s="902"/>
      <c r="AD1380" s="902"/>
      <c r="AE1380" s="902"/>
      <c r="AF1380" s="709"/>
      <c r="AG1380" s="709"/>
      <c r="AH1380" s="709"/>
      <c r="AI1380" s="709"/>
      <c r="AJ1380" s="709"/>
      <c r="AK1380" s="709"/>
      <c r="AL1380" s="709"/>
      <c r="AM1380" s="709"/>
      <c r="AN1380" s="709"/>
      <c r="AO1380" s="709"/>
      <c r="AP1380" s="709"/>
      <c r="AQ1380" s="709"/>
      <c r="AR1380" s="709"/>
      <c r="AS1380" s="709"/>
      <c r="AT1380" s="709"/>
      <c r="AU1380" s="709"/>
      <c r="AV1380" s="709"/>
      <c r="AW1380" s="709"/>
      <c r="AX1380" s="709"/>
      <c r="AY1380" s="709"/>
      <c r="AZ1380" s="709"/>
      <c r="BA1380" s="709"/>
      <c r="BB1380" s="709"/>
    </row>
    <row r="1381" spans="1:54" ht="12.6" customHeight="1" x14ac:dyDescent="0.25">
      <c r="A1381" s="903"/>
      <c r="B1381" s="903"/>
      <c r="C1381" s="903"/>
      <c r="D1381" s="903"/>
      <c r="E1381" s="903"/>
      <c r="F1381" s="903"/>
      <c r="G1381" s="903"/>
      <c r="H1381" s="903"/>
      <c r="I1381" s="903"/>
      <c r="J1381" s="903"/>
      <c r="K1381" s="903"/>
      <c r="L1381" s="903"/>
      <c r="M1381" s="903"/>
      <c r="N1381" s="903"/>
      <c r="O1381" s="903"/>
      <c r="P1381" s="903"/>
      <c r="Q1381" s="903"/>
      <c r="R1381" s="903"/>
      <c r="S1381" s="903"/>
      <c r="T1381" s="903"/>
      <c r="U1381" s="903"/>
      <c r="V1381" s="903"/>
      <c r="W1381" s="903"/>
      <c r="X1381" s="903"/>
      <c r="Y1381" s="903"/>
      <c r="Z1381" s="903"/>
      <c r="AA1381" s="903"/>
      <c r="AB1381" s="903"/>
      <c r="AC1381" s="903"/>
      <c r="AD1381" s="903"/>
      <c r="AE1381" s="903"/>
      <c r="AF1381" s="709"/>
      <c r="AG1381" s="709"/>
      <c r="AH1381" s="709"/>
      <c r="AI1381" s="709"/>
      <c r="AJ1381" s="709"/>
      <c r="AK1381" s="709"/>
      <c r="AL1381" s="709"/>
      <c r="AM1381" s="709"/>
      <c r="AN1381" s="709"/>
      <c r="AO1381" s="709"/>
      <c r="AP1381" s="709"/>
      <c r="AQ1381" s="709"/>
      <c r="AR1381" s="709"/>
      <c r="AS1381" s="709"/>
      <c r="AT1381" s="709"/>
      <c r="AU1381" s="709"/>
      <c r="AV1381" s="709"/>
      <c r="AW1381" s="709"/>
      <c r="AX1381" s="709"/>
      <c r="AY1381" s="709"/>
      <c r="AZ1381" s="709"/>
      <c r="BA1381" s="709"/>
      <c r="BB1381" s="709"/>
    </row>
    <row r="1382" spans="1:54" ht="12.6" customHeight="1" x14ac:dyDescent="0.25">
      <c r="A1382" s="902"/>
      <c r="B1382" s="902"/>
      <c r="C1382" s="902"/>
      <c r="D1382" s="902"/>
      <c r="E1382" s="902"/>
      <c r="F1382" s="902"/>
      <c r="G1382" s="902"/>
      <c r="H1382" s="902"/>
      <c r="I1382" s="902"/>
      <c r="J1382" s="902"/>
      <c r="K1382" s="902"/>
      <c r="L1382" s="902"/>
      <c r="M1382" s="902"/>
      <c r="N1382" s="902"/>
      <c r="O1382" s="902"/>
      <c r="P1382" s="902"/>
      <c r="Q1382" s="902"/>
      <c r="R1382" s="902"/>
      <c r="S1382" s="902"/>
      <c r="T1382" s="902"/>
      <c r="U1382" s="902"/>
      <c r="V1382" s="902"/>
      <c r="W1382" s="902"/>
      <c r="X1382" s="902"/>
      <c r="Y1382" s="902"/>
      <c r="Z1382" s="902"/>
      <c r="AA1382" s="902"/>
      <c r="AB1382" s="902"/>
      <c r="AC1382" s="902"/>
      <c r="AD1382" s="902"/>
      <c r="AE1382" s="902"/>
      <c r="AF1382" s="709"/>
      <c r="AG1382" s="709"/>
      <c r="AH1382" s="709"/>
      <c r="AI1382" s="709"/>
      <c r="AJ1382" s="709"/>
      <c r="AK1382" s="709"/>
      <c r="AL1382" s="709"/>
      <c r="AM1382" s="709"/>
      <c r="AN1382" s="709"/>
      <c r="AO1382" s="709"/>
      <c r="AP1382" s="709"/>
      <c r="AQ1382" s="709"/>
      <c r="AR1382" s="709"/>
      <c r="AS1382" s="709"/>
      <c r="AT1382" s="709"/>
      <c r="AU1382" s="709"/>
      <c r="AV1382" s="709"/>
      <c r="AW1382" s="709"/>
      <c r="AX1382" s="709"/>
      <c r="AY1382" s="709"/>
      <c r="AZ1382" s="709"/>
      <c r="BA1382" s="709"/>
      <c r="BB1382" s="709"/>
    </row>
    <row r="1383" spans="1:54" ht="12.6" customHeight="1" x14ac:dyDescent="0.25">
      <c r="A1383" s="708"/>
      <c r="B1383" s="708"/>
      <c r="C1383" s="708"/>
      <c r="D1383" s="708"/>
      <c r="E1383" s="708"/>
      <c r="F1383" s="708"/>
      <c r="G1383" s="708"/>
      <c r="H1383" s="708"/>
      <c r="I1383" s="708"/>
      <c r="J1383" s="708"/>
      <c r="K1383" s="708"/>
      <c r="L1383" s="708"/>
      <c r="M1383" s="708"/>
      <c r="N1383" s="708"/>
      <c r="O1383" s="708"/>
      <c r="P1383" s="708"/>
      <c r="Q1383" s="708"/>
      <c r="R1383" s="708"/>
      <c r="S1383" s="708"/>
      <c r="T1383" s="708"/>
      <c r="U1383" s="708"/>
      <c r="V1383" s="708"/>
      <c r="W1383" s="708"/>
      <c r="X1383" s="708"/>
      <c r="Y1383" s="708"/>
      <c r="Z1383" s="708"/>
      <c r="AA1383" s="708"/>
      <c r="AB1383" s="708"/>
      <c r="AC1383" s="708"/>
      <c r="AD1383" s="708"/>
      <c r="AE1383" s="708"/>
      <c r="AF1383" s="709"/>
      <c r="AG1383" s="709"/>
      <c r="AH1383" s="709"/>
      <c r="AI1383" s="709"/>
      <c r="AJ1383" s="709"/>
      <c r="AK1383" s="709"/>
      <c r="AL1383" s="709"/>
      <c r="AM1383" s="709"/>
      <c r="AN1383" s="709"/>
      <c r="AO1383" s="709"/>
      <c r="AP1383" s="709"/>
      <c r="AQ1383" s="709"/>
      <c r="AR1383" s="709"/>
      <c r="AS1383" s="709"/>
      <c r="AT1383" s="709"/>
      <c r="AU1383" s="709"/>
      <c r="AV1383" s="709"/>
      <c r="AW1383" s="709"/>
      <c r="AX1383" s="709"/>
      <c r="AY1383" s="709"/>
      <c r="AZ1383" s="709"/>
      <c r="BA1383" s="709"/>
      <c r="BB1383" s="709"/>
    </row>
    <row r="1384" spans="1:54" ht="12.6" customHeight="1" x14ac:dyDescent="0.25">
      <c r="A1384" s="708"/>
      <c r="B1384" s="708"/>
      <c r="C1384" s="708"/>
      <c r="D1384" s="708"/>
      <c r="E1384" s="708"/>
      <c r="F1384" s="708"/>
      <c r="G1384" s="708"/>
      <c r="H1384" s="708"/>
      <c r="I1384" s="708"/>
      <c r="J1384" s="708"/>
      <c r="K1384" s="708"/>
      <c r="L1384" s="708"/>
      <c r="M1384" s="708"/>
      <c r="N1384" s="708"/>
      <c r="O1384" s="708"/>
      <c r="P1384" s="708"/>
      <c r="Q1384" s="708"/>
      <c r="R1384" s="708"/>
      <c r="S1384" s="708"/>
      <c r="T1384" s="708"/>
      <c r="U1384" s="708"/>
      <c r="V1384" s="708"/>
      <c r="W1384" s="708"/>
      <c r="X1384" s="708"/>
      <c r="Y1384" s="708"/>
      <c r="Z1384" s="708"/>
      <c r="AA1384" s="708"/>
      <c r="AB1384" s="708"/>
      <c r="AC1384" s="708"/>
      <c r="AD1384" s="708"/>
      <c r="AE1384" s="708"/>
      <c r="AF1384" s="709"/>
      <c r="AG1384" s="709"/>
      <c r="AH1384" s="709"/>
      <c r="AI1384" s="709"/>
      <c r="AJ1384" s="709"/>
      <c r="AK1384" s="709"/>
      <c r="AL1384" s="709"/>
      <c r="AM1384" s="709"/>
      <c r="AN1384" s="709"/>
      <c r="AO1384" s="709"/>
      <c r="AP1384" s="709"/>
      <c r="AQ1384" s="709"/>
      <c r="AR1384" s="709"/>
      <c r="AS1384" s="709"/>
      <c r="AT1384" s="709"/>
      <c r="AU1384" s="709"/>
      <c r="AV1384" s="709"/>
      <c r="AW1384" s="709"/>
      <c r="AX1384" s="709"/>
      <c r="AY1384" s="709"/>
      <c r="AZ1384" s="709"/>
      <c r="BA1384" s="709"/>
      <c r="BB1384" s="709"/>
    </row>
    <row r="1385" spans="1:54" ht="12.6" customHeight="1" x14ac:dyDescent="0.25">
      <c r="A1385" s="227" t="s">
        <v>1482</v>
      </c>
    </row>
    <row r="1386" spans="1:54" ht="15" customHeight="1" x14ac:dyDescent="0.25">
      <c r="A1386" s="763"/>
      <c r="B1386" s="763"/>
      <c r="C1386" s="763"/>
      <c r="D1386" s="763"/>
      <c r="E1386" s="763"/>
      <c r="F1386" s="763"/>
      <c r="G1386" s="763"/>
      <c r="H1386" s="763"/>
      <c r="I1386" s="763"/>
      <c r="J1386" s="763"/>
      <c r="K1386" s="763"/>
      <c r="L1386" s="763"/>
      <c r="M1386" s="763"/>
      <c r="N1386" s="763"/>
      <c r="O1386" s="763"/>
      <c r="P1386" s="763"/>
      <c r="Q1386" s="763"/>
      <c r="R1386" s="763"/>
      <c r="S1386" s="763"/>
      <c r="T1386" s="763"/>
      <c r="U1386" s="763"/>
      <c r="V1386" s="763"/>
      <c r="W1386" s="763"/>
      <c r="X1386" s="763"/>
      <c r="Y1386" s="763"/>
      <c r="Z1386" s="763"/>
      <c r="AA1386" s="763"/>
      <c r="AB1386" s="763"/>
      <c r="AC1386" s="763"/>
      <c r="AD1386" s="763"/>
      <c r="AE1386" s="763"/>
      <c r="AF1386" s="763"/>
      <c r="AG1386" s="763"/>
      <c r="AH1386" s="763"/>
      <c r="AI1386" s="763"/>
      <c r="AJ1386" s="763"/>
      <c r="AK1386" s="763"/>
      <c r="AL1386" s="763"/>
      <c r="AM1386" s="763"/>
      <c r="AN1386" s="763"/>
      <c r="AO1386" s="763"/>
      <c r="AP1386" s="763"/>
      <c r="AQ1386" s="763"/>
      <c r="AR1386" s="763"/>
      <c r="AS1386" s="763"/>
      <c r="AT1386" s="763"/>
      <c r="AU1386" s="763"/>
      <c r="AV1386" s="763"/>
      <c r="AW1386" s="763"/>
      <c r="AX1386" s="763"/>
      <c r="AY1386" s="265"/>
      <c r="AZ1386" s="265"/>
      <c r="BA1386" s="265"/>
      <c r="BB1386" s="265"/>
    </row>
    <row r="1387" spans="1:54" ht="15" customHeight="1" x14ac:dyDescent="0.25">
      <c r="A1387" s="763"/>
      <c r="B1387" s="763"/>
      <c r="C1387" s="763"/>
      <c r="D1387" s="763"/>
      <c r="E1387" s="763"/>
      <c r="F1387" s="763"/>
      <c r="G1387" s="763"/>
      <c r="H1387" s="763"/>
      <c r="I1387" s="763"/>
      <c r="J1387" s="763"/>
      <c r="K1387" s="763"/>
      <c r="L1387" s="763"/>
      <c r="M1387" s="763"/>
      <c r="N1387" s="763"/>
      <c r="O1387" s="763"/>
      <c r="P1387" s="763"/>
      <c r="Q1387" s="763"/>
      <c r="R1387" s="763"/>
      <c r="S1387" s="763"/>
      <c r="T1387" s="763"/>
      <c r="U1387" s="763"/>
      <c r="V1387" s="763"/>
      <c r="W1387" s="763"/>
      <c r="X1387" s="763"/>
      <c r="Y1387" s="763"/>
      <c r="Z1387" s="763"/>
      <c r="AA1387" s="763"/>
      <c r="AB1387" s="763"/>
      <c r="AC1387" s="763"/>
      <c r="AD1387" s="763"/>
      <c r="AE1387" s="763"/>
      <c r="AF1387" s="763"/>
      <c r="AG1387" s="763"/>
      <c r="AH1387" s="763"/>
      <c r="AI1387" s="763"/>
      <c r="AJ1387" s="763"/>
      <c r="AK1387" s="763"/>
      <c r="AL1387" s="763"/>
      <c r="AM1387" s="763"/>
      <c r="AN1387" s="763"/>
      <c r="AO1387" s="763"/>
      <c r="AP1387" s="763"/>
      <c r="AQ1387" s="763"/>
      <c r="AR1387" s="763"/>
      <c r="AS1387" s="763"/>
      <c r="AT1387" s="763"/>
      <c r="AU1387" s="763"/>
      <c r="AV1387" s="763"/>
      <c r="AW1387" s="763"/>
      <c r="AX1387" s="763"/>
      <c r="AY1387" s="265"/>
      <c r="AZ1387" s="265"/>
      <c r="BA1387" s="265"/>
      <c r="BB1387" s="265"/>
    </row>
    <row r="1388" spans="1:54" ht="12" hidden="1" customHeight="1" x14ac:dyDescent="0.25">
      <c r="A1388" s="337"/>
      <c r="B1388" s="217"/>
      <c r="C1388" s="217"/>
      <c r="D1388" s="217"/>
      <c r="E1388" s="217"/>
      <c r="F1388" s="217"/>
      <c r="G1388" s="217"/>
      <c r="H1388" s="217"/>
      <c r="I1388" s="217"/>
      <c r="J1388" s="217"/>
      <c r="K1388" s="217"/>
      <c r="L1388" s="217"/>
      <c r="M1388" s="217"/>
      <c r="N1388" s="217"/>
      <c r="O1388" s="217"/>
      <c r="P1388" s="217"/>
      <c r="Q1388" s="217"/>
      <c r="R1388" s="217"/>
      <c r="S1388" s="217"/>
      <c r="T1388" s="217"/>
      <c r="U1388" s="217"/>
      <c r="V1388" s="217"/>
      <c r="W1388" s="217"/>
      <c r="X1388" s="217"/>
      <c r="Y1388" s="217"/>
      <c r="Z1388" s="217"/>
      <c r="AA1388" s="217"/>
      <c r="AB1388" s="217"/>
      <c r="AC1388" s="217"/>
      <c r="AD1388" s="217"/>
      <c r="AE1388" s="217"/>
      <c r="AF1388" s="217"/>
      <c r="AG1388" s="217"/>
      <c r="AH1388" s="217"/>
      <c r="AI1388" s="217"/>
      <c r="AJ1388" s="217"/>
      <c r="AK1388" s="217"/>
      <c r="AL1388" s="217"/>
      <c r="AM1388" s="217"/>
      <c r="AN1388" s="217"/>
      <c r="AO1388" s="217"/>
      <c r="AP1388" s="217"/>
      <c r="AQ1388" s="217"/>
      <c r="AR1388" s="217"/>
      <c r="AS1388" s="217"/>
      <c r="AT1388" s="217"/>
      <c r="AU1388" s="217"/>
      <c r="AV1388" s="217"/>
      <c r="AW1388" s="217"/>
      <c r="AX1388" s="217"/>
      <c r="AY1388" s="217"/>
      <c r="AZ1388" s="217"/>
      <c r="BA1388" s="217"/>
      <c r="BB1388" s="338"/>
    </row>
    <row r="1389" spans="1:54" s="225" customFormat="1" ht="12.6" customHeight="1" x14ac:dyDescent="0.25">
      <c r="A1389" s="220" t="s">
        <v>1983</v>
      </c>
      <c r="B1389" s="329"/>
      <c r="C1389" s="329"/>
      <c r="D1389" s="329"/>
      <c r="E1389" s="329"/>
      <c r="F1389" s="329"/>
      <c r="G1389" s="329"/>
      <c r="H1389" s="329"/>
      <c r="I1389" s="329"/>
      <c r="J1389" s="329"/>
      <c r="K1389" s="329"/>
      <c r="L1389" s="329"/>
      <c r="M1389" s="329"/>
      <c r="N1389" s="329"/>
      <c r="O1389" s="329"/>
      <c r="P1389" s="329"/>
      <c r="Q1389" s="329"/>
      <c r="R1389" s="329"/>
      <c r="S1389" s="329"/>
      <c r="T1389" s="329"/>
      <c r="U1389" s="329"/>
      <c r="V1389" s="329"/>
      <c r="W1389" s="329"/>
      <c r="X1389" s="329"/>
      <c r="Y1389" s="329"/>
      <c r="Z1389" s="329"/>
      <c r="AA1389" s="329"/>
      <c r="AB1389" s="329"/>
      <c r="AC1389" s="329"/>
      <c r="AD1389" s="329"/>
      <c r="AE1389" s="329"/>
      <c r="AF1389" s="329"/>
      <c r="AG1389" s="329"/>
      <c r="AH1389" s="329"/>
      <c r="AI1389" s="329"/>
      <c r="AJ1389" s="329"/>
      <c r="AK1389" s="329"/>
      <c r="AL1389" s="329"/>
      <c r="AM1389" s="329"/>
      <c r="AN1389" s="329"/>
      <c r="AO1389" s="329"/>
      <c r="AP1389" s="329"/>
      <c r="AQ1389" s="329"/>
      <c r="AR1389" s="329"/>
      <c r="AS1389" s="329"/>
      <c r="AT1389" s="329"/>
      <c r="AU1389" s="329"/>
      <c r="AV1389" s="329"/>
      <c r="AW1389" s="329"/>
      <c r="AX1389" s="329"/>
      <c r="AY1389" s="329"/>
      <c r="AZ1389" s="329"/>
      <c r="BA1389" s="329"/>
      <c r="BB1389" s="330"/>
    </row>
    <row r="1390" spans="1:54" ht="12" hidden="1" customHeight="1" x14ac:dyDescent="0.25">
      <c r="A1390" s="301"/>
      <c r="B1390" s="302"/>
      <c r="C1390" s="302"/>
      <c r="D1390" s="302"/>
      <c r="E1390" s="302"/>
      <c r="F1390" s="302"/>
      <c r="G1390" s="302"/>
      <c r="H1390" s="302"/>
      <c r="I1390" s="302"/>
      <c r="J1390" s="302"/>
      <c r="K1390" s="302"/>
      <c r="L1390" s="302"/>
      <c r="M1390" s="302"/>
      <c r="N1390" s="302"/>
      <c r="O1390" s="302"/>
      <c r="P1390" s="302"/>
      <c r="Q1390" s="302"/>
      <c r="R1390" s="302"/>
      <c r="S1390" s="302"/>
      <c r="T1390" s="302"/>
      <c r="U1390" s="302"/>
      <c r="V1390" s="302"/>
      <c r="W1390" s="302"/>
      <c r="X1390" s="302"/>
      <c r="Y1390" s="302"/>
      <c r="Z1390" s="302"/>
      <c r="AA1390" s="302"/>
      <c r="AB1390" s="302"/>
      <c r="AC1390" s="302"/>
      <c r="AD1390" s="302"/>
      <c r="AE1390" s="302"/>
      <c r="AF1390" s="302"/>
      <c r="AG1390" s="302"/>
      <c r="AH1390" s="302"/>
      <c r="AI1390" s="302"/>
      <c r="AJ1390" s="302"/>
      <c r="AK1390" s="302"/>
      <c r="AL1390" s="302"/>
      <c r="AM1390" s="302"/>
      <c r="AN1390" s="302"/>
      <c r="AO1390" s="302"/>
      <c r="AP1390" s="302"/>
      <c r="AQ1390" s="302"/>
      <c r="AR1390" s="302"/>
      <c r="AS1390" s="302"/>
      <c r="AT1390" s="302"/>
      <c r="AU1390" s="302"/>
      <c r="AV1390" s="302"/>
      <c r="AW1390" s="302"/>
      <c r="AX1390" s="302"/>
      <c r="AY1390" s="302"/>
      <c r="AZ1390" s="302"/>
      <c r="BA1390" s="302"/>
      <c r="BB1390" s="303"/>
    </row>
    <row r="1391" spans="1:54" ht="12.6" customHeight="1" x14ac:dyDescent="0.25">
      <c r="A1391" s="227" t="s">
        <v>1984</v>
      </c>
    </row>
    <row r="1392" spans="1:54" ht="12.6" customHeight="1" x14ac:dyDescent="0.25">
      <c r="A1392" s="241"/>
      <c r="B1392" s="242"/>
      <c r="C1392" s="242"/>
      <c r="D1392" s="242"/>
      <c r="E1392" s="242"/>
      <c r="F1392" s="242"/>
      <c r="G1392" s="242"/>
      <c r="H1392" s="242"/>
      <c r="I1392" s="242"/>
      <c r="J1392" s="242"/>
      <c r="K1392" s="242"/>
      <c r="L1392" s="242"/>
      <c r="M1392" s="242"/>
      <c r="N1392" s="242"/>
      <c r="O1392" s="242"/>
      <c r="P1392" s="242"/>
      <c r="Q1392" s="242"/>
      <c r="R1392" s="242"/>
      <c r="S1392" s="242"/>
      <c r="T1392" s="242"/>
      <c r="U1392" s="242"/>
      <c r="V1392" s="242"/>
      <c r="W1392" s="242"/>
      <c r="X1392" s="242"/>
      <c r="Y1392" s="242"/>
      <c r="Z1392" s="242"/>
      <c r="AA1392" s="242"/>
      <c r="AB1392" s="242"/>
      <c r="AC1392" s="242"/>
      <c r="AD1392" s="242"/>
      <c r="AE1392" s="268"/>
      <c r="AF1392" s="241"/>
      <c r="AG1392" s="299"/>
      <c r="AH1392" s="299"/>
      <c r="AI1392" s="299"/>
      <c r="AJ1392" s="299"/>
      <c r="AK1392" s="299"/>
      <c r="AL1392" s="299"/>
      <c r="AM1392" s="299"/>
      <c r="AN1392" s="300"/>
      <c r="AO1392" s="768" t="s">
        <v>1720</v>
      </c>
      <c r="AP1392" s="768"/>
      <c r="AQ1392" s="768"/>
      <c r="AR1392" s="768"/>
      <c r="AS1392" s="768"/>
      <c r="AT1392" s="768"/>
      <c r="AU1392" s="768"/>
      <c r="AV1392" s="768"/>
      <c r="AW1392" s="768"/>
      <c r="AX1392" s="768"/>
      <c r="AY1392" s="768"/>
      <c r="AZ1392" s="768"/>
      <c r="BA1392" s="768"/>
      <c r="BB1392" s="768"/>
    </row>
    <row r="1393" spans="1:54" ht="12.6" customHeight="1" x14ac:dyDescent="0.25">
      <c r="A1393" s="745" t="s">
        <v>1287</v>
      </c>
      <c r="B1393" s="745"/>
      <c r="C1393" s="745"/>
      <c r="D1393" s="745"/>
      <c r="E1393" s="745"/>
      <c r="F1393" s="745"/>
      <c r="G1393" s="745"/>
      <c r="H1393" s="745"/>
      <c r="I1393" s="745"/>
      <c r="J1393" s="745"/>
      <c r="K1393" s="745"/>
      <c r="L1393" s="745"/>
      <c r="M1393" s="745"/>
      <c r="N1393" s="745"/>
      <c r="O1393" s="745"/>
      <c r="P1393" s="745"/>
      <c r="Q1393" s="745"/>
      <c r="R1393" s="745"/>
      <c r="S1393" s="745"/>
      <c r="T1393" s="745"/>
      <c r="U1393" s="745"/>
      <c r="V1393" s="745"/>
      <c r="W1393" s="745"/>
      <c r="X1393" s="745"/>
      <c r="Y1393" s="745"/>
      <c r="Z1393" s="745"/>
      <c r="AA1393" s="745"/>
      <c r="AB1393" s="745"/>
      <c r="AC1393" s="745"/>
      <c r="AD1393" s="745"/>
      <c r="AE1393" s="745"/>
      <c r="AF1393" s="745" t="s">
        <v>1922</v>
      </c>
      <c r="AG1393" s="745"/>
      <c r="AH1393" s="745"/>
      <c r="AI1393" s="745"/>
      <c r="AJ1393" s="745"/>
      <c r="AK1393" s="745"/>
      <c r="AL1393" s="745"/>
      <c r="AM1393" s="745"/>
      <c r="AN1393" s="745"/>
      <c r="AO1393" s="745" t="s">
        <v>1653</v>
      </c>
      <c r="AP1393" s="745"/>
      <c r="AQ1393" s="745"/>
      <c r="AR1393" s="745"/>
      <c r="AS1393" s="745"/>
      <c r="AT1393" s="745"/>
      <c r="AU1393" s="745"/>
      <c r="AV1393" s="745"/>
      <c r="AW1393" s="745"/>
      <c r="AX1393" s="745"/>
      <c r="AY1393" s="745"/>
      <c r="AZ1393" s="745"/>
      <c r="BA1393" s="745"/>
      <c r="BB1393" s="745"/>
    </row>
    <row r="1394" spans="1:54" ht="12.6" customHeight="1" x14ac:dyDescent="0.25">
      <c r="A1394" s="251"/>
      <c r="B1394" s="312"/>
      <c r="C1394" s="312"/>
      <c r="D1394" s="312"/>
      <c r="E1394" s="312"/>
      <c r="F1394" s="312"/>
      <c r="G1394" s="312"/>
      <c r="H1394" s="312"/>
      <c r="I1394" s="312"/>
      <c r="J1394" s="312"/>
      <c r="K1394" s="312"/>
      <c r="L1394" s="312"/>
      <c r="M1394" s="312"/>
      <c r="N1394" s="312"/>
      <c r="O1394" s="312"/>
      <c r="P1394" s="312"/>
      <c r="Q1394" s="312"/>
      <c r="R1394" s="312"/>
      <c r="S1394" s="312"/>
      <c r="T1394" s="312"/>
      <c r="U1394" s="312"/>
      <c r="V1394" s="312"/>
      <c r="W1394" s="312"/>
      <c r="X1394" s="312"/>
      <c r="Y1394" s="312"/>
      <c r="Z1394" s="312"/>
      <c r="AA1394" s="312"/>
      <c r="AB1394" s="312"/>
      <c r="AC1394" s="312"/>
      <c r="AD1394" s="312"/>
      <c r="AE1394" s="328"/>
      <c r="AF1394" s="750" t="s">
        <v>1486</v>
      </c>
      <c r="AG1394" s="750"/>
      <c r="AH1394" s="750"/>
      <c r="AI1394" s="750"/>
      <c r="AJ1394" s="750"/>
      <c r="AK1394" s="750"/>
      <c r="AL1394" s="750"/>
      <c r="AM1394" s="750"/>
      <c r="AN1394" s="750"/>
      <c r="AO1394" s="750" t="s">
        <v>1290</v>
      </c>
      <c r="AP1394" s="750"/>
      <c r="AQ1394" s="750"/>
      <c r="AR1394" s="750"/>
      <c r="AS1394" s="750"/>
      <c r="AT1394" s="750"/>
      <c r="AU1394" s="750"/>
      <c r="AV1394" s="750"/>
      <c r="AW1394" s="750"/>
      <c r="AX1394" s="750"/>
      <c r="AY1394" s="750"/>
      <c r="AZ1394" s="750"/>
      <c r="BA1394" s="750"/>
      <c r="BB1394" s="750"/>
    </row>
    <row r="1395" spans="1:54" ht="12.6" customHeight="1" x14ac:dyDescent="0.25">
      <c r="A1395" s="281" t="s">
        <v>1985</v>
      </c>
      <c r="B1395" s="208"/>
      <c r="C1395" s="208"/>
      <c r="D1395" s="208"/>
      <c r="E1395" s="208"/>
      <c r="F1395" s="208"/>
      <c r="G1395" s="208"/>
      <c r="H1395" s="208"/>
      <c r="I1395" s="208"/>
      <c r="J1395" s="208"/>
      <c r="K1395" s="208"/>
      <c r="L1395" s="208"/>
      <c r="M1395" s="208"/>
      <c r="N1395" s="208"/>
      <c r="O1395" s="208"/>
      <c r="P1395" s="208"/>
      <c r="Q1395" s="208"/>
      <c r="R1395" s="208"/>
      <c r="S1395" s="208"/>
      <c r="T1395" s="208"/>
      <c r="U1395" s="208"/>
      <c r="V1395" s="208"/>
      <c r="W1395" s="208"/>
      <c r="X1395" s="208"/>
      <c r="Y1395" s="208"/>
      <c r="Z1395" s="208"/>
      <c r="AA1395" s="208"/>
      <c r="AB1395" s="208"/>
      <c r="AC1395" s="208"/>
      <c r="AD1395" s="208"/>
      <c r="AE1395" s="245"/>
      <c r="AF1395" s="800"/>
      <c r="AG1395" s="800"/>
      <c r="AH1395" s="800"/>
      <c r="AI1395" s="800"/>
      <c r="AJ1395" s="800"/>
      <c r="AK1395" s="800"/>
      <c r="AL1395" s="800"/>
      <c r="AM1395" s="800"/>
      <c r="AN1395" s="800"/>
      <c r="AO1395" s="800"/>
      <c r="AP1395" s="800"/>
      <c r="AQ1395" s="800"/>
      <c r="AR1395" s="800"/>
      <c r="AS1395" s="800"/>
      <c r="AT1395" s="800"/>
      <c r="AU1395" s="800"/>
      <c r="AV1395" s="800"/>
      <c r="AW1395" s="800"/>
      <c r="AX1395" s="800"/>
      <c r="AY1395" s="800"/>
      <c r="AZ1395" s="800"/>
      <c r="BA1395" s="800"/>
      <c r="BB1395" s="800"/>
    </row>
    <row r="1396" spans="1:54" ht="12.6" customHeight="1" x14ac:dyDescent="0.25">
      <c r="A1396" s="258" t="s">
        <v>1986</v>
      </c>
      <c r="B1396" s="247"/>
      <c r="C1396" s="247"/>
      <c r="D1396" s="247"/>
      <c r="E1396" s="247"/>
      <c r="F1396" s="247"/>
      <c r="G1396" s="247"/>
      <c r="H1396" s="247"/>
      <c r="I1396" s="247"/>
      <c r="J1396" s="247"/>
      <c r="K1396" s="247"/>
      <c r="L1396" s="247"/>
      <c r="M1396" s="247"/>
      <c r="N1396" s="247"/>
      <c r="O1396" s="247"/>
      <c r="P1396" s="247"/>
      <c r="Q1396" s="247"/>
      <c r="R1396" s="247"/>
      <c r="S1396" s="247"/>
      <c r="T1396" s="247"/>
      <c r="U1396" s="247"/>
      <c r="V1396" s="247"/>
      <c r="W1396" s="247"/>
      <c r="X1396" s="247"/>
      <c r="Y1396" s="247"/>
      <c r="Z1396" s="247"/>
      <c r="AA1396" s="247"/>
      <c r="AB1396" s="247"/>
      <c r="AC1396" s="247"/>
      <c r="AD1396" s="247"/>
      <c r="AE1396" s="252"/>
      <c r="AF1396" s="800"/>
      <c r="AG1396" s="800"/>
      <c r="AH1396" s="800"/>
      <c r="AI1396" s="800"/>
      <c r="AJ1396" s="800"/>
      <c r="AK1396" s="800"/>
      <c r="AL1396" s="800"/>
      <c r="AM1396" s="800"/>
      <c r="AN1396" s="800"/>
      <c r="AO1396" s="800"/>
      <c r="AP1396" s="800"/>
      <c r="AQ1396" s="800"/>
      <c r="AR1396" s="800"/>
      <c r="AS1396" s="800"/>
      <c r="AT1396" s="800"/>
      <c r="AU1396" s="800"/>
      <c r="AV1396" s="800"/>
      <c r="AW1396" s="800"/>
      <c r="AX1396" s="800"/>
      <c r="AY1396" s="800"/>
      <c r="AZ1396" s="800"/>
      <c r="BA1396" s="800"/>
      <c r="BB1396" s="800"/>
    </row>
    <row r="1397" spans="1:54" ht="12.6" customHeight="1" x14ac:dyDescent="0.25">
      <c r="A1397" s="257" t="s">
        <v>1987</v>
      </c>
      <c r="B1397" s="249"/>
      <c r="C1397" s="249"/>
      <c r="D1397" s="249"/>
      <c r="E1397" s="249"/>
      <c r="F1397" s="249"/>
      <c r="G1397" s="249"/>
      <c r="H1397" s="249"/>
      <c r="I1397" s="249"/>
      <c r="J1397" s="249"/>
      <c r="K1397" s="249"/>
      <c r="L1397" s="249"/>
      <c r="M1397" s="249"/>
      <c r="N1397" s="249"/>
      <c r="O1397" s="249"/>
      <c r="P1397" s="249"/>
      <c r="Q1397" s="249"/>
      <c r="R1397" s="249"/>
      <c r="S1397" s="249"/>
      <c r="T1397" s="249"/>
      <c r="U1397" s="249"/>
      <c r="V1397" s="249"/>
      <c r="W1397" s="249"/>
      <c r="X1397" s="249"/>
      <c r="Y1397" s="249"/>
      <c r="Z1397" s="249"/>
      <c r="AA1397" s="249"/>
      <c r="AB1397" s="249"/>
      <c r="AC1397" s="249"/>
      <c r="AD1397" s="249"/>
      <c r="AE1397" s="250"/>
      <c r="AF1397" s="801"/>
      <c r="AG1397" s="801"/>
      <c r="AH1397" s="801"/>
      <c r="AI1397" s="801"/>
      <c r="AJ1397" s="801"/>
      <c r="AK1397" s="801"/>
      <c r="AL1397" s="801"/>
      <c r="AM1397" s="801"/>
      <c r="AN1397" s="801"/>
      <c r="AO1397" s="801"/>
      <c r="AP1397" s="801"/>
      <c r="AQ1397" s="801"/>
      <c r="AR1397" s="801"/>
      <c r="AS1397" s="801"/>
      <c r="AT1397" s="801"/>
      <c r="AU1397" s="801"/>
      <c r="AV1397" s="801"/>
      <c r="AW1397" s="801"/>
      <c r="AX1397" s="801"/>
      <c r="AY1397" s="801"/>
      <c r="AZ1397" s="801"/>
      <c r="BA1397" s="801"/>
      <c r="BB1397" s="801"/>
    </row>
    <row r="1398" spans="1:54" ht="12.6" customHeight="1" x14ac:dyDescent="0.25">
      <c r="A1398" s="258" t="s">
        <v>1988</v>
      </c>
      <c r="B1398" s="247"/>
      <c r="C1398" s="247"/>
      <c r="D1398" s="247"/>
      <c r="E1398" s="247"/>
      <c r="F1398" s="247"/>
      <c r="G1398" s="247"/>
      <c r="H1398" s="247"/>
      <c r="I1398" s="247"/>
      <c r="J1398" s="247"/>
      <c r="K1398" s="247"/>
      <c r="L1398" s="247"/>
      <c r="M1398" s="247"/>
      <c r="N1398" s="247"/>
      <c r="O1398" s="247"/>
      <c r="P1398" s="247"/>
      <c r="Q1398" s="247"/>
      <c r="R1398" s="247"/>
      <c r="S1398" s="247"/>
      <c r="T1398" s="247"/>
      <c r="U1398" s="247"/>
      <c r="V1398" s="247"/>
      <c r="W1398" s="247"/>
      <c r="X1398" s="247"/>
      <c r="Y1398" s="247"/>
      <c r="Z1398" s="247"/>
      <c r="AA1398" s="247"/>
      <c r="AB1398" s="247"/>
      <c r="AC1398" s="247"/>
      <c r="AD1398" s="247"/>
      <c r="AE1398" s="252"/>
      <c r="AF1398" s="801"/>
      <c r="AG1398" s="801"/>
      <c r="AH1398" s="801"/>
      <c r="AI1398" s="801"/>
      <c r="AJ1398" s="801"/>
      <c r="AK1398" s="801"/>
      <c r="AL1398" s="801"/>
      <c r="AM1398" s="801"/>
      <c r="AN1398" s="801"/>
      <c r="AO1398" s="801"/>
      <c r="AP1398" s="801"/>
      <c r="AQ1398" s="801"/>
      <c r="AR1398" s="801"/>
      <c r="AS1398" s="801"/>
      <c r="AT1398" s="801"/>
      <c r="AU1398" s="801"/>
      <c r="AV1398" s="801"/>
      <c r="AW1398" s="801"/>
      <c r="AX1398" s="801"/>
      <c r="AY1398" s="801"/>
      <c r="AZ1398" s="801"/>
      <c r="BA1398" s="801"/>
      <c r="BB1398" s="801"/>
    </row>
    <row r="1399" spans="1:54" ht="12.6" customHeight="1" x14ac:dyDescent="0.25">
      <c r="A1399" s="257" t="s">
        <v>1989</v>
      </c>
      <c r="B1399" s="249"/>
      <c r="C1399" s="249"/>
      <c r="D1399" s="249"/>
      <c r="E1399" s="249"/>
      <c r="F1399" s="249"/>
      <c r="G1399" s="249"/>
      <c r="H1399" s="249"/>
      <c r="I1399" s="249"/>
      <c r="J1399" s="249"/>
      <c r="K1399" s="249"/>
      <c r="L1399" s="249"/>
      <c r="M1399" s="249"/>
      <c r="N1399" s="249"/>
      <c r="O1399" s="249"/>
      <c r="P1399" s="249"/>
      <c r="Q1399" s="249"/>
      <c r="R1399" s="249"/>
      <c r="S1399" s="249"/>
      <c r="T1399" s="249"/>
      <c r="U1399" s="249"/>
      <c r="V1399" s="249"/>
      <c r="W1399" s="249"/>
      <c r="X1399" s="249"/>
      <c r="Y1399" s="249"/>
      <c r="Z1399" s="249"/>
      <c r="AA1399" s="249"/>
      <c r="AB1399" s="249"/>
      <c r="AC1399" s="249"/>
      <c r="AD1399" s="249"/>
      <c r="AE1399" s="250"/>
      <c r="AF1399" s="801"/>
      <c r="AG1399" s="801"/>
      <c r="AH1399" s="801"/>
      <c r="AI1399" s="801"/>
      <c r="AJ1399" s="801"/>
      <c r="AK1399" s="801"/>
      <c r="AL1399" s="801"/>
      <c r="AM1399" s="801"/>
      <c r="AN1399" s="801"/>
      <c r="AO1399" s="801"/>
      <c r="AP1399" s="801"/>
      <c r="AQ1399" s="801"/>
      <c r="AR1399" s="801"/>
      <c r="AS1399" s="801"/>
      <c r="AT1399" s="801"/>
      <c r="AU1399" s="801"/>
      <c r="AV1399" s="801"/>
      <c r="AW1399" s="801"/>
      <c r="AX1399" s="801"/>
      <c r="AY1399" s="801"/>
      <c r="AZ1399" s="801"/>
      <c r="BA1399" s="801"/>
      <c r="BB1399" s="801"/>
    </row>
    <row r="1400" spans="1:54" ht="12.6" customHeight="1" x14ac:dyDescent="0.25">
      <c r="A1400" s="281" t="s">
        <v>1990</v>
      </c>
      <c r="B1400" s="208"/>
      <c r="C1400" s="208"/>
      <c r="D1400" s="208"/>
      <c r="E1400" s="208"/>
      <c r="F1400" s="208"/>
      <c r="G1400" s="208"/>
      <c r="H1400" s="208"/>
      <c r="I1400" s="208"/>
      <c r="J1400" s="208"/>
      <c r="K1400" s="208"/>
      <c r="L1400" s="208"/>
      <c r="M1400" s="208"/>
      <c r="N1400" s="208"/>
      <c r="O1400" s="208"/>
      <c r="P1400" s="208"/>
      <c r="Q1400" s="208"/>
      <c r="R1400" s="208"/>
      <c r="S1400" s="208"/>
      <c r="T1400" s="208"/>
      <c r="U1400" s="208"/>
      <c r="V1400" s="208"/>
      <c r="W1400" s="208"/>
      <c r="X1400" s="208"/>
      <c r="Y1400" s="208"/>
      <c r="Z1400" s="208"/>
      <c r="AA1400" s="208"/>
      <c r="AB1400" s="208"/>
      <c r="AC1400" s="208"/>
      <c r="AD1400" s="208"/>
      <c r="AE1400" s="245"/>
      <c r="AF1400" s="801"/>
      <c r="AG1400" s="801"/>
      <c r="AH1400" s="801"/>
      <c r="AI1400" s="801"/>
      <c r="AJ1400" s="801"/>
      <c r="AK1400" s="801"/>
      <c r="AL1400" s="801"/>
      <c r="AM1400" s="801"/>
      <c r="AN1400" s="801"/>
      <c r="AO1400" s="801"/>
      <c r="AP1400" s="801"/>
      <c r="AQ1400" s="801"/>
      <c r="AR1400" s="801"/>
      <c r="AS1400" s="801"/>
      <c r="AT1400" s="801"/>
      <c r="AU1400" s="801"/>
      <c r="AV1400" s="801"/>
      <c r="AW1400" s="801"/>
      <c r="AX1400" s="801"/>
      <c r="AY1400" s="801"/>
      <c r="AZ1400" s="801"/>
      <c r="BA1400" s="801"/>
      <c r="BB1400" s="801"/>
    </row>
    <row r="1401" spans="1:54" ht="12.6" customHeight="1" x14ac:dyDescent="0.25">
      <c r="A1401" s="281" t="s">
        <v>1991</v>
      </c>
      <c r="B1401" s="208"/>
      <c r="C1401" s="208"/>
      <c r="D1401" s="208"/>
      <c r="E1401" s="208"/>
      <c r="F1401" s="208"/>
      <c r="G1401" s="208"/>
      <c r="H1401" s="208"/>
      <c r="I1401" s="208"/>
      <c r="J1401" s="208"/>
      <c r="K1401" s="208"/>
      <c r="L1401" s="208"/>
      <c r="M1401" s="208"/>
      <c r="N1401" s="208"/>
      <c r="O1401" s="208"/>
      <c r="P1401" s="208"/>
      <c r="Q1401" s="208"/>
      <c r="R1401" s="208"/>
      <c r="S1401" s="208"/>
      <c r="T1401" s="208"/>
      <c r="U1401" s="208"/>
      <c r="V1401" s="208"/>
      <c r="W1401" s="208"/>
      <c r="X1401" s="208"/>
      <c r="Y1401" s="208"/>
      <c r="Z1401" s="208"/>
      <c r="AA1401" s="208"/>
      <c r="AB1401" s="208"/>
      <c r="AC1401" s="208"/>
      <c r="AD1401" s="208"/>
      <c r="AE1401" s="245"/>
      <c r="AF1401" s="801"/>
      <c r="AG1401" s="801"/>
      <c r="AH1401" s="801"/>
      <c r="AI1401" s="801"/>
      <c r="AJ1401" s="801"/>
      <c r="AK1401" s="801"/>
      <c r="AL1401" s="801"/>
      <c r="AM1401" s="801"/>
      <c r="AN1401" s="801"/>
      <c r="AO1401" s="801"/>
      <c r="AP1401" s="801"/>
      <c r="AQ1401" s="801"/>
      <c r="AR1401" s="801"/>
      <c r="AS1401" s="801"/>
      <c r="AT1401" s="801"/>
      <c r="AU1401" s="801"/>
      <c r="AV1401" s="801"/>
      <c r="AW1401" s="801"/>
      <c r="AX1401" s="801"/>
      <c r="AY1401" s="801"/>
      <c r="AZ1401" s="801"/>
      <c r="BA1401" s="801"/>
      <c r="BB1401" s="801"/>
    </row>
    <row r="1402" spans="1:54" ht="12.6" customHeight="1" x14ac:dyDescent="0.25">
      <c r="A1402" s="281" t="s">
        <v>1992</v>
      </c>
      <c r="B1402" s="208"/>
      <c r="C1402" s="208"/>
      <c r="D1402" s="208"/>
      <c r="E1402" s="208"/>
      <c r="F1402" s="208"/>
      <c r="G1402" s="208"/>
      <c r="H1402" s="208"/>
      <c r="I1402" s="208"/>
      <c r="J1402" s="208"/>
      <c r="K1402" s="208"/>
      <c r="L1402" s="208"/>
      <c r="M1402" s="208"/>
      <c r="N1402" s="208"/>
      <c r="O1402" s="208"/>
      <c r="P1402" s="208"/>
      <c r="Q1402" s="208"/>
      <c r="R1402" s="208"/>
      <c r="S1402" s="208"/>
      <c r="T1402" s="208"/>
      <c r="U1402" s="208"/>
      <c r="V1402" s="208"/>
      <c r="W1402" s="208"/>
      <c r="X1402" s="208"/>
      <c r="Y1402" s="208"/>
      <c r="Z1402" s="208"/>
      <c r="AA1402" s="208"/>
      <c r="AB1402" s="208"/>
      <c r="AC1402" s="208"/>
      <c r="AD1402" s="208"/>
      <c r="AE1402" s="245"/>
      <c r="AF1402" s="801"/>
      <c r="AG1402" s="801"/>
      <c r="AH1402" s="801"/>
      <c r="AI1402" s="801"/>
      <c r="AJ1402" s="801"/>
      <c r="AK1402" s="801"/>
      <c r="AL1402" s="801"/>
      <c r="AM1402" s="801"/>
      <c r="AN1402" s="801"/>
      <c r="AO1402" s="801"/>
      <c r="AP1402" s="801"/>
      <c r="AQ1402" s="801"/>
      <c r="AR1402" s="801"/>
      <c r="AS1402" s="801"/>
      <c r="AT1402" s="801"/>
      <c r="AU1402" s="801"/>
      <c r="AV1402" s="801"/>
      <c r="AW1402" s="801"/>
      <c r="AX1402" s="801"/>
      <c r="AY1402" s="801"/>
      <c r="AZ1402" s="801"/>
      <c r="BA1402" s="801"/>
      <c r="BB1402" s="801"/>
    </row>
    <row r="1403" spans="1:54" ht="12.6" customHeight="1" x14ac:dyDescent="0.25">
      <c r="A1403" s="258" t="s">
        <v>1993</v>
      </c>
      <c r="B1403" s="247"/>
      <c r="C1403" s="247"/>
      <c r="D1403" s="247"/>
      <c r="E1403" s="247"/>
      <c r="F1403" s="247"/>
      <c r="G1403" s="247"/>
      <c r="H1403" s="247"/>
      <c r="I1403" s="247"/>
      <c r="J1403" s="247"/>
      <c r="K1403" s="247"/>
      <c r="L1403" s="247"/>
      <c r="M1403" s="247"/>
      <c r="N1403" s="247"/>
      <c r="O1403" s="247"/>
      <c r="P1403" s="247"/>
      <c r="Q1403" s="247"/>
      <c r="R1403" s="247"/>
      <c r="S1403" s="247"/>
      <c r="T1403" s="247"/>
      <c r="U1403" s="247"/>
      <c r="V1403" s="247"/>
      <c r="W1403" s="247"/>
      <c r="X1403" s="247"/>
      <c r="Y1403" s="247"/>
      <c r="Z1403" s="247"/>
      <c r="AA1403" s="247"/>
      <c r="AB1403" s="247"/>
      <c r="AC1403" s="247"/>
      <c r="AD1403" s="247"/>
      <c r="AE1403" s="252"/>
      <c r="AF1403" s="801"/>
      <c r="AG1403" s="801"/>
      <c r="AH1403" s="801"/>
      <c r="AI1403" s="801"/>
      <c r="AJ1403" s="801"/>
      <c r="AK1403" s="801"/>
      <c r="AL1403" s="801"/>
      <c r="AM1403" s="801"/>
      <c r="AN1403" s="801"/>
      <c r="AO1403" s="801"/>
      <c r="AP1403" s="801"/>
      <c r="AQ1403" s="801"/>
      <c r="AR1403" s="801"/>
      <c r="AS1403" s="801"/>
      <c r="AT1403" s="801"/>
      <c r="AU1403" s="801"/>
      <c r="AV1403" s="801"/>
      <c r="AW1403" s="801"/>
      <c r="AX1403" s="801"/>
      <c r="AY1403" s="801"/>
      <c r="AZ1403" s="801"/>
      <c r="BA1403" s="801"/>
      <c r="BB1403" s="801"/>
    </row>
    <row r="1404" spans="1:54" ht="12.6" customHeight="1" x14ac:dyDescent="0.25">
      <c r="A1404" s="257" t="s">
        <v>1994</v>
      </c>
      <c r="B1404" s="249"/>
      <c r="C1404" s="249"/>
      <c r="D1404" s="249"/>
      <c r="E1404" s="249"/>
      <c r="F1404" s="249"/>
      <c r="G1404" s="249"/>
      <c r="H1404" s="249"/>
      <c r="I1404" s="249"/>
      <c r="J1404" s="249"/>
      <c r="K1404" s="249"/>
      <c r="L1404" s="249"/>
      <c r="M1404" s="249"/>
      <c r="N1404" s="249"/>
      <c r="O1404" s="249"/>
      <c r="P1404" s="249"/>
      <c r="Q1404" s="249"/>
      <c r="R1404" s="249"/>
      <c r="S1404" s="249"/>
      <c r="T1404" s="249"/>
      <c r="U1404" s="249"/>
      <c r="V1404" s="249"/>
      <c r="W1404" s="249"/>
      <c r="X1404" s="249"/>
      <c r="Y1404" s="249"/>
      <c r="Z1404" s="249"/>
      <c r="AA1404" s="249"/>
      <c r="AB1404" s="249"/>
      <c r="AC1404" s="249"/>
      <c r="AD1404" s="249"/>
      <c r="AE1404" s="250"/>
      <c r="AF1404" s="801"/>
      <c r="AG1404" s="801"/>
      <c r="AH1404" s="801"/>
      <c r="AI1404" s="801"/>
      <c r="AJ1404" s="801"/>
      <c r="AK1404" s="801"/>
      <c r="AL1404" s="801"/>
      <c r="AM1404" s="801"/>
      <c r="AN1404" s="801"/>
      <c r="AO1404" s="801"/>
      <c r="AP1404" s="801"/>
      <c r="AQ1404" s="801"/>
      <c r="AR1404" s="801"/>
      <c r="AS1404" s="801"/>
      <c r="AT1404" s="801"/>
      <c r="AU1404" s="801"/>
      <c r="AV1404" s="801"/>
      <c r="AW1404" s="801"/>
      <c r="AX1404" s="801"/>
      <c r="AY1404" s="801"/>
      <c r="AZ1404" s="801"/>
      <c r="BA1404" s="801"/>
      <c r="BB1404" s="801"/>
    </row>
    <row r="1405" spans="1:54" ht="12.6" customHeight="1" x14ac:dyDescent="0.25">
      <c r="A1405" s="281" t="s">
        <v>1995</v>
      </c>
      <c r="B1405" s="208"/>
      <c r="C1405" s="208"/>
      <c r="D1405" s="208"/>
      <c r="E1405" s="208"/>
      <c r="F1405" s="208"/>
      <c r="G1405" s="208"/>
      <c r="H1405" s="208"/>
      <c r="I1405" s="208"/>
      <c r="J1405" s="208"/>
      <c r="K1405" s="208"/>
      <c r="L1405" s="208"/>
      <c r="M1405" s="208"/>
      <c r="N1405" s="208"/>
      <c r="O1405" s="208"/>
      <c r="P1405" s="208"/>
      <c r="Q1405" s="208"/>
      <c r="R1405" s="208"/>
      <c r="S1405" s="208"/>
      <c r="T1405" s="208"/>
      <c r="U1405" s="208"/>
      <c r="V1405" s="208"/>
      <c r="W1405" s="208"/>
      <c r="X1405" s="208"/>
      <c r="Y1405" s="208"/>
      <c r="Z1405" s="208"/>
      <c r="AA1405" s="208"/>
      <c r="AB1405" s="208"/>
      <c r="AC1405" s="208"/>
      <c r="AD1405" s="208"/>
      <c r="AE1405" s="245"/>
      <c r="AF1405" s="801"/>
      <c r="AG1405" s="801"/>
      <c r="AH1405" s="801"/>
      <c r="AI1405" s="801"/>
      <c r="AJ1405" s="801"/>
      <c r="AK1405" s="801"/>
      <c r="AL1405" s="801"/>
      <c r="AM1405" s="801"/>
      <c r="AN1405" s="801"/>
      <c r="AO1405" s="801"/>
      <c r="AP1405" s="801"/>
      <c r="AQ1405" s="801"/>
      <c r="AR1405" s="801"/>
      <c r="AS1405" s="801"/>
      <c r="AT1405" s="801"/>
      <c r="AU1405" s="801"/>
      <c r="AV1405" s="801"/>
      <c r="AW1405" s="801"/>
      <c r="AX1405" s="801"/>
      <c r="AY1405" s="801"/>
      <c r="AZ1405" s="801"/>
      <c r="BA1405" s="801"/>
      <c r="BB1405" s="801"/>
    </row>
    <row r="1406" spans="1:54" ht="12.6" customHeight="1" x14ac:dyDescent="0.25">
      <c r="A1406" s="281" t="s">
        <v>1996</v>
      </c>
      <c r="B1406" s="208"/>
      <c r="C1406" s="208"/>
      <c r="D1406" s="208"/>
      <c r="E1406" s="208"/>
      <c r="F1406" s="208"/>
      <c r="G1406" s="208"/>
      <c r="H1406" s="208"/>
      <c r="I1406" s="208"/>
      <c r="J1406" s="208"/>
      <c r="K1406" s="208"/>
      <c r="L1406" s="208"/>
      <c r="M1406" s="208"/>
      <c r="N1406" s="208"/>
      <c r="O1406" s="208"/>
      <c r="P1406" s="208"/>
      <c r="Q1406" s="208"/>
      <c r="R1406" s="208"/>
      <c r="S1406" s="208"/>
      <c r="T1406" s="208"/>
      <c r="U1406" s="208"/>
      <c r="V1406" s="208"/>
      <c r="W1406" s="208"/>
      <c r="X1406" s="208"/>
      <c r="Y1406" s="208"/>
      <c r="Z1406" s="208"/>
      <c r="AA1406" s="208"/>
      <c r="AB1406" s="208"/>
      <c r="AC1406" s="208"/>
      <c r="AD1406" s="208"/>
      <c r="AE1406" s="245"/>
      <c r="AF1406" s="801"/>
      <c r="AG1406" s="801"/>
      <c r="AH1406" s="801"/>
      <c r="AI1406" s="801"/>
      <c r="AJ1406" s="801"/>
      <c r="AK1406" s="801"/>
      <c r="AL1406" s="801"/>
      <c r="AM1406" s="801"/>
      <c r="AN1406" s="801"/>
      <c r="AO1406" s="801"/>
      <c r="AP1406" s="801"/>
      <c r="AQ1406" s="801"/>
      <c r="AR1406" s="801"/>
      <c r="AS1406" s="801"/>
      <c r="AT1406" s="801"/>
      <c r="AU1406" s="801"/>
      <c r="AV1406" s="801"/>
      <c r="AW1406" s="801"/>
      <c r="AX1406" s="801"/>
      <c r="AY1406" s="801"/>
      <c r="AZ1406" s="801"/>
      <c r="BA1406" s="801"/>
      <c r="BB1406" s="801"/>
    </row>
    <row r="1407" spans="1:54" ht="12.6" customHeight="1" x14ac:dyDescent="0.25">
      <c r="A1407" s="258" t="s">
        <v>1997</v>
      </c>
      <c r="B1407" s="247"/>
      <c r="C1407" s="247"/>
      <c r="D1407" s="247"/>
      <c r="E1407" s="247"/>
      <c r="F1407" s="247"/>
      <c r="G1407" s="247"/>
      <c r="H1407" s="247"/>
      <c r="I1407" s="247"/>
      <c r="J1407" s="247"/>
      <c r="K1407" s="247"/>
      <c r="L1407" s="247"/>
      <c r="M1407" s="247"/>
      <c r="N1407" s="247"/>
      <c r="O1407" s="247"/>
      <c r="P1407" s="247"/>
      <c r="Q1407" s="247"/>
      <c r="R1407" s="247"/>
      <c r="S1407" s="247"/>
      <c r="T1407" s="247"/>
      <c r="U1407" s="247"/>
      <c r="V1407" s="247"/>
      <c r="W1407" s="247"/>
      <c r="X1407" s="247"/>
      <c r="Y1407" s="247"/>
      <c r="Z1407" s="247"/>
      <c r="AA1407" s="247"/>
      <c r="AB1407" s="247"/>
      <c r="AC1407" s="247"/>
      <c r="AD1407" s="247"/>
      <c r="AE1407" s="252"/>
      <c r="AF1407" s="801"/>
      <c r="AG1407" s="801"/>
      <c r="AH1407" s="801"/>
      <c r="AI1407" s="801"/>
      <c r="AJ1407" s="801"/>
      <c r="AK1407" s="801"/>
      <c r="AL1407" s="801"/>
      <c r="AM1407" s="801"/>
      <c r="AN1407" s="801"/>
      <c r="AO1407" s="801"/>
      <c r="AP1407" s="801"/>
      <c r="AQ1407" s="801"/>
      <c r="AR1407" s="801"/>
      <c r="AS1407" s="801"/>
      <c r="AT1407" s="801"/>
      <c r="AU1407" s="801"/>
      <c r="AV1407" s="801"/>
      <c r="AW1407" s="801"/>
      <c r="AX1407" s="801"/>
      <c r="AY1407" s="801"/>
      <c r="AZ1407" s="801"/>
      <c r="BA1407" s="801"/>
      <c r="BB1407" s="801"/>
    </row>
    <row r="1408" spans="1:54" ht="12.6" customHeight="1" x14ac:dyDescent="0.25">
      <c r="A1408" s="257" t="s">
        <v>1998</v>
      </c>
      <c r="B1408" s="249"/>
      <c r="C1408" s="249"/>
      <c r="D1408" s="249"/>
      <c r="E1408" s="249"/>
      <c r="F1408" s="249"/>
      <c r="G1408" s="249"/>
      <c r="H1408" s="249"/>
      <c r="I1408" s="249"/>
      <c r="J1408" s="249"/>
      <c r="K1408" s="249"/>
      <c r="L1408" s="249"/>
      <c r="M1408" s="249"/>
      <c r="N1408" s="249"/>
      <c r="O1408" s="249"/>
      <c r="P1408" s="249"/>
      <c r="Q1408" s="249"/>
      <c r="R1408" s="249"/>
      <c r="S1408" s="249"/>
      <c r="T1408" s="249"/>
      <c r="U1408" s="249"/>
      <c r="V1408" s="249"/>
      <c r="W1408" s="249"/>
      <c r="X1408" s="249"/>
      <c r="Y1408" s="249"/>
      <c r="Z1408" s="249"/>
      <c r="AA1408" s="249"/>
      <c r="AB1408" s="249"/>
      <c r="AC1408" s="249"/>
      <c r="AD1408" s="249"/>
      <c r="AE1408" s="250"/>
      <c r="AF1408" s="801"/>
      <c r="AG1408" s="801"/>
      <c r="AH1408" s="801"/>
      <c r="AI1408" s="801"/>
      <c r="AJ1408" s="801"/>
      <c r="AK1408" s="801"/>
      <c r="AL1408" s="801"/>
      <c r="AM1408" s="801"/>
      <c r="AN1408" s="801"/>
      <c r="AO1408" s="801"/>
      <c r="AP1408" s="801"/>
      <c r="AQ1408" s="801"/>
      <c r="AR1408" s="801"/>
      <c r="AS1408" s="801"/>
      <c r="AT1408" s="801"/>
      <c r="AU1408" s="801"/>
      <c r="AV1408" s="801"/>
      <c r="AW1408" s="801"/>
      <c r="AX1408" s="801"/>
      <c r="AY1408" s="801"/>
      <c r="AZ1408" s="801"/>
      <c r="BA1408" s="801"/>
      <c r="BB1408" s="801"/>
    </row>
    <row r="1409" spans="1:54" ht="12.6" customHeight="1" x14ac:dyDescent="0.25">
      <c r="A1409" s="281" t="s">
        <v>1999</v>
      </c>
      <c r="B1409" s="208"/>
      <c r="C1409" s="208"/>
      <c r="D1409" s="208"/>
      <c r="E1409" s="208"/>
      <c r="F1409" s="208"/>
      <c r="G1409" s="208"/>
      <c r="H1409" s="208"/>
      <c r="I1409" s="208"/>
      <c r="J1409" s="208"/>
      <c r="K1409" s="208"/>
      <c r="L1409" s="208"/>
      <c r="M1409" s="208"/>
      <c r="N1409" s="208"/>
      <c r="O1409" s="208"/>
      <c r="P1409" s="208"/>
      <c r="Q1409" s="208"/>
      <c r="R1409" s="208"/>
      <c r="S1409" s="208"/>
      <c r="T1409" s="208"/>
      <c r="U1409" s="208"/>
      <c r="V1409" s="208"/>
      <c r="W1409" s="208"/>
      <c r="X1409" s="208"/>
      <c r="Y1409" s="208"/>
      <c r="Z1409" s="208"/>
      <c r="AA1409" s="208"/>
      <c r="AB1409" s="208"/>
      <c r="AC1409" s="208"/>
      <c r="AD1409" s="208"/>
      <c r="AE1409" s="245"/>
      <c r="AF1409" s="801"/>
      <c r="AG1409" s="801"/>
      <c r="AH1409" s="801"/>
      <c r="AI1409" s="801"/>
      <c r="AJ1409" s="801"/>
      <c r="AK1409" s="801"/>
      <c r="AL1409" s="801"/>
      <c r="AM1409" s="801"/>
      <c r="AN1409" s="801"/>
      <c r="AO1409" s="801"/>
      <c r="AP1409" s="801"/>
      <c r="AQ1409" s="801"/>
      <c r="AR1409" s="801"/>
      <c r="AS1409" s="801"/>
      <c r="AT1409" s="801"/>
      <c r="AU1409" s="801"/>
      <c r="AV1409" s="801"/>
      <c r="AW1409" s="801"/>
      <c r="AX1409" s="801"/>
      <c r="AY1409" s="801"/>
      <c r="AZ1409" s="801"/>
      <c r="BA1409" s="801"/>
      <c r="BB1409" s="801"/>
    </row>
    <row r="1410" spans="1:54" ht="12.6" customHeight="1" x14ac:dyDescent="0.25">
      <c r="A1410" s="258" t="s">
        <v>2000</v>
      </c>
      <c r="B1410" s="247"/>
      <c r="C1410" s="247"/>
      <c r="D1410" s="247"/>
      <c r="E1410" s="247"/>
      <c r="F1410" s="247"/>
      <c r="G1410" s="247"/>
      <c r="H1410" s="247"/>
      <c r="I1410" s="247"/>
      <c r="J1410" s="247"/>
      <c r="K1410" s="247"/>
      <c r="L1410" s="247"/>
      <c r="M1410" s="247"/>
      <c r="N1410" s="247"/>
      <c r="O1410" s="247"/>
      <c r="P1410" s="247"/>
      <c r="Q1410" s="247"/>
      <c r="R1410" s="247"/>
      <c r="S1410" s="247"/>
      <c r="T1410" s="247"/>
      <c r="U1410" s="247"/>
      <c r="V1410" s="247"/>
      <c r="W1410" s="247"/>
      <c r="X1410" s="247"/>
      <c r="Y1410" s="247"/>
      <c r="Z1410" s="247"/>
      <c r="AA1410" s="247"/>
      <c r="AB1410" s="247"/>
      <c r="AC1410" s="247"/>
      <c r="AD1410" s="247"/>
      <c r="AE1410" s="252"/>
      <c r="AF1410" s="801"/>
      <c r="AG1410" s="801"/>
      <c r="AH1410" s="801"/>
      <c r="AI1410" s="801"/>
      <c r="AJ1410" s="801"/>
      <c r="AK1410" s="801"/>
      <c r="AL1410" s="801"/>
      <c r="AM1410" s="801"/>
      <c r="AN1410" s="801"/>
      <c r="AO1410" s="801"/>
      <c r="AP1410" s="801"/>
      <c r="AQ1410" s="801"/>
      <c r="AR1410" s="801"/>
      <c r="AS1410" s="801"/>
      <c r="AT1410" s="801"/>
      <c r="AU1410" s="801"/>
      <c r="AV1410" s="801"/>
      <c r="AW1410" s="801"/>
      <c r="AX1410" s="801"/>
      <c r="AY1410" s="801"/>
      <c r="AZ1410" s="801"/>
      <c r="BA1410" s="801"/>
      <c r="BB1410" s="801"/>
    </row>
    <row r="1411" spans="1:54" ht="12.6" customHeight="1" x14ac:dyDescent="0.25">
      <c r="A1411" s="257" t="s">
        <v>2001</v>
      </c>
      <c r="B1411" s="249"/>
      <c r="C1411" s="249"/>
      <c r="D1411" s="249"/>
      <c r="E1411" s="249"/>
      <c r="F1411" s="249"/>
      <c r="G1411" s="249"/>
      <c r="H1411" s="249"/>
      <c r="I1411" s="249"/>
      <c r="J1411" s="249"/>
      <c r="K1411" s="249"/>
      <c r="L1411" s="249"/>
      <c r="M1411" s="249"/>
      <c r="N1411" s="249"/>
      <c r="O1411" s="249"/>
      <c r="P1411" s="249"/>
      <c r="Q1411" s="249"/>
      <c r="R1411" s="249"/>
      <c r="S1411" s="249"/>
      <c r="T1411" s="249"/>
      <c r="U1411" s="249"/>
      <c r="V1411" s="249"/>
      <c r="W1411" s="249"/>
      <c r="X1411" s="249"/>
      <c r="Y1411" s="249"/>
      <c r="Z1411" s="249"/>
      <c r="AA1411" s="249"/>
      <c r="AB1411" s="249"/>
      <c r="AC1411" s="249"/>
      <c r="AD1411" s="249"/>
      <c r="AE1411" s="250"/>
      <c r="AF1411" s="801"/>
      <c r="AG1411" s="801"/>
      <c r="AH1411" s="801"/>
      <c r="AI1411" s="801"/>
      <c r="AJ1411" s="801"/>
      <c r="AK1411" s="801"/>
      <c r="AL1411" s="801"/>
      <c r="AM1411" s="801"/>
      <c r="AN1411" s="801"/>
      <c r="AO1411" s="801"/>
      <c r="AP1411" s="801"/>
      <c r="AQ1411" s="801"/>
      <c r="AR1411" s="801"/>
      <c r="AS1411" s="801"/>
      <c r="AT1411" s="801"/>
      <c r="AU1411" s="801"/>
      <c r="AV1411" s="801"/>
      <c r="AW1411" s="801"/>
      <c r="AX1411" s="801"/>
      <c r="AY1411" s="801"/>
      <c r="AZ1411" s="801"/>
      <c r="BA1411" s="801"/>
      <c r="BB1411" s="801"/>
    </row>
    <row r="1412" spans="1:54" ht="12.6" customHeight="1" x14ac:dyDescent="0.25">
      <c r="A1412" s="281" t="s">
        <v>2002</v>
      </c>
      <c r="B1412" s="208"/>
      <c r="C1412" s="208"/>
      <c r="D1412" s="208"/>
      <c r="E1412" s="208"/>
      <c r="F1412" s="208"/>
      <c r="G1412" s="208"/>
      <c r="H1412" s="208"/>
      <c r="I1412" s="208"/>
      <c r="J1412" s="208"/>
      <c r="K1412" s="208"/>
      <c r="L1412" s="208"/>
      <c r="M1412" s="208"/>
      <c r="N1412" s="208"/>
      <c r="O1412" s="208"/>
      <c r="P1412" s="208"/>
      <c r="Q1412" s="208"/>
      <c r="R1412" s="208"/>
      <c r="S1412" s="208"/>
      <c r="T1412" s="208"/>
      <c r="U1412" s="208"/>
      <c r="V1412" s="208"/>
      <c r="W1412" s="208"/>
      <c r="X1412" s="208"/>
      <c r="Y1412" s="208"/>
      <c r="Z1412" s="208"/>
      <c r="AA1412" s="208"/>
      <c r="AB1412" s="208"/>
      <c r="AC1412" s="208"/>
      <c r="AD1412" s="208"/>
      <c r="AE1412" s="245"/>
      <c r="AF1412" s="801"/>
      <c r="AG1412" s="801"/>
      <c r="AH1412" s="801"/>
      <c r="AI1412" s="801"/>
      <c r="AJ1412" s="801"/>
      <c r="AK1412" s="801"/>
      <c r="AL1412" s="801"/>
      <c r="AM1412" s="801"/>
      <c r="AN1412" s="801"/>
      <c r="AO1412" s="801"/>
      <c r="AP1412" s="801"/>
      <c r="AQ1412" s="801"/>
      <c r="AR1412" s="801"/>
      <c r="AS1412" s="801"/>
      <c r="AT1412" s="801"/>
      <c r="AU1412" s="801"/>
      <c r="AV1412" s="801"/>
      <c r="AW1412" s="801"/>
      <c r="AX1412" s="801"/>
      <c r="AY1412" s="801"/>
      <c r="AZ1412" s="801"/>
      <c r="BA1412" s="801"/>
      <c r="BB1412" s="801"/>
    </row>
    <row r="1413" spans="1:54" ht="12.6" customHeight="1" x14ac:dyDescent="0.25">
      <c r="A1413" s="258" t="s">
        <v>2003</v>
      </c>
      <c r="B1413" s="247"/>
      <c r="C1413" s="247"/>
      <c r="D1413" s="247"/>
      <c r="E1413" s="247"/>
      <c r="F1413" s="247"/>
      <c r="G1413" s="247"/>
      <c r="H1413" s="247"/>
      <c r="I1413" s="247"/>
      <c r="J1413" s="247"/>
      <c r="K1413" s="247"/>
      <c r="L1413" s="247"/>
      <c r="M1413" s="247"/>
      <c r="N1413" s="247"/>
      <c r="O1413" s="247"/>
      <c r="P1413" s="247"/>
      <c r="Q1413" s="247"/>
      <c r="R1413" s="247"/>
      <c r="S1413" s="247"/>
      <c r="T1413" s="247"/>
      <c r="U1413" s="247"/>
      <c r="V1413" s="247"/>
      <c r="W1413" s="247"/>
      <c r="X1413" s="247"/>
      <c r="Y1413" s="247"/>
      <c r="Z1413" s="247"/>
      <c r="AA1413" s="247"/>
      <c r="AB1413" s="247"/>
      <c r="AC1413" s="247"/>
      <c r="AD1413" s="247"/>
      <c r="AE1413" s="252"/>
      <c r="AF1413" s="801"/>
      <c r="AG1413" s="801"/>
      <c r="AH1413" s="801"/>
      <c r="AI1413" s="801"/>
      <c r="AJ1413" s="801"/>
      <c r="AK1413" s="801"/>
      <c r="AL1413" s="801"/>
      <c r="AM1413" s="801"/>
      <c r="AN1413" s="801"/>
      <c r="AO1413" s="801"/>
      <c r="AP1413" s="801"/>
      <c r="AQ1413" s="801"/>
      <c r="AR1413" s="801"/>
      <c r="AS1413" s="801"/>
      <c r="AT1413" s="801"/>
      <c r="AU1413" s="801"/>
      <c r="AV1413" s="801"/>
      <c r="AW1413" s="801"/>
      <c r="AX1413" s="801"/>
      <c r="AY1413" s="801"/>
      <c r="AZ1413" s="801"/>
      <c r="BA1413" s="801"/>
      <c r="BB1413" s="801"/>
    </row>
    <row r="1414" spans="1:54" ht="12.6" customHeight="1" x14ac:dyDescent="0.25">
      <c r="A1414" s="227" t="s">
        <v>1344</v>
      </c>
    </row>
    <row r="1415" spans="1:54" ht="15" customHeight="1" x14ac:dyDescent="0.25">
      <c r="A1415" s="763"/>
      <c r="B1415" s="763"/>
      <c r="C1415" s="763"/>
      <c r="D1415" s="763"/>
      <c r="E1415" s="763"/>
      <c r="F1415" s="763"/>
      <c r="G1415" s="763"/>
      <c r="H1415" s="763"/>
      <c r="I1415" s="763"/>
      <c r="J1415" s="763"/>
      <c r="K1415" s="763"/>
      <c r="L1415" s="763"/>
      <c r="M1415" s="763"/>
      <c r="N1415" s="763"/>
      <c r="O1415" s="763"/>
      <c r="P1415" s="763"/>
      <c r="Q1415" s="763"/>
      <c r="R1415" s="763"/>
      <c r="S1415" s="763"/>
      <c r="T1415" s="763"/>
      <c r="U1415" s="763"/>
      <c r="V1415" s="763"/>
      <c r="W1415" s="763"/>
      <c r="X1415" s="763"/>
      <c r="Y1415" s="763"/>
      <c r="Z1415" s="763"/>
      <c r="AA1415" s="763"/>
      <c r="AB1415" s="763"/>
      <c r="AC1415" s="763"/>
      <c r="AD1415" s="763"/>
      <c r="AE1415" s="763"/>
      <c r="AF1415" s="763"/>
      <c r="AG1415" s="763"/>
      <c r="AH1415" s="763"/>
      <c r="AI1415" s="763"/>
      <c r="AJ1415" s="763"/>
      <c r="AK1415" s="763"/>
      <c r="AL1415" s="763"/>
      <c r="AM1415" s="763"/>
      <c r="AN1415" s="763"/>
      <c r="AO1415" s="763"/>
      <c r="AP1415" s="763"/>
      <c r="AQ1415" s="763"/>
      <c r="AR1415" s="763"/>
      <c r="AS1415" s="763"/>
      <c r="AT1415" s="763"/>
      <c r="AU1415" s="763"/>
      <c r="AV1415" s="763"/>
      <c r="AW1415" s="763"/>
      <c r="AX1415" s="763"/>
      <c r="AY1415" s="265"/>
      <c r="AZ1415" s="265"/>
      <c r="BA1415" s="265"/>
      <c r="BB1415" s="265"/>
    </row>
    <row r="1416" spans="1:54" ht="15" customHeight="1" x14ac:dyDescent="0.25">
      <c r="A1416" s="763"/>
      <c r="B1416" s="763"/>
      <c r="C1416" s="763"/>
      <c r="D1416" s="763"/>
      <c r="E1416" s="763"/>
      <c r="F1416" s="763"/>
      <c r="G1416" s="763"/>
      <c r="H1416" s="763"/>
      <c r="I1416" s="763"/>
      <c r="J1416" s="763"/>
      <c r="K1416" s="763"/>
      <c r="L1416" s="763"/>
      <c r="M1416" s="763"/>
      <c r="N1416" s="763"/>
      <c r="O1416" s="763"/>
      <c r="P1416" s="763"/>
      <c r="Q1416" s="763"/>
      <c r="R1416" s="763"/>
      <c r="S1416" s="763"/>
      <c r="T1416" s="763"/>
      <c r="U1416" s="763"/>
      <c r="V1416" s="763"/>
      <c r="W1416" s="763"/>
      <c r="X1416" s="763"/>
      <c r="Y1416" s="763"/>
      <c r="Z1416" s="763"/>
      <c r="AA1416" s="763"/>
      <c r="AB1416" s="763"/>
      <c r="AC1416" s="763"/>
      <c r="AD1416" s="763"/>
      <c r="AE1416" s="763"/>
      <c r="AF1416" s="763"/>
      <c r="AG1416" s="763"/>
      <c r="AH1416" s="763"/>
      <c r="AI1416" s="763"/>
      <c r="AJ1416" s="763"/>
      <c r="AK1416" s="763"/>
      <c r="AL1416" s="763"/>
      <c r="AM1416" s="763"/>
      <c r="AN1416" s="763"/>
      <c r="AO1416" s="763"/>
      <c r="AP1416" s="763"/>
      <c r="AQ1416" s="763"/>
      <c r="AR1416" s="763"/>
      <c r="AS1416" s="763"/>
      <c r="AT1416" s="763"/>
      <c r="AU1416" s="763"/>
      <c r="AV1416" s="763"/>
      <c r="AW1416" s="763"/>
      <c r="AX1416" s="763"/>
      <c r="AY1416" s="265"/>
      <c r="AZ1416" s="265"/>
      <c r="BA1416" s="265"/>
      <c r="BB1416" s="265"/>
    </row>
    <row r="1417" spans="1:54" s="208" customFormat="1" ht="0.75" customHeight="1" x14ac:dyDescent="0.25"/>
    <row r="1418" spans="1:54" ht="12.6" customHeight="1" x14ac:dyDescent="0.25">
      <c r="A1418" s="227" t="s">
        <v>2004</v>
      </c>
    </row>
    <row r="1419" spans="1:54" ht="11.25" customHeight="1" x14ac:dyDescent="0.25">
      <c r="A1419" s="298"/>
      <c r="B1419" s="299"/>
      <c r="C1419" s="299"/>
      <c r="D1419" s="299"/>
      <c r="E1419" s="299"/>
      <c r="F1419" s="299"/>
      <c r="G1419" s="299"/>
      <c r="H1419" s="299"/>
      <c r="I1419" s="249"/>
      <c r="J1419" s="299"/>
      <c r="K1419" s="299"/>
      <c r="L1419" s="299"/>
      <c r="M1419" s="299"/>
      <c r="N1419" s="299"/>
      <c r="O1419" s="300"/>
      <c r="P1419" s="298"/>
      <c r="Q1419" s="299"/>
      <c r="R1419" s="299"/>
      <c r="S1419" s="299"/>
      <c r="T1419" s="299"/>
      <c r="U1419" s="299"/>
      <c r="V1419" s="299"/>
      <c r="W1419" s="299"/>
      <c r="X1419" s="299"/>
      <c r="Y1419" s="299"/>
      <c r="Z1419" s="299"/>
      <c r="AA1419" s="299"/>
      <c r="AB1419" s="299"/>
      <c r="AC1419" s="299"/>
      <c r="AD1419" s="299"/>
      <c r="AE1419" s="249"/>
      <c r="AF1419" s="300"/>
      <c r="AG1419" s="768" t="s">
        <v>2005</v>
      </c>
      <c r="AH1419" s="768"/>
      <c r="AI1419" s="768"/>
      <c r="AJ1419" s="768"/>
      <c r="AK1419" s="768"/>
      <c r="AL1419" s="768"/>
      <c r="AM1419" s="768"/>
      <c r="AN1419" s="768"/>
      <c r="AO1419" s="768"/>
      <c r="AP1419" s="768"/>
      <c r="AQ1419" s="768"/>
      <c r="AR1419" s="768"/>
      <c r="AS1419" s="768"/>
      <c r="AT1419" s="768"/>
      <c r="AU1419" s="768"/>
      <c r="AV1419" s="768"/>
      <c r="AW1419" s="768"/>
      <c r="AX1419" s="768"/>
      <c r="AY1419" s="768"/>
      <c r="AZ1419" s="768"/>
      <c r="BA1419" s="768"/>
      <c r="BB1419" s="768"/>
    </row>
    <row r="1420" spans="1:54" ht="11.25" customHeight="1" x14ac:dyDescent="0.25">
      <c r="A1420" s="243"/>
      <c r="B1420" s="244"/>
      <c r="C1420" s="244"/>
      <c r="D1420" s="244"/>
      <c r="E1420" s="244"/>
      <c r="F1420" s="244"/>
      <c r="G1420" s="244"/>
      <c r="H1420" s="244"/>
      <c r="I1420" s="208"/>
      <c r="J1420" s="211"/>
      <c r="K1420" s="211"/>
      <c r="L1420" s="211"/>
      <c r="M1420" s="211"/>
      <c r="N1420" s="208"/>
      <c r="O1420" s="317"/>
      <c r="P1420" s="750" t="s">
        <v>1288</v>
      </c>
      <c r="Q1420" s="750"/>
      <c r="R1420" s="750"/>
      <c r="S1420" s="750"/>
      <c r="T1420" s="750"/>
      <c r="U1420" s="750"/>
      <c r="V1420" s="750"/>
      <c r="W1420" s="750"/>
      <c r="X1420" s="750"/>
      <c r="Y1420" s="750"/>
      <c r="Z1420" s="750"/>
      <c r="AA1420" s="750"/>
      <c r="AB1420" s="750"/>
      <c r="AC1420" s="750"/>
      <c r="AD1420" s="750"/>
      <c r="AE1420" s="750"/>
      <c r="AF1420" s="750"/>
      <c r="AG1420" s="750" t="s">
        <v>1290</v>
      </c>
      <c r="AH1420" s="750"/>
      <c r="AI1420" s="750"/>
      <c r="AJ1420" s="750"/>
      <c r="AK1420" s="750"/>
      <c r="AL1420" s="750"/>
      <c r="AM1420" s="750"/>
      <c r="AN1420" s="750"/>
      <c r="AO1420" s="750"/>
      <c r="AP1420" s="750"/>
      <c r="AQ1420" s="750"/>
      <c r="AR1420" s="750"/>
      <c r="AS1420" s="750"/>
      <c r="AT1420" s="750"/>
      <c r="AU1420" s="750"/>
      <c r="AV1420" s="750"/>
      <c r="AW1420" s="750"/>
      <c r="AX1420" s="750"/>
      <c r="AY1420" s="750"/>
      <c r="AZ1420" s="750"/>
      <c r="BA1420" s="750"/>
      <c r="BB1420" s="750"/>
    </row>
    <row r="1421" spans="1:54" ht="11.25" customHeight="1" x14ac:dyDescent="0.25">
      <c r="A1421" s="747" t="s">
        <v>1287</v>
      </c>
      <c r="B1421" s="747"/>
      <c r="C1421" s="747"/>
      <c r="D1421" s="747"/>
      <c r="E1421" s="747"/>
      <c r="F1421" s="747"/>
      <c r="G1421" s="747"/>
      <c r="H1421" s="747"/>
      <c r="I1421" s="747"/>
      <c r="J1421" s="747"/>
      <c r="K1421" s="747"/>
      <c r="L1421" s="747"/>
      <c r="M1421" s="747"/>
      <c r="N1421" s="208"/>
      <c r="O1421" s="317"/>
      <c r="P1421" s="768" t="s">
        <v>2006</v>
      </c>
      <c r="Q1421" s="768"/>
      <c r="R1421" s="768"/>
      <c r="S1421" s="768"/>
      <c r="T1421" s="768"/>
      <c r="U1421" s="768"/>
      <c r="V1421" s="768"/>
      <c r="W1421" s="768"/>
      <c r="X1421" s="768"/>
      <c r="Y1421" s="768" t="s">
        <v>2007</v>
      </c>
      <c r="Z1421" s="768"/>
      <c r="AA1421" s="768"/>
      <c r="AB1421" s="768"/>
      <c r="AC1421" s="768" t="s">
        <v>2007</v>
      </c>
      <c r="AD1421" s="768"/>
      <c r="AE1421" s="768"/>
      <c r="AF1421" s="768"/>
      <c r="AG1421" s="768" t="s">
        <v>2006</v>
      </c>
      <c r="AH1421" s="768"/>
      <c r="AI1421" s="768"/>
      <c r="AJ1421" s="768"/>
      <c r="AK1421" s="768"/>
      <c r="AL1421" s="768"/>
      <c r="AM1421" s="768"/>
      <c r="AN1421" s="768"/>
      <c r="AO1421" s="768"/>
      <c r="AP1421" s="764" t="s">
        <v>2007</v>
      </c>
      <c r="AQ1421" s="764"/>
      <c r="AR1421" s="764"/>
      <c r="AS1421" s="764"/>
      <c r="AT1421" s="764"/>
      <c r="AU1421" s="764"/>
      <c r="AV1421" s="768" t="s">
        <v>2007</v>
      </c>
      <c r="AW1421" s="768"/>
      <c r="AX1421" s="768"/>
      <c r="AY1421" s="768"/>
      <c r="AZ1421" s="768"/>
      <c r="BA1421" s="768"/>
      <c r="BB1421" s="768"/>
    </row>
    <row r="1422" spans="1:54" ht="9.75" customHeight="1" x14ac:dyDescent="0.25">
      <c r="A1422" s="281"/>
      <c r="B1422" s="208"/>
      <c r="C1422" s="208"/>
      <c r="D1422" s="208"/>
      <c r="E1422" s="208"/>
      <c r="F1422" s="208"/>
      <c r="G1422" s="208"/>
      <c r="H1422" s="208"/>
      <c r="I1422" s="208"/>
      <c r="J1422" s="208"/>
      <c r="K1422" s="208"/>
      <c r="L1422" s="208"/>
      <c r="M1422" s="208"/>
      <c r="N1422" s="211"/>
      <c r="O1422" s="317"/>
      <c r="P1422" s="210"/>
      <c r="Q1422" s="211"/>
      <c r="R1422" s="211"/>
      <c r="S1422" s="211"/>
      <c r="T1422" s="211"/>
      <c r="U1422" s="211"/>
      <c r="V1422" s="211"/>
      <c r="W1422" s="208"/>
      <c r="X1422" s="245"/>
      <c r="Y1422" s="210"/>
      <c r="Z1422" s="211"/>
      <c r="AA1422" s="211"/>
      <c r="AB1422" s="245"/>
      <c r="AC1422" s="745" t="s">
        <v>1322</v>
      </c>
      <c r="AD1422" s="745"/>
      <c r="AE1422" s="745"/>
      <c r="AF1422" s="745"/>
      <c r="AG1422" s="210"/>
      <c r="AH1422" s="211"/>
      <c r="AI1422" s="211"/>
      <c r="AJ1422" s="211"/>
      <c r="AK1422" s="211"/>
      <c r="AL1422" s="211"/>
      <c r="AM1422" s="211"/>
      <c r="AN1422" s="208"/>
      <c r="AO1422" s="245"/>
      <c r="AP1422" s="747"/>
      <c r="AQ1422" s="747"/>
      <c r="AR1422" s="747"/>
      <c r="AS1422" s="747"/>
      <c r="AT1422" s="747"/>
      <c r="AU1422" s="747"/>
      <c r="AV1422" s="745" t="s">
        <v>1322</v>
      </c>
      <c r="AW1422" s="745"/>
      <c r="AX1422" s="745"/>
      <c r="AY1422" s="745"/>
      <c r="AZ1422" s="745"/>
      <c r="BA1422" s="745"/>
      <c r="BB1422" s="745"/>
    </row>
    <row r="1423" spans="1:54" ht="9.75" customHeight="1" x14ac:dyDescent="0.25">
      <c r="A1423" s="750" t="s">
        <v>1323</v>
      </c>
      <c r="B1423" s="750"/>
      <c r="C1423" s="750"/>
      <c r="D1423" s="750"/>
      <c r="E1423" s="750"/>
      <c r="F1423" s="750"/>
      <c r="G1423" s="750"/>
      <c r="H1423" s="750"/>
      <c r="I1423" s="750"/>
      <c r="J1423" s="750"/>
      <c r="K1423" s="750"/>
      <c r="L1423" s="750"/>
      <c r="M1423" s="750"/>
      <c r="N1423" s="750"/>
      <c r="O1423" s="750"/>
      <c r="P1423" s="750" t="s">
        <v>1324</v>
      </c>
      <c r="Q1423" s="750"/>
      <c r="R1423" s="750"/>
      <c r="S1423" s="750"/>
      <c r="T1423" s="750"/>
      <c r="U1423" s="750"/>
      <c r="V1423" s="750"/>
      <c r="W1423" s="750"/>
      <c r="X1423" s="750"/>
      <c r="Y1423" s="750" t="s">
        <v>1325</v>
      </c>
      <c r="Z1423" s="750"/>
      <c r="AA1423" s="750"/>
      <c r="AB1423" s="750"/>
      <c r="AC1423" s="750" t="s">
        <v>1910</v>
      </c>
      <c r="AD1423" s="750"/>
      <c r="AE1423" s="750"/>
      <c r="AF1423" s="750"/>
      <c r="AG1423" s="750" t="s">
        <v>1327</v>
      </c>
      <c r="AH1423" s="750"/>
      <c r="AI1423" s="750"/>
      <c r="AJ1423" s="750"/>
      <c r="AK1423" s="750"/>
      <c r="AL1423" s="750"/>
      <c r="AM1423" s="750"/>
      <c r="AN1423" s="750"/>
      <c r="AO1423" s="750"/>
      <c r="AP1423" s="749" t="s">
        <v>1333</v>
      </c>
      <c r="AQ1423" s="749"/>
      <c r="AR1423" s="749"/>
      <c r="AS1423" s="749"/>
      <c r="AT1423" s="749"/>
      <c r="AU1423" s="749"/>
      <c r="AV1423" s="750" t="s">
        <v>1468</v>
      </c>
      <c r="AW1423" s="750"/>
      <c r="AX1423" s="750"/>
      <c r="AY1423" s="750"/>
      <c r="AZ1423" s="750"/>
      <c r="BA1423" s="750"/>
      <c r="BB1423" s="750"/>
    </row>
    <row r="1424" spans="1:54" ht="12.6" customHeight="1" x14ac:dyDescent="0.25">
      <c r="A1424" s="795" t="s">
        <v>2008</v>
      </c>
      <c r="B1424" s="795"/>
      <c r="C1424" s="795"/>
      <c r="D1424" s="795"/>
      <c r="E1424" s="795"/>
      <c r="F1424" s="795"/>
      <c r="G1424" s="795"/>
      <c r="H1424" s="795"/>
      <c r="I1424" s="795"/>
      <c r="J1424" s="795"/>
      <c r="K1424" s="795"/>
      <c r="L1424" s="795"/>
      <c r="M1424" s="795"/>
      <c r="N1424" s="795"/>
      <c r="O1424" s="795"/>
      <c r="P1424" s="811"/>
      <c r="Q1424" s="811"/>
      <c r="R1424" s="811"/>
      <c r="S1424" s="811"/>
      <c r="T1424" s="811"/>
      <c r="U1424" s="811"/>
      <c r="V1424" s="811"/>
      <c r="W1424" s="811"/>
      <c r="X1424" s="811"/>
      <c r="Y1424" s="750" t="s">
        <v>30</v>
      </c>
      <c r="Z1424" s="750"/>
      <c r="AA1424" s="750"/>
      <c r="AB1424" s="750"/>
      <c r="AC1424" s="750" t="s">
        <v>30</v>
      </c>
      <c r="AD1424" s="750"/>
      <c r="AE1424" s="750"/>
      <c r="AF1424" s="750"/>
      <c r="AG1424" s="811"/>
      <c r="AH1424" s="811"/>
      <c r="AI1424" s="811"/>
      <c r="AJ1424" s="811"/>
      <c r="AK1424" s="811"/>
      <c r="AL1424" s="811"/>
      <c r="AM1424" s="811"/>
      <c r="AN1424" s="811"/>
      <c r="AO1424" s="811"/>
      <c r="AP1424" s="707" t="s">
        <v>30</v>
      </c>
      <c r="AQ1424" s="707"/>
      <c r="AR1424" s="707"/>
      <c r="AS1424" s="707"/>
      <c r="AT1424" s="707"/>
      <c r="AU1424" s="707"/>
      <c r="AV1424" s="707" t="s">
        <v>30</v>
      </c>
      <c r="AW1424" s="707"/>
      <c r="AX1424" s="707"/>
      <c r="AY1424" s="707"/>
      <c r="AZ1424" s="707"/>
      <c r="BA1424" s="707"/>
      <c r="BB1424" s="707"/>
    </row>
    <row r="1425" spans="1:54" ht="12.6" customHeight="1" x14ac:dyDescent="0.25">
      <c r="A1425" s="258" t="s">
        <v>2009</v>
      </c>
      <c r="B1425" s="247"/>
      <c r="C1425" s="247"/>
      <c r="D1425" s="247"/>
      <c r="E1425" s="247"/>
      <c r="F1425" s="247"/>
      <c r="G1425" s="247"/>
      <c r="H1425" s="247"/>
      <c r="I1425" s="247"/>
      <c r="J1425" s="247"/>
      <c r="K1425" s="247"/>
      <c r="L1425" s="247"/>
      <c r="M1425" s="247"/>
      <c r="N1425" s="247"/>
      <c r="O1425" s="252"/>
      <c r="P1425" s="811"/>
      <c r="Q1425" s="811"/>
      <c r="R1425" s="811"/>
      <c r="S1425" s="811"/>
      <c r="T1425" s="811"/>
      <c r="U1425" s="811"/>
      <c r="V1425" s="811"/>
      <c r="W1425" s="811"/>
      <c r="X1425" s="811"/>
      <c r="Y1425" s="750"/>
      <c r="Z1425" s="750"/>
      <c r="AA1425" s="750"/>
      <c r="AB1425" s="750"/>
      <c r="AC1425" s="750"/>
      <c r="AD1425" s="750"/>
      <c r="AE1425" s="750"/>
      <c r="AF1425" s="750"/>
      <c r="AG1425" s="811"/>
      <c r="AH1425" s="811"/>
      <c r="AI1425" s="811"/>
      <c r="AJ1425" s="811"/>
      <c r="AK1425" s="811"/>
      <c r="AL1425" s="811"/>
      <c r="AM1425" s="811"/>
      <c r="AN1425" s="811"/>
      <c r="AO1425" s="811"/>
      <c r="AP1425" s="707"/>
      <c r="AQ1425" s="707"/>
      <c r="AR1425" s="707"/>
      <c r="AS1425" s="707"/>
      <c r="AT1425" s="707"/>
      <c r="AU1425" s="707"/>
      <c r="AV1425" s="707"/>
      <c r="AW1425" s="707"/>
      <c r="AX1425" s="707"/>
      <c r="AY1425" s="707"/>
      <c r="AZ1425" s="707"/>
      <c r="BA1425" s="707"/>
      <c r="BB1425" s="707"/>
    </row>
    <row r="1426" spans="1:54" ht="12.6" customHeight="1" x14ac:dyDescent="0.25">
      <c r="A1426" s="253" t="s">
        <v>2010</v>
      </c>
      <c r="B1426" s="246"/>
      <c r="C1426" s="246"/>
      <c r="D1426" s="246"/>
      <c r="E1426" s="246"/>
      <c r="F1426" s="246"/>
      <c r="G1426" s="246"/>
      <c r="H1426" s="246"/>
      <c r="I1426" s="246"/>
      <c r="J1426" s="246"/>
      <c r="K1426" s="246"/>
      <c r="L1426" s="246"/>
      <c r="M1426" s="246"/>
      <c r="N1426" s="246"/>
      <c r="O1426" s="248"/>
      <c r="P1426" s="707" t="s">
        <v>30</v>
      </c>
      <c r="Q1426" s="707"/>
      <c r="R1426" s="707"/>
      <c r="S1426" s="707"/>
      <c r="T1426" s="707"/>
      <c r="U1426" s="707"/>
      <c r="V1426" s="707"/>
      <c r="W1426" s="707"/>
      <c r="X1426" s="707"/>
      <c r="Y1426" s="709"/>
      <c r="Z1426" s="709"/>
      <c r="AA1426" s="709"/>
      <c r="AB1426" s="709"/>
      <c r="AC1426" s="709"/>
      <c r="AD1426" s="709"/>
      <c r="AE1426" s="709"/>
      <c r="AF1426" s="709"/>
      <c r="AG1426" s="707" t="s">
        <v>30</v>
      </c>
      <c r="AH1426" s="707"/>
      <c r="AI1426" s="707"/>
      <c r="AJ1426" s="707"/>
      <c r="AK1426" s="707"/>
      <c r="AL1426" s="707"/>
      <c r="AM1426" s="707"/>
      <c r="AN1426" s="707"/>
      <c r="AO1426" s="707"/>
      <c r="AP1426" s="904"/>
      <c r="AQ1426" s="904"/>
      <c r="AR1426" s="904"/>
      <c r="AS1426" s="904"/>
      <c r="AT1426" s="904"/>
      <c r="AU1426" s="904"/>
      <c r="AV1426" s="904"/>
      <c r="AW1426" s="904"/>
      <c r="AX1426" s="904"/>
      <c r="AY1426" s="904"/>
      <c r="AZ1426" s="904"/>
      <c r="BA1426" s="904"/>
      <c r="BB1426" s="904"/>
    </row>
    <row r="1427" spans="1:54" ht="12.6" customHeight="1" x14ac:dyDescent="0.25">
      <c r="A1427" s="253" t="s">
        <v>2011</v>
      </c>
      <c r="B1427" s="246"/>
      <c r="C1427" s="246"/>
      <c r="D1427" s="246"/>
      <c r="E1427" s="246"/>
      <c r="F1427" s="246"/>
      <c r="G1427" s="246"/>
      <c r="H1427" s="246"/>
      <c r="I1427" s="246"/>
      <c r="J1427" s="246"/>
      <c r="K1427" s="246"/>
      <c r="L1427" s="246"/>
      <c r="M1427" s="246"/>
      <c r="N1427" s="246"/>
      <c r="O1427" s="248"/>
      <c r="P1427" s="709"/>
      <c r="Q1427" s="709"/>
      <c r="R1427" s="709"/>
      <c r="S1427" s="709"/>
      <c r="T1427" s="709"/>
      <c r="U1427" s="709"/>
      <c r="V1427" s="709"/>
      <c r="W1427" s="709"/>
      <c r="X1427" s="709"/>
      <c r="Y1427" s="709"/>
      <c r="Z1427" s="709"/>
      <c r="AA1427" s="709"/>
      <c r="AB1427" s="709"/>
      <c r="AC1427" s="709"/>
      <c r="AD1427" s="709"/>
      <c r="AE1427" s="709"/>
      <c r="AF1427" s="709"/>
      <c r="AG1427" s="709"/>
      <c r="AH1427" s="709"/>
      <c r="AI1427" s="709"/>
      <c r="AJ1427" s="709"/>
      <c r="AK1427" s="709"/>
      <c r="AL1427" s="709"/>
      <c r="AM1427" s="709"/>
      <c r="AN1427" s="709"/>
      <c r="AO1427" s="709"/>
      <c r="AP1427" s="904"/>
      <c r="AQ1427" s="904"/>
      <c r="AR1427" s="904"/>
      <c r="AS1427" s="904"/>
      <c r="AT1427" s="904"/>
      <c r="AU1427" s="904"/>
      <c r="AV1427" s="904"/>
      <c r="AW1427" s="904"/>
      <c r="AX1427" s="904"/>
      <c r="AY1427" s="904"/>
      <c r="AZ1427" s="904"/>
      <c r="BA1427" s="904"/>
      <c r="BB1427" s="904"/>
    </row>
    <row r="1428" spans="1:54" ht="23.25" customHeight="1" x14ac:dyDescent="0.25">
      <c r="A1428" s="253" t="s">
        <v>2012</v>
      </c>
      <c r="B1428" s="246"/>
      <c r="C1428" s="246"/>
      <c r="D1428" s="246"/>
      <c r="E1428" s="246"/>
      <c r="F1428" s="246"/>
      <c r="G1428" s="246"/>
      <c r="H1428" s="246"/>
      <c r="I1428" s="246"/>
      <c r="J1428" s="246"/>
      <c r="K1428" s="246"/>
      <c r="L1428" s="246"/>
      <c r="M1428" s="246"/>
      <c r="N1428" s="246"/>
      <c r="O1428" s="248"/>
      <c r="P1428" s="905" t="s">
        <v>2013</v>
      </c>
      <c r="Q1428" s="905"/>
      <c r="R1428" s="905"/>
      <c r="S1428" s="905"/>
      <c r="T1428" s="905"/>
      <c r="U1428" s="905"/>
      <c r="V1428" s="905"/>
      <c r="W1428" s="905"/>
      <c r="X1428" s="905"/>
      <c r="Y1428" s="709"/>
      <c r="Z1428" s="709"/>
      <c r="AA1428" s="709"/>
      <c r="AB1428" s="709"/>
      <c r="AC1428" s="709"/>
      <c r="AD1428" s="709"/>
      <c r="AE1428" s="709"/>
      <c r="AF1428" s="709"/>
      <c r="AG1428" s="709"/>
      <c r="AH1428" s="709"/>
      <c r="AI1428" s="709"/>
      <c r="AJ1428" s="709"/>
      <c r="AK1428" s="709"/>
      <c r="AL1428" s="709"/>
      <c r="AM1428" s="709"/>
      <c r="AN1428" s="709"/>
      <c r="AO1428" s="709"/>
      <c r="AP1428" s="904"/>
      <c r="AQ1428" s="904"/>
      <c r="AR1428" s="904"/>
      <c r="AS1428" s="904"/>
      <c r="AT1428" s="904"/>
      <c r="AU1428" s="904"/>
      <c r="AV1428" s="904"/>
      <c r="AW1428" s="904"/>
      <c r="AX1428" s="904"/>
      <c r="AY1428" s="904"/>
      <c r="AZ1428" s="904"/>
      <c r="BA1428" s="904"/>
      <c r="BB1428" s="904"/>
    </row>
    <row r="1429" spans="1:54" ht="12.6" customHeight="1" x14ac:dyDescent="0.25">
      <c r="A1429" s="257" t="s">
        <v>2014</v>
      </c>
      <c r="B1429" s="249"/>
      <c r="C1429" s="249"/>
      <c r="D1429" s="249"/>
      <c r="E1429" s="249"/>
      <c r="F1429" s="249"/>
      <c r="G1429" s="249"/>
      <c r="H1429" s="249"/>
      <c r="I1429" s="249"/>
      <c r="J1429" s="249"/>
      <c r="K1429" s="249"/>
      <c r="L1429" s="249"/>
      <c r="M1429" s="249"/>
      <c r="N1429" s="249"/>
      <c r="O1429" s="250"/>
      <c r="P1429" s="709"/>
      <c r="Q1429" s="709"/>
      <c r="R1429" s="709"/>
      <c r="S1429" s="709"/>
      <c r="T1429" s="709"/>
      <c r="U1429" s="709"/>
      <c r="V1429" s="709"/>
      <c r="W1429" s="709"/>
      <c r="X1429" s="709"/>
      <c r="Y1429" s="709"/>
      <c r="Z1429" s="709"/>
      <c r="AA1429" s="709"/>
      <c r="AB1429" s="709"/>
      <c r="AC1429" s="709"/>
      <c r="AD1429" s="709"/>
      <c r="AE1429" s="709"/>
      <c r="AF1429" s="709"/>
      <c r="AG1429" s="709"/>
      <c r="AH1429" s="709"/>
      <c r="AI1429" s="709"/>
      <c r="AJ1429" s="709"/>
      <c r="AK1429" s="709"/>
      <c r="AL1429" s="709"/>
      <c r="AM1429" s="709"/>
      <c r="AN1429" s="709"/>
      <c r="AO1429" s="709"/>
      <c r="AP1429" s="904"/>
      <c r="AQ1429" s="904"/>
      <c r="AR1429" s="904"/>
      <c r="AS1429" s="904"/>
      <c r="AT1429" s="904"/>
      <c r="AU1429" s="904"/>
      <c r="AV1429" s="904"/>
      <c r="AW1429" s="904"/>
      <c r="AX1429" s="904"/>
      <c r="AY1429" s="904"/>
      <c r="AZ1429" s="904"/>
      <c r="BA1429" s="904"/>
      <c r="BB1429" s="904"/>
    </row>
    <row r="1430" spans="1:54" ht="12.6" customHeight="1" x14ac:dyDescent="0.25">
      <c r="A1430" s="258" t="s">
        <v>2015</v>
      </c>
      <c r="B1430" s="247"/>
      <c r="C1430" s="247"/>
      <c r="D1430" s="247"/>
      <c r="E1430" s="247"/>
      <c r="F1430" s="247"/>
      <c r="G1430" s="247"/>
      <c r="H1430" s="247"/>
      <c r="I1430" s="247"/>
      <c r="J1430" s="247"/>
      <c r="K1430" s="247"/>
      <c r="L1430" s="247"/>
      <c r="M1430" s="247"/>
      <c r="N1430" s="247"/>
      <c r="O1430" s="252"/>
      <c r="P1430" s="709"/>
      <c r="Q1430" s="709"/>
      <c r="R1430" s="709"/>
      <c r="S1430" s="709"/>
      <c r="T1430" s="709"/>
      <c r="U1430" s="709"/>
      <c r="V1430" s="709"/>
      <c r="W1430" s="709"/>
      <c r="X1430" s="709"/>
      <c r="Y1430" s="709"/>
      <c r="Z1430" s="709"/>
      <c r="AA1430" s="709"/>
      <c r="AB1430" s="709"/>
      <c r="AC1430" s="709"/>
      <c r="AD1430" s="709"/>
      <c r="AE1430" s="709"/>
      <c r="AF1430" s="709"/>
      <c r="AG1430" s="709"/>
      <c r="AH1430" s="709"/>
      <c r="AI1430" s="709"/>
      <c r="AJ1430" s="709"/>
      <c r="AK1430" s="709"/>
      <c r="AL1430" s="709"/>
      <c r="AM1430" s="709"/>
      <c r="AN1430" s="709"/>
      <c r="AO1430" s="709"/>
      <c r="AP1430" s="904"/>
      <c r="AQ1430" s="904"/>
      <c r="AR1430" s="904"/>
      <c r="AS1430" s="904"/>
      <c r="AT1430" s="904"/>
      <c r="AU1430" s="904"/>
      <c r="AV1430" s="904"/>
      <c r="AW1430" s="904"/>
      <c r="AX1430" s="904"/>
      <c r="AY1430" s="904"/>
      <c r="AZ1430" s="904"/>
      <c r="BA1430" s="904"/>
      <c r="BB1430" s="904"/>
    </row>
    <row r="1431" spans="1:54" ht="12.6" customHeight="1" x14ac:dyDescent="0.25">
      <c r="A1431" s="253" t="s">
        <v>2016</v>
      </c>
      <c r="B1431" s="246"/>
      <c r="C1431" s="246"/>
      <c r="D1431" s="246"/>
      <c r="E1431" s="246"/>
      <c r="F1431" s="246"/>
      <c r="G1431" s="246"/>
      <c r="H1431" s="246"/>
      <c r="I1431" s="246"/>
      <c r="J1431" s="246"/>
      <c r="K1431" s="246"/>
      <c r="L1431" s="246"/>
      <c r="M1431" s="246"/>
      <c r="N1431" s="246"/>
      <c r="O1431" s="248"/>
      <c r="P1431" s="709"/>
      <c r="Q1431" s="709"/>
      <c r="R1431" s="709"/>
      <c r="S1431" s="709"/>
      <c r="T1431" s="709"/>
      <c r="U1431" s="709"/>
      <c r="V1431" s="709"/>
      <c r="W1431" s="709"/>
      <c r="X1431" s="709"/>
      <c r="Y1431" s="709"/>
      <c r="Z1431" s="709"/>
      <c r="AA1431" s="709"/>
      <c r="AB1431" s="709"/>
      <c r="AC1431" s="709"/>
      <c r="AD1431" s="709"/>
      <c r="AE1431" s="709"/>
      <c r="AF1431" s="709"/>
      <c r="AG1431" s="709"/>
      <c r="AH1431" s="709"/>
      <c r="AI1431" s="709"/>
      <c r="AJ1431" s="709"/>
      <c r="AK1431" s="709"/>
      <c r="AL1431" s="709"/>
      <c r="AM1431" s="709"/>
      <c r="AN1431" s="709"/>
      <c r="AO1431" s="709"/>
      <c r="AP1431" s="904"/>
      <c r="AQ1431" s="904"/>
      <c r="AR1431" s="904"/>
      <c r="AS1431" s="904"/>
      <c r="AT1431" s="904"/>
      <c r="AU1431" s="904"/>
      <c r="AV1431" s="904"/>
      <c r="AW1431" s="904"/>
      <c r="AX1431" s="904"/>
      <c r="AY1431" s="904"/>
      <c r="AZ1431" s="904"/>
      <c r="BA1431" s="904"/>
      <c r="BB1431" s="904"/>
    </row>
    <row r="1432" spans="1:54" ht="12.6" customHeight="1" x14ac:dyDescent="0.25">
      <c r="A1432" s="253" t="s">
        <v>2017</v>
      </c>
      <c r="B1432" s="246"/>
      <c r="C1432" s="246"/>
      <c r="D1432" s="246"/>
      <c r="E1432" s="246"/>
      <c r="F1432" s="246"/>
      <c r="G1432" s="246"/>
      <c r="H1432" s="246"/>
      <c r="I1432" s="246"/>
      <c r="J1432" s="246"/>
      <c r="K1432" s="246"/>
      <c r="L1432" s="246"/>
      <c r="M1432" s="246"/>
      <c r="N1432" s="246"/>
      <c r="O1432" s="248"/>
      <c r="P1432" s="709"/>
      <c r="Q1432" s="709"/>
      <c r="R1432" s="709"/>
      <c r="S1432" s="709"/>
      <c r="T1432" s="709"/>
      <c r="U1432" s="709"/>
      <c r="V1432" s="709"/>
      <c r="W1432" s="709"/>
      <c r="X1432" s="709"/>
      <c r="Y1432" s="709"/>
      <c r="Z1432" s="709"/>
      <c r="AA1432" s="709"/>
      <c r="AB1432" s="709"/>
      <c r="AC1432" s="709"/>
      <c r="AD1432" s="709"/>
      <c r="AE1432" s="709"/>
      <c r="AF1432" s="709"/>
      <c r="AG1432" s="709"/>
      <c r="AH1432" s="709"/>
      <c r="AI1432" s="709"/>
      <c r="AJ1432" s="709"/>
      <c r="AK1432" s="709"/>
      <c r="AL1432" s="709"/>
      <c r="AM1432" s="709"/>
      <c r="AN1432" s="709"/>
      <c r="AO1432" s="709"/>
      <c r="AP1432" s="904"/>
      <c r="AQ1432" s="904"/>
      <c r="AR1432" s="904"/>
      <c r="AS1432" s="904"/>
      <c r="AT1432" s="904"/>
      <c r="AU1432" s="904"/>
      <c r="AV1432" s="904"/>
      <c r="AW1432" s="904"/>
      <c r="AX1432" s="904"/>
      <c r="AY1432" s="904"/>
      <c r="AZ1432" s="904"/>
      <c r="BA1432" s="904"/>
      <c r="BB1432" s="904"/>
    </row>
    <row r="1433" spans="1:54" ht="12.6" customHeight="1" x14ac:dyDescent="0.25">
      <c r="A1433" s="253" t="s">
        <v>1806</v>
      </c>
      <c r="B1433" s="246"/>
      <c r="C1433" s="246"/>
      <c r="D1433" s="246"/>
      <c r="E1433" s="246"/>
      <c r="F1433" s="246"/>
      <c r="G1433" s="246"/>
      <c r="H1433" s="246"/>
      <c r="I1433" s="246"/>
      <c r="J1433" s="246"/>
      <c r="K1433" s="246"/>
      <c r="L1433" s="246"/>
      <c r="M1433" s="246"/>
      <c r="N1433" s="246"/>
      <c r="O1433" s="248"/>
      <c r="P1433" s="709"/>
      <c r="Q1433" s="709"/>
      <c r="R1433" s="709"/>
      <c r="S1433" s="709"/>
      <c r="T1433" s="709"/>
      <c r="U1433" s="709"/>
      <c r="V1433" s="709"/>
      <c r="W1433" s="709"/>
      <c r="X1433" s="709"/>
      <c r="Y1433" s="709"/>
      <c r="Z1433" s="709"/>
      <c r="AA1433" s="709"/>
      <c r="AB1433" s="709"/>
      <c r="AC1433" s="709"/>
      <c r="AD1433" s="709"/>
      <c r="AE1433" s="709"/>
      <c r="AF1433" s="709"/>
      <c r="AG1433" s="709"/>
      <c r="AH1433" s="709"/>
      <c r="AI1433" s="709"/>
      <c r="AJ1433" s="709"/>
      <c r="AK1433" s="709"/>
      <c r="AL1433" s="709"/>
      <c r="AM1433" s="709"/>
      <c r="AN1433" s="709"/>
      <c r="AO1433" s="709"/>
      <c r="AP1433" s="904"/>
      <c r="AQ1433" s="904"/>
      <c r="AR1433" s="904"/>
      <c r="AS1433" s="904"/>
      <c r="AT1433" s="904"/>
      <c r="AU1433" s="904"/>
      <c r="AV1433" s="904"/>
      <c r="AW1433" s="904"/>
      <c r="AX1433" s="904"/>
      <c r="AY1433" s="904"/>
      <c r="AZ1433" s="904"/>
      <c r="BA1433" s="904"/>
      <c r="BB1433" s="904"/>
    </row>
    <row r="1434" spans="1:54" ht="12.6" customHeight="1" x14ac:dyDescent="0.25">
      <c r="A1434" s="253" t="s">
        <v>1328</v>
      </c>
      <c r="B1434" s="246"/>
      <c r="C1434" s="246"/>
      <c r="D1434" s="246"/>
      <c r="E1434" s="246"/>
      <c r="F1434" s="246"/>
      <c r="G1434" s="246"/>
      <c r="H1434" s="246"/>
      <c r="I1434" s="246"/>
      <c r="J1434" s="246"/>
      <c r="K1434" s="246"/>
      <c r="L1434" s="246"/>
      <c r="M1434" s="246"/>
      <c r="N1434" s="246"/>
      <c r="O1434" s="248"/>
      <c r="P1434" s="709"/>
      <c r="Q1434" s="709"/>
      <c r="R1434" s="709"/>
      <c r="S1434" s="709"/>
      <c r="T1434" s="709"/>
      <c r="U1434" s="709"/>
      <c r="V1434" s="709"/>
      <c r="W1434" s="709"/>
      <c r="X1434" s="709"/>
      <c r="Y1434" s="709"/>
      <c r="Z1434" s="709"/>
      <c r="AA1434" s="709"/>
      <c r="AB1434" s="709"/>
      <c r="AC1434" s="709"/>
      <c r="AD1434" s="709"/>
      <c r="AE1434" s="709"/>
      <c r="AF1434" s="709"/>
      <c r="AG1434" s="709"/>
      <c r="AH1434" s="709"/>
      <c r="AI1434" s="709"/>
      <c r="AJ1434" s="709"/>
      <c r="AK1434" s="709"/>
      <c r="AL1434" s="709"/>
      <c r="AM1434" s="709"/>
      <c r="AN1434" s="709"/>
      <c r="AO1434" s="709"/>
      <c r="AP1434" s="904"/>
      <c r="AQ1434" s="904"/>
      <c r="AR1434" s="904"/>
      <c r="AS1434" s="904"/>
      <c r="AT1434" s="904"/>
      <c r="AU1434" s="904"/>
      <c r="AV1434" s="904"/>
      <c r="AW1434" s="904"/>
      <c r="AX1434" s="904"/>
      <c r="AY1434" s="904"/>
      <c r="AZ1434" s="904"/>
      <c r="BA1434" s="904"/>
      <c r="BB1434" s="904"/>
    </row>
    <row r="1435" spans="1:54" ht="12.6" customHeight="1" x14ac:dyDescent="0.25">
      <c r="A1435" s="253" t="s">
        <v>2018</v>
      </c>
      <c r="B1435" s="246"/>
      <c r="C1435" s="246"/>
      <c r="D1435" s="246"/>
      <c r="E1435" s="246"/>
      <c r="F1435" s="246"/>
      <c r="G1435" s="246"/>
      <c r="H1435" s="246"/>
      <c r="I1435" s="246"/>
      <c r="J1435" s="246"/>
      <c r="K1435" s="246"/>
      <c r="L1435" s="246"/>
      <c r="M1435" s="246"/>
      <c r="N1435" s="246"/>
      <c r="O1435" s="248"/>
      <c r="P1435" s="707" t="s">
        <v>30</v>
      </c>
      <c r="Q1435" s="707"/>
      <c r="R1435" s="707"/>
      <c r="S1435" s="707"/>
      <c r="T1435" s="707"/>
      <c r="U1435" s="707"/>
      <c r="V1435" s="707"/>
      <c r="W1435" s="707"/>
      <c r="X1435" s="707"/>
      <c r="Y1435" s="709"/>
      <c r="Z1435" s="709"/>
      <c r="AA1435" s="709"/>
      <c r="AB1435" s="709"/>
      <c r="AC1435" s="709"/>
      <c r="AD1435" s="709"/>
      <c r="AE1435" s="709"/>
      <c r="AF1435" s="709"/>
      <c r="AG1435" s="707" t="s">
        <v>30</v>
      </c>
      <c r="AH1435" s="707"/>
      <c r="AI1435" s="707"/>
      <c r="AJ1435" s="707"/>
      <c r="AK1435" s="707"/>
      <c r="AL1435" s="707"/>
      <c r="AM1435" s="707"/>
      <c r="AN1435" s="707"/>
      <c r="AO1435" s="707"/>
      <c r="AP1435" s="904"/>
      <c r="AQ1435" s="904"/>
      <c r="AR1435" s="904"/>
      <c r="AS1435" s="904"/>
      <c r="AT1435" s="904"/>
      <c r="AU1435" s="904"/>
      <c r="AV1435" s="904"/>
      <c r="AW1435" s="904"/>
      <c r="AX1435" s="904"/>
      <c r="AY1435" s="904"/>
      <c r="AZ1435" s="904"/>
      <c r="BA1435" s="904"/>
      <c r="BB1435" s="904"/>
    </row>
    <row r="1436" spans="1:54" ht="12.6" customHeight="1" x14ac:dyDescent="0.25">
      <c r="A1436" s="253" t="s">
        <v>1028</v>
      </c>
      <c r="B1436" s="246"/>
      <c r="C1436" s="246"/>
      <c r="D1436" s="246"/>
      <c r="E1436" s="246"/>
      <c r="F1436" s="246"/>
      <c r="G1436" s="246"/>
      <c r="H1436" s="246"/>
      <c r="I1436" s="246"/>
      <c r="J1436" s="246"/>
      <c r="K1436" s="246"/>
      <c r="L1436" s="246"/>
      <c r="M1436" s="246"/>
      <c r="N1436" s="246"/>
      <c r="O1436" s="248"/>
      <c r="P1436" s="707" t="s">
        <v>30</v>
      </c>
      <c r="Q1436" s="707"/>
      <c r="R1436" s="707"/>
      <c r="S1436" s="707"/>
      <c r="T1436" s="707"/>
      <c r="U1436" s="707"/>
      <c r="V1436" s="707"/>
      <c r="W1436" s="707"/>
      <c r="X1436" s="707"/>
      <c r="Y1436" s="709"/>
      <c r="Z1436" s="709"/>
      <c r="AA1436" s="709"/>
      <c r="AB1436" s="709"/>
      <c r="AC1436" s="709"/>
      <c r="AD1436" s="709"/>
      <c r="AE1436" s="709"/>
      <c r="AF1436" s="709"/>
      <c r="AG1436" s="707" t="s">
        <v>30</v>
      </c>
      <c r="AH1436" s="707"/>
      <c r="AI1436" s="707"/>
      <c r="AJ1436" s="707"/>
      <c r="AK1436" s="707"/>
      <c r="AL1436" s="707"/>
      <c r="AM1436" s="707"/>
      <c r="AN1436" s="707"/>
      <c r="AO1436" s="707"/>
      <c r="AP1436" s="904"/>
      <c r="AQ1436" s="904"/>
      <c r="AR1436" s="904"/>
      <c r="AS1436" s="904"/>
      <c r="AT1436" s="904"/>
      <c r="AU1436" s="904"/>
      <c r="AV1436" s="904"/>
      <c r="AW1436" s="904"/>
      <c r="AX1436" s="904"/>
      <c r="AY1436" s="904"/>
      <c r="AZ1436" s="904"/>
      <c r="BA1436" s="904"/>
      <c r="BB1436" s="904"/>
    </row>
    <row r="1437" spans="1:54" ht="12.6" customHeight="1" x14ac:dyDescent="0.25">
      <c r="A1437" s="253" t="s">
        <v>2019</v>
      </c>
      <c r="B1437" s="246"/>
      <c r="C1437" s="246"/>
      <c r="D1437" s="246"/>
      <c r="E1437" s="246"/>
      <c r="F1437" s="246"/>
      <c r="G1437" s="246"/>
      <c r="H1437" s="246"/>
      <c r="I1437" s="246"/>
      <c r="J1437" s="246"/>
      <c r="K1437" s="246"/>
      <c r="L1437" s="246"/>
      <c r="M1437" s="246"/>
      <c r="N1437" s="246"/>
      <c r="O1437" s="248"/>
      <c r="P1437" s="707" t="s">
        <v>30</v>
      </c>
      <c r="Q1437" s="707"/>
      <c r="R1437" s="707"/>
      <c r="S1437" s="707"/>
      <c r="T1437" s="707"/>
      <c r="U1437" s="707"/>
      <c r="V1437" s="707"/>
      <c r="W1437" s="707"/>
      <c r="X1437" s="707"/>
      <c r="Y1437" s="709"/>
      <c r="Z1437" s="709"/>
      <c r="AA1437" s="709"/>
      <c r="AB1437" s="709"/>
      <c r="AC1437" s="709"/>
      <c r="AD1437" s="709"/>
      <c r="AE1437" s="709"/>
      <c r="AF1437" s="709"/>
      <c r="AG1437" s="707" t="s">
        <v>30</v>
      </c>
      <c r="AH1437" s="707"/>
      <c r="AI1437" s="707"/>
      <c r="AJ1437" s="707"/>
      <c r="AK1437" s="707"/>
      <c r="AL1437" s="707"/>
      <c r="AM1437" s="707"/>
      <c r="AN1437" s="707"/>
      <c r="AO1437" s="707"/>
      <c r="AP1437" s="904"/>
      <c r="AQ1437" s="904"/>
      <c r="AR1437" s="904"/>
      <c r="AS1437" s="904"/>
      <c r="AT1437" s="904"/>
      <c r="AU1437" s="904"/>
      <c r="AV1437" s="904"/>
      <c r="AW1437" s="904"/>
      <c r="AX1437" s="904"/>
      <c r="AY1437" s="904"/>
      <c r="AZ1437" s="904"/>
      <c r="BA1437" s="904"/>
      <c r="BB1437" s="904"/>
    </row>
    <row r="1438" spans="1:54" ht="12.6" customHeight="1" x14ac:dyDescent="0.25">
      <c r="A1438" s="227" t="s">
        <v>1482</v>
      </c>
    </row>
    <row r="1439" spans="1:54" ht="15" customHeight="1" x14ac:dyDescent="0.25">
      <c r="A1439" s="763"/>
      <c r="B1439" s="763"/>
      <c r="C1439" s="763"/>
      <c r="D1439" s="763"/>
      <c r="E1439" s="763"/>
      <c r="F1439" s="763"/>
      <c r="G1439" s="763"/>
      <c r="H1439" s="763"/>
      <c r="I1439" s="763"/>
      <c r="J1439" s="763"/>
      <c r="K1439" s="763"/>
      <c r="L1439" s="763"/>
      <c r="M1439" s="763"/>
      <c r="N1439" s="763"/>
      <c r="O1439" s="763"/>
      <c r="P1439" s="763"/>
      <c r="Q1439" s="763"/>
      <c r="R1439" s="763"/>
      <c r="S1439" s="763"/>
      <c r="T1439" s="763"/>
      <c r="U1439" s="763"/>
      <c r="V1439" s="763"/>
      <c r="W1439" s="763"/>
      <c r="X1439" s="763"/>
      <c r="Y1439" s="763"/>
      <c r="Z1439" s="763"/>
      <c r="AA1439" s="763"/>
      <c r="AB1439" s="763"/>
      <c r="AC1439" s="763"/>
      <c r="AD1439" s="763"/>
      <c r="AE1439" s="763"/>
      <c r="AF1439" s="763"/>
      <c r="AG1439" s="763"/>
      <c r="AH1439" s="763"/>
      <c r="AI1439" s="763"/>
      <c r="AJ1439" s="763"/>
      <c r="AK1439" s="763"/>
      <c r="AL1439" s="763"/>
      <c r="AM1439" s="763"/>
      <c r="AN1439" s="763"/>
      <c r="AO1439" s="763"/>
      <c r="AP1439" s="763"/>
      <c r="AQ1439" s="763"/>
      <c r="AR1439" s="763"/>
      <c r="AS1439" s="763"/>
      <c r="AT1439" s="763"/>
      <c r="AU1439" s="763"/>
      <c r="AV1439" s="763"/>
      <c r="AW1439" s="763"/>
      <c r="AX1439" s="763"/>
      <c r="AY1439" s="265"/>
      <c r="AZ1439" s="265"/>
      <c r="BA1439" s="265"/>
      <c r="BB1439" s="265"/>
    </row>
    <row r="1440" spans="1:54" ht="15" customHeight="1" x14ac:dyDescent="0.25">
      <c r="A1440" s="763"/>
      <c r="B1440" s="763"/>
      <c r="C1440" s="763"/>
      <c r="D1440" s="763"/>
      <c r="E1440" s="763"/>
      <c r="F1440" s="763"/>
      <c r="G1440" s="763"/>
      <c r="H1440" s="763"/>
      <c r="I1440" s="763"/>
      <c r="J1440" s="763"/>
      <c r="K1440" s="763"/>
      <c r="L1440" s="763"/>
      <c r="M1440" s="763"/>
      <c r="N1440" s="763"/>
      <c r="O1440" s="763"/>
      <c r="P1440" s="763"/>
      <c r="Q1440" s="763"/>
      <c r="R1440" s="763"/>
      <c r="S1440" s="763"/>
      <c r="T1440" s="763"/>
      <c r="U1440" s="763"/>
      <c r="V1440" s="763"/>
      <c r="W1440" s="763"/>
      <c r="X1440" s="763"/>
      <c r="Y1440" s="763"/>
      <c r="Z1440" s="763"/>
      <c r="AA1440" s="763"/>
      <c r="AB1440" s="763"/>
      <c r="AC1440" s="763"/>
      <c r="AD1440" s="763"/>
      <c r="AE1440" s="763"/>
      <c r="AF1440" s="763"/>
      <c r="AG1440" s="763"/>
      <c r="AH1440" s="763"/>
      <c r="AI1440" s="763"/>
      <c r="AJ1440" s="763"/>
      <c r="AK1440" s="763"/>
      <c r="AL1440" s="763"/>
      <c r="AM1440" s="763"/>
      <c r="AN1440" s="763"/>
      <c r="AO1440" s="763"/>
      <c r="AP1440" s="763"/>
      <c r="AQ1440" s="763"/>
      <c r="AR1440" s="763"/>
      <c r="AS1440" s="763"/>
      <c r="AT1440" s="763"/>
      <c r="AU1440" s="763"/>
      <c r="AV1440" s="763"/>
      <c r="AW1440" s="763"/>
      <c r="AX1440" s="763"/>
      <c r="AY1440" s="265"/>
      <c r="AZ1440" s="265"/>
      <c r="BA1440" s="265"/>
      <c r="BB1440" s="265"/>
    </row>
    <row r="1441" spans="1:54" ht="12.6" customHeight="1" x14ac:dyDescent="0.25"/>
    <row r="1442" spans="1:54" s="225" customFormat="1" ht="13.5" customHeight="1" x14ac:dyDescent="0.25">
      <c r="A1442" s="726" t="s">
        <v>2020</v>
      </c>
      <c r="B1442" s="726"/>
      <c r="C1442" s="726"/>
      <c r="D1442" s="726"/>
      <c r="E1442" s="726"/>
      <c r="F1442" s="726"/>
      <c r="G1442" s="726"/>
      <c r="H1442" s="726"/>
      <c r="I1442" s="726"/>
      <c r="J1442" s="726"/>
      <c r="K1442" s="726"/>
      <c r="L1442" s="726"/>
      <c r="M1442" s="726"/>
      <c r="N1442" s="726"/>
      <c r="O1442" s="726"/>
      <c r="P1442" s="726"/>
      <c r="Q1442" s="726"/>
      <c r="R1442" s="726"/>
      <c r="S1442" s="726"/>
      <c r="T1442" s="726"/>
      <c r="U1442" s="726"/>
      <c r="V1442" s="726"/>
      <c r="W1442" s="726"/>
      <c r="X1442" s="726"/>
      <c r="Y1442" s="726"/>
      <c r="Z1442" s="726"/>
      <c r="AA1442" s="726"/>
      <c r="AB1442" s="726"/>
      <c r="AC1442" s="726"/>
      <c r="AD1442" s="726"/>
      <c r="AE1442" s="726"/>
      <c r="AF1442" s="726"/>
      <c r="AG1442" s="726"/>
      <c r="AH1442" s="726"/>
      <c r="AI1442" s="726"/>
      <c r="AJ1442" s="726"/>
      <c r="AK1442" s="726"/>
      <c r="AL1442" s="726"/>
      <c r="AM1442" s="726"/>
      <c r="AN1442" s="726"/>
      <c r="AO1442" s="726"/>
      <c r="AP1442" s="726"/>
      <c r="AQ1442" s="726"/>
      <c r="AR1442" s="726"/>
      <c r="AS1442" s="726"/>
      <c r="AT1442" s="726"/>
      <c r="AU1442" s="726"/>
      <c r="AV1442" s="726"/>
      <c r="AW1442" s="726"/>
      <c r="AX1442" s="726"/>
      <c r="AY1442" s="726"/>
      <c r="AZ1442" s="726"/>
      <c r="BA1442" s="726"/>
      <c r="BB1442" s="339"/>
    </row>
    <row r="1443" spans="1:54" ht="12.6" customHeight="1" x14ac:dyDescent="0.25">
      <c r="B1443" s="340"/>
      <c r="C1443" s="340"/>
      <c r="D1443" s="340"/>
      <c r="E1443" s="340"/>
      <c r="F1443" s="340"/>
      <c r="G1443" s="340"/>
      <c r="H1443" s="340"/>
      <c r="I1443" s="340"/>
      <c r="J1443" s="340"/>
      <c r="K1443" s="340"/>
      <c r="L1443" s="340"/>
      <c r="M1443" s="340"/>
      <c r="N1443" s="340"/>
      <c r="O1443" s="340"/>
      <c r="P1443" s="340"/>
      <c r="Q1443" s="340"/>
      <c r="R1443" s="340"/>
      <c r="S1443" s="340"/>
      <c r="T1443" s="340"/>
      <c r="U1443" s="340"/>
      <c r="V1443" s="340"/>
      <c r="W1443" s="340"/>
      <c r="X1443" s="340"/>
      <c r="Y1443" s="340"/>
      <c r="Z1443" s="340"/>
      <c r="AA1443" s="340"/>
      <c r="AB1443" s="340"/>
      <c r="AC1443" s="340"/>
      <c r="AD1443" s="340"/>
      <c r="AE1443" s="340"/>
      <c r="AF1443" s="340"/>
      <c r="AG1443" s="340"/>
      <c r="AH1443" s="340"/>
      <c r="AI1443" s="340"/>
      <c r="AJ1443" s="340"/>
      <c r="AK1443" s="340"/>
      <c r="AL1443" s="340"/>
      <c r="AM1443" s="340"/>
      <c r="AN1443" s="340"/>
      <c r="AO1443" s="340"/>
      <c r="AP1443" s="340"/>
      <c r="AQ1443" s="340"/>
      <c r="AR1443" s="340"/>
      <c r="AS1443" s="340"/>
      <c r="AT1443" s="340"/>
      <c r="AU1443" s="340"/>
      <c r="AV1443" s="340"/>
      <c r="AW1443" s="340"/>
      <c r="AX1443" s="340"/>
      <c r="AY1443" s="340"/>
      <c r="AZ1443" s="340"/>
      <c r="BA1443" s="340"/>
      <c r="BB1443" s="341"/>
    </row>
    <row r="1444" spans="1:54" ht="12.6" customHeight="1" x14ac:dyDescent="0.25">
      <c r="A1444" s="227" t="s">
        <v>2021</v>
      </c>
      <c r="B1444" s="217"/>
      <c r="C1444" s="217"/>
      <c r="D1444" s="217"/>
      <c r="E1444" s="217"/>
      <c r="F1444" s="217"/>
      <c r="G1444" s="217"/>
      <c r="H1444" s="217"/>
      <c r="I1444" s="217"/>
      <c r="J1444" s="217"/>
      <c r="K1444" s="217"/>
      <c r="L1444" s="217"/>
      <c r="M1444" s="217"/>
      <c r="N1444" s="217"/>
      <c r="O1444" s="217"/>
      <c r="P1444" s="217"/>
      <c r="Q1444" s="217"/>
      <c r="R1444" s="217"/>
      <c r="S1444" s="217"/>
      <c r="T1444" s="217"/>
      <c r="U1444" s="217"/>
      <c r="V1444" s="217"/>
      <c r="W1444" s="217"/>
      <c r="X1444" s="217"/>
      <c r="Y1444" s="217"/>
      <c r="Z1444" s="217"/>
      <c r="AA1444" s="217"/>
      <c r="AB1444" s="217"/>
      <c r="AC1444" s="217"/>
      <c r="AD1444" s="217"/>
      <c r="AE1444" s="217"/>
      <c r="AF1444" s="217"/>
      <c r="AG1444" s="217"/>
      <c r="AH1444" s="217"/>
      <c r="AI1444" s="217"/>
      <c r="AJ1444" s="217"/>
      <c r="AK1444" s="217"/>
      <c r="AL1444" s="217"/>
      <c r="AM1444" s="217"/>
      <c r="AN1444" s="217"/>
      <c r="AO1444" s="217"/>
      <c r="AP1444" s="217"/>
      <c r="AQ1444" s="217"/>
      <c r="AR1444" s="217"/>
      <c r="AS1444" s="217"/>
      <c r="AT1444" s="217"/>
      <c r="AU1444" s="217"/>
      <c r="AV1444" s="217"/>
      <c r="AW1444" s="217"/>
      <c r="AX1444" s="217"/>
      <c r="AY1444" s="217"/>
      <c r="AZ1444" s="217"/>
      <c r="BA1444" s="217"/>
      <c r="BB1444" s="217"/>
    </row>
    <row r="1445" spans="1:54" ht="24" customHeight="1" x14ac:dyDescent="0.25">
      <c r="A1445" s="853" t="s">
        <v>1287</v>
      </c>
      <c r="B1445" s="853"/>
      <c r="C1445" s="853"/>
      <c r="D1445" s="853"/>
      <c r="E1445" s="853"/>
      <c r="F1445" s="853"/>
      <c r="G1445" s="853"/>
      <c r="H1445" s="853"/>
      <c r="I1445" s="853"/>
      <c r="J1445" s="853"/>
      <c r="K1445" s="853"/>
      <c r="L1445" s="853"/>
      <c r="M1445" s="853"/>
      <c r="N1445" s="853"/>
      <c r="O1445" s="853"/>
      <c r="P1445" s="853"/>
      <c r="Q1445" s="853"/>
      <c r="R1445" s="853"/>
      <c r="S1445" s="853"/>
      <c r="T1445" s="853"/>
      <c r="U1445" s="853"/>
      <c r="V1445" s="853"/>
      <c r="W1445" s="853"/>
      <c r="X1445" s="853"/>
      <c r="Y1445" s="853"/>
      <c r="Z1445" s="853"/>
      <c r="AA1445" s="853"/>
      <c r="AB1445" s="853"/>
      <c r="AC1445" s="853"/>
      <c r="AD1445" s="853"/>
      <c r="AE1445" s="853"/>
      <c r="AF1445" s="854" t="s">
        <v>1288</v>
      </c>
      <c r="AG1445" s="854"/>
      <c r="AH1445" s="854"/>
      <c r="AI1445" s="854"/>
      <c r="AJ1445" s="854"/>
      <c r="AK1445" s="854"/>
      <c r="AL1445" s="854"/>
      <c r="AM1445" s="854"/>
      <c r="AN1445" s="854"/>
      <c r="AO1445" s="855" t="s">
        <v>1306</v>
      </c>
      <c r="AP1445" s="855"/>
      <c r="AQ1445" s="855"/>
      <c r="AR1445" s="855"/>
      <c r="AS1445" s="855"/>
      <c r="AT1445" s="855"/>
      <c r="AU1445" s="855"/>
      <c r="AV1445" s="855"/>
      <c r="AW1445" s="855"/>
      <c r="AX1445" s="855"/>
      <c r="AY1445" s="855"/>
      <c r="AZ1445" s="855"/>
      <c r="BA1445" s="855"/>
      <c r="BB1445" s="855"/>
    </row>
    <row r="1446" spans="1:54" ht="12.6" customHeight="1" x14ac:dyDescent="0.25">
      <c r="A1446" s="859" t="s">
        <v>2022</v>
      </c>
      <c r="B1446" s="859"/>
      <c r="C1446" s="859"/>
      <c r="D1446" s="859"/>
      <c r="E1446" s="859"/>
      <c r="F1446" s="859"/>
      <c r="G1446" s="859"/>
      <c r="H1446" s="859"/>
      <c r="I1446" s="859"/>
      <c r="J1446" s="859"/>
      <c r="K1446" s="859"/>
      <c r="L1446" s="859"/>
      <c r="M1446" s="859"/>
      <c r="N1446" s="859"/>
      <c r="O1446" s="859"/>
      <c r="P1446" s="859"/>
      <c r="Q1446" s="859"/>
      <c r="R1446" s="859"/>
      <c r="S1446" s="859"/>
      <c r="T1446" s="859"/>
      <c r="U1446" s="859"/>
      <c r="V1446" s="859"/>
      <c r="W1446" s="859"/>
      <c r="X1446" s="859"/>
      <c r="Y1446" s="859"/>
      <c r="Z1446" s="859"/>
      <c r="AA1446" s="859"/>
      <c r="AB1446" s="859"/>
      <c r="AC1446" s="859"/>
      <c r="AD1446" s="859"/>
      <c r="AE1446" s="859"/>
      <c r="AF1446" s="906"/>
      <c r="AG1446" s="906"/>
      <c r="AH1446" s="906"/>
      <c r="AI1446" s="906"/>
      <c r="AJ1446" s="906"/>
      <c r="AK1446" s="906"/>
      <c r="AL1446" s="906"/>
      <c r="AM1446" s="906"/>
      <c r="AN1446" s="906"/>
      <c r="AO1446" s="907"/>
      <c r="AP1446" s="907"/>
      <c r="AQ1446" s="907"/>
      <c r="AR1446" s="907"/>
      <c r="AS1446" s="907"/>
      <c r="AT1446" s="907"/>
      <c r="AU1446" s="907"/>
      <c r="AV1446" s="907"/>
      <c r="AW1446" s="907"/>
      <c r="AX1446" s="907"/>
      <c r="AY1446" s="907"/>
      <c r="AZ1446" s="907"/>
      <c r="BA1446" s="907"/>
      <c r="BB1446" s="907"/>
    </row>
    <row r="1447" spans="1:54" ht="12.6" customHeight="1" x14ac:dyDescent="0.25">
      <c r="A1447" s="859" t="s">
        <v>2013</v>
      </c>
      <c r="B1447" s="859"/>
      <c r="C1447" s="859"/>
      <c r="D1447" s="859"/>
      <c r="E1447" s="859"/>
      <c r="F1447" s="859"/>
      <c r="G1447" s="859"/>
      <c r="H1447" s="859"/>
      <c r="I1447" s="859"/>
      <c r="J1447" s="859"/>
      <c r="K1447" s="859"/>
      <c r="L1447" s="859"/>
      <c r="M1447" s="859"/>
      <c r="N1447" s="859"/>
      <c r="O1447" s="859"/>
      <c r="P1447" s="859"/>
      <c r="Q1447" s="859"/>
      <c r="R1447" s="859"/>
      <c r="S1447" s="859"/>
      <c r="T1447" s="859"/>
      <c r="U1447" s="859"/>
      <c r="V1447" s="859"/>
      <c r="W1447" s="859"/>
      <c r="X1447" s="859"/>
      <c r="Y1447" s="859"/>
      <c r="Z1447" s="859"/>
      <c r="AA1447" s="859"/>
      <c r="AB1447" s="859"/>
      <c r="AC1447" s="859"/>
      <c r="AD1447" s="859"/>
      <c r="AE1447" s="859"/>
      <c r="AF1447" s="906"/>
      <c r="AG1447" s="906"/>
      <c r="AH1447" s="906"/>
      <c r="AI1447" s="906"/>
      <c r="AJ1447" s="906"/>
      <c r="AK1447" s="906"/>
      <c r="AL1447" s="906"/>
      <c r="AM1447" s="906"/>
      <c r="AN1447" s="906"/>
      <c r="AO1447" s="907"/>
      <c r="AP1447" s="907"/>
      <c r="AQ1447" s="907"/>
      <c r="AR1447" s="907"/>
      <c r="AS1447" s="907"/>
      <c r="AT1447" s="907"/>
      <c r="AU1447" s="907"/>
      <c r="AV1447" s="907"/>
      <c r="AW1447" s="907"/>
      <c r="AX1447" s="907"/>
      <c r="AY1447" s="907"/>
      <c r="AZ1447" s="907"/>
      <c r="BA1447" s="907"/>
      <c r="BB1447" s="907"/>
    </row>
    <row r="1448" spans="1:54" ht="12.6" customHeight="1" x14ac:dyDescent="0.25">
      <c r="A1448" s="859" t="s">
        <v>2023</v>
      </c>
      <c r="B1448" s="859"/>
      <c r="C1448" s="859"/>
      <c r="D1448" s="859"/>
      <c r="E1448" s="859"/>
      <c r="F1448" s="859"/>
      <c r="G1448" s="859"/>
      <c r="H1448" s="859"/>
      <c r="I1448" s="859"/>
      <c r="J1448" s="859"/>
      <c r="K1448" s="859"/>
      <c r="L1448" s="859"/>
      <c r="M1448" s="859"/>
      <c r="N1448" s="859"/>
      <c r="O1448" s="859"/>
      <c r="P1448" s="859"/>
      <c r="Q1448" s="859"/>
      <c r="R1448" s="859"/>
      <c r="S1448" s="859"/>
      <c r="T1448" s="859"/>
      <c r="U1448" s="859"/>
      <c r="V1448" s="859"/>
      <c r="W1448" s="859"/>
      <c r="X1448" s="859"/>
      <c r="Y1448" s="859"/>
      <c r="Z1448" s="859"/>
      <c r="AA1448" s="859"/>
      <c r="AB1448" s="859"/>
      <c r="AC1448" s="859"/>
      <c r="AD1448" s="859"/>
      <c r="AE1448" s="859"/>
      <c r="AF1448" s="906"/>
      <c r="AG1448" s="906"/>
      <c r="AH1448" s="906"/>
      <c r="AI1448" s="906"/>
      <c r="AJ1448" s="906"/>
      <c r="AK1448" s="906"/>
      <c r="AL1448" s="906"/>
      <c r="AM1448" s="906"/>
      <c r="AN1448" s="906"/>
      <c r="AO1448" s="907"/>
      <c r="AP1448" s="907"/>
      <c r="AQ1448" s="907"/>
      <c r="AR1448" s="907"/>
      <c r="AS1448" s="907"/>
      <c r="AT1448" s="907"/>
      <c r="AU1448" s="907"/>
      <c r="AV1448" s="907"/>
      <c r="AW1448" s="907"/>
      <c r="AX1448" s="907"/>
      <c r="AY1448" s="907"/>
      <c r="AZ1448" s="907"/>
      <c r="BA1448" s="907"/>
      <c r="BB1448" s="907"/>
    </row>
    <row r="1449" spans="1:54" ht="12.6" customHeight="1" x14ac:dyDescent="0.25">
      <c r="A1449" s="859" t="s">
        <v>2024</v>
      </c>
      <c r="B1449" s="859"/>
      <c r="C1449" s="859"/>
      <c r="D1449" s="859"/>
      <c r="E1449" s="859"/>
      <c r="F1449" s="859"/>
      <c r="G1449" s="859"/>
      <c r="H1449" s="859"/>
      <c r="I1449" s="859"/>
      <c r="J1449" s="859"/>
      <c r="K1449" s="859"/>
      <c r="L1449" s="859"/>
      <c r="M1449" s="859"/>
      <c r="N1449" s="859"/>
      <c r="O1449" s="859"/>
      <c r="P1449" s="859"/>
      <c r="Q1449" s="859"/>
      <c r="R1449" s="859"/>
      <c r="S1449" s="859"/>
      <c r="T1449" s="859"/>
      <c r="U1449" s="859"/>
      <c r="V1449" s="859"/>
      <c r="W1449" s="859"/>
      <c r="X1449" s="859"/>
      <c r="Y1449" s="859"/>
      <c r="Z1449" s="859"/>
      <c r="AA1449" s="859"/>
      <c r="AB1449" s="859"/>
      <c r="AC1449" s="859"/>
      <c r="AD1449" s="859"/>
      <c r="AE1449" s="859"/>
      <c r="AF1449" s="906"/>
      <c r="AG1449" s="906"/>
      <c r="AH1449" s="906"/>
      <c r="AI1449" s="906"/>
      <c r="AJ1449" s="906"/>
      <c r="AK1449" s="906"/>
      <c r="AL1449" s="906"/>
      <c r="AM1449" s="906"/>
      <c r="AN1449" s="906"/>
      <c r="AO1449" s="907"/>
      <c r="AP1449" s="907"/>
      <c r="AQ1449" s="907"/>
      <c r="AR1449" s="907"/>
      <c r="AS1449" s="907"/>
      <c r="AT1449" s="907"/>
      <c r="AU1449" s="907"/>
      <c r="AV1449" s="907"/>
      <c r="AW1449" s="907"/>
      <c r="AX1449" s="907"/>
      <c r="AY1449" s="907"/>
      <c r="AZ1449" s="907"/>
      <c r="BA1449" s="907"/>
      <c r="BB1449" s="907"/>
    </row>
    <row r="1450" spans="1:54" ht="12.6" customHeight="1" x14ac:dyDescent="0.25">
      <c r="A1450" s="859" t="s">
        <v>2025</v>
      </c>
      <c r="B1450" s="859"/>
      <c r="C1450" s="859"/>
      <c r="D1450" s="859"/>
      <c r="E1450" s="859"/>
      <c r="F1450" s="859"/>
      <c r="G1450" s="859"/>
      <c r="H1450" s="859"/>
      <c r="I1450" s="859"/>
      <c r="J1450" s="859"/>
      <c r="K1450" s="859"/>
      <c r="L1450" s="859"/>
      <c r="M1450" s="859"/>
      <c r="N1450" s="859"/>
      <c r="O1450" s="859"/>
      <c r="P1450" s="859"/>
      <c r="Q1450" s="859"/>
      <c r="R1450" s="859"/>
      <c r="S1450" s="859"/>
      <c r="T1450" s="859"/>
      <c r="U1450" s="859"/>
      <c r="V1450" s="859"/>
      <c r="W1450" s="859"/>
      <c r="X1450" s="859"/>
      <c r="Y1450" s="859"/>
      <c r="Z1450" s="859"/>
      <c r="AA1450" s="859"/>
      <c r="AB1450" s="859"/>
      <c r="AC1450" s="859"/>
      <c r="AD1450" s="859"/>
      <c r="AE1450" s="859"/>
      <c r="AF1450" s="906"/>
      <c r="AG1450" s="906"/>
      <c r="AH1450" s="906"/>
      <c r="AI1450" s="906"/>
      <c r="AJ1450" s="906"/>
      <c r="AK1450" s="906"/>
      <c r="AL1450" s="906"/>
      <c r="AM1450" s="906"/>
      <c r="AN1450" s="906"/>
      <c r="AO1450" s="907"/>
      <c r="AP1450" s="907"/>
      <c r="AQ1450" s="907"/>
      <c r="AR1450" s="907"/>
      <c r="AS1450" s="907"/>
      <c r="AT1450" s="907"/>
      <c r="AU1450" s="907"/>
      <c r="AV1450" s="907"/>
      <c r="AW1450" s="907"/>
      <c r="AX1450" s="907"/>
      <c r="AY1450" s="907"/>
      <c r="AZ1450" s="907"/>
      <c r="BA1450" s="907"/>
      <c r="BB1450" s="907"/>
    </row>
    <row r="1451" spans="1:54" ht="12.6" customHeight="1" x14ac:dyDescent="0.25">
      <c r="A1451" s="859" t="s">
        <v>2026</v>
      </c>
      <c r="B1451" s="859"/>
      <c r="C1451" s="859"/>
      <c r="D1451" s="859"/>
      <c r="E1451" s="859"/>
      <c r="F1451" s="859"/>
      <c r="G1451" s="859"/>
      <c r="H1451" s="859"/>
      <c r="I1451" s="859"/>
      <c r="J1451" s="859"/>
      <c r="K1451" s="859"/>
      <c r="L1451" s="859"/>
      <c r="M1451" s="859"/>
      <c r="N1451" s="859"/>
      <c r="O1451" s="859"/>
      <c r="P1451" s="859"/>
      <c r="Q1451" s="859"/>
      <c r="R1451" s="859"/>
      <c r="S1451" s="859"/>
      <c r="T1451" s="859"/>
      <c r="U1451" s="859"/>
      <c r="V1451" s="859"/>
      <c r="W1451" s="859"/>
      <c r="X1451" s="859"/>
      <c r="Y1451" s="859"/>
      <c r="Z1451" s="859"/>
      <c r="AA1451" s="859"/>
      <c r="AB1451" s="859"/>
      <c r="AC1451" s="859"/>
      <c r="AD1451" s="859"/>
      <c r="AE1451" s="859"/>
      <c r="AF1451" s="906"/>
      <c r="AG1451" s="906"/>
      <c r="AH1451" s="906"/>
      <c r="AI1451" s="906"/>
      <c r="AJ1451" s="906"/>
      <c r="AK1451" s="906"/>
      <c r="AL1451" s="906"/>
      <c r="AM1451" s="906"/>
      <c r="AN1451" s="906"/>
      <c r="AO1451" s="907"/>
      <c r="AP1451" s="907"/>
      <c r="AQ1451" s="907"/>
      <c r="AR1451" s="907"/>
      <c r="AS1451" s="907"/>
      <c r="AT1451" s="907"/>
      <c r="AU1451" s="907"/>
      <c r="AV1451" s="907"/>
      <c r="AW1451" s="907"/>
      <c r="AX1451" s="907"/>
      <c r="AY1451" s="907"/>
      <c r="AZ1451" s="907"/>
      <c r="BA1451" s="907"/>
      <c r="BB1451" s="907"/>
    </row>
    <row r="1452" spans="1:54" ht="12.6" customHeight="1" x14ac:dyDescent="0.25">
      <c r="A1452" s="859" t="s">
        <v>2027</v>
      </c>
      <c r="B1452" s="859"/>
      <c r="C1452" s="859"/>
      <c r="D1452" s="859"/>
      <c r="E1452" s="859"/>
      <c r="F1452" s="859"/>
      <c r="G1452" s="859"/>
      <c r="H1452" s="859"/>
      <c r="I1452" s="859"/>
      <c r="J1452" s="859"/>
      <c r="K1452" s="859"/>
      <c r="L1452" s="859"/>
      <c r="M1452" s="859"/>
      <c r="N1452" s="859"/>
      <c r="O1452" s="859"/>
      <c r="P1452" s="859"/>
      <c r="Q1452" s="859"/>
      <c r="R1452" s="859"/>
      <c r="S1452" s="859"/>
      <c r="T1452" s="859"/>
      <c r="U1452" s="859"/>
      <c r="V1452" s="859"/>
      <c r="W1452" s="859"/>
      <c r="X1452" s="859"/>
      <c r="Y1452" s="859"/>
      <c r="Z1452" s="859"/>
      <c r="AA1452" s="859"/>
      <c r="AB1452" s="859"/>
      <c r="AC1452" s="859"/>
      <c r="AD1452" s="859"/>
      <c r="AE1452" s="859"/>
      <c r="AF1452" s="906"/>
      <c r="AG1452" s="906"/>
      <c r="AH1452" s="906"/>
      <c r="AI1452" s="906"/>
      <c r="AJ1452" s="906"/>
      <c r="AK1452" s="906"/>
      <c r="AL1452" s="906"/>
      <c r="AM1452" s="906"/>
      <c r="AN1452" s="906"/>
      <c r="AO1452" s="907"/>
      <c r="AP1452" s="907"/>
      <c r="AQ1452" s="907"/>
      <c r="AR1452" s="907"/>
      <c r="AS1452" s="907"/>
      <c r="AT1452" s="907"/>
      <c r="AU1452" s="907"/>
      <c r="AV1452" s="907"/>
      <c r="AW1452" s="907"/>
      <c r="AX1452" s="907"/>
      <c r="AY1452" s="907"/>
      <c r="AZ1452" s="907"/>
      <c r="BA1452" s="907"/>
      <c r="BB1452" s="907"/>
    </row>
    <row r="1453" spans="1:54" ht="12.6" customHeight="1" x14ac:dyDescent="0.25">
      <c r="A1453" s="859" t="s">
        <v>2028</v>
      </c>
      <c r="B1453" s="859"/>
      <c r="C1453" s="859"/>
      <c r="D1453" s="859"/>
      <c r="E1453" s="859"/>
      <c r="F1453" s="859"/>
      <c r="G1453" s="859"/>
      <c r="H1453" s="859"/>
      <c r="I1453" s="859"/>
      <c r="J1453" s="859"/>
      <c r="K1453" s="859"/>
      <c r="L1453" s="859"/>
      <c r="M1453" s="859"/>
      <c r="N1453" s="859"/>
      <c r="O1453" s="859"/>
      <c r="P1453" s="859"/>
      <c r="Q1453" s="859"/>
      <c r="R1453" s="859"/>
      <c r="S1453" s="859"/>
      <c r="T1453" s="859"/>
      <c r="U1453" s="859"/>
      <c r="V1453" s="859"/>
      <c r="W1453" s="859"/>
      <c r="X1453" s="859"/>
      <c r="Y1453" s="859"/>
      <c r="Z1453" s="859"/>
      <c r="AA1453" s="859"/>
      <c r="AB1453" s="859"/>
      <c r="AC1453" s="859"/>
      <c r="AD1453" s="859"/>
      <c r="AE1453" s="859"/>
      <c r="AF1453" s="906"/>
      <c r="AG1453" s="906"/>
      <c r="AH1453" s="906"/>
      <c r="AI1453" s="906"/>
      <c r="AJ1453" s="906"/>
      <c r="AK1453" s="906"/>
      <c r="AL1453" s="906"/>
      <c r="AM1453" s="906"/>
      <c r="AN1453" s="906"/>
      <c r="AO1453" s="907"/>
      <c r="AP1453" s="907"/>
      <c r="AQ1453" s="907"/>
      <c r="AR1453" s="907"/>
      <c r="AS1453" s="907"/>
      <c r="AT1453" s="907"/>
      <c r="AU1453" s="907"/>
      <c r="AV1453" s="907"/>
      <c r="AW1453" s="907"/>
      <c r="AX1453" s="907"/>
      <c r="AY1453" s="907"/>
      <c r="AZ1453" s="907"/>
      <c r="BA1453" s="907"/>
      <c r="BB1453" s="907"/>
    </row>
    <row r="1454" spans="1:54" ht="12.6" customHeight="1" x14ac:dyDescent="0.25">
      <c r="A1454" s="859" t="s">
        <v>2029</v>
      </c>
      <c r="B1454" s="859"/>
      <c r="C1454" s="859"/>
      <c r="D1454" s="859"/>
      <c r="E1454" s="859"/>
      <c r="F1454" s="859"/>
      <c r="G1454" s="859"/>
      <c r="H1454" s="859"/>
      <c r="I1454" s="859"/>
      <c r="J1454" s="859"/>
      <c r="K1454" s="859"/>
      <c r="L1454" s="859"/>
      <c r="M1454" s="859"/>
      <c r="N1454" s="859"/>
      <c r="O1454" s="859"/>
      <c r="P1454" s="859"/>
      <c r="Q1454" s="859"/>
      <c r="R1454" s="859"/>
      <c r="S1454" s="859"/>
      <c r="T1454" s="859"/>
      <c r="U1454" s="859"/>
      <c r="V1454" s="859"/>
      <c r="W1454" s="859"/>
      <c r="X1454" s="859"/>
      <c r="Y1454" s="859"/>
      <c r="Z1454" s="859"/>
      <c r="AA1454" s="859"/>
      <c r="AB1454" s="859"/>
      <c r="AC1454" s="859"/>
      <c r="AD1454" s="859"/>
      <c r="AE1454" s="859"/>
      <c r="AF1454" s="906"/>
      <c r="AG1454" s="906"/>
      <c r="AH1454" s="906"/>
      <c r="AI1454" s="906"/>
      <c r="AJ1454" s="906"/>
      <c r="AK1454" s="906"/>
      <c r="AL1454" s="906"/>
      <c r="AM1454" s="906"/>
      <c r="AN1454" s="906"/>
      <c r="AO1454" s="907"/>
      <c r="AP1454" s="907"/>
      <c r="AQ1454" s="907"/>
      <c r="AR1454" s="907"/>
      <c r="AS1454" s="907"/>
      <c r="AT1454" s="907"/>
      <c r="AU1454" s="907"/>
      <c r="AV1454" s="907"/>
      <c r="AW1454" s="907"/>
      <c r="AX1454" s="907"/>
      <c r="AY1454" s="907"/>
      <c r="AZ1454" s="907"/>
      <c r="BA1454" s="907"/>
      <c r="BB1454" s="907"/>
    </row>
    <row r="1455" spans="1:54" ht="12.6" customHeight="1" x14ac:dyDescent="0.25">
      <c r="A1455" s="227" t="s">
        <v>1482</v>
      </c>
    </row>
    <row r="1456" spans="1:54" ht="15" customHeight="1" x14ac:dyDescent="0.25">
      <c r="A1456" s="763"/>
      <c r="B1456" s="763"/>
      <c r="C1456" s="763"/>
      <c r="D1456" s="763"/>
      <c r="E1456" s="763"/>
      <c r="F1456" s="763"/>
      <c r="G1456" s="763"/>
      <c r="H1456" s="763"/>
      <c r="I1456" s="763"/>
      <c r="J1456" s="763"/>
      <c r="K1456" s="763"/>
      <c r="L1456" s="763"/>
      <c r="M1456" s="763"/>
      <c r="N1456" s="763"/>
      <c r="O1456" s="763"/>
      <c r="P1456" s="763"/>
      <c r="Q1456" s="763"/>
      <c r="R1456" s="763"/>
      <c r="S1456" s="763"/>
      <c r="T1456" s="763"/>
      <c r="U1456" s="763"/>
      <c r="V1456" s="763"/>
      <c r="W1456" s="763"/>
      <c r="X1456" s="763"/>
      <c r="Y1456" s="763"/>
      <c r="Z1456" s="763"/>
      <c r="AA1456" s="763"/>
      <c r="AB1456" s="763"/>
      <c r="AC1456" s="763"/>
      <c r="AD1456" s="763"/>
      <c r="AE1456" s="763"/>
      <c r="AF1456" s="763"/>
      <c r="AG1456" s="763"/>
      <c r="AH1456" s="763"/>
      <c r="AI1456" s="763"/>
      <c r="AJ1456" s="763"/>
      <c r="AK1456" s="763"/>
      <c r="AL1456" s="763"/>
      <c r="AM1456" s="763"/>
      <c r="AN1456" s="763"/>
      <c r="AO1456" s="763"/>
      <c r="AP1456" s="763"/>
      <c r="AQ1456" s="763"/>
      <c r="AR1456" s="763"/>
      <c r="AS1456" s="763"/>
      <c r="AT1456" s="763"/>
      <c r="AU1456" s="763"/>
      <c r="AV1456" s="763"/>
      <c r="AW1456" s="763"/>
      <c r="AX1456" s="763"/>
      <c r="AY1456" s="265"/>
      <c r="AZ1456" s="265"/>
      <c r="BA1456" s="265"/>
      <c r="BB1456" s="265"/>
    </row>
    <row r="1457" spans="1:1024" ht="15" customHeight="1" x14ac:dyDescent="0.25">
      <c r="A1457" s="763"/>
      <c r="B1457" s="763"/>
      <c r="C1457" s="763"/>
      <c r="D1457" s="763"/>
      <c r="E1457" s="763"/>
      <c r="F1457" s="763"/>
      <c r="G1457" s="763"/>
      <c r="H1457" s="763"/>
      <c r="I1457" s="763"/>
      <c r="J1457" s="763"/>
      <c r="K1457" s="763"/>
      <c r="L1457" s="763"/>
      <c r="M1457" s="763"/>
      <c r="N1457" s="763"/>
      <c r="O1457" s="763"/>
      <c r="P1457" s="763"/>
      <c r="Q1457" s="763"/>
      <c r="R1457" s="763"/>
      <c r="S1457" s="763"/>
      <c r="T1457" s="763"/>
      <c r="U1457" s="763"/>
      <c r="V1457" s="763"/>
      <c r="W1457" s="763"/>
      <c r="X1457" s="763"/>
      <c r="Y1457" s="763"/>
      <c r="Z1457" s="763"/>
      <c r="AA1457" s="763"/>
      <c r="AB1457" s="763"/>
      <c r="AC1457" s="763"/>
      <c r="AD1457" s="763"/>
      <c r="AE1457" s="763"/>
      <c r="AF1457" s="763"/>
      <c r="AG1457" s="763"/>
      <c r="AH1457" s="763"/>
      <c r="AI1457" s="763"/>
      <c r="AJ1457" s="763"/>
      <c r="AK1457" s="763"/>
      <c r="AL1457" s="763"/>
      <c r="AM1457" s="763"/>
      <c r="AN1457" s="763"/>
      <c r="AO1457" s="763"/>
      <c r="AP1457" s="763"/>
      <c r="AQ1457" s="763"/>
      <c r="AR1457" s="763"/>
      <c r="AS1457" s="763"/>
      <c r="AT1457" s="763"/>
      <c r="AU1457" s="763"/>
      <c r="AV1457" s="763"/>
      <c r="AW1457" s="763"/>
      <c r="AX1457" s="763"/>
      <c r="AY1457" s="265"/>
      <c r="AZ1457" s="265"/>
      <c r="BA1457" s="265"/>
      <c r="BB1457" s="265"/>
    </row>
    <row r="1458" spans="1:1024" s="208" customFormat="1" ht="12.6" customHeight="1" x14ac:dyDescent="0.25">
      <c r="A1458" s="342"/>
      <c r="B1458" s="342"/>
      <c r="C1458" s="342"/>
      <c r="D1458" s="342"/>
      <c r="E1458" s="342"/>
      <c r="F1458" s="342"/>
      <c r="G1458" s="342"/>
      <c r="H1458" s="342"/>
      <c r="I1458" s="342"/>
      <c r="J1458" s="342"/>
      <c r="K1458" s="342"/>
      <c r="L1458" s="342"/>
      <c r="M1458" s="342"/>
      <c r="N1458" s="342"/>
      <c r="O1458" s="342"/>
      <c r="P1458" s="342"/>
      <c r="Q1458" s="342"/>
      <c r="R1458" s="342"/>
      <c r="S1458" s="342"/>
      <c r="T1458" s="342"/>
      <c r="U1458" s="342"/>
      <c r="V1458" s="342"/>
      <c r="W1458" s="342"/>
      <c r="X1458" s="342"/>
      <c r="Y1458" s="342"/>
      <c r="Z1458" s="342"/>
      <c r="AA1458" s="342"/>
      <c r="AB1458" s="342"/>
      <c r="AC1458" s="342"/>
      <c r="AD1458" s="342"/>
      <c r="AE1458" s="342"/>
      <c r="AF1458" s="343"/>
      <c r="AG1458" s="343"/>
      <c r="AH1458" s="343"/>
      <c r="AI1458" s="343"/>
      <c r="AJ1458" s="343"/>
      <c r="AK1458" s="343"/>
      <c r="AL1458" s="343"/>
      <c r="AM1458" s="343"/>
      <c r="AN1458" s="343"/>
      <c r="AO1458" s="343"/>
      <c r="AP1458" s="343"/>
      <c r="AQ1458" s="343"/>
      <c r="AR1458" s="343"/>
      <c r="AS1458" s="343"/>
      <c r="AT1458" s="343"/>
      <c r="AU1458" s="343"/>
      <c r="AV1458" s="343"/>
      <c r="AW1458" s="343"/>
      <c r="AX1458" s="343"/>
      <c r="AY1458" s="343"/>
      <c r="AZ1458" s="343"/>
      <c r="BA1458" s="343"/>
      <c r="BB1458" s="343"/>
    </row>
    <row r="1459" spans="1:1024" ht="12.6" customHeight="1" x14ac:dyDescent="0.25">
      <c r="A1459" s="227" t="s">
        <v>2030</v>
      </c>
      <c r="B1459" s="217"/>
      <c r="C1459" s="217"/>
      <c r="D1459" s="217"/>
      <c r="E1459" s="217"/>
      <c r="F1459" s="217"/>
      <c r="G1459" s="217"/>
      <c r="H1459" s="217"/>
      <c r="I1459" s="217"/>
      <c r="J1459" s="217"/>
      <c r="K1459" s="217"/>
      <c r="L1459" s="217"/>
      <c r="M1459" s="217"/>
      <c r="N1459" s="217"/>
      <c r="O1459" s="217"/>
      <c r="P1459" s="217"/>
      <c r="Q1459" s="217"/>
      <c r="R1459" s="217"/>
      <c r="S1459" s="217"/>
      <c r="T1459" s="217"/>
      <c r="U1459" s="217"/>
      <c r="V1459" s="217"/>
      <c r="W1459" s="217"/>
      <c r="X1459" s="217"/>
      <c r="Y1459" s="217"/>
      <c r="Z1459" s="217"/>
      <c r="AA1459" s="217"/>
      <c r="AB1459" s="217"/>
      <c r="AC1459" s="217"/>
      <c r="AD1459" s="217"/>
      <c r="AE1459" s="217"/>
      <c r="AF1459" s="217"/>
      <c r="AG1459" s="217"/>
      <c r="AH1459" s="217"/>
      <c r="AI1459" s="217"/>
      <c r="AJ1459" s="217"/>
      <c r="AK1459" s="217"/>
      <c r="AL1459" s="217"/>
      <c r="AM1459" s="217"/>
      <c r="AN1459" s="217"/>
      <c r="AO1459" s="217"/>
      <c r="AP1459" s="217"/>
      <c r="AQ1459" s="217"/>
      <c r="AR1459" s="217"/>
      <c r="AS1459" s="217"/>
      <c r="AT1459" s="217"/>
      <c r="AU1459" s="217"/>
      <c r="AV1459" s="217"/>
      <c r="AW1459" s="217"/>
      <c r="AX1459" s="217"/>
      <c r="AY1459" s="217"/>
      <c r="AZ1459" s="217"/>
      <c r="BA1459" s="217"/>
      <c r="BB1459" s="217"/>
    </row>
    <row r="1460" spans="1:1024" s="208" customFormat="1" ht="25.5" customHeight="1" x14ac:dyDescent="0.25">
      <c r="A1460" s="908"/>
      <c r="B1460" s="908"/>
      <c r="C1460" s="908"/>
      <c r="D1460" s="908"/>
      <c r="E1460" s="908"/>
      <c r="F1460" s="908"/>
      <c r="G1460" s="908"/>
      <c r="H1460" s="908"/>
      <c r="I1460" s="908"/>
      <c r="J1460" s="908"/>
      <c r="K1460" s="908"/>
      <c r="L1460" s="908"/>
      <c r="M1460" s="908"/>
      <c r="N1460" s="908"/>
      <c r="O1460" s="908"/>
      <c r="P1460" s="908"/>
      <c r="Q1460" s="908"/>
      <c r="R1460" s="908"/>
      <c r="S1460" s="908"/>
      <c r="T1460" s="908"/>
      <c r="U1460" s="908"/>
      <c r="V1460" s="908"/>
      <c r="W1460" s="908"/>
      <c r="X1460" s="908"/>
      <c r="Y1460" s="908"/>
      <c r="Z1460" s="908"/>
      <c r="AA1460" s="908"/>
      <c r="AB1460" s="908"/>
      <c r="AC1460" s="908"/>
      <c r="AD1460" s="908"/>
      <c r="AE1460" s="908"/>
      <c r="AF1460" s="908"/>
      <c r="AG1460" s="908"/>
      <c r="AH1460" s="908"/>
      <c r="AI1460" s="908"/>
      <c r="AJ1460" s="908"/>
      <c r="AK1460" s="908"/>
      <c r="AL1460" s="908"/>
      <c r="AM1460" s="908"/>
      <c r="AN1460" s="908"/>
      <c r="AO1460" s="908"/>
      <c r="AP1460" s="908"/>
      <c r="AQ1460" s="908"/>
      <c r="AR1460" s="908"/>
      <c r="AS1460" s="908"/>
      <c r="AT1460" s="908"/>
      <c r="AU1460" s="908"/>
      <c r="AV1460" s="908"/>
      <c r="AW1460" s="908"/>
      <c r="AX1460" s="908"/>
      <c r="AY1460" s="908"/>
      <c r="AZ1460" s="239"/>
      <c r="BA1460" s="239"/>
      <c r="BB1460" s="239"/>
    </row>
    <row r="1461" spans="1:1024" ht="12.6" customHeight="1" x14ac:dyDescent="0.25">
      <c r="A1461" s="301"/>
      <c r="B1461" s="302"/>
      <c r="C1461" s="302"/>
      <c r="D1461" s="302"/>
      <c r="E1461" s="302"/>
      <c r="F1461" s="302"/>
      <c r="G1461" s="302"/>
      <c r="H1461" s="302"/>
      <c r="I1461" s="302"/>
      <c r="J1461" s="302"/>
      <c r="K1461" s="302"/>
      <c r="L1461" s="302"/>
      <c r="M1461" s="302"/>
      <c r="N1461" s="302"/>
      <c r="O1461" s="302"/>
      <c r="P1461" s="302"/>
      <c r="Q1461" s="302"/>
      <c r="R1461" s="302"/>
      <c r="S1461" s="302"/>
      <c r="T1461" s="302"/>
      <c r="U1461" s="302"/>
      <c r="V1461" s="302"/>
      <c r="W1461" s="302"/>
      <c r="X1461" s="302"/>
      <c r="Y1461" s="302"/>
      <c r="Z1461" s="302"/>
      <c r="AA1461" s="302"/>
      <c r="AB1461" s="302"/>
      <c r="AC1461" s="302"/>
      <c r="AD1461" s="302"/>
      <c r="AE1461" s="302"/>
      <c r="AF1461" s="302"/>
      <c r="AG1461" s="302"/>
      <c r="AH1461" s="302"/>
      <c r="AI1461" s="302"/>
      <c r="AJ1461" s="302"/>
      <c r="AK1461" s="302"/>
      <c r="AL1461" s="302"/>
      <c r="AM1461" s="302"/>
      <c r="AN1461" s="302"/>
      <c r="AO1461" s="302"/>
      <c r="AP1461" s="302"/>
      <c r="AQ1461" s="302"/>
      <c r="AR1461" s="302"/>
      <c r="AS1461" s="302"/>
      <c r="AT1461" s="302"/>
      <c r="AU1461" s="302"/>
      <c r="AV1461" s="302"/>
      <c r="AW1461" s="302"/>
      <c r="AX1461" s="302"/>
      <c r="AY1461" s="302"/>
      <c r="AZ1461" s="302"/>
      <c r="BA1461" s="302"/>
      <c r="BB1461" s="303"/>
    </row>
    <row r="1462" spans="1:1024" s="225" customFormat="1" ht="13.5" customHeight="1" x14ac:dyDescent="0.25">
      <c r="A1462" s="726" t="s">
        <v>2031</v>
      </c>
      <c r="B1462" s="726"/>
      <c r="C1462" s="726"/>
      <c r="D1462" s="726"/>
      <c r="E1462" s="726"/>
      <c r="F1462" s="726"/>
      <c r="G1462" s="726"/>
      <c r="H1462" s="726"/>
      <c r="I1462" s="726"/>
      <c r="J1462" s="726"/>
      <c r="K1462" s="726"/>
      <c r="L1462" s="726"/>
      <c r="M1462" s="726"/>
      <c r="N1462" s="726"/>
      <c r="O1462" s="726"/>
      <c r="P1462" s="726"/>
      <c r="Q1462" s="726"/>
      <c r="R1462" s="726"/>
      <c r="S1462" s="726"/>
      <c r="T1462" s="726"/>
      <c r="U1462" s="726"/>
      <c r="V1462" s="726"/>
      <c r="W1462" s="726"/>
      <c r="X1462" s="726"/>
      <c r="Y1462" s="726"/>
      <c r="Z1462" s="726"/>
      <c r="AA1462" s="726"/>
      <c r="AB1462" s="726"/>
      <c r="AC1462" s="726"/>
      <c r="AD1462" s="726"/>
      <c r="AE1462" s="726"/>
      <c r="AF1462" s="726"/>
      <c r="AG1462" s="726"/>
      <c r="AH1462" s="726"/>
      <c r="AI1462" s="726"/>
      <c r="AJ1462" s="726"/>
      <c r="AK1462" s="726"/>
      <c r="AL1462" s="726"/>
      <c r="AM1462" s="726"/>
      <c r="AN1462" s="726"/>
      <c r="AO1462" s="726"/>
      <c r="AP1462" s="726"/>
      <c r="AQ1462" s="726"/>
      <c r="AR1462" s="726"/>
      <c r="AS1462" s="726"/>
      <c r="AT1462" s="726"/>
      <c r="AU1462" s="726"/>
      <c r="AV1462" s="726"/>
      <c r="AW1462" s="726"/>
      <c r="AX1462" s="726"/>
      <c r="AY1462" s="726"/>
      <c r="AZ1462" s="726"/>
      <c r="BA1462" s="726"/>
      <c r="BB1462" s="339"/>
    </row>
    <row r="1463" spans="1:1024" x14ac:dyDescent="0.25">
      <c r="A1463" s="227" t="s">
        <v>2032</v>
      </c>
      <c r="B1463" s="226"/>
      <c r="C1463" s="226"/>
      <c r="D1463" s="226"/>
      <c r="E1463" s="226"/>
      <c r="F1463" s="226"/>
      <c r="G1463" s="226"/>
      <c r="H1463" s="226"/>
      <c r="I1463" s="226"/>
      <c r="J1463" s="226"/>
      <c r="K1463" s="226"/>
      <c r="L1463" s="226"/>
      <c r="M1463" s="226"/>
      <c r="N1463" s="226"/>
      <c r="O1463" s="226"/>
      <c r="P1463" s="226"/>
      <c r="Q1463" s="226"/>
      <c r="R1463" s="226"/>
      <c r="S1463" s="226"/>
      <c r="T1463" s="226"/>
      <c r="U1463" s="226"/>
      <c r="V1463" s="226"/>
      <c r="W1463" s="226"/>
      <c r="X1463" s="226"/>
      <c r="Y1463" s="226"/>
      <c r="Z1463" s="226"/>
      <c r="AA1463" s="226"/>
      <c r="AB1463" s="226"/>
      <c r="AC1463" s="226"/>
      <c r="AD1463" s="226"/>
      <c r="AE1463" s="226"/>
      <c r="AF1463" s="226"/>
      <c r="AG1463" s="226"/>
      <c r="AH1463" s="226"/>
      <c r="AI1463" s="226"/>
      <c r="AJ1463" s="226"/>
      <c r="AK1463" s="226"/>
      <c r="AL1463" s="226"/>
      <c r="AM1463" s="226"/>
      <c r="AN1463" s="226"/>
      <c r="AO1463" s="226"/>
      <c r="AP1463" s="226"/>
      <c r="AQ1463" s="226"/>
      <c r="AR1463" s="226"/>
      <c r="AS1463" s="226"/>
      <c r="AT1463" s="226"/>
      <c r="AU1463" s="226"/>
      <c r="AV1463" s="226"/>
      <c r="AW1463" s="226"/>
      <c r="AX1463" s="226"/>
      <c r="AY1463" s="226"/>
      <c r="AZ1463" s="226"/>
      <c r="BA1463" s="226"/>
      <c r="BB1463" s="339"/>
    </row>
    <row r="1464" spans="1:1024" ht="12.6" customHeight="1" x14ac:dyDescent="0.25">
      <c r="A1464" s="344" t="s">
        <v>2033</v>
      </c>
      <c r="B1464" s="320"/>
      <c r="C1464" s="320"/>
      <c r="D1464" s="320"/>
      <c r="E1464" s="320"/>
      <c r="F1464" s="320"/>
      <c r="G1464" s="320"/>
      <c r="H1464" s="320"/>
      <c r="I1464" s="320"/>
      <c r="J1464" s="320"/>
      <c r="K1464" s="320"/>
      <c r="L1464" s="320"/>
      <c r="M1464" s="320"/>
      <c r="N1464" s="320"/>
      <c r="O1464" s="320"/>
      <c r="P1464" s="320"/>
      <c r="Q1464" s="320"/>
      <c r="R1464" s="320"/>
      <c r="S1464" s="320"/>
      <c r="T1464" s="320"/>
      <c r="U1464" s="320"/>
      <c r="V1464" s="320"/>
      <c r="W1464" s="320"/>
      <c r="X1464" s="320"/>
      <c r="Y1464" s="320"/>
      <c r="Z1464" s="320"/>
      <c r="AA1464" s="320"/>
      <c r="AB1464" s="320"/>
      <c r="AC1464" s="320"/>
      <c r="AD1464" s="320"/>
      <c r="AE1464" s="320"/>
      <c r="AF1464" s="320"/>
      <c r="AG1464" s="320"/>
      <c r="AH1464" s="320"/>
      <c r="AI1464" s="320"/>
      <c r="AJ1464" s="320"/>
      <c r="AK1464" s="320"/>
      <c r="AL1464" s="320"/>
      <c r="AM1464" s="320"/>
      <c r="AN1464" s="320"/>
      <c r="AO1464" s="320"/>
      <c r="AP1464" s="320"/>
      <c r="AQ1464" s="320"/>
      <c r="AR1464" s="320"/>
      <c r="AS1464" s="320"/>
      <c r="AT1464" s="320"/>
      <c r="AU1464" s="320"/>
      <c r="AV1464" s="320"/>
      <c r="AW1464" s="320"/>
      <c r="AX1464" s="320"/>
      <c r="AY1464" s="320"/>
      <c r="AZ1464" s="320"/>
      <c r="BA1464" s="320"/>
      <c r="BB1464" s="320"/>
    </row>
    <row r="1465" spans="1:1024" s="230" customFormat="1" ht="12.6" customHeight="1" x14ac:dyDescent="0.25">
      <c r="A1465" s="908"/>
      <c r="B1465" s="908"/>
      <c r="C1465" s="908"/>
      <c r="D1465" s="908"/>
      <c r="E1465" s="908"/>
      <c r="F1465" s="908"/>
      <c r="G1465" s="908"/>
      <c r="H1465" s="908"/>
      <c r="I1465" s="908"/>
      <c r="J1465" s="908"/>
      <c r="K1465" s="908"/>
      <c r="L1465" s="908"/>
      <c r="M1465" s="908"/>
      <c r="N1465" s="908"/>
      <c r="O1465" s="908"/>
      <c r="P1465" s="908"/>
      <c r="Q1465" s="908"/>
      <c r="R1465" s="908"/>
      <c r="S1465" s="908"/>
      <c r="T1465" s="908"/>
      <c r="U1465" s="908"/>
      <c r="V1465" s="908"/>
      <c r="W1465" s="908"/>
      <c r="X1465" s="908"/>
      <c r="Y1465" s="908"/>
      <c r="Z1465" s="908"/>
      <c r="AA1465" s="908"/>
      <c r="AB1465" s="908"/>
      <c r="AC1465" s="908"/>
      <c r="AD1465" s="908"/>
      <c r="AE1465" s="908"/>
      <c r="AF1465" s="908"/>
      <c r="AG1465" s="908"/>
      <c r="AH1465" s="908"/>
      <c r="AI1465" s="908"/>
      <c r="AJ1465" s="908"/>
      <c r="AK1465" s="908"/>
      <c r="AL1465" s="908"/>
      <c r="AM1465" s="908"/>
      <c r="AN1465" s="908"/>
      <c r="AO1465" s="908"/>
      <c r="AP1465" s="908"/>
      <c r="AQ1465" s="908"/>
      <c r="AR1465" s="908"/>
      <c r="AS1465" s="908"/>
      <c r="AT1465" s="908"/>
      <c r="AU1465" s="908"/>
      <c r="AV1465" s="908"/>
      <c r="AW1465" s="908"/>
      <c r="AX1465" s="908"/>
      <c r="AY1465" s="908"/>
      <c r="AZ1465" s="732"/>
      <c r="BA1465" s="732"/>
      <c r="BB1465" s="732"/>
      <c r="BC1465" s="732"/>
      <c r="BD1465" s="732"/>
      <c r="BE1465" s="732"/>
      <c r="BF1465" s="732"/>
      <c r="BG1465" s="732"/>
      <c r="BH1465" s="732"/>
      <c r="BI1465" s="732"/>
      <c r="BJ1465" s="732"/>
      <c r="BK1465" s="732"/>
      <c r="BL1465" s="732"/>
      <c r="BM1465" s="732"/>
      <c r="BN1465" s="732"/>
      <c r="BO1465" s="732"/>
      <c r="BP1465" s="732"/>
      <c r="BQ1465" s="732"/>
      <c r="BR1465" s="732"/>
      <c r="BS1465" s="732"/>
      <c r="BT1465" s="732"/>
      <c r="BU1465" s="732"/>
      <c r="BV1465" s="732"/>
      <c r="BW1465" s="732"/>
      <c r="BX1465" s="732"/>
      <c r="BY1465" s="732"/>
      <c r="BZ1465" s="732"/>
      <c r="CA1465" s="732"/>
      <c r="CB1465" s="732"/>
      <c r="CC1465" s="732"/>
      <c r="CD1465" s="732"/>
      <c r="CE1465" s="732"/>
      <c r="CF1465" s="732"/>
      <c r="CG1465" s="732"/>
      <c r="CH1465" s="732"/>
      <c r="CI1465" s="732"/>
      <c r="CJ1465" s="732"/>
      <c r="CK1465" s="732"/>
      <c r="CL1465" s="732"/>
      <c r="CM1465" s="732"/>
      <c r="CN1465" s="732"/>
      <c r="CO1465" s="732"/>
      <c r="CP1465" s="732"/>
      <c r="CQ1465" s="732"/>
      <c r="CR1465" s="732"/>
      <c r="CS1465" s="732"/>
      <c r="CT1465" s="732"/>
      <c r="CU1465" s="732"/>
      <c r="CV1465" s="732"/>
      <c r="CW1465" s="732"/>
      <c r="CX1465" s="732"/>
      <c r="CY1465" s="732"/>
      <c r="CZ1465" s="732"/>
      <c r="DA1465" s="732"/>
      <c r="DB1465" s="732"/>
      <c r="DC1465" s="732"/>
      <c r="DD1465" s="732"/>
      <c r="DE1465" s="732"/>
      <c r="DF1465" s="732"/>
      <c r="DG1465" s="732"/>
      <c r="DH1465" s="732"/>
      <c r="DI1465" s="732"/>
      <c r="DJ1465" s="732"/>
      <c r="DK1465" s="732"/>
      <c r="DL1465" s="732"/>
      <c r="DM1465" s="732"/>
      <c r="DN1465" s="732"/>
      <c r="DO1465" s="732"/>
      <c r="DP1465" s="732"/>
      <c r="DQ1465" s="732"/>
      <c r="DR1465" s="732"/>
      <c r="DS1465" s="732"/>
      <c r="DT1465" s="732"/>
      <c r="DU1465" s="732"/>
      <c r="DV1465" s="732"/>
      <c r="DW1465" s="732"/>
      <c r="DX1465" s="732"/>
      <c r="DY1465" s="732"/>
      <c r="DZ1465" s="732"/>
      <c r="EA1465" s="732"/>
      <c r="EB1465" s="732"/>
      <c r="EC1465" s="732"/>
      <c r="ED1465" s="732"/>
      <c r="EE1465" s="732"/>
      <c r="EF1465" s="732"/>
      <c r="EG1465" s="732"/>
      <c r="EH1465" s="732"/>
      <c r="EI1465" s="732"/>
      <c r="EJ1465" s="732"/>
      <c r="EK1465" s="732"/>
      <c r="EL1465" s="732"/>
      <c r="EM1465" s="732"/>
      <c r="EN1465" s="732"/>
      <c r="EO1465" s="732"/>
      <c r="EP1465" s="732"/>
      <c r="EQ1465" s="732"/>
      <c r="ER1465" s="732"/>
      <c r="ES1465" s="732"/>
      <c r="ET1465" s="732"/>
      <c r="EU1465" s="732"/>
      <c r="EV1465" s="732"/>
      <c r="EW1465" s="732"/>
      <c r="EX1465" s="732"/>
      <c r="EY1465" s="732"/>
      <c r="EZ1465" s="732"/>
      <c r="FA1465" s="732"/>
      <c r="FB1465" s="732"/>
      <c r="FC1465" s="732"/>
      <c r="FD1465" s="732"/>
      <c r="FE1465" s="732"/>
      <c r="FF1465" s="732"/>
      <c r="FG1465" s="732"/>
      <c r="FH1465" s="732"/>
      <c r="FI1465" s="732"/>
      <c r="FJ1465" s="732"/>
      <c r="FK1465" s="732"/>
      <c r="FL1465" s="732"/>
      <c r="FM1465" s="732"/>
      <c r="FN1465" s="732"/>
      <c r="FO1465" s="732"/>
      <c r="FP1465" s="732"/>
      <c r="FQ1465" s="732"/>
      <c r="FR1465" s="732"/>
      <c r="FS1465" s="732"/>
      <c r="FT1465" s="732"/>
      <c r="FU1465" s="732"/>
      <c r="FV1465" s="732"/>
      <c r="FW1465" s="732"/>
      <c r="FX1465" s="732"/>
      <c r="FY1465" s="732"/>
      <c r="FZ1465" s="732"/>
      <c r="GA1465" s="732"/>
      <c r="GB1465" s="732"/>
      <c r="GC1465" s="732"/>
      <c r="GD1465" s="732"/>
      <c r="GE1465" s="732"/>
      <c r="GF1465" s="732"/>
      <c r="GG1465" s="732"/>
      <c r="GH1465" s="732"/>
      <c r="GI1465" s="732"/>
      <c r="GJ1465" s="732"/>
      <c r="GK1465" s="732"/>
      <c r="GL1465" s="732"/>
      <c r="GM1465" s="732"/>
      <c r="GN1465" s="732"/>
      <c r="GO1465" s="732"/>
      <c r="GP1465" s="732"/>
      <c r="GQ1465" s="732"/>
      <c r="GR1465" s="732"/>
      <c r="GS1465" s="732"/>
      <c r="GT1465" s="732"/>
      <c r="GU1465" s="732"/>
      <c r="GV1465" s="732"/>
      <c r="GW1465" s="732"/>
      <c r="GX1465" s="732"/>
      <c r="GY1465" s="732"/>
      <c r="GZ1465" s="732"/>
      <c r="HA1465" s="732"/>
      <c r="HB1465" s="732"/>
      <c r="HC1465" s="732"/>
      <c r="HD1465" s="732"/>
      <c r="HE1465" s="732"/>
      <c r="HF1465" s="732"/>
      <c r="HG1465" s="732"/>
      <c r="HH1465" s="732"/>
      <c r="HI1465" s="732"/>
      <c r="HJ1465" s="732"/>
      <c r="HK1465" s="732"/>
      <c r="HL1465" s="732"/>
      <c r="HM1465" s="732"/>
      <c r="HN1465" s="732"/>
      <c r="HO1465" s="732"/>
      <c r="HP1465" s="732"/>
      <c r="HQ1465" s="732"/>
      <c r="HR1465" s="732"/>
      <c r="HS1465" s="732"/>
      <c r="HT1465" s="732"/>
      <c r="HU1465" s="732"/>
      <c r="HV1465" s="732"/>
      <c r="HW1465" s="732"/>
      <c r="HX1465" s="732"/>
      <c r="HY1465" s="732"/>
      <c r="HZ1465" s="732"/>
      <c r="IA1465" s="732"/>
      <c r="IB1465" s="732"/>
      <c r="IC1465" s="732"/>
      <c r="ID1465" s="732"/>
      <c r="IE1465" s="732"/>
      <c r="IF1465" s="732"/>
      <c r="IG1465" s="732"/>
      <c r="IH1465" s="732"/>
      <c r="II1465" s="732"/>
      <c r="IJ1465" s="732"/>
      <c r="IK1465" s="732"/>
      <c r="IL1465" s="732"/>
      <c r="IM1465" s="732"/>
      <c r="IN1465" s="732"/>
      <c r="IO1465" s="732"/>
      <c r="IP1465" s="732"/>
      <c r="IQ1465" s="732"/>
      <c r="IR1465" s="732"/>
      <c r="IS1465" s="732"/>
      <c r="IT1465" s="732"/>
      <c r="IU1465" s="732"/>
      <c r="IV1465" s="732"/>
      <c r="IW1465" s="732"/>
      <c r="IX1465" s="732"/>
      <c r="IY1465" s="732"/>
      <c r="IZ1465" s="732"/>
      <c r="JA1465" s="732"/>
      <c r="JB1465" s="732"/>
      <c r="JC1465" s="732"/>
      <c r="JD1465" s="732"/>
      <c r="JE1465" s="732"/>
      <c r="JF1465" s="732"/>
      <c r="JG1465" s="732"/>
      <c r="JH1465" s="732"/>
      <c r="JI1465" s="732"/>
      <c r="JJ1465" s="732"/>
      <c r="JK1465" s="732"/>
      <c r="JL1465" s="732"/>
      <c r="JM1465" s="732"/>
      <c r="JN1465" s="732"/>
      <c r="JO1465" s="732"/>
      <c r="JP1465" s="732"/>
      <c r="JQ1465" s="732"/>
      <c r="JR1465" s="732"/>
      <c r="JS1465" s="732"/>
      <c r="JT1465" s="732"/>
      <c r="JU1465" s="732"/>
      <c r="JV1465" s="732"/>
      <c r="JW1465" s="732"/>
      <c r="JX1465" s="732"/>
      <c r="JY1465" s="732"/>
      <c r="JZ1465" s="732"/>
      <c r="KA1465" s="732"/>
      <c r="KB1465" s="732"/>
      <c r="KC1465" s="732"/>
      <c r="KD1465" s="732"/>
      <c r="KE1465" s="732"/>
      <c r="KF1465" s="732"/>
      <c r="KG1465" s="732"/>
      <c r="KH1465" s="732"/>
      <c r="KI1465" s="732"/>
      <c r="KJ1465" s="732"/>
      <c r="KK1465" s="732"/>
      <c r="KL1465" s="732"/>
      <c r="KM1465" s="732"/>
      <c r="KN1465" s="732"/>
      <c r="KO1465" s="732"/>
      <c r="KP1465" s="732"/>
      <c r="KQ1465" s="732"/>
      <c r="KR1465" s="732"/>
      <c r="KS1465" s="732"/>
      <c r="KT1465" s="732"/>
      <c r="KU1465" s="732"/>
      <c r="KV1465" s="732"/>
      <c r="KW1465" s="732"/>
      <c r="KX1465" s="732"/>
      <c r="KY1465" s="732"/>
      <c r="KZ1465" s="732"/>
      <c r="LA1465" s="732"/>
      <c r="LB1465" s="732"/>
      <c r="LC1465" s="732"/>
      <c r="LD1465" s="732"/>
      <c r="LE1465" s="732"/>
      <c r="LF1465" s="732"/>
      <c r="LG1465" s="732"/>
      <c r="LH1465" s="732"/>
      <c r="LI1465" s="732"/>
      <c r="LJ1465" s="732"/>
      <c r="LK1465" s="732"/>
      <c r="LL1465" s="732"/>
      <c r="LM1465" s="732"/>
      <c r="LN1465" s="732"/>
      <c r="LO1465" s="732"/>
      <c r="LP1465" s="732"/>
      <c r="LQ1465" s="732"/>
      <c r="LR1465" s="732"/>
      <c r="LS1465" s="732"/>
      <c r="LT1465" s="732"/>
      <c r="LU1465" s="732"/>
      <c r="LV1465" s="732"/>
      <c r="LW1465" s="732"/>
      <c r="LX1465" s="732"/>
      <c r="LY1465" s="732"/>
      <c r="LZ1465" s="732"/>
      <c r="MA1465" s="732"/>
      <c r="MB1465" s="732"/>
      <c r="MC1465" s="732"/>
      <c r="MD1465" s="732"/>
      <c r="ME1465" s="732"/>
      <c r="MF1465" s="732"/>
      <c r="MG1465" s="732"/>
      <c r="MH1465" s="732"/>
      <c r="MI1465" s="732"/>
      <c r="MJ1465" s="732"/>
      <c r="MK1465" s="732"/>
      <c r="ML1465" s="732"/>
      <c r="MM1465" s="732"/>
      <c r="MN1465" s="732"/>
      <c r="MO1465" s="732"/>
      <c r="MP1465" s="732"/>
      <c r="MQ1465" s="732"/>
      <c r="MR1465" s="732"/>
      <c r="MS1465" s="732"/>
      <c r="MT1465" s="732"/>
      <c r="MU1465" s="732"/>
      <c r="MV1465" s="732"/>
      <c r="MW1465" s="732"/>
      <c r="MX1465" s="732"/>
      <c r="MY1465" s="732"/>
      <c r="MZ1465" s="732"/>
      <c r="NA1465" s="732"/>
      <c r="NB1465" s="732"/>
      <c r="NC1465" s="732"/>
      <c r="ND1465" s="732"/>
      <c r="NE1465" s="732"/>
      <c r="NF1465" s="732"/>
      <c r="NG1465" s="732"/>
      <c r="NH1465" s="732"/>
      <c r="NI1465" s="732"/>
      <c r="NJ1465" s="732"/>
      <c r="NK1465" s="732"/>
      <c r="NL1465" s="732"/>
      <c r="NM1465" s="732"/>
      <c r="NN1465" s="732"/>
      <c r="NO1465" s="732"/>
      <c r="NP1465" s="732"/>
      <c r="NQ1465" s="732"/>
      <c r="NR1465" s="732"/>
      <c r="NS1465" s="732"/>
      <c r="NT1465" s="732"/>
      <c r="NU1465" s="732"/>
      <c r="NV1465" s="732"/>
      <c r="NW1465" s="732"/>
      <c r="NX1465" s="732"/>
      <c r="NY1465" s="732"/>
      <c r="NZ1465" s="732"/>
      <c r="OA1465" s="732"/>
      <c r="OB1465" s="732"/>
      <c r="OC1465" s="732"/>
      <c r="OD1465" s="732"/>
      <c r="OE1465" s="732"/>
      <c r="OF1465" s="732"/>
      <c r="OG1465" s="732"/>
      <c r="OH1465" s="732"/>
      <c r="OI1465" s="732"/>
      <c r="OJ1465" s="732"/>
      <c r="OK1465" s="732"/>
      <c r="OL1465" s="732"/>
      <c r="OM1465" s="732"/>
      <c r="ON1465" s="732"/>
      <c r="OO1465" s="732"/>
      <c r="OP1465" s="732"/>
      <c r="OQ1465" s="732"/>
      <c r="OR1465" s="732"/>
      <c r="OS1465" s="732"/>
      <c r="OT1465" s="732"/>
      <c r="OU1465" s="732"/>
      <c r="OV1465" s="732"/>
      <c r="OW1465" s="732"/>
      <c r="OX1465" s="732"/>
      <c r="OY1465" s="732"/>
      <c r="OZ1465" s="732"/>
      <c r="PA1465" s="732"/>
      <c r="PB1465" s="732"/>
      <c r="PC1465" s="732"/>
      <c r="PD1465" s="732"/>
      <c r="PE1465" s="732"/>
      <c r="PF1465" s="732"/>
      <c r="PG1465" s="732"/>
      <c r="PH1465" s="732"/>
      <c r="PI1465" s="732"/>
      <c r="PJ1465" s="732"/>
      <c r="PK1465" s="732"/>
      <c r="PL1465" s="732"/>
      <c r="PM1465" s="732"/>
      <c r="PN1465" s="732"/>
      <c r="PO1465" s="732"/>
      <c r="PP1465" s="732"/>
      <c r="PQ1465" s="732"/>
      <c r="PR1465" s="732"/>
      <c r="PS1465" s="732"/>
      <c r="PT1465" s="732"/>
      <c r="PU1465" s="732"/>
      <c r="PV1465" s="732"/>
      <c r="PW1465" s="732"/>
      <c r="PX1465" s="732"/>
      <c r="PY1465" s="732"/>
      <c r="PZ1465" s="732"/>
      <c r="QA1465" s="732"/>
      <c r="QB1465" s="732"/>
      <c r="QC1465" s="732"/>
      <c r="QD1465" s="732"/>
      <c r="QE1465" s="732"/>
      <c r="QF1465" s="732"/>
      <c r="QG1465" s="732"/>
      <c r="QH1465" s="732"/>
      <c r="QI1465" s="732"/>
      <c r="QJ1465" s="732"/>
      <c r="QK1465" s="732"/>
      <c r="QL1465" s="732"/>
      <c r="QM1465" s="732"/>
      <c r="QN1465" s="732"/>
      <c r="QO1465" s="732"/>
      <c r="QP1465" s="732"/>
      <c r="QQ1465" s="732"/>
      <c r="QR1465" s="732"/>
      <c r="QS1465" s="732"/>
      <c r="QT1465" s="732"/>
      <c r="QU1465" s="732"/>
      <c r="QV1465" s="732"/>
      <c r="QW1465" s="732"/>
      <c r="QX1465" s="732"/>
      <c r="QY1465" s="732"/>
      <c r="QZ1465" s="732"/>
      <c r="RA1465" s="732"/>
      <c r="RB1465" s="732"/>
      <c r="RC1465" s="732"/>
      <c r="RD1465" s="732"/>
      <c r="RE1465" s="732"/>
      <c r="RF1465" s="732"/>
      <c r="RG1465" s="732"/>
      <c r="RH1465" s="732"/>
      <c r="RI1465" s="732"/>
      <c r="RJ1465" s="732"/>
      <c r="RK1465" s="732"/>
      <c r="RL1465" s="732"/>
      <c r="RM1465" s="732"/>
      <c r="RN1465" s="732"/>
      <c r="RO1465" s="732"/>
      <c r="RP1465" s="732"/>
      <c r="RQ1465" s="732"/>
      <c r="RR1465" s="732"/>
      <c r="RS1465" s="732"/>
      <c r="RT1465" s="732"/>
      <c r="RU1465" s="732"/>
      <c r="RV1465" s="732"/>
      <c r="RW1465" s="732"/>
      <c r="RX1465" s="732"/>
      <c r="RY1465" s="732"/>
      <c r="RZ1465" s="732"/>
      <c r="SA1465" s="732"/>
      <c r="SB1465" s="732"/>
      <c r="SC1465" s="732"/>
      <c r="SD1465" s="732"/>
      <c r="SE1465" s="732"/>
      <c r="SF1465" s="732"/>
      <c r="SG1465" s="732"/>
      <c r="SH1465" s="732"/>
      <c r="SI1465" s="732"/>
      <c r="SJ1465" s="732"/>
      <c r="SK1465" s="732"/>
      <c r="SL1465" s="732"/>
      <c r="SM1465" s="732"/>
      <c r="SN1465" s="732"/>
      <c r="SO1465" s="732"/>
      <c r="SP1465" s="732"/>
      <c r="SQ1465" s="732"/>
      <c r="SR1465" s="732"/>
      <c r="SS1465" s="732"/>
      <c r="ST1465" s="732"/>
      <c r="SU1465" s="732"/>
      <c r="SV1465" s="732"/>
      <c r="SW1465" s="732"/>
      <c r="SX1465" s="732"/>
      <c r="SY1465" s="732"/>
      <c r="SZ1465" s="732"/>
      <c r="TA1465" s="732"/>
      <c r="TB1465" s="732"/>
      <c r="TC1465" s="732"/>
      <c r="TD1465" s="732"/>
      <c r="TE1465" s="732"/>
      <c r="TF1465" s="732"/>
      <c r="TG1465" s="732"/>
      <c r="TH1465" s="732"/>
      <c r="TI1465" s="732"/>
      <c r="TJ1465" s="732"/>
      <c r="TK1465" s="732"/>
      <c r="TL1465" s="732"/>
      <c r="TM1465" s="732"/>
      <c r="TN1465" s="732"/>
      <c r="TO1465" s="732"/>
      <c r="TP1465" s="732"/>
      <c r="TQ1465" s="732"/>
      <c r="TR1465" s="732"/>
      <c r="TS1465" s="732"/>
      <c r="TT1465" s="732"/>
      <c r="TU1465" s="732"/>
      <c r="TV1465" s="732"/>
      <c r="TW1465" s="732"/>
      <c r="TX1465" s="732"/>
      <c r="TY1465" s="732"/>
      <c r="TZ1465" s="732"/>
      <c r="UA1465" s="732"/>
      <c r="UB1465" s="732"/>
      <c r="UC1465" s="732"/>
      <c r="UD1465" s="732"/>
      <c r="UE1465" s="732"/>
      <c r="UF1465" s="732"/>
      <c r="UG1465" s="732"/>
      <c r="UH1465" s="732"/>
      <c r="UI1465" s="732"/>
      <c r="UJ1465" s="732"/>
      <c r="UK1465" s="732"/>
      <c r="UL1465" s="732"/>
      <c r="UM1465" s="732"/>
      <c r="UN1465" s="732"/>
      <c r="UO1465" s="732"/>
      <c r="UP1465" s="732"/>
      <c r="UQ1465" s="732"/>
      <c r="UR1465" s="732"/>
      <c r="US1465" s="732"/>
      <c r="UT1465" s="732"/>
      <c r="UU1465" s="732"/>
      <c r="UV1465" s="732"/>
      <c r="UW1465" s="732"/>
      <c r="UX1465" s="732"/>
      <c r="UY1465" s="732"/>
      <c r="UZ1465" s="732"/>
      <c r="VA1465" s="732"/>
      <c r="VB1465" s="732"/>
      <c r="VC1465" s="732"/>
      <c r="VD1465" s="732"/>
      <c r="VE1465" s="732"/>
      <c r="VF1465" s="732"/>
      <c r="VG1465" s="732"/>
      <c r="VH1465" s="732"/>
      <c r="VI1465" s="732"/>
      <c r="VJ1465" s="732"/>
      <c r="VK1465" s="732"/>
      <c r="VL1465" s="732"/>
      <c r="VM1465" s="732"/>
      <c r="VN1465" s="732"/>
      <c r="VO1465" s="732"/>
      <c r="VP1465" s="732"/>
      <c r="VQ1465" s="732"/>
      <c r="VR1465" s="732"/>
      <c r="VS1465" s="732"/>
      <c r="VT1465" s="732"/>
      <c r="VU1465" s="732"/>
      <c r="VV1465" s="732"/>
      <c r="VW1465" s="732"/>
      <c r="VX1465" s="732"/>
      <c r="VY1465" s="732"/>
      <c r="VZ1465" s="732"/>
      <c r="WA1465" s="732"/>
      <c r="WB1465" s="732"/>
      <c r="WC1465" s="732"/>
      <c r="WD1465" s="732"/>
      <c r="WE1465" s="732"/>
      <c r="WF1465" s="732"/>
      <c r="WG1465" s="732"/>
      <c r="WH1465" s="732"/>
      <c r="WI1465" s="732"/>
      <c r="WJ1465" s="732"/>
      <c r="WK1465" s="732"/>
      <c r="WL1465" s="732"/>
      <c r="WM1465" s="732"/>
      <c r="WN1465" s="732"/>
      <c r="WO1465" s="732"/>
      <c r="WP1465" s="732"/>
      <c r="WQ1465" s="732"/>
      <c r="WR1465" s="732"/>
      <c r="WS1465" s="732"/>
      <c r="WT1465" s="732"/>
      <c r="WU1465" s="732"/>
      <c r="WV1465" s="732"/>
      <c r="WW1465" s="732"/>
      <c r="WX1465" s="732"/>
      <c r="WY1465" s="732"/>
      <c r="WZ1465" s="732"/>
      <c r="XA1465" s="732"/>
      <c r="XB1465" s="732"/>
      <c r="XC1465" s="732"/>
      <c r="XD1465" s="732"/>
      <c r="XE1465" s="732"/>
      <c r="XF1465" s="732"/>
      <c r="XG1465" s="732"/>
      <c r="XH1465" s="732"/>
      <c r="XI1465" s="732"/>
      <c r="XJ1465" s="732"/>
      <c r="XK1465" s="732"/>
      <c r="XL1465" s="732"/>
      <c r="XM1465" s="732"/>
      <c r="XN1465" s="732"/>
      <c r="XO1465" s="732"/>
      <c r="XP1465" s="732"/>
      <c r="XQ1465" s="732"/>
      <c r="XR1465" s="732"/>
      <c r="XS1465" s="732"/>
      <c r="XT1465" s="732"/>
      <c r="XU1465" s="732"/>
      <c r="XV1465" s="732"/>
      <c r="XW1465" s="732"/>
      <c r="XX1465" s="732"/>
      <c r="XY1465" s="732"/>
      <c r="XZ1465" s="732"/>
      <c r="YA1465" s="732"/>
      <c r="YB1465" s="732"/>
      <c r="YC1465" s="732"/>
      <c r="YD1465" s="732"/>
      <c r="YE1465" s="732"/>
      <c r="YF1465" s="732"/>
      <c r="YG1465" s="732"/>
      <c r="YH1465" s="732"/>
      <c r="YI1465" s="732"/>
      <c r="YJ1465" s="732"/>
      <c r="YK1465" s="732"/>
      <c r="YL1465" s="732"/>
      <c r="YM1465" s="732"/>
      <c r="YN1465" s="732"/>
      <c r="YO1465" s="732"/>
      <c r="YP1465" s="732"/>
      <c r="YQ1465" s="732"/>
      <c r="YR1465" s="732"/>
      <c r="YS1465" s="732"/>
      <c r="YT1465" s="732"/>
      <c r="YU1465" s="732"/>
      <c r="YV1465" s="732"/>
      <c r="YW1465" s="732"/>
      <c r="YX1465" s="732"/>
      <c r="YY1465" s="732"/>
      <c r="YZ1465" s="732"/>
      <c r="ZA1465" s="732"/>
      <c r="ZB1465" s="732"/>
      <c r="ZC1465" s="732"/>
      <c r="ZD1465" s="732"/>
      <c r="ZE1465" s="732"/>
      <c r="ZF1465" s="732"/>
      <c r="ZG1465" s="732"/>
      <c r="ZH1465" s="732"/>
      <c r="ZI1465" s="732"/>
      <c r="ZJ1465" s="732"/>
      <c r="ZK1465" s="732"/>
      <c r="ZL1465" s="732"/>
      <c r="ZM1465" s="732"/>
      <c r="ZN1465" s="732"/>
      <c r="ZO1465" s="732"/>
      <c r="ZP1465" s="732"/>
      <c r="ZQ1465" s="732"/>
      <c r="ZR1465" s="732"/>
      <c r="ZS1465" s="732"/>
      <c r="ZT1465" s="732"/>
      <c r="ZU1465" s="732"/>
      <c r="ZV1465" s="732"/>
      <c r="ZW1465" s="732"/>
      <c r="ZX1465" s="732"/>
      <c r="ZY1465" s="732"/>
      <c r="ZZ1465" s="732"/>
      <c r="AAA1465" s="732"/>
      <c r="AAB1465" s="732"/>
      <c r="AAC1465" s="732"/>
      <c r="AAD1465" s="732"/>
      <c r="AAE1465" s="732"/>
      <c r="AAF1465" s="732"/>
      <c r="AAG1465" s="732"/>
      <c r="AAH1465" s="732"/>
      <c r="AAI1465" s="732"/>
      <c r="AAJ1465" s="732"/>
      <c r="AAK1465" s="732"/>
      <c r="AAL1465" s="732"/>
      <c r="AAM1465" s="732"/>
      <c r="AAN1465" s="732"/>
      <c r="AAO1465" s="732"/>
      <c r="AAP1465" s="732"/>
      <c r="AAQ1465" s="732"/>
      <c r="AAR1465" s="732"/>
      <c r="AAS1465" s="732"/>
      <c r="AAT1465" s="732"/>
      <c r="AAU1465" s="732"/>
      <c r="AAV1465" s="732"/>
      <c r="AAW1465" s="732"/>
      <c r="AAX1465" s="732"/>
      <c r="AAY1465" s="732"/>
      <c r="AAZ1465" s="732"/>
      <c r="ABA1465" s="732"/>
      <c r="ABB1465" s="732"/>
      <c r="ABC1465" s="732"/>
      <c r="ABD1465" s="732"/>
      <c r="ABE1465" s="732"/>
      <c r="ABF1465" s="732"/>
      <c r="ABG1465" s="732"/>
      <c r="ABH1465" s="732"/>
      <c r="ABI1465" s="732"/>
      <c r="ABJ1465" s="732"/>
      <c r="ABK1465" s="732"/>
      <c r="ABL1465" s="732"/>
      <c r="ABM1465" s="732"/>
      <c r="ABN1465" s="732"/>
      <c r="ABO1465" s="732"/>
      <c r="ABP1465" s="732"/>
      <c r="ABQ1465" s="732"/>
      <c r="ABR1465" s="732"/>
      <c r="ABS1465" s="732"/>
      <c r="ABT1465" s="732"/>
      <c r="ABU1465" s="732"/>
      <c r="ABV1465" s="732"/>
      <c r="ABW1465" s="732"/>
      <c r="ABX1465" s="732"/>
      <c r="ABY1465" s="732"/>
      <c r="ABZ1465" s="732"/>
      <c r="ACA1465" s="732"/>
      <c r="ACB1465" s="732"/>
      <c r="ACC1465" s="732"/>
      <c r="ACD1465" s="732"/>
      <c r="ACE1465" s="732"/>
      <c r="ACF1465" s="732"/>
      <c r="ACG1465" s="732"/>
      <c r="ACH1465" s="732"/>
      <c r="ACI1465" s="732"/>
      <c r="ACJ1465" s="732"/>
      <c r="ACK1465" s="732"/>
      <c r="ACL1465" s="732"/>
      <c r="ACM1465" s="732"/>
      <c r="ACN1465" s="732"/>
      <c r="ACO1465" s="732"/>
      <c r="ACP1465" s="732"/>
      <c r="ACQ1465" s="732"/>
      <c r="ACR1465" s="732"/>
      <c r="ACS1465" s="732"/>
      <c r="ACT1465" s="732"/>
      <c r="ACU1465" s="732"/>
      <c r="ACV1465" s="732"/>
      <c r="ACW1465" s="732"/>
      <c r="ACX1465" s="732"/>
      <c r="ACY1465" s="732"/>
      <c r="ACZ1465" s="732"/>
      <c r="ADA1465" s="732"/>
      <c r="ADB1465" s="732"/>
      <c r="ADC1465" s="732"/>
      <c r="ADD1465" s="732"/>
      <c r="ADE1465" s="732"/>
      <c r="ADF1465" s="732"/>
      <c r="ADG1465" s="732"/>
      <c r="ADH1465" s="732"/>
      <c r="ADI1465" s="732"/>
      <c r="ADJ1465" s="732"/>
      <c r="ADK1465" s="732"/>
      <c r="ADL1465" s="732"/>
      <c r="ADM1465" s="732"/>
      <c r="ADN1465" s="732"/>
      <c r="ADO1465" s="732"/>
      <c r="ADP1465" s="732"/>
      <c r="ADQ1465" s="732"/>
      <c r="ADR1465" s="732"/>
      <c r="ADS1465" s="732"/>
      <c r="ADT1465" s="732"/>
      <c r="ADU1465" s="732"/>
      <c r="ADV1465" s="732"/>
      <c r="ADW1465" s="732"/>
      <c r="ADX1465" s="732"/>
      <c r="ADY1465" s="732"/>
      <c r="ADZ1465" s="732"/>
      <c r="AEA1465" s="732"/>
      <c r="AEB1465" s="732"/>
      <c r="AEC1465" s="732"/>
      <c r="AED1465" s="732"/>
      <c r="AEE1465" s="732"/>
      <c r="AEF1465" s="732"/>
      <c r="AEG1465" s="732"/>
      <c r="AEH1465" s="732"/>
      <c r="AEI1465" s="732"/>
      <c r="AEJ1465" s="732"/>
      <c r="AEK1465" s="732"/>
      <c r="AEL1465" s="732"/>
      <c r="AEM1465" s="732"/>
      <c r="AEN1465" s="732"/>
      <c r="AEO1465" s="732"/>
      <c r="AEP1465" s="732"/>
      <c r="AEQ1465" s="732"/>
      <c r="AER1465" s="732"/>
      <c r="AES1465" s="732"/>
      <c r="AET1465" s="732"/>
      <c r="AEU1465" s="732"/>
      <c r="AEV1465" s="732"/>
      <c r="AEW1465" s="732"/>
      <c r="AEX1465" s="732"/>
      <c r="AEY1465" s="732"/>
      <c r="AEZ1465" s="732"/>
      <c r="AFA1465" s="732"/>
      <c r="AFB1465" s="732"/>
      <c r="AFC1465" s="732"/>
      <c r="AFD1465" s="732"/>
      <c r="AFE1465" s="732"/>
      <c r="AFF1465" s="732"/>
      <c r="AFG1465" s="732"/>
      <c r="AFH1465" s="732"/>
      <c r="AFI1465" s="732"/>
      <c r="AFJ1465" s="732"/>
      <c r="AFK1465" s="732"/>
      <c r="AFL1465" s="732"/>
      <c r="AFM1465" s="732"/>
      <c r="AFN1465" s="732"/>
      <c r="AFO1465" s="732"/>
      <c r="AFP1465" s="732"/>
      <c r="AFQ1465" s="732"/>
      <c r="AFR1465" s="732"/>
      <c r="AFS1465" s="732"/>
      <c r="AFT1465" s="732"/>
      <c r="AFU1465" s="732"/>
      <c r="AFV1465" s="732"/>
      <c r="AFW1465" s="732"/>
      <c r="AFX1465" s="732"/>
      <c r="AFY1465" s="732"/>
      <c r="AFZ1465" s="732"/>
      <c r="AGA1465" s="732"/>
      <c r="AGB1465" s="732"/>
      <c r="AGC1465" s="732"/>
      <c r="AGD1465" s="732"/>
      <c r="AGE1465" s="732"/>
      <c r="AGF1465" s="732"/>
      <c r="AGG1465" s="732"/>
      <c r="AGH1465" s="732"/>
      <c r="AGI1465" s="732"/>
      <c r="AGJ1465" s="732"/>
      <c r="AGK1465" s="732"/>
      <c r="AGL1465" s="732"/>
      <c r="AGM1465" s="732"/>
      <c r="AGN1465" s="732"/>
      <c r="AGO1465" s="732"/>
      <c r="AGP1465" s="732"/>
      <c r="AGQ1465" s="732"/>
      <c r="AGR1465" s="732"/>
      <c r="AGS1465" s="732"/>
      <c r="AGT1465" s="732"/>
      <c r="AGU1465" s="732"/>
      <c r="AGV1465" s="732"/>
      <c r="AGW1465" s="732"/>
      <c r="AGX1465" s="732"/>
      <c r="AGY1465" s="732"/>
      <c r="AGZ1465" s="732"/>
      <c r="AHA1465" s="732"/>
      <c r="AHB1465" s="732"/>
      <c r="AHC1465" s="732"/>
      <c r="AHD1465" s="732"/>
      <c r="AHE1465" s="732"/>
      <c r="AHF1465" s="732"/>
      <c r="AHG1465" s="732"/>
      <c r="AHH1465" s="732"/>
      <c r="AHI1465" s="732"/>
      <c r="AHJ1465" s="732"/>
      <c r="AHK1465" s="732"/>
      <c r="AHL1465" s="732"/>
      <c r="AHM1465" s="732"/>
      <c r="AHN1465" s="732"/>
      <c r="AHO1465" s="732"/>
      <c r="AHP1465" s="732"/>
      <c r="AHQ1465" s="732"/>
      <c r="AHR1465" s="732"/>
      <c r="AHS1465" s="732"/>
      <c r="AHT1465" s="732"/>
      <c r="AHU1465" s="732"/>
      <c r="AHV1465" s="732"/>
      <c r="AHW1465" s="732"/>
      <c r="AHX1465" s="732"/>
      <c r="AHY1465" s="732"/>
      <c r="AHZ1465" s="732"/>
      <c r="AIA1465" s="732"/>
      <c r="AIB1465" s="732"/>
      <c r="AIC1465" s="732"/>
      <c r="AID1465" s="732"/>
      <c r="AIE1465" s="732"/>
      <c r="AIF1465" s="732"/>
      <c r="AIG1465" s="732"/>
      <c r="AIH1465" s="732"/>
      <c r="AII1465" s="732"/>
      <c r="AIJ1465" s="732"/>
      <c r="AIK1465" s="732"/>
      <c r="AIL1465" s="732"/>
      <c r="AIM1465" s="732"/>
      <c r="AIN1465" s="732"/>
      <c r="AIO1465" s="732"/>
      <c r="AIP1465" s="732"/>
      <c r="AIQ1465" s="732"/>
      <c r="AIR1465" s="732"/>
      <c r="AIS1465" s="732"/>
      <c r="AIT1465" s="732"/>
      <c r="AIU1465" s="732"/>
      <c r="AIV1465" s="732"/>
      <c r="AIW1465" s="732"/>
      <c r="AIX1465" s="732"/>
      <c r="AIY1465" s="732"/>
      <c r="AIZ1465" s="732"/>
      <c r="AJA1465" s="732"/>
      <c r="AJB1465" s="732"/>
      <c r="AJC1465" s="732"/>
      <c r="AJD1465" s="732"/>
      <c r="AJE1465" s="732"/>
      <c r="AJF1465" s="732"/>
      <c r="AJG1465" s="732"/>
      <c r="AJH1465" s="732"/>
      <c r="AJI1465" s="732"/>
      <c r="AJJ1465" s="732"/>
      <c r="AJK1465" s="732"/>
      <c r="AJL1465" s="732"/>
      <c r="AJM1465" s="732"/>
      <c r="AJN1465" s="732"/>
      <c r="AJO1465" s="732"/>
      <c r="AJP1465" s="732"/>
      <c r="AJQ1465" s="732"/>
      <c r="AJR1465" s="732"/>
      <c r="AJS1465" s="732"/>
      <c r="AJT1465" s="732"/>
      <c r="AJU1465" s="732"/>
      <c r="AJV1465" s="732"/>
      <c r="AJW1465" s="732"/>
      <c r="AJX1465" s="732"/>
      <c r="AJY1465" s="732"/>
      <c r="AJZ1465" s="732"/>
      <c r="AKA1465" s="732"/>
      <c r="AKB1465" s="732"/>
      <c r="AKC1465" s="732"/>
      <c r="AKD1465" s="732"/>
      <c r="AKE1465" s="732"/>
      <c r="AKF1465" s="732"/>
      <c r="AKG1465" s="732"/>
      <c r="AKH1465" s="732"/>
      <c r="AKI1465" s="732"/>
      <c r="AKJ1465" s="732"/>
      <c r="AKK1465" s="732"/>
      <c r="AKL1465" s="732"/>
      <c r="AKM1465" s="732"/>
      <c r="AKN1465" s="732"/>
      <c r="AKO1465" s="732"/>
      <c r="AKP1465" s="732"/>
      <c r="AKQ1465" s="732"/>
      <c r="AKR1465" s="732"/>
      <c r="AKS1465" s="732"/>
      <c r="AKT1465" s="732"/>
      <c r="AKU1465" s="732"/>
      <c r="AKV1465" s="732"/>
      <c r="AKW1465" s="732"/>
      <c r="AKX1465" s="732"/>
      <c r="AKY1465" s="732"/>
      <c r="AKZ1465" s="732"/>
      <c r="ALA1465" s="732"/>
      <c r="ALB1465" s="732"/>
      <c r="ALC1465" s="732"/>
      <c r="ALD1465" s="732"/>
      <c r="ALE1465" s="732"/>
      <c r="ALF1465" s="732"/>
      <c r="ALG1465" s="732"/>
      <c r="ALH1465" s="732"/>
      <c r="ALI1465" s="732"/>
      <c r="ALJ1465" s="732"/>
      <c r="ALK1465" s="732"/>
      <c r="ALL1465" s="732"/>
      <c r="ALM1465" s="732"/>
      <c r="ALN1465" s="732"/>
      <c r="ALO1465" s="732"/>
      <c r="ALP1465" s="732"/>
      <c r="ALQ1465" s="732"/>
      <c r="ALR1465" s="732"/>
      <c r="ALS1465" s="732"/>
      <c r="ALT1465" s="732"/>
      <c r="ALU1465" s="732"/>
      <c r="ALV1465" s="732"/>
      <c r="ALW1465" s="732"/>
      <c r="ALX1465" s="732"/>
      <c r="ALY1465" s="732"/>
      <c r="ALZ1465" s="732"/>
      <c r="AMA1465" s="732"/>
      <c r="AMB1465" s="732"/>
      <c r="AMC1465" s="732"/>
      <c r="AMD1465" s="732"/>
      <c r="AME1465" s="732"/>
      <c r="AMF1465" s="732"/>
      <c r="AMG1465" s="732"/>
      <c r="AMH1465" s="732"/>
      <c r="AMI1465" s="732"/>
      <c r="AMJ1465" s="732"/>
    </row>
    <row r="1466" spans="1:1024" s="225" customFormat="1" ht="12.6" customHeight="1" x14ac:dyDescent="0.25">
      <c r="A1466" s="29" t="s">
        <v>1316</v>
      </c>
      <c r="B1466" s="224"/>
      <c r="C1466" s="224"/>
      <c r="D1466" s="224"/>
      <c r="E1466" s="224"/>
      <c r="F1466" s="224"/>
      <c r="G1466" s="224"/>
      <c r="H1466" s="224"/>
      <c r="I1466" s="224"/>
      <c r="J1466" s="224"/>
      <c r="K1466" s="224"/>
      <c r="L1466" s="224"/>
      <c r="M1466" s="224"/>
      <c r="N1466" s="224"/>
      <c r="O1466" s="224"/>
      <c r="P1466" s="224"/>
      <c r="Q1466" s="224"/>
      <c r="R1466" s="224"/>
      <c r="S1466" s="224"/>
      <c r="T1466" s="224"/>
      <c r="U1466" s="224"/>
      <c r="V1466" s="224"/>
      <c r="W1466" s="224"/>
      <c r="X1466" s="224"/>
      <c r="Y1466" s="224"/>
      <c r="Z1466" s="224"/>
      <c r="AA1466" s="224"/>
      <c r="AB1466" s="224"/>
      <c r="AC1466" s="224"/>
      <c r="AD1466" s="224"/>
      <c r="AE1466" s="224"/>
      <c r="AF1466" s="224"/>
      <c r="AG1466" s="224"/>
      <c r="AH1466" s="224"/>
      <c r="AI1466" s="224"/>
      <c r="AJ1466" s="224"/>
      <c r="AK1466" s="224"/>
      <c r="AL1466" s="224"/>
      <c r="AM1466" s="224"/>
      <c r="AN1466" s="224"/>
      <c r="AO1466" s="224"/>
      <c r="AP1466" s="224"/>
      <c r="AQ1466" s="224"/>
      <c r="AR1466" s="224"/>
      <c r="AS1466" s="224"/>
      <c r="AT1466" s="224"/>
      <c r="AU1466" s="224"/>
      <c r="AV1466" s="224"/>
      <c r="AW1466" s="224"/>
      <c r="AX1466" s="224"/>
      <c r="AY1466" s="224"/>
      <c r="AZ1466" s="224"/>
      <c r="BA1466" s="224"/>
      <c r="BB1466" s="224"/>
    </row>
    <row r="1467" spans="1:1024" ht="13.5" customHeight="1" x14ac:dyDescent="0.25">
      <c r="A1467" s="853" t="s">
        <v>2034</v>
      </c>
      <c r="B1467" s="853"/>
      <c r="C1467" s="853"/>
      <c r="D1467" s="853"/>
      <c r="E1467" s="853"/>
      <c r="F1467" s="853"/>
      <c r="G1467" s="853"/>
      <c r="H1467" s="853"/>
      <c r="I1467" s="853"/>
      <c r="J1467" s="853"/>
      <c r="K1467" s="853"/>
      <c r="L1467" s="853"/>
      <c r="M1467" s="853"/>
      <c r="N1467" s="853"/>
      <c r="O1467" s="853"/>
      <c r="P1467" s="853"/>
      <c r="Q1467" s="853"/>
      <c r="R1467" s="853"/>
      <c r="S1467" s="853"/>
      <c r="T1467" s="853"/>
      <c r="U1467" s="853"/>
      <c r="V1467" s="853"/>
      <c r="W1467" s="853"/>
      <c r="X1467" s="853"/>
      <c r="Y1467" s="853"/>
      <c r="Z1467" s="853"/>
      <c r="AA1467" s="853"/>
      <c r="AB1467" s="853"/>
      <c r="AC1467" s="853"/>
      <c r="AD1467" s="853"/>
      <c r="AE1467" s="853"/>
      <c r="AF1467" s="854" t="s">
        <v>2035</v>
      </c>
      <c r="AG1467" s="854"/>
      <c r="AH1467" s="854"/>
      <c r="AI1467" s="854"/>
      <c r="AJ1467" s="854"/>
      <c r="AK1467" s="854"/>
      <c r="AL1467" s="854"/>
      <c r="AM1467" s="854"/>
      <c r="AN1467" s="854"/>
      <c r="AO1467" s="854"/>
      <c r="AP1467" s="854"/>
      <c r="AQ1467" s="854"/>
      <c r="AR1467" s="854"/>
      <c r="AS1467" s="854"/>
      <c r="AT1467" s="854"/>
      <c r="AU1467" s="854"/>
      <c r="AV1467" s="854"/>
      <c r="AW1467" s="854"/>
      <c r="AX1467" s="854"/>
      <c r="AY1467" s="854"/>
      <c r="AZ1467" s="854"/>
      <c r="BA1467" s="854"/>
      <c r="BB1467" s="854"/>
    </row>
    <row r="1468" spans="1:1024" ht="13.5" customHeight="1" x14ac:dyDescent="0.25">
      <c r="A1468" s="853"/>
      <c r="B1468" s="853"/>
      <c r="C1468" s="853"/>
      <c r="D1468" s="853"/>
      <c r="E1468" s="853"/>
      <c r="F1468" s="853"/>
      <c r="G1468" s="853"/>
      <c r="H1468" s="853"/>
      <c r="I1468" s="853"/>
      <c r="J1468" s="853"/>
      <c r="K1468" s="853"/>
      <c r="L1468" s="853"/>
      <c r="M1468" s="853"/>
      <c r="N1468" s="853"/>
      <c r="O1468" s="853"/>
      <c r="P1468" s="853"/>
      <c r="Q1468" s="853"/>
      <c r="R1468" s="853"/>
      <c r="S1468" s="853"/>
      <c r="T1468" s="853"/>
      <c r="U1468" s="853"/>
      <c r="V1468" s="853"/>
      <c r="W1468" s="853"/>
      <c r="X1468" s="853"/>
      <c r="Y1468" s="853"/>
      <c r="Z1468" s="853"/>
      <c r="AA1468" s="853"/>
      <c r="AB1468" s="853"/>
      <c r="AC1468" s="853"/>
      <c r="AD1468" s="853"/>
      <c r="AE1468" s="853"/>
      <c r="AF1468" s="854" t="s">
        <v>2036</v>
      </c>
      <c r="AG1468" s="854"/>
      <c r="AH1468" s="854"/>
      <c r="AI1468" s="854"/>
      <c r="AJ1468" s="854"/>
      <c r="AK1468" s="854"/>
      <c r="AL1468" s="854"/>
      <c r="AM1468" s="854"/>
      <c r="AN1468" s="854"/>
      <c r="AO1468" s="855" t="s">
        <v>2037</v>
      </c>
      <c r="AP1468" s="855"/>
      <c r="AQ1468" s="855"/>
      <c r="AR1468" s="855"/>
      <c r="AS1468" s="855"/>
      <c r="AT1468" s="855"/>
      <c r="AU1468" s="855"/>
      <c r="AV1468" s="855"/>
      <c r="AW1468" s="855"/>
      <c r="AX1468" s="855"/>
      <c r="AY1468" s="855"/>
      <c r="AZ1468" s="855"/>
      <c r="BA1468" s="855"/>
      <c r="BB1468" s="855"/>
    </row>
    <row r="1469" spans="1:1024" ht="13.5" customHeight="1" x14ac:dyDescent="0.25">
      <c r="A1469" s="859" t="s">
        <v>2038</v>
      </c>
      <c r="B1469" s="859"/>
      <c r="C1469" s="859"/>
      <c r="D1469" s="859"/>
      <c r="E1469" s="859"/>
      <c r="F1469" s="859"/>
      <c r="G1469" s="859"/>
      <c r="H1469" s="859"/>
      <c r="I1469" s="859"/>
      <c r="J1469" s="859"/>
      <c r="K1469" s="859"/>
      <c r="L1469" s="859"/>
      <c r="M1469" s="859"/>
      <c r="N1469" s="859"/>
      <c r="O1469" s="859"/>
      <c r="P1469" s="859"/>
      <c r="Q1469" s="859"/>
      <c r="R1469" s="859"/>
      <c r="S1469" s="859"/>
      <c r="T1469" s="859"/>
      <c r="U1469" s="859"/>
      <c r="V1469" s="859"/>
      <c r="W1469" s="859"/>
      <c r="X1469" s="859"/>
      <c r="Y1469" s="859"/>
      <c r="Z1469" s="859"/>
      <c r="AA1469" s="859"/>
      <c r="AB1469" s="859"/>
      <c r="AC1469" s="859"/>
      <c r="AD1469" s="859"/>
      <c r="AE1469" s="859"/>
      <c r="AF1469" s="860"/>
      <c r="AG1469" s="860"/>
      <c r="AH1469" s="860"/>
      <c r="AI1469" s="860"/>
      <c r="AJ1469" s="860"/>
      <c r="AK1469" s="860"/>
      <c r="AL1469" s="860"/>
      <c r="AM1469" s="860"/>
      <c r="AN1469" s="860"/>
      <c r="AO1469" s="861"/>
      <c r="AP1469" s="861"/>
      <c r="AQ1469" s="861"/>
      <c r="AR1469" s="861"/>
      <c r="AS1469" s="861"/>
      <c r="AT1469" s="861"/>
      <c r="AU1469" s="861"/>
      <c r="AV1469" s="861"/>
      <c r="AW1469" s="861"/>
      <c r="AX1469" s="861"/>
      <c r="AY1469" s="861"/>
      <c r="AZ1469" s="861"/>
      <c r="BA1469" s="861"/>
      <c r="BB1469" s="861"/>
    </row>
    <row r="1470" spans="1:1024" ht="13.5" customHeight="1" x14ac:dyDescent="0.25">
      <c r="A1470" s="859" t="s">
        <v>2039</v>
      </c>
      <c r="B1470" s="859"/>
      <c r="C1470" s="859"/>
      <c r="D1470" s="859"/>
      <c r="E1470" s="859"/>
      <c r="F1470" s="859"/>
      <c r="G1470" s="859"/>
      <c r="H1470" s="859"/>
      <c r="I1470" s="859"/>
      <c r="J1470" s="859"/>
      <c r="K1470" s="859"/>
      <c r="L1470" s="859"/>
      <c r="M1470" s="859"/>
      <c r="N1470" s="859"/>
      <c r="O1470" s="859"/>
      <c r="P1470" s="859"/>
      <c r="Q1470" s="859"/>
      <c r="R1470" s="859"/>
      <c r="S1470" s="859"/>
      <c r="T1470" s="859"/>
      <c r="U1470" s="859"/>
      <c r="V1470" s="859"/>
      <c r="W1470" s="859"/>
      <c r="X1470" s="859"/>
      <c r="Y1470" s="859"/>
      <c r="Z1470" s="859"/>
      <c r="AA1470" s="859"/>
      <c r="AB1470" s="859"/>
      <c r="AC1470" s="859"/>
      <c r="AD1470" s="859"/>
      <c r="AE1470" s="859"/>
      <c r="AF1470" s="860"/>
      <c r="AG1470" s="860"/>
      <c r="AH1470" s="860"/>
      <c r="AI1470" s="860"/>
      <c r="AJ1470" s="860"/>
      <c r="AK1470" s="860"/>
      <c r="AL1470" s="860"/>
      <c r="AM1470" s="860"/>
      <c r="AN1470" s="860"/>
      <c r="AO1470" s="861"/>
      <c r="AP1470" s="861"/>
      <c r="AQ1470" s="861"/>
      <c r="AR1470" s="861"/>
      <c r="AS1470" s="861"/>
      <c r="AT1470" s="861"/>
      <c r="AU1470" s="861"/>
      <c r="AV1470" s="861"/>
      <c r="AW1470" s="861"/>
      <c r="AX1470" s="861"/>
      <c r="AY1470" s="861"/>
      <c r="AZ1470" s="861"/>
      <c r="BA1470" s="861"/>
      <c r="BB1470" s="861"/>
    </row>
    <row r="1471" spans="1:1024" ht="13.5" customHeight="1" x14ac:dyDescent="0.25">
      <c r="A1471" s="859" t="s">
        <v>2040</v>
      </c>
      <c r="B1471" s="859"/>
      <c r="C1471" s="859"/>
      <c r="D1471" s="859"/>
      <c r="E1471" s="859"/>
      <c r="F1471" s="859"/>
      <c r="G1471" s="859"/>
      <c r="H1471" s="859"/>
      <c r="I1471" s="859"/>
      <c r="J1471" s="859"/>
      <c r="K1471" s="859"/>
      <c r="L1471" s="859"/>
      <c r="M1471" s="859"/>
      <c r="N1471" s="859"/>
      <c r="O1471" s="859"/>
      <c r="P1471" s="859"/>
      <c r="Q1471" s="859"/>
      <c r="R1471" s="859"/>
      <c r="S1471" s="859"/>
      <c r="T1471" s="859"/>
      <c r="U1471" s="859"/>
      <c r="V1471" s="859"/>
      <c r="W1471" s="859"/>
      <c r="X1471" s="859"/>
      <c r="Y1471" s="859"/>
      <c r="Z1471" s="859"/>
      <c r="AA1471" s="859"/>
      <c r="AB1471" s="859"/>
      <c r="AC1471" s="859"/>
      <c r="AD1471" s="859"/>
      <c r="AE1471" s="859"/>
      <c r="AF1471" s="860"/>
      <c r="AG1471" s="860"/>
      <c r="AH1471" s="860"/>
      <c r="AI1471" s="860"/>
      <c r="AJ1471" s="860"/>
      <c r="AK1471" s="860"/>
      <c r="AL1471" s="860"/>
      <c r="AM1471" s="860"/>
      <c r="AN1471" s="860"/>
      <c r="AO1471" s="861"/>
      <c r="AP1471" s="861"/>
      <c r="AQ1471" s="861"/>
      <c r="AR1471" s="861"/>
      <c r="AS1471" s="861"/>
      <c r="AT1471" s="861"/>
      <c r="AU1471" s="861"/>
      <c r="AV1471" s="861"/>
      <c r="AW1471" s="861"/>
      <c r="AX1471" s="861"/>
      <c r="AY1471" s="861"/>
      <c r="AZ1471" s="861"/>
      <c r="BA1471" s="861"/>
      <c r="BB1471" s="861"/>
    </row>
    <row r="1472" spans="1:1024" ht="13.5" customHeight="1" x14ac:dyDescent="0.25">
      <c r="A1472" s="859" t="s">
        <v>2041</v>
      </c>
      <c r="B1472" s="859"/>
      <c r="C1472" s="859"/>
      <c r="D1472" s="859"/>
      <c r="E1472" s="859"/>
      <c r="F1472" s="859"/>
      <c r="G1472" s="859"/>
      <c r="H1472" s="859"/>
      <c r="I1472" s="859"/>
      <c r="J1472" s="859"/>
      <c r="K1472" s="859"/>
      <c r="L1472" s="859"/>
      <c r="M1472" s="859"/>
      <c r="N1472" s="859"/>
      <c r="O1472" s="859"/>
      <c r="P1472" s="859"/>
      <c r="Q1472" s="859"/>
      <c r="R1472" s="859"/>
      <c r="S1472" s="859"/>
      <c r="T1472" s="859"/>
      <c r="U1472" s="859"/>
      <c r="V1472" s="859"/>
      <c r="W1472" s="859"/>
      <c r="X1472" s="859"/>
      <c r="Y1472" s="859"/>
      <c r="Z1472" s="859"/>
      <c r="AA1472" s="859"/>
      <c r="AB1472" s="859"/>
      <c r="AC1472" s="859"/>
      <c r="AD1472" s="859"/>
      <c r="AE1472" s="859"/>
      <c r="AF1472" s="860"/>
      <c r="AG1472" s="860"/>
      <c r="AH1472" s="860"/>
      <c r="AI1472" s="860"/>
      <c r="AJ1472" s="860"/>
      <c r="AK1472" s="860"/>
      <c r="AL1472" s="860"/>
      <c r="AM1472" s="860"/>
      <c r="AN1472" s="860"/>
      <c r="AO1472" s="861"/>
      <c r="AP1472" s="861"/>
      <c r="AQ1472" s="861"/>
      <c r="AR1472" s="861"/>
      <c r="AS1472" s="861"/>
      <c r="AT1472" s="861"/>
      <c r="AU1472" s="861"/>
      <c r="AV1472" s="861"/>
      <c r="AW1472" s="861"/>
      <c r="AX1472" s="861"/>
      <c r="AY1472" s="861"/>
      <c r="AZ1472" s="861"/>
      <c r="BA1472" s="861"/>
      <c r="BB1472" s="861"/>
    </row>
    <row r="1473" spans="1:54" ht="13.5" customHeight="1" x14ac:dyDescent="0.25">
      <c r="A1473" s="859" t="s">
        <v>2042</v>
      </c>
      <c r="B1473" s="859"/>
      <c r="C1473" s="859"/>
      <c r="D1473" s="859"/>
      <c r="E1473" s="859"/>
      <c r="F1473" s="859"/>
      <c r="G1473" s="859"/>
      <c r="H1473" s="859"/>
      <c r="I1473" s="859"/>
      <c r="J1473" s="859"/>
      <c r="K1473" s="859"/>
      <c r="L1473" s="859"/>
      <c r="M1473" s="859"/>
      <c r="N1473" s="859"/>
      <c r="O1473" s="859"/>
      <c r="P1473" s="859"/>
      <c r="Q1473" s="859"/>
      <c r="R1473" s="859"/>
      <c r="S1473" s="859"/>
      <c r="T1473" s="859"/>
      <c r="U1473" s="859"/>
      <c r="V1473" s="859"/>
      <c r="W1473" s="859"/>
      <c r="X1473" s="859"/>
      <c r="Y1473" s="859"/>
      <c r="Z1473" s="859"/>
      <c r="AA1473" s="859"/>
      <c r="AB1473" s="859"/>
      <c r="AC1473" s="859"/>
      <c r="AD1473" s="859"/>
      <c r="AE1473" s="859"/>
      <c r="AF1473" s="860"/>
      <c r="AG1473" s="860"/>
      <c r="AH1473" s="860"/>
      <c r="AI1473" s="860"/>
      <c r="AJ1473" s="860"/>
      <c r="AK1473" s="860"/>
      <c r="AL1473" s="860"/>
      <c r="AM1473" s="860"/>
      <c r="AN1473" s="860"/>
      <c r="AO1473" s="861"/>
      <c r="AP1473" s="861"/>
      <c r="AQ1473" s="861"/>
      <c r="AR1473" s="861"/>
      <c r="AS1473" s="861"/>
      <c r="AT1473" s="861"/>
      <c r="AU1473" s="861"/>
      <c r="AV1473" s="861"/>
      <c r="AW1473" s="861"/>
      <c r="AX1473" s="861"/>
      <c r="AY1473" s="861"/>
      <c r="AZ1473" s="861"/>
      <c r="BA1473" s="861"/>
      <c r="BB1473" s="861"/>
    </row>
    <row r="1474" spans="1:54" ht="13.5" customHeight="1" x14ac:dyDescent="0.25">
      <c r="A1474" s="859" t="s">
        <v>2043</v>
      </c>
      <c r="B1474" s="859"/>
      <c r="C1474" s="859"/>
      <c r="D1474" s="859"/>
      <c r="E1474" s="859"/>
      <c r="F1474" s="859"/>
      <c r="G1474" s="859"/>
      <c r="H1474" s="859"/>
      <c r="I1474" s="859"/>
      <c r="J1474" s="859"/>
      <c r="K1474" s="859"/>
      <c r="L1474" s="859"/>
      <c r="M1474" s="859"/>
      <c r="N1474" s="859"/>
      <c r="O1474" s="859"/>
      <c r="P1474" s="859"/>
      <c r="Q1474" s="859"/>
      <c r="R1474" s="859"/>
      <c r="S1474" s="859"/>
      <c r="T1474" s="859"/>
      <c r="U1474" s="859"/>
      <c r="V1474" s="859"/>
      <c r="W1474" s="859"/>
      <c r="X1474" s="859"/>
      <c r="Y1474" s="859"/>
      <c r="Z1474" s="859"/>
      <c r="AA1474" s="859"/>
      <c r="AB1474" s="859"/>
      <c r="AC1474" s="859"/>
      <c r="AD1474" s="859"/>
      <c r="AE1474" s="859"/>
      <c r="AF1474" s="860"/>
      <c r="AG1474" s="860"/>
      <c r="AH1474" s="860"/>
      <c r="AI1474" s="860"/>
      <c r="AJ1474" s="860"/>
      <c r="AK1474" s="860"/>
      <c r="AL1474" s="860"/>
      <c r="AM1474" s="860"/>
      <c r="AN1474" s="860"/>
      <c r="AO1474" s="861"/>
      <c r="AP1474" s="861"/>
      <c r="AQ1474" s="861"/>
      <c r="AR1474" s="861"/>
      <c r="AS1474" s="861"/>
      <c r="AT1474" s="861"/>
      <c r="AU1474" s="861"/>
      <c r="AV1474" s="861"/>
      <c r="AW1474" s="861"/>
      <c r="AX1474" s="861"/>
      <c r="AY1474" s="861"/>
      <c r="AZ1474" s="861"/>
      <c r="BA1474" s="861"/>
      <c r="BB1474" s="861"/>
    </row>
    <row r="1475" spans="1:54" ht="13.5" customHeight="1" x14ac:dyDescent="0.25">
      <c r="A1475" s="29" t="s">
        <v>1329</v>
      </c>
      <c r="B1475" s="226"/>
      <c r="C1475" s="226"/>
      <c r="D1475" s="226"/>
      <c r="E1475" s="226"/>
      <c r="F1475" s="226"/>
      <c r="G1475" s="226"/>
      <c r="H1475" s="226"/>
      <c r="I1475" s="226"/>
      <c r="J1475" s="226"/>
      <c r="K1475" s="226"/>
      <c r="L1475" s="226"/>
      <c r="M1475" s="226"/>
      <c r="N1475" s="226"/>
      <c r="O1475" s="226"/>
      <c r="P1475" s="226"/>
      <c r="Q1475" s="226"/>
      <c r="R1475" s="226"/>
      <c r="S1475" s="226"/>
      <c r="T1475" s="226"/>
      <c r="U1475" s="226"/>
      <c r="V1475" s="226"/>
      <c r="W1475" s="226"/>
      <c r="X1475" s="226"/>
      <c r="Y1475" s="226"/>
      <c r="Z1475" s="226"/>
      <c r="AA1475" s="226"/>
      <c r="AB1475" s="226"/>
      <c r="AC1475" s="226"/>
      <c r="AD1475" s="226"/>
      <c r="AE1475" s="226"/>
      <c r="AF1475" s="226"/>
      <c r="AG1475" s="226"/>
      <c r="AH1475" s="226"/>
      <c r="AI1475" s="226"/>
      <c r="AJ1475" s="226"/>
      <c r="AK1475" s="226"/>
      <c r="AL1475" s="226"/>
      <c r="AM1475" s="226"/>
      <c r="AN1475" s="226"/>
      <c r="AO1475" s="226"/>
      <c r="AP1475" s="226"/>
      <c r="AQ1475" s="226"/>
      <c r="AR1475" s="226"/>
      <c r="AS1475" s="226"/>
      <c r="AT1475" s="226"/>
      <c r="AU1475" s="226"/>
      <c r="AV1475" s="226"/>
      <c r="AW1475" s="226"/>
      <c r="AX1475" s="226"/>
      <c r="AY1475" s="226"/>
      <c r="AZ1475" s="226"/>
      <c r="BA1475" s="226"/>
      <c r="BB1475" s="339"/>
    </row>
    <row r="1476" spans="1:54" ht="13.5" customHeight="1" x14ac:dyDescent="0.25">
      <c r="A1476" s="853" t="s">
        <v>2034</v>
      </c>
      <c r="B1476" s="853"/>
      <c r="C1476" s="853"/>
      <c r="D1476" s="853"/>
      <c r="E1476" s="853"/>
      <c r="F1476" s="853"/>
      <c r="G1476" s="853"/>
      <c r="H1476" s="853"/>
      <c r="I1476" s="853"/>
      <c r="J1476" s="853"/>
      <c r="K1476" s="853"/>
      <c r="L1476" s="853"/>
      <c r="M1476" s="853"/>
      <c r="N1476" s="853"/>
      <c r="O1476" s="853"/>
      <c r="P1476" s="853"/>
      <c r="Q1476" s="853"/>
      <c r="R1476" s="853"/>
      <c r="S1476" s="853"/>
      <c r="T1476" s="853"/>
      <c r="U1476" s="853"/>
      <c r="V1476" s="853"/>
      <c r="W1476" s="853"/>
      <c r="X1476" s="853"/>
      <c r="Y1476" s="853"/>
      <c r="Z1476" s="853"/>
      <c r="AA1476" s="853"/>
      <c r="AB1476" s="853"/>
      <c r="AC1476" s="853"/>
      <c r="AD1476" s="853"/>
      <c r="AE1476" s="853"/>
      <c r="AF1476" s="854" t="s">
        <v>2044</v>
      </c>
      <c r="AG1476" s="854"/>
      <c r="AH1476" s="854"/>
      <c r="AI1476" s="854"/>
      <c r="AJ1476" s="854"/>
      <c r="AK1476" s="854"/>
      <c r="AL1476" s="854"/>
      <c r="AM1476" s="854"/>
      <c r="AN1476" s="854"/>
      <c r="AO1476" s="854"/>
      <c r="AP1476" s="854"/>
      <c r="AQ1476" s="854"/>
      <c r="AR1476" s="854"/>
      <c r="AS1476" s="854"/>
      <c r="AT1476" s="854"/>
      <c r="AU1476" s="854"/>
      <c r="AV1476" s="854"/>
      <c r="AW1476" s="854"/>
      <c r="AX1476" s="854"/>
      <c r="AY1476" s="854"/>
      <c r="AZ1476" s="854"/>
      <c r="BA1476" s="854"/>
      <c r="BB1476" s="854"/>
    </row>
    <row r="1477" spans="1:54" ht="13.5" customHeight="1" x14ac:dyDescent="0.25">
      <c r="A1477" s="853"/>
      <c r="B1477" s="853"/>
      <c r="C1477" s="853"/>
      <c r="D1477" s="853"/>
      <c r="E1477" s="853"/>
      <c r="F1477" s="853"/>
      <c r="G1477" s="853"/>
      <c r="H1477" s="853"/>
      <c r="I1477" s="853"/>
      <c r="J1477" s="853"/>
      <c r="K1477" s="853"/>
      <c r="L1477" s="853"/>
      <c r="M1477" s="853"/>
      <c r="N1477" s="853"/>
      <c r="O1477" s="853"/>
      <c r="P1477" s="853"/>
      <c r="Q1477" s="853"/>
      <c r="R1477" s="853"/>
      <c r="S1477" s="853"/>
      <c r="T1477" s="853"/>
      <c r="U1477" s="853"/>
      <c r="V1477" s="853"/>
      <c r="W1477" s="853"/>
      <c r="X1477" s="853"/>
      <c r="Y1477" s="853"/>
      <c r="Z1477" s="853"/>
      <c r="AA1477" s="853"/>
      <c r="AB1477" s="853"/>
      <c r="AC1477" s="853"/>
      <c r="AD1477" s="853"/>
      <c r="AE1477" s="853"/>
      <c r="AF1477" s="854" t="s">
        <v>2036</v>
      </c>
      <c r="AG1477" s="854"/>
      <c r="AH1477" s="854"/>
      <c r="AI1477" s="854"/>
      <c r="AJ1477" s="854"/>
      <c r="AK1477" s="854"/>
      <c r="AL1477" s="854"/>
      <c r="AM1477" s="854"/>
      <c r="AN1477" s="854"/>
      <c r="AO1477" s="855" t="s">
        <v>2037</v>
      </c>
      <c r="AP1477" s="855"/>
      <c r="AQ1477" s="855"/>
      <c r="AR1477" s="855"/>
      <c r="AS1477" s="855"/>
      <c r="AT1477" s="855"/>
      <c r="AU1477" s="855"/>
      <c r="AV1477" s="855"/>
      <c r="AW1477" s="855"/>
      <c r="AX1477" s="855"/>
      <c r="AY1477" s="855"/>
      <c r="AZ1477" s="855"/>
      <c r="BA1477" s="855"/>
      <c r="BB1477" s="855"/>
    </row>
    <row r="1478" spans="1:54" ht="13.5" customHeight="1" x14ac:dyDescent="0.25">
      <c r="A1478" s="859" t="s">
        <v>2038</v>
      </c>
      <c r="B1478" s="859"/>
      <c r="C1478" s="859"/>
      <c r="D1478" s="859"/>
      <c r="E1478" s="859"/>
      <c r="F1478" s="859"/>
      <c r="G1478" s="859"/>
      <c r="H1478" s="859"/>
      <c r="I1478" s="859"/>
      <c r="J1478" s="859"/>
      <c r="K1478" s="859"/>
      <c r="L1478" s="859"/>
      <c r="M1478" s="859"/>
      <c r="N1478" s="859"/>
      <c r="O1478" s="859"/>
      <c r="P1478" s="859"/>
      <c r="Q1478" s="859"/>
      <c r="R1478" s="859"/>
      <c r="S1478" s="859"/>
      <c r="T1478" s="859"/>
      <c r="U1478" s="859"/>
      <c r="V1478" s="859"/>
      <c r="W1478" s="859"/>
      <c r="X1478" s="859"/>
      <c r="Y1478" s="859"/>
      <c r="Z1478" s="859"/>
      <c r="AA1478" s="859"/>
      <c r="AB1478" s="859"/>
      <c r="AC1478" s="859"/>
      <c r="AD1478" s="859"/>
      <c r="AE1478" s="859"/>
      <c r="AF1478" s="860"/>
      <c r="AG1478" s="860"/>
      <c r="AH1478" s="860"/>
      <c r="AI1478" s="860"/>
      <c r="AJ1478" s="860"/>
      <c r="AK1478" s="860"/>
      <c r="AL1478" s="860"/>
      <c r="AM1478" s="860"/>
      <c r="AN1478" s="860"/>
      <c r="AO1478" s="861"/>
      <c r="AP1478" s="861"/>
      <c r="AQ1478" s="861"/>
      <c r="AR1478" s="861"/>
      <c r="AS1478" s="861"/>
      <c r="AT1478" s="861"/>
      <c r="AU1478" s="861"/>
      <c r="AV1478" s="861"/>
      <c r="AW1478" s="861"/>
      <c r="AX1478" s="861"/>
      <c r="AY1478" s="861"/>
      <c r="AZ1478" s="861"/>
      <c r="BA1478" s="861"/>
      <c r="BB1478" s="861"/>
    </row>
    <row r="1479" spans="1:54" ht="13.5" customHeight="1" x14ac:dyDescent="0.25">
      <c r="A1479" s="859" t="s">
        <v>2039</v>
      </c>
      <c r="B1479" s="859"/>
      <c r="C1479" s="859"/>
      <c r="D1479" s="859"/>
      <c r="E1479" s="859"/>
      <c r="F1479" s="859"/>
      <c r="G1479" s="859"/>
      <c r="H1479" s="859"/>
      <c r="I1479" s="859"/>
      <c r="J1479" s="859"/>
      <c r="K1479" s="859"/>
      <c r="L1479" s="859"/>
      <c r="M1479" s="859"/>
      <c r="N1479" s="859"/>
      <c r="O1479" s="859"/>
      <c r="P1479" s="859"/>
      <c r="Q1479" s="859"/>
      <c r="R1479" s="859"/>
      <c r="S1479" s="859"/>
      <c r="T1479" s="859"/>
      <c r="U1479" s="859"/>
      <c r="V1479" s="859"/>
      <c r="W1479" s="859"/>
      <c r="X1479" s="859"/>
      <c r="Y1479" s="859"/>
      <c r="Z1479" s="859"/>
      <c r="AA1479" s="859"/>
      <c r="AB1479" s="859"/>
      <c r="AC1479" s="859"/>
      <c r="AD1479" s="859"/>
      <c r="AE1479" s="859"/>
      <c r="AF1479" s="860"/>
      <c r="AG1479" s="860"/>
      <c r="AH1479" s="860"/>
      <c r="AI1479" s="860"/>
      <c r="AJ1479" s="860"/>
      <c r="AK1479" s="860"/>
      <c r="AL1479" s="860"/>
      <c r="AM1479" s="860"/>
      <c r="AN1479" s="860"/>
      <c r="AO1479" s="861"/>
      <c r="AP1479" s="861"/>
      <c r="AQ1479" s="861"/>
      <c r="AR1479" s="861"/>
      <c r="AS1479" s="861"/>
      <c r="AT1479" s="861"/>
      <c r="AU1479" s="861"/>
      <c r="AV1479" s="861"/>
      <c r="AW1479" s="861"/>
      <c r="AX1479" s="861"/>
      <c r="AY1479" s="861"/>
      <c r="AZ1479" s="861"/>
      <c r="BA1479" s="861"/>
      <c r="BB1479" s="861"/>
    </row>
    <row r="1480" spans="1:54" ht="13.5" customHeight="1" x14ac:dyDescent="0.25">
      <c r="A1480" s="859" t="s">
        <v>2040</v>
      </c>
      <c r="B1480" s="859"/>
      <c r="C1480" s="859"/>
      <c r="D1480" s="859"/>
      <c r="E1480" s="859"/>
      <c r="F1480" s="859"/>
      <c r="G1480" s="859"/>
      <c r="H1480" s="859"/>
      <c r="I1480" s="859"/>
      <c r="J1480" s="859"/>
      <c r="K1480" s="859"/>
      <c r="L1480" s="859"/>
      <c r="M1480" s="859"/>
      <c r="N1480" s="859"/>
      <c r="O1480" s="859"/>
      <c r="P1480" s="859"/>
      <c r="Q1480" s="859"/>
      <c r="R1480" s="859"/>
      <c r="S1480" s="859"/>
      <c r="T1480" s="859"/>
      <c r="U1480" s="859"/>
      <c r="V1480" s="859"/>
      <c r="W1480" s="859"/>
      <c r="X1480" s="859"/>
      <c r="Y1480" s="859"/>
      <c r="Z1480" s="859"/>
      <c r="AA1480" s="859"/>
      <c r="AB1480" s="859"/>
      <c r="AC1480" s="859"/>
      <c r="AD1480" s="859"/>
      <c r="AE1480" s="859"/>
      <c r="AF1480" s="860"/>
      <c r="AG1480" s="860"/>
      <c r="AH1480" s="860"/>
      <c r="AI1480" s="860"/>
      <c r="AJ1480" s="860"/>
      <c r="AK1480" s="860"/>
      <c r="AL1480" s="860"/>
      <c r="AM1480" s="860"/>
      <c r="AN1480" s="860"/>
      <c r="AO1480" s="861"/>
      <c r="AP1480" s="861"/>
      <c r="AQ1480" s="861"/>
      <c r="AR1480" s="861"/>
      <c r="AS1480" s="861"/>
      <c r="AT1480" s="861"/>
      <c r="AU1480" s="861"/>
      <c r="AV1480" s="861"/>
      <c r="AW1480" s="861"/>
      <c r="AX1480" s="861"/>
      <c r="AY1480" s="861"/>
      <c r="AZ1480" s="861"/>
      <c r="BA1480" s="861"/>
      <c r="BB1480" s="861"/>
    </row>
    <row r="1481" spans="1:54" ht="13.5" customHeight="1" x14ac:dyDescent="0.25">
      <c r="A1481" s="859" t="s">
        <v>2041</v>
      </c>
      <c r="B1481" s="859"/>
      <c r="C1481" s="859"/>
      <c r="D1481" s="859"/>
      <c r="E1481" s="859"/>
      <c r="F1481" s="859"/>
      <c r="G1481" s="859"/>
      <c r="H1481" s="859"/>
      <c r="I1481" s="859"/>
      <c r="J1481" s="859"/>
      <c r="K1481" s="859"/>
      <c r="L1481" s="859"/>
      <c r="M1481" s="859"/>
      <c r="N1481" s="859"/>
      <c r="O1481" s="859"/>
      <c r="P1481" s="859"/>
      <c r="Q1481" s="859"/>
      <c r="R1481" s="859"/>
      <c r="S1481" s="859"/>
      <c r="T1481" s="859"/>
      <c r="U1481" s="859"/>
      <c r="V1481" s="859"/>
      <c r="W1481" s="859"/>
      <c r="X1481" s="859"/>
      <c r="Y1481" s="859"/>
      <c r="Z1481" s="859"/>
      <c r="AA1481" s="859"/>
      <c r="AB1481" s="859"/>
      <c r="AC1481" s="859"/>
      <c r="AD1481" s="859"/>
      <c r="AE1481" s="859"/>
      <c r="AF1481" s="860"/>
      <c r="AG1481" s="860"/>
      <c r="AH1481" s="860"/>
      <c r="AI1481" s="860"/>
      <c r="AJ1481" s="860"/>
      <c r="AK1481" s="860"/>
      <c r="AL1481" s="860"/>
      <c r="AM1481" s="860"/>
      <c r="AN1481" s="860"/>
      <c r="AO1481" s="861"/>
      <c r="AP1481" s="861"/>
      <c r="AQ1481" s="861"/>
      <c r="AR1481" s="861"/>
      <c r="AS1481" s="861"/>
      <c r="AT1481" s="861"/>
      <c r="AU1481" s="861"/>
      <c r="AV1481" s="861"/>
      <c r="AW1481" s="861"/>
      <c r="AX1481" s="861"/>
      <c r="AY1481" s="861"/>
      <c r="AZ1481" s="861"/>
      <c r="BA1481" s="861"/>
      <c r="BB1481" s="861"/>
    </row>
    <row r="1482" spans="1:54" ht="13.5" customHeight="1" x14ac:dyDescent="0.25">
      <c r="A1482" s="859" t="s">
        <v>2042</v>
      </c>
      <c r="B1482" s="859"/>
      <c r="C1482" s="859"/>
      <c r="D1482" s="859"/>
      <c r="E1482" s="859"/>
      <c r="F1482" s="859"/>
      <c r="G1482" s="859"/>
      <c r="H1482" s="859"/>
      <c r="I1482" s="859"/>
      <c r="J1482" s="859"/>
      <c r="K1482" s="859"/>
      <c r="L1482" s="859"/>
      <c r="M1482" s="859"/>
      <c r="N1482" s="859"/>
      <c r="O1482" s="859"/>
      <c r="P1482" s="859"/>
      <c r="Q1482" s="859"/>
      <c r="R1482" s="859"/>
      <c r="S1482" s="859"/>
      <c r="T1482" s="859"/>
      <c r="U1482" s="859"/>
      <c r="V1482" s="859"/>
      <c r="W1482" s="859"/>
      <c r="X1482" s="859"/>
      <c r="Y1482" s="859"/>
      <c r="Z1482" s="859"/>
      <c r="AA1482" s="859"/>
      <c r="AB1482" s="859"/>
      <c r="AC1482" s="859"/>
      <c r="AD1482" s="859"/>
      <c r="AE1482" s="859"/>
      <c r="AF1482" s="860"/>
      <c r="AG1482" s="860"/>
      <c r="AH1482" s="860"/>
      <c r="AI1482" s="860"/>
      <c r="AJ1482" s="860"/>
      <c r="AK1482" s="860"/>
      <c r="AL1482" s="860"/>
      <c r="AM1482" s="860"/>
      <c r="AN1482" s="860"/>
      <c r="AO1482" s="861"/>
      <c r="AP1482" s="861"/>
      <c r="AQ1482" s="861"/>
      <c r="AR1482" s="861"/>
      <c r="AS1482" s="861"/>
      <c r="AT1482" s="861"/>
      <c r="AU1482" s="861"/>
      <c r="AV1482" s="861"/>
      <c r="AW1482" s="861"/>
      <c r="AX1482" s="861"/>
      <c r="AY1482" s="861"/>
      <c r="AZ1482" s="861"/>
      <c r="BA1482" s="861"/>
      <c r="BB1482" s="861"/>
    </row>
    <row r="1483" spans="1:54" ht="13.5" customHeight="1" x14ac:dyDescent="0.25">
      <c r="A1483" s="859" t="s">
        <v>2043</v>
      </c>
      <c r="B1483" s="859"/>
      <c r="C1483" s="859"/>
      <c r="D1483" s="859"/>
      <c r="E1483" s="859"/>
      <c r="F1483" s="859"/>
      <c r="G1483" s="859"/>
      <c r="H1483" s="859"/>
      <c r="I1483" s="859"/>
      <c r="J1483" s="859"/>
      <c r="K1483" s="859"/>
      <c r="L1483" s="859"/>
      <c r="M1483" s="859"/>
      <c r="N1483" s="859"/>
      <c r="O1483" s="859"/>
      <c r="P1483" s="859"/>
      <c r="Q1483" s="859"/>
      <c r="R1483" s="859"/>
      <c r="S1483" s="859"/>
      <c r="T1483" s="859"/>
      <c r="U1483" s="859"/>
      <c r="V1483" s="859"/>
      <c r="W1483" s="859"/>
      <c r="X1483" s="859"/>
      <c r="Y1483" s="859"/>
      <c r="Z1483" s="859"/>
      <c r="AA1483" s="859"/>
      <c r="AB1483" s="859"/>
      <c r="AC1483" s="859"/>
      <c r="AD1483" s="859"/>
      <c r="AE1483" s="859"/>
      <c r="AF1483" s="860"/>
      <c r="AG1483" s="860"/>
      <c r="AH1483" s="860"/>
      <c r="AI1483" s="860"/>
      <c r="AJ1483" s="860"/>
      <c r="AK1483" s="860"/>
      <c r="AL1483" s="860"/>
      <c r="AM1483" s="860"/>
      <c r="AN1483" s="860"/>
      <c r="AO1483" s="861"/>
      <c r="AP1483" s="861"/>
      <c r="AQ1483" s="861"/>
      <c r="AR1483" s="861"/>
      <c r="AS1483" s="861"/>
      <c r="AT1483" s="861"/>
      <c r="AU1483" s="861"/>
      <c r="AV1483" s="861"/>
      <c r="AW1483" s="861"/>
      <c r="AX1483" s="861"/>
      <c r="AY1483" s="861"/>
      <c r="AZ1483" s="861"/>
      <c r="BA1483" s="861"/>
      <c r="BB1483" s="861"/>
    </row>
    <row r="1484" spans="1:54" ht="12.6" customHeight="1" x14ac:dyDescent="0.25">
      <c r="A1484" s="227" t="s">
        <v>1344</v>
      </c>
    </row>
    <row r="1485" spans="1:54" ht="15" customHeight="1" x14ac:dyDescent="0.25">
      <c r="A1485" s="763"/>
      <c r="B1485" s="763"/>
      <c r="C1485" s="763"/>
      <c r="D1485" s="763"/>
      <c r="E1485" s="763"/>
      <c r="F1485" s="763"/>
      <c r="G1485" s="763"/>
      <c r="H1485" s="763"/>
      <c r="I1485" s="763"/>
      <c r="J1485" s="763"/>
      <c r="K1485" s="763"/>
      <c r="L1485" s="763"/>
      <c r="M1485" s="763"/>
      <c r="N1485" s="763"/>
      <c r="O1485" s="763"/>
      <c r="P1485" s="763"/>
      <c r="Q1485" s="763"/>
      <c r="R1485" s="763"/>
      <c r="S1485" s="763"/>
      <c r="T1485" s="763"/>
      <c r="U1485" s="763"/>
      <c r="V1485" s="763"/>
      <c r="W1485" s="763"/>
      <c r="X1485" s="763"/>
      <c r="Y1485" s="763"/>
      <c r="Z1485" s="763"/>
      <c r="AA1485" s="763"/>
      <c r="AB1485" s="763"/>
      <c r="AC1485" s="763"/>
      <c r="AD1485" s="763"/>
      <c r="AE1485" s="763"/>
      <c r="AF1485" s="763"/>
      <c r="AG1485" s="763"/>
      <c r="AH1485" s="763"/>
      <c r="AI1485" s="763"/>
      <c r="AJ1485" s="763"/>
      <c r="AK1485" s="763"/>
      <c r="AL1485" s="763"/>
      <c r="AM1485" s="763"/>
      <c r="AN1485" s="763"/>
      <c r="AO1485" s="763"/>
      <c r="AP1485" s="763"/>
      <c r="AQ1485" s="763"/>
      <c r="AR1485" s="763"/>
      <c r="AS1485" s="763"/>
      <c r="AT1485" s="763"/>
      <c r="AU1485" s="763"/>
      <c r="AV1485" s="763"/>
      <c r="AW1485" s="763"/>
      <c r="AX1485" s="763"/>
      <c r="AY1485" s="265"/>
      <c r="AZ1485" s="265"/>
      <c r="BA1485" s="265"/>
      <c r="BB1485" s="265"/>
    </row>
    <row r="1486" spans="1:54" ht="15" customHeight="1" x14ac:dyDescent="0.25">
      <c r="A1486" s="763"/>
      <c r="B1486" s="763"/>
      <c r="C1486" s="763"/>
      <c r="D1486" s="763"/>
      <c r="E1486" s="763"/>
      <c r="F1486" s="763"/>
      <c r="G1486" s="763"/>
      <c r="H1486" s="763"/>
      <c r="I1486" s="763"/>
      <c r="J1486" s="763"/>
      <c r="K1486" s="763"/>
      <c r="L1486" s="763"/>
      <c r="M1486" s="763"/>
      <c r="N1486" s="763"/>
      <c r="O1486" s="763"/>
      <c r="P1486" s="763"/>
      <c r="Q1486" s="763"/>
      <c r="R1486" s="763"/>
      <c r="S1486" s="763"/>
      <c r="T1486" s="763"/>
      <c r="U1486" s="763"/>
      <c r="V1486" s="763"/>
      <c r="W1486" s="763"/>
      <c r="X1486" s="763"/>
      <c r="Y1486" s="763"/>
      <c r="Z1486" s="763"/>
      <c r="AA1486" s="763"/>
      <c r="AB1486" s="763"/>
      <c r="AC1486" s="763"/>
      <c r="AD1486" s="763"/>
      <c r="AE1486" s="763"/>
      <c r="AF1486" s="763"/>
      <c r="AG1486" s="763"/>
      <c r="AH1486" s="763"/>
      <c r="AI1486" s="763"/>
      <c r="AJ1486" s="763"/>
      <c r="AK1486" s="763"/>
      <c r="AL1486" s="763"/>
      <c r="AM1486" s="763"/>
      <c r="AN1486" s="763"/>
      <c r="AO1486" s="763"/>
      <c r="AP1486" s="763"/>
      <c r="AQ1486" s="763"/>
      <c r="AR1486" s="763"/>
      <c r="AS1486" s="763"/>
      <c r="AT1486" s="763"/>
      <c r="AU1486" s="763"/>
      <c r="AV1486" s="763"/>
      <c r="AW1486" s="763"/>
      <c r="AX1486" s="763"/>
      <c r="AY1486" s="265"/>
      <c r="AZ1486" s="265"/>
      <c r="BA1486" s="265"/>
      <c r="BB1486" s="265"/>
    </row>
    <row r="1487" spans="1:54" ht="12.6" customHeight="1" x14ac:dyDescent="0.25">
      <c r="A1487" s="337"/>
      <c r="B1487" s="217"/>
      <c r="C1487" s="217"/>
      <c r="D1487" s="217"/>
      <c r="E1487" s="217"/>
      <c r="F1487" s="217"/>
      <c r="G1487" s="217"/>
      <c r="H1487" s="217"/>
      <c r="I1487" s="217"/>
      <c r="J1487" s="217"/>
      <c r="K1487" s="217"/>
      <c r="L1487" s="217"/>
      <c r="M1487" s="217"/>
      <c r="N1487" s="217"/>
      <c r="O1487" s="217"/>
      <c r="P1487" s="217"/>
      <c r="Q1487" s="217"/>
      <c r="R1487" s="217"/>
      <c r="S1487" s="217"/>
      <c r="T1487" s="217"/>
      <c r="U1487" s="217"/>
      <c r="V1487" s="217"/>
      <c r="W1487" s="217"/>
      <c r="X1487" s="217"/>
      <c r="Y1487" s="217"/>
      <c r="Z1487" s="217"/>
      <c r="AA1487" s="217"/>
      <c r="AB1487" s="217"/>
      <c r="AC1487" s="217"/>
      <c r="AD1487" s="217"/>
      <c r="AE1487" s="217"/>
      <c r="AF1487" s="217"/>
      <c r="AG1487" s="217"/>
      <c r="AH1487" s="217"/>
      <c r="AI1487" s="217"/>
      <c r="AJ1487" s="217"/>
      <c r="AK1487" s="217"/>
      <c r="AL1487" s="217"/>
      <c r="AM1487" s="217"/>
      <c r="AN1487" s="217"/>
      <c r="AO1487" s="217"/>
      <c r="AP1487" s="217"/>
      <c r="AQ1487" s="217"/>
      <c r="AR1487" s="217"/>
      <c r="AS1487" s="217"/>
      <c r="AT1487" s="217"/>
      <c r="AU1487" s="217"/>
      <c r="AV1487" s="217"/>
      <c r="AW1487" s="217"/>
      <c r="AX1487" s="217"/>
      <c r="AY1487" s="217"/>
      <c r="AZ1487" s="217"/>
      <c r="BA1487" s="217"/>
      <c r="BB1487" s="338"/>
    </row>
    <row r="1488" spans="1:54" ht="12.6" customHeight="1" x14ac:dyDescent="0.25">
      <c r="A1488" s="344" t="s">
        <v>2045</v>
      </c>
      <c r="B1488" s="320"/>
      <c r="C1488" s="320"/>
      <c r="D1488" s="320"/>
      <c r="E1488" s="320"/>
      <c r="F1488" s="320"/>
      <c r="G1488" s="320"/>
      <c r="H1488" s="320"/>
      <c r="I1488" s="320"/>
      <c r="J1488" s="320"/>
      <c r="K1488" s="320"/>
      <c r="L1488" s="320"/>
      <c r="M1488" s="320"/>
      <c r="N1488" s="320"/>
      <c r="O1488" s="320"/>
      <c r="P1488" s="320"/>
      <c r="Q1488" s="320"/>
      <c r="R1488" s="320"/>
      <c r="S1488" s="320"/>
      <c r="T1488" s="320"/>
      <c r="U1488" s="320"/>
      <c r="V1488" s="320"/>
      <c r="W1488" s="320"/>
      <c r="X1488" s="320"/>
      <c r="Y1488" s="320"/>
      <c r="Z1488" s="320"/>
      <c r="AA1488" s="320"/>
      <c r="AB1488" s="320"/>
      <c r="AC1488" s="320"/>
      <c r="AD1488" s="320"/>
      <c r="AE1488" s="320"/>
      <c r="AF1488" s="320"/>
      <c r="AG1488" s="320"/>
      <c r="AH1488" s="320"/>
      <c r="AI1488" s="320"/>
      <c r="AJ1488" s="320"/>
      <c r="AK1488" s="320"/>
      <c r="AL1488" s="320"/>
      <c r="AM1488" s="320"/>
      <c r="AN1488" s="320"/>
      <c r="AO1488" s="320"/>
      <c r="AP1488" s="320"/>
      <c r="AQ1488" s="320"/>
      <c r="AR1488" s="320"/>
      <c r="AS1488" s="320"/>
      <c r="AT1488" s="320"/>
      <c r="AU1488" s="320"/>
      <c r="AV1488" s="320"/>
      <c r="AW1488" s="320"/>
      <c r="AX1488" s="320"/>
      <c r="AY1488" s="320"/>
      <c r="AZ1488" s="320"/>
      <c r="BA1488" s="320"/>
      <c r="BB1488" s="320"/>
    </row>
    <row r="1489" spans="1:1024" s="230" customFormat="1" ht="12.6" customHeight="1" x14ac:dyDescent="0.25">
      <c r="A1489" s="732" t="s">
        <v>2046</v>
      </c>
      <c r="B1489" s="732"/>
      <c r="C1489" s="732"/>
      <c r="D1489" s="732"/>
      <c r="E1489" s="732"/>
      <c r="F1489" s="732"/>
      <c r="G1489" s="732"/>
      <c r="H1489" s="732"/>
      <c r="I1489" s="732"/>
      <c r="J1489" s="732"/>
      <c r="K1489" s="732"/>
      <c r="L1489" s="732"/>
      <c r="M1489" s="732"/>
      <c r="N1489" s="732"/>
      <c r="O1489" s="732"/>
      <c r="P1489" s="732"/>
      <c r="Q1489" s="732"/>
      <c r="R1489" s="732"/>
      <c r="S1489" s="732"/>
      <c r="T1489" s="732"/>
      <c r="U1489" s="732"/>
      <c r="V1489" s="732"/>
      <c r="W1489" s="732"/>
      <c r="X1489" s="732"/>
      <c r="Y1489" s="732"/>
      <c r="Z1489" s="732"/>
      <c r="AA1489" s="732"/>
      <c r="AB1489" s="732"/>
      <c r="AC1489" s="732"/>
      <c r="AD1489" s="732"/>
      <c r="AE1489" s="732"/>
      <c r="AF1489" s="732"/>
      <c r="AG1489" s="732"/>
      <c r="AH1489" s="732"/>
      <c r="AI1489" s="732"/>
      <c r="AJ1489" s="732"/>
      <c r="AK1489" s="732"/>
      <c r="AL1489" s="732"/>
      <c r="AM1489" s="732"/>
      <c r="AN1489" s="732"/>
      <c r="AO1489" s="732"/>
      <c r="AP1489" s="732"/>
      <c r="AQ1489" s="732"/>
      <c r="AR1489" s="732"/>
      <c r="AS1489" s="732"/>
      <c r="AT1489" s="732"/>
      <c r="AU1489" s="732"/>
      <c r="AV1489" s="732"/>
      <c r="AW1489" s="732"/>
      <c r="AX1489" s="732"/>
      <c r="AY1489" s="732"/>
      <c r="AZ1489" s="732"/>
      <c r="BA1489" s="732"/>
      <c r="BB1489" s="732"/>
      <c r="BC1489" s="732"/>
      <c r="BD1489" s="732"/>
      <c r="BE1489" s="732"/>
      <c r="BF1489" s="732"/>
      <c r="BG1489" s="732"/>
      <c r="BH1489" s="732"/>
      <c r="BI1489" s="732"/>
      <c r="BJ1489" s="732"/>
      <c r="BK1489" s="732"/>
      <c r="BL1489" s="732"/>
      <c r="BM1489" s="732"/>
      <c r="BN1489" s="732"/>
      <c r="BO1489" s="732"/>
      <c r="BP1489" s="732"/>
      <c r="BQ1489" s="732"/>
      <c r="BR1489" s="732"/>
      <c r="BS1489" s="732"/>
      <c r="BT1489" s="732"/>
      <c r="BU1489" s="732"/>
      <c r="BV1489" s="732"/>
      <c r="BW1489" s="732"/>
      <c r="BX1489" s="732"/>
      <c r="BY1489" s="732"/>
      <c r="BZ1489" s="732"/>
      <c r="CA1489" s="732"/>
      <c r="CB1489" s="732"/>
      <c r="CC1489" s="732"/>
      <c r="CD1489" s="732"/>
      <c r="CE1489" s="732"/>
      <c r="CF1489" s="732"/>
      <c r="CG1489" s="732"/>
      <c r="CH1489" s="732"/>
      <c r="CI1489" s="732"/>
      <c r="CJ1489" s="732"/>
      <c r="CK1489" s="732"/>
      <c r="CL1489" s="732"/>
      <c r="CM1489" s="732"/>
      <c r="CN1489" s="732"/>
      <c r="CO1489" s="732"/>
      <c r="CP1489" s="732"/>
      <c r="CQ1489" s="732"/>
      <c r="CR1489" s="732"/>
      <c r="CS1489" s="732"/>
      <c r="CT1489" s="732"/>
      <c r="CU1489" s="732"/>
      <c r="CV1489" s="732"/>
      <c r="CW1489" s="732"/>
      <c r="CX1489" s="732"/>
      <c r="CY1489" s="732"/>
      <c r="CZ1489" s="732"/>
      <c r="DA1489" s="732"/>
      <c r="DB1489" s="732"/>
      <c r="DC1489" s="732"/>
      <c r="DD1489" s="732"/>
      <c r="DE1489" s="732"/>
      <c r="DF1489" s="732"/>
      <c r="DG1489" s="732"/>
      <c r="DH1489" s="732"/>
      <c r="DI1489" s="732"/>
      <c r="DJ1489" s="732"/>
      <c r="DK1489" s="732"/>
      <c r="DL1489" s="732"/>
      <c r="DM1489" s="732"/>
      <c r="DN1489" s="732"/>
      <c r="DO1489" s="732"/>
      <c r="DP1489" s="732"/>
      <c r="DQ1489" s="732"/>
      <c r="DR1489" s="732"/>
      <c r="DS1489" s="732"/>
      <c r="DT1489" s="732"/>
      <c r="DU1489" s="732"/>
      <c r="DV1489" s="732"/>
      <c r="DW1489" s="732"/>
      <c r="DX1489" s="732"/>
      <c r="DY1489" s="732"/>
      <c r="DZ1489" s="732"/>
      <c r="EA1489" s="732"/>
      <c r="EB1489" s="732"/>
      <c r="EC1489" s="732"/>
      <c r="ED1489" s="732"/>
      <c r="EE1489" s="732"/>
      <c r="EF1489" s="732"/>
      <c r="EG1489" s="732"/>
      <c r="EH1489" s="732"/>
      <c r="EI1489" s="732"/>
      <c r="EJ1489" s="732"/>
      <c r="EK1489" s="732"/>
      <c r="EL1489" s="732"/>
      <c r="EM1489" s="732"/>
      <c r="EN1489" s="732"/>
      <c r="EO1489" s="732"/>
      <c r="EP1489" s="732"/>
      <c r="EQ1489" s="732"/>
      <c r="ER1489" s="732"/>
      <c r="ES1489" s="732"/>
      <c r="ET1489" s="732"/>
      <c r="EU1489" s="732"/>
      <c r="EV1489" s="732"/>
      <c r="EW1489" s="732"/>
      <c r="EX1489" s="732"/>
      <c r="EY1489" s="732"/>
      <c r="EZ1489" s="732"/>
      <c r="FA1489" s="732"/>
      <c r="FB1489" s="732"/>
      <c r="FC1489" s="732"/>
      <c r="FD1489" s="732"/>
      <c r="FE1489" s="732"/>
      <c r="FF1489" s="732"/>
      <c r="FG1489" s="732"/>
      <c r="FH1489" s="732"/>
      <c r="FI1489" s="732"/>
      <c r="FJ1489" s="732"/>
      <c r="FK1489" s="732"/>
      <c r="FL1489" s="732"/>
      <c r="FM1489" s="732"/>
      <c r="FN1489" s="732"/>
      <c r="FO1489" s="732"/>
      <c r="FP1489" s="732"/>
      <c r="FQ1489" s="732"/>
      <c r="FR1489" s="732"/>
      <c r="FS1489" s="732"/>
      <c r="FT1489" s="732"/>
      <c r="FU1489" s="732"/>
      <c r="FV1489" s="732"/>
      <c r="FW1489" s="732"/>
      <c r="FX1489" s="732"/>
      <c r="FY1489" s="732"/>
      <c r="FZ1489" s="732"/>
      <c r="GA1489" s="732"/>
      <c r="GB1489" s="732"/>
      <c r="GC1489" s="732"/>
      <c r="GD1489" s="732"/>
      <c r="GE1489" s="732"/>
      <c r="GF1489" s="732"/>
      <c r="GG1489" s="732"/>
      <c r="GH1489" s="732"/>
      <c r="GI1489" s="732"/>
      <c r="GJ1489" s="732"/>
      <c r="GK1489" s="732"/>
      <c r="GL1489" s="732"/>
      <c r="GM1489" s="732"/>
      <c r="GN1489" s="732"/>
      <c r="GO1489" s="732"/>
      <c r="GP1489" s="732"/>
      <c r="GQ1489" s="732"/>
      <c r="GR1489" s="732"/>
      <c r="GS1489" s="732"/>
      <c r="GT1489" s="732"/>
      <c r="GU1489" s="732"/>
      <c r="GV1489" s="732"/>
      <c r="GW1489" s="732"/>
      <c r="GX1489" s="732"/>
      <c r="GY1489" s="732"/>
      <c r="GZ1489" s="732"/>
      <c r="HA1489" s="732"/>
      <c r="HB1489" s="732"/>
      <c r="HC1489" s="732"/>
      <c r="HD1489" s="732"/>
      <c r="HE1489" s="732"/>
      <c r="HF1489" s="732"/>
      <c r="HG1489" s="732"/>
      <c r="HH1489" s="732"/>
      <c r="HI1489" s="732"/>
      <c r="HJ1489" s="732"/>
      <c r="HK1489" s="732"/>
      <c r="HL1489" s="732"/>
      <c r="HM1489" s="732"/>
      <c r="HN1489" s="732"/>
      <c r="HO1489" s="732"/>
      <c r="HP1489" s="732"/>
      <c r="HQ1489" s="732"/>
      <c r="HR1489" s="732"/>
      <c r="HS1489" s="732"/>
      <c r="HT1489" s="732"/>
      <c r="HU1489" s="732"/>
      <c r="HV1489" s="732"/>
      <c r="HW1489" s="732"/>
      <c r="HX1489" s="732"/>
      <c r="HY1489" s="732"/>
      <c r="HZ1489" s="732"/>
      <c r="IA1489" s="732"/>
      <c r="IB1489" s="732"/>
      <c r="IC1489" s="732"/>
      <c r="ID1489" s="732"/>
      <c r="IE1489" s="732"/>
      <c r="IF1489" s="732"/>
      <c r="IG1489" s="732"/>
      <c r="IH1489" s="732"/>
      <c r="II1489" s="732"/>
      <c r="IJ1489" s="732"/>
      <c r="IK1489" s="732"/>
      <c r="IL1489" s="732"/>
      <c r="IM1489" s="732"/>
      <c r="IN1489" s="732"/>
      <c r="IO1489" s="732"/>
      <c r="IP1489" s="732"/>
      <c r="IQ1489" s="732"/>
      <c r="IR1489" s="732"/>
      <c r="IS1489" s="732"/>
      <c r="IT1489" s="732"/>
      <c r="IU1489" s="732"/>
      <c r="IV1489" s="732"/>
      <c r="IW1489" s="732"/>
      <c r="IX1489" s="732"/>
      <c r="IY1489" s="732"/>
      <c r="IZ1489" s="732"/>
      <c r="JA1489" s="732"/>
      <c r="JB1489" s="732"/>
      <c r="JC1489" s="732"/>
      <c r="JD1489" s="732"/>
      <c r="JE1489" s="732"/>
      <c r="JF1489" s="732"/>
      <c r="JG1489" s="732"/>
      <c r="JH1489" s="732"/>
      <c r="JI1489" s="732"/>
      <c r="JJ1489" s="732"/>
      <c r="JK1489" s="732"/>
      <c r="JL1489" s="732"/>
      <c r="JM1489" s="732"/>
      <c r="JN1489" s="732"/>
      <c r="JO1489" s="732"/>
      <c r="JP1489" s="732"/>
      <c r="JQ1489" s="732"/>
      <c r="JR1489" s="732"/>
      <c r="JS1489" s="732"/>
      <c r="JT1489" s="732"/>
      <c r="JU1489" s="732"/>
      <c r="JV1489" s="732"/>
      <c r="JW1489" s="732"/>
      <c r="JX1489" s="732"/>
      <c r="JY1489" s="732"/>
      <c r="JZ1489" s="732"/>
      <c r="KA1489" s="732"/>
      <c r="KB1489" s="732"/>
      <c r="KC1489" s="732"/>
      <c r="KD1489" s="732"/>
      <c r="KE1489" s="732"/>
      <c r="KF1489" s="732"/>
      <c r="KG1489" s="732"/>
      <c r="KH1489" s="732"/>
      <c r="KI1489" s="732"/>
      <c r="KJ1489" s="732"/>
      <c r="KK1489" s="732"/>
      <c r="KL1489" s="732"/>
      <c r="KM1489" s="732"/>
      <c r="KN1489" s="732"/>
      <c r="KO1489" s="732"/>
      <c r="KP1489" s="732"/>
      <c r="KQ1489" s="732"/>
      <c r="KR1489" s="732"/>
      <c r="KS1489" s="732"/>
      <c r="KT1489" s="732"/>
      <c r="KU1489" s="732"/>
      <c r="KV1489" s="732"/>
      <c r="KW1489" s="732"/>
      <c r="KX1489" s="732"/>
      <c r="KY1489" s="732"/>
      <c r="KZ1489" s="732"/>
      <c r="LA1489" s="732"/>
      <c r="LB1489" s="732"/>
      <c r="LC1489" s="732"/>
      <c r="LD1489" s="732"/>
      <c r="LE1489" s="732"/>
      <c r="LF1489" s="732"/>
      <c r="LG1489" s="732"/>
      <c r="LH1489" s="732"/>
      <c r="LI1489" s="732"/>
      <c r="LJ1489" s="732"/>
      <c r="LK1489" s="732"/>
      <c r="LL1489" s="732"/>
      <c r="LM1489" s="732"/>
      <c r="LN1489" s="732"/>
      <c r="LO1489" s="732"/>
      <c r="LP1489" s="732"/>
      <c r="LQ1489" s="732"/>
      <c r="LR1489" s="732"/>
      <c r="LS1489" s="732"/>
      <c r="LT1489" s="732"/>
      <c r="LU1489" s="732"/>
      <c r="LV1489" s="732"/>
      <c r="LW1489" s="732"/>
      <c r="LX1489" s="732"/>
      <c r="LY1489" s="732"/>
      <c r="LZ1489" s="732"/>
      <c r="MA1489" s="732"/>
      <c r="MB1489" s="732"/>
      <c r="MC1489" s="732"/>
      <c r="MD1489" s="732"/>
      <c r="ME1489" s="732"/>
      <c r="MF1489" s="732"/>
      <c r="MG1489" s="732"/>
      <c r="MH1489" s="732"/>
      <c r="MI1489" s="732"/>
      <c r="MJ1489" s="732"/>
      <c r="MK1489" s="732"/>
      <c r="ML1489" s="732"/>
      <c r="MM1489" s="732"/>
      <c r="MN1489" s="732"/>
      <c r="MO1489" s="732"/>
      <c r="MP1489" s="732"/>
      <c r="MQ1489" s="732"/>
      <c r="MR1489" s="732"/>
      <c r="MS1489" s="732"/>
      <c r="MT1489" s="732"/>
      <c r="MU1489" s="732"/>
      <c r="MV1489" s="732"/>
      <c r="MW1489" s="732"/>
      <c r="MX1489" s="732"/>
      <c r="MY1489" s="732"/>
      <c r="MZ1489" s="732"/>
      <c r="NA1489" s="732"/>
      <c r="NB1489" s="732"/>
      <c r="NC1489" s="732"/>
      <c r="ND1489" s="732"/>
      <c r="NE1489" s="732"/>
      <c r="NF1489" s="732"/>
      <c r="NG1489" s="732"/>
      <c r="NH1489" s="732"/>
      <c r="NI1489" s="732"/>
      <c r="NJ1489" s="732"/>
      <c r="NK1489" s="732"/>
      <c r="NL1489" s="732"/>
      <c r="NM1489" s="732"/>
      <c r="NN1489" s="732"/>
      <c r="NO1489" s="732"/>
      <c r="NP1489" s="732"/>
      <c r="NQ1489" s="732"/>
      <c r="NR1489" s="732"/>
      <c r="NS1489" s="732"/>
      <c r="NT1489" s="732"/>
      <c r="NU1489" s="732"/>
      <c r="NV1489" s="732"/>
      <c r="NW1489" s="732"/>
      <c r="NX1489" s="732"/>
      <c r="NY1489" s="732"/>
      <c r="NZ1489" s="732"/>
      <c r="OA1489" s="732"/>
      <c r="OB1489" s="732"/>
      <c r="OC1489" s="732"/>
      <c r="OD1489" s="732"/>
      <c r="OE1489" s="732"/>
      <c r="OF1489" s="732"/>
      <c r="OG1489" s="732"/>
      <c r="OH1489" s="732"/>
      <c r="OI1489" s="732"/>
      <c r="OJ1489" s="732"/>
      <c r="OK1489" s="732"/>
      <c r="OL1489" s="732"/>
      <c r="OM1489" s="732"/>
      <c r="ON1489" s="732"/>
      <c r="OO1489" s="732"/>
      <c r="OP1489" s="732"/>
      <c r="OQ1489" s="732"/>
      <c r="OR1489" s="732"/>
      <c r="OS1489" s="732"/>
      <c r="OT1489" s="732"/>
      <c r="OU1489" s="732"/>
      <c r="OV1489" s="732"/>
      <c r="OW1489" s="732"/>
      <c r="OX1489" s="732"/>
      <c r="OY1489" s="732"/>
      <c r="OZ1489" s="732"/>
      <c r="PA1489" s="732"/>
      <c r="PB1489" s="732"/>
      <c r="PC1489" s="732"/>
      <c r="PD1489" s="732"/>
      <c r="PE1489" s="732"/>
      <c r="PF1489" s="732"/>
      <c r="PG1489" s="732"/>
      <c r="PH1489" s="732"/>
      <c r="PI1489" s="732"/>
      <c r="PJ1489" s="732"/>
      <c r="PK1489" s="732"/>
      <c r="PL1489" s="732"/>
      <c r="PM1489" s="732"/>
      <c r="PN1489" s="732"/>
      <c r="PO1489" s="732"/>
      <c r="PP1489" s="732"/>
      <c r="PQ1489" s="732"/>
      <c r="PR1489" s="732"/>
      <c r="PS1489" s="732"/>
      <c r="PT1489" s="732"/>
      <c r="PU1489" s="732"/>
      <c r="PV1489" s="732"/>
      <c r="PW1489" s="732"/>
      <c r="PX1489" s="732"/>
      <c r="PY1489" s="732"/>
      <c r="PZ1489" s="732"/>
      <c r="QA1489" s="732"/>
      <c r="QB1489" s="732"/>
      <c r="QC1489" s="732"/>
      <c r="QD1489" s="732"/>
      <c r="QE1489" s="732"/>
      <c r="QF1489" s="732"/>
      <c r="QG1489" s="732"/>
      <c r="QH1489" s="732"/>
      <c r="QI1489" s="732"/>
      <c r="QJ1489" s="732"/>
      <c r="QK1489" s="732"/>
      <c r="QL1489" s="732"/>
      <c r="QM1489" s="732"/>
      <c r="QN1489" s="732"/>
      <c r="QO1489" s="732"/>
      <c r="QP1489" s="732"/>
      <c r="QQ1489" s="732"/>
      <c r="QR1489" s="732"/>
      <c r="QS1489" s="732"/>
      <c r="QT1489" s="732"/>
      <c r="QU1489" s="732"/>
      <c r="QV1489" s="732"/>
      <c r="QW1489" s="732"/>
      <c r="QX1489" s="732"/>
      <c r="QY1489" s="732"/>
      <c r="QZ1489" s="732"/>
      <c r="RA1489" s="732"/>
      <c r="RB1489" s="732"/>
      <c r="RC1489" s="732"/>
      <c r="RD1489" s="732"/>
      <c r="RE1489" s="732"/>
      <c r="RF1489" s="732"/>
      <c r="RG1489" s="732"/>
      <c r="RH1489" s="732"/>
      <c r="RI1489" s="732"/>
      <c r="RJ1489" s="732"/>
      <c r="RK1489" s="732"/>
      <c r="RL1489" s="732"/>
      <c r="RM1489" s="732"/>
      <c r="RN1489" s="732"/>
      <c r="RO1489" s="732"/>
      <c r="RP1489" s="732"/>
      <c r="RQ1489" s="732"/>
      <c r="RR1489" s="732"/>
      <c r="RS1489" s="732"/>
      <c r="RT1489" s="732"/>
      <c r="RU1489" s="732"/>
      <c r="RV1489" s="732"/>
      <c r="RW1489" s="732"/>
      <c r="RX1489" s="732"/>
      <c r="RY1489" s="732"/>
      <c r="RZ1489" s="732"/>
      <c r="SA1489" s="732"/>
      <c r="SB1489" s="732"/>
      <c r="SC1489" s="732"/>
      <c r="SD1489" s="732"/>
      <c r="SE1489" s="732"/>
      <c r="SF1489" s="732"/>
      <c r="SG1489" s="732"/>
      <c r="SH1489" s="732"/>
      <c r="SI1489" s="732"/>
      <c r="SJ1489" s="732"/>
      <c r="SK1489" s="732"/>
      <c r="SL1489" s="732"/>
      <c r="SM1489" s="732"/>
      <c r="SN1489" s="732"/>
      <c r="SO1489" s="732"/>
      <c r="SP1489" s="732"/>
      <c r="SQ1489" s="732"/>
      <c r="SR1489" s="732"/>
      <c r="SS1489" s="732"/>
      <c r="ST1489" s="732"/>
      <c r="SU1489" s="732"/>
      <c r="SV1489" s="732"/>
      <c r="SW1489" s="732"/>
      <c r="SX1489" s="732"/>
      <c r="SY1489" s="732"/>
      <c r="SZ1489" s="732"/>
      <c r="TA1489" s="732"/>
      <c r="TB1489" s="732"/>
      <c r="TC1489" s="732"/>
      <c r="TD1489" s="732"/>
      <c r="TE1489" s="732"/>
      <c r="TF1489" s="732"/>
      <c r="TG1489" s="732"/>
      <c r="TH1489" s="732"/>
      <c r="TI1489" s="732"/>
      <c r="TJ1489" s="732"/>
      <c r="TK1489" s="732"/>
      <c r="TL1489" s="732"/>
      <c r="TM1489" s="732"/>
      <c r="TN1489" s="732"/>
      <c r="TO1489" s="732"/>
      <c r="TP1489" s="732"/>
      <c r="TQ1489" s="732"/>
      <c r="TR1489" s="732"/>
      <c r="TS1489" s="732"/>
      <c r="TT1489" s="732"/>
      <c r="TU1489" s="732"/>
      <c r="TV1489" s="732"/>
      <c r="TW1489" s="732"/>
      <c r="TX1489" s="732"/>
      <c r="TY1489" s="732"/>
      <c r="TZ1489" s="732"/>
      <c r="UA1489" s="732"/>
      <c r="UB1489" s="732"/>
      <c r="UC1489" s="732"/>
      <c r="UD1489" s="732"/>
      <c r="UE1489" s="732"/>
      <c r="UF1489" s="732"/>
      <c r="UG1489" s="732"/>
      <c r="UH1489" s="732"/>
      <c r="UI1489" s="732"/>
      <c r="UJ1489" s="732"/>
      <c r="UK1489" s="732"/>
      <c r="UL1489" s="732"/>
      <c r="UM1489" s="732"/>
      <c r="UN1489" s="732"/>
      <c r="UO1489" s="732"/>
      <c r="UP1489" s="732"/>
      <c r="UQ1489" s="732"/>
      <c r="UR1489" s="732"/>
      <c r="US1489" s="732"/>
      <c r="UT1489" s="732"/>
      <c r="UU1489" s="732"/>
      <c r="UV1489" s="732"/>
      <c r="UW1489" s="732"/>
      <c r="UX1489" s="732"/>
      <c r="UY1489" s="732"/>
      <c r="UZ1489" s="732"/>
      <c r="VA1489" s="732"/>
      <c r="VB1489" s="732"/>
      <c r="VC1489" s="732"/>
      <c r="VD1489" s="732"/>
      <c r="VE1489" s="732"/>
      <c r="VF1489" s="732"/>
      <c r="VG1489" s="732"/>
      <c r="VH1489" s="732"/>
      <c r="VI1489" s="732"/>
      <c r="VJ1489" s="732"/>
      <c r="VK1489" s="732"/>
      <c r="VL1489" s="732"/>
      <c r="VM1489" s="732"/>
      <c r="VN1489" s="732"/>
      <c r="VO1489" s="732"/>
      <c r="VP1489" s="732"/>
      <c r="VQ1489" s="732"/>
      <c r="VR1489" s="732"/>
      <c r="VS1489" s="732"/>
      <c r="VT1489" s="732"/>
      <c r="VU1489" s="732"/>
      <c r="VV1489" s="732"/>
      <c r="VW1489" s="732"/>
      <c r="VX1489" s="732"/>
      <c r="VY1489" s="732"/>
      <c r="VZ1489" s="732"/>
      <c r="WA1489" s="732"/>
      <c r="WB1489" s="732"/>
      <c r="WC1489" s="732"/>
      <c r="WD1489" s="732"/>
      <c r="WE1489" s="732"/>
      <c r="WF1489" s="732"/>
      <c r="WG1489" s="732"/>
      <c r="WH1489" s="732"/>
      <c r="WI1489" s="732"/>
      <c r="WJ1489" s="732"/>
      <c r="WK1489" s="732"/>
      <c r="WL1489" s="732"/>
      <c r="WM1489" s="732"/>
      <c r="WN1489" s="732"/>
      <c r="WO1489" s="732"/>
      <c r="WP1489" s="732"/>
      <c r="WQ1489" s="732"/>
      <c r="WR1489" s="732"/>
      <c r="WS1489" s="732"/>
      <c r="WT1489" s="732"/>
      <c r="WU1489" s="732"/>
      <c r="WV1489" s="732"/>
      <c r="WW1489" s="732"/>
      <c r="WX1489" s="732"/>
      <c r="WY1489" s="732"/>
      <c r="WZ1489" s="732"/>
      <c r="XA1489" s="732"/>
      <c r="XB1489" s="732"/>
      <c r="XC1489" s="732"/>
      <c r="XD1489" s="732"/>
      <c r="XE1489" s="732"/>
      <c r="XF1489" s="732"/>
      <c r="XG1489" s="732"/>
      <c r="XH1489" s="732"/>
      <c r="XI1489" s="732"/>
      <c r="XJ1489" s="732"/>
      <c r="XK1489" s="732"/>
      <c r="XL1489" s="732"/>
      <c r="XM1489" s="732"/>
      <c r="XN1489" s="732"/>
      <c r="XO1489" s="732"/>
      <c r="XP1489" s="732"/>
      <c r="XQ1489" s="732"/>
      <c r="XR1489" s="732"/>
      <c r="XS1489" s="732"/>
      <c r="XT1489" s="732"/>
      <c r="XU1489" s="732"/>
      <c r="XV1489" s="732"/>
      <c r="XW1489" s="732"/>
      <c r="XX1489" s="732"/>
      <c r="XY1489" s="732"/>
      <c r="XZ1489" s="732"/>
      <c r="YA1489" s="732"/>
      <c r="YB1489" s="732"/>
      <c r="YC1489" s="732"/>
      <c r="YD1489" s="732"/>
      <c r="YE1489" s="732"/>
      <c r="YF1489" s="732"/>
      <c r="YG1489" s="732"/>
      <c r="YH1489" s="732"/>
      <c r="YI1489" s="732"/>
      <c r="YJ1489" s="732"/>
      <c r="YK1489" s="732"/>
      <c r="YL1489" s="732"/>
      <c r="YM1489" s="732"/>
      <c r="YN1489" s="732"/>
      <c r="YO1489" s="732"/>
      <c r="YP1489" s="732"/>
      <c r="YQ1489" s="732"/>
      <c r="YR1489" s="732"/>
      <c r="YS1489" s="732"/>
      <c r="YT1489" s="732"/>
      <c r="YU1489" s="732"/>
      <c r="YV1489" s="732"/>
      <c r="YW1489" s="732"/>
      <c r="YX1489" s="732"/>
      <c r="YY1489" s="732"/>
      <c r="YZ1489" s="732"/>
      <c r="ZA1489" s="732"/>
      <c r="ZB1489" s="732"/>
      <c r="ZC1489" s="732"/>
      <c r="ZD1489" s="732"/>
      <c r="ZE1489" s="732"/>
      <c r="ZF1489" s="732"/>
      <c r="ZG1489" s="732"/>
      <c r="ZH1489" s="732"/>
      <c r="ZI1489" s="732"/>
      <c r="ZJ1489" s="732"/>
      <c r="ZK1489" s="732"/>
      <c r="ZL1489" s="732"/>
      <c r="ZM1489" s="732"/>
      <c r="ZN1489" s="732"/>
      <c r="ZO1489" s="732"/>
      <c r="ZP1489" s="732"/>
      <c r="ZQ1489" s="732"/>
      <c r="ZR1489" s="732"/>
      <c r="ZS1489" s="732"/>
      <c r="ZT1489" s="732"/>
      <c r="ZU1489" s="732"/>
      <c r="ZV1489" s="732"/>
      <c r="ZW1489" s="732"/>
      <c r="ZX1489" s="732"/>
      <c r="ZY1489" s="732"/>
      <c r="ZZ1489" s="732"/>
      <c r="AAA1489" s="732"/>
      <c r="AAB1489" s="732"/>
      <c r="AAC1489" s="732"/>
      <c r="AAD1489" s="732"/>
      <c r="AAE1489" s="732"/>
      <c r="AAF1489" s="732"/>
      <c r="AAG1489" s="732"/>
      <c r="AAH1489" s="732"/>
      <c r="AAI1489" s="732"/>
      <c r="AAJ1489" s="732"/>
      <c r="AAK1489" s="732"/>
      <c r="AAL1489" s="732"/>
      <c r="AAM1489" s="732"/>
      <c r="AAN1489" s="732"/>
      <c r="AAO1489" s="732"/>
      <c r="AAP1489" s="732"/>
      <c r="AAQ1489" s="732"/>
      <c r="AAR1489" s="732"/>
      <c r="AAS1489" s="732"/>
      <c r="AAT1489" s="732"/>
      <c r="AAU1489" s="732"/>
      <c r="AAV1489" s="732"/>
      <c r="AAW1489" s="732"/>
      <c r="AAX1489" s="732"/>
      <c r="AAY1489" s="732"/>
      <c r="AAZ1489" s="732"/>
      <c r="ABA1489" s="732"/>
      <c r="ABB1489" s="732"/>
      <c r="ABC1489" s="732"/>
      <c r="ABD1489" s="732"/>
      <c r="ABE1489" s="732"/>
      <c r="ABF1489" s="732"/>
      <c r="ABG1489" s="732"/>
      <c r="ABH1489" s="732"/>
      <c r="ABI1489" s="732"/>
      <c r="ABJ1489" s="732"/>
      <c r="ABK1489" s="732"/>
      <c r="ABL1489" s="732"/>
      <c r="ABM1489" s="732"/>
      <c r="ABN1489" s="732"/>
      <c r="ABO1489" s="732"/>
      <c r="ABP1489" s="732"/>
      <c r="ABQ1489" s="732"/>
      <c r="ABR1489" s="732"/>
      <c r="ABS1489" s="732"/>
      <c r="ABT1489" s="732"/>
      <c r="ABU1489" s="732"/>
      <c r="ABV1489" s="732"/>
      <c r="ABW1489" s="732"/>
      <c r="ABX1489" s="732"/>
      <c r="ABY1489" s="732"/>
      <c r="ABZ1489" s="732"/>
      <c r="ACA1489" s="732"/>
      <c r="ACB1489" s="732"/>
      <c r="ACC1489" s="732"/>
      <c r="ACD1489" s="732"/>
      <c r="ACE1489" s="732"/>
      <c r="ACF1489" s="732"/>
      <c r="ACG1489" s="732"/>
      <c r="ACH1489" s="732"/>
      <c r="ACI1489" s="732"/>
      <c r="ACJ1489" s="732"/>
      <c r="ACK1489" s="732"/>
      <c r="ACL1489" s="732"/>
      <c r="ACM1489" s="732"/>
      <c r="ACN1489" s="732"/>
      <c r="ACO1489" s="732"/>
      <c r="ACP1489" s="732"/>
      <c r="ACQ1489" s="732"/>
      <c r="ACR1489" s="732"/>
      <c r="ACS1489" s="732"/>
      <c r="ACT1489" s="732"/>
      <c r="ACU1489" s="732"/>
      <c r="ACV1489" s="732"/>
      <c r="ACW1489" s="732"/>
      <c r="ACX1489" s="732"/>
      <c r="ACY1489" s="732"/>
      <c r="ACZ1489" s="732"/>
      <c r="ADA1489" s="732"/>
      <c r="ADB1489" s="732"/>
      <c r="ADC1489" s="732"/>
      <c r="ADD1489" s="732"/>
      <c r="ADE1489" s="732"/>
      <c r="ADF1489" s="732"/>
      <c r="ADG1489" s="732"/>
      <c r="ADH1489" s="732"/>
      <c r="ADI1489" s="732"/>
      <c r="ADJ1489" s="732"/>
      <c r="ADK1489" s="732"/>
      <c r="ADL1489" s="732"/>
      <c r="ADM1489" s="732"/>
      <c r="ADN1489" s="732"/>
      <c r="ADO1489" s="732"/>
      <c r="ADP1489" s="732"/>
      <c r="ADQ1489" s="732"/>
      <c r="ADR1489" s="732"/>
      <c r="ADS1489" s="732"/>
      <c r="ADT1489" s="732"/>
      <c r="ADU1489" s="732"/>
      <c r="ADV1489" s="732"/>
      <c r="ADW1489" s="732"/>
      <c r="ADX1489" s="732"/>
      <c r="ADY1489" s="732"/>
      <c r="ADZ1489" s="732"/>
      <c r="AEA1489" s="732"/>
      <c r="AEB1489" s="732"/>
      <c r="AEC1489" s="732"/>
      <c r="AED1489" s="732"/>
      <c r="AEE1489" s="732"/>
      <c r="AEF1489" s="732"/>
      <c r="AEG1489" s="732"/>
      <c r="AEH1489" s="732"/>
      <c r="AEI1489" s="732"/>
      <c r="AEJ1489" s="732"/>
      <c r="AEK1489" s="732"/>
      <c r="AEL1489" s="732"/>
      <c r="AEM1489" s="732"/>
      <c r="AEN1489" s="732"/>
      <c r="AEO1489" s="732"/>
      <c r="AEP1489" s="732"/>
      <c r="AEQ1489" s="732"/>
      <c r="AER1489" s="732"/>
      <c r="AES1489" s="732"/>
      <c r="AET1489" s="732"/>
      <c r="AEU1489" s="732"/>
      <c r="AEV1489" s="732"/>
      <c r="AEW1489" s="732"/>
      <c r="AEX1489" s="732"/>
      <c r="AEY1489" s="732"/>
      <c r="AEZ1489" s="732"/>
      <c r="AFA1489" s="732"/>
      <c r="AFB1489" s="732"/>
      <c r="AFC1489" s="732"/>
      <c r="AFD1489" s="732"/>
      <c r="AFE1489" s="732"/>
      <c r="AFF1489" s="732"/>
      <c r="AFG1489" s="732"/>
      <c r="AFH1489" s="732"/>
      <c r="AFI1489" s="732"/>
      <c r="AFJ1489" s="732"/>
      <c r="AFK1489" s="732"/>
      <c r="AFL1489" s="732"/>
      <c r="AFM1489" s="732"/>
      <c r="AFN1489" s="732"/>
      <c r="AFO1489" s="732"/>
      <c r="AFP1489" s="732"/>
      <c r="AFQ1489" s="732"/>
      <c r="AFR1489" s="732"/>
      <c r="AFS1489" s="732"/>
      <c r="AFT1489" s="732"/>
      <c r="AFU1489" s="732"/>
      <c r="AFV1489" s="732"/>
      <c r="AFW1489" s="732"/>
      <c r="AFX1489" s="732"/>
      <c r="AFY1489" s="732"/>
      <c r="AFZ1489" s="732"/>
      <c r="AGA1489" s="732"/>
      <c r="AGB1489" s="732"/>
      <c r="AGC1489" s="732"/>
      <c r="AGD1489" s="732"/>
      <c r="AGE1489" s="732"/>
      <c r="AGF1489" s="732"/>
      <c r="AGG1489" s="732"/>
      <c r="AGH1489" s="732"/>
      <c r="AGI1489" s="732"/>
      <c r="AGJ1489" s="732"/>
      <c r="AGK1489" s="732"/>
      <c r="AGL1489" s="732"/>
      <c r="AGM1489" s="732"/>
      <c r="AGN1489" s="732"/>
      <c r="AGO1489" s="732"/>
      <c r="AGP1489" s="732"/>
      <c r="AGQ1489" s="732"/>
      <c r="AGR1489" s="732"/>
      <c r="AGS1489" s="732"/>
      <c r="AGT1489" s="732"/>
      <c r="AGU1489" s="732"/>
      <c r="AGV1489" s="732"/>
      <c r="AGW1489" s="732"/>
      <c r="AGX1489" s="732"/>
      <c r="AGY1489" s="732"/>
      <c r="AGZ1489" s="732"/>
      <c r="AHA1489" s="732"/>
      <c r="AHB1489" s="732"/>
      <c r="AHC1489" s="732"/>
      <c r="AHD1489" s="732"/>
      <c r="AHE1489" s="732"/>
      <c r="AHF1489" s="732"/>
      <c r="AHG1489" s="732"/>
      <c r="AHH1489" s="732"/>
      <c r="AHI1489" s="732"/>
      <c r="AHJ1489" s="732"/>
      <c r="AHK1489" s="732"/>
      <c r="AHL1489" s="732"/>
      <c r="AHM1489" s="732"/>
      <c r="AHN1489" s="732"/>
      <c r="AHO1489" s="732"/>
      <c r="AHP1489" s="732"/>
      <c r="AHQ1489" s="732"/>
      <c r="AHR1489" s="732"/>
      <c r="AHS1489" s="732"/>
      <c r="AHT1489" s="732"/>
      <c r="AHU1489" s="732"/>
      <c r="AHV1489" s="732"/>
      <c r="AHW1489" s="732"/>
      <c r="AHX1489" s="732"/>
      <c r="AHY1489" s="732"/>
      <c r="AHZ1489" s="732"/>
      <c r="AIA1489" s="732"/>
      <c r="AIB1489" s="732"/>
      <c r="AIC1489" s="732"/>
      <c r="AID1489" s="732"/>
      <c r="AIE1489" s="732"/>
      <c r="AIF1489" s="732"/>
      <c r="AIG1489" s="732"/>
      <c r="AIH1489" s="732"/>
      <c r="AII1489" s="732"/>
      <c r="AIJ1489" s="732"/>
      <c r="AIK1489" s="732"/>
      <c r="AIL1489" s="732"/>
      <c r="AIM1489" s="732"/>
      <c r="AIN1489" s="732"/>
      <c r="AIO1489" s="732"/>
      <c r="AIP1489" s="732"/>
      <c r="AIQ1489" s="732"/>
      <c r="AIR1489" s="732"/>
      <c r="AIS1489" s="732"/>
      <c r="AIT1489" s="732"/>
      <c r="AIU1489" s="732"/>
      <c r="AIV1489" s="732"/>
      <c r="AIW1489" s="732"/>
      <c r="AIX1489" s="732"/>
      <c r="AIY1489" s="732"/>
      <c r="AIZ1489" s="732"/>
      <c r="AJA1489" s="732"/>
      <c r="AJB1489" s="732"/>
      <c r="AJC1489" s="732"/>
      <c r="AJD1489" s="732"/>
      <c r="AJE1489" s="732"/>
      <c r="AJF1489" s="732"/>
      <c r="AJG1489" s="732"/>
      <c r="AJH1489" s="732"/>
      <c r="AJI1489" s="732"/>
      <c r="AJJ1489" s="732"/>
      <c r="AJK1489" s="732"/>
      <c r="AJL1489" s="732"/>
      <c r="AJM1489" s="732"/>
      <c r="AJN1489" s="732"/>
      <c r="AJO1489" s="732"/>
      <c r="AJP1489" s="732"/>
      <c r="AJQ1489" s="732"/>
      <c r="AJR1489" s="732"/>
      <c r="AJS1489" s="732"/>
      <c r="AJT1489" s="732"/>
      <c r="AJU1489" s="732"/>
      <c r="AJV1489" s="732"/>
      <c r="AJW1489" s="732"/>
      <c r="AJX1489" s="732"/>
      <c r="AJY1489" s="732"/>
      <c r="AJZ1489" s="732"/>
      <c r="AKA1489" s="732"/>
      <c r="AKB1489" s="732"/>
      <c r="AKC1489" s="732"/>
      <c r="AKD1489" s="732"/>
      <c r="AKE1489" s="732"/>
      <c r="AKF1489" s="732"/>
      <c r="AKG1489" s="732"/>
      <c r="AKH1489" s="732"/>
      <c r="AKI1489" s="732"/>
      <c r="AKJ1489" s="732"/>
      <c r="AKK1489" s="732"/>
      <c r="AKL1489" s="732"/>
      <c r="AKM1489" s="732"/>
      <c r="AKN1489" s="732"/>
      <c r="AKO1489" s="732"/>
      <c r="AKP1489" s="732"/>
      <c r="AKQ1489" s="732"/>
      <c r="AKR1489" s="732"/>
      <c r="AKS1489" s="732"/>
      <c r="AKT1489" s="732"/>
      <c r="AKU1489" s="732"/>
      <c r="AKV1489" s="732"/>
      <c r="AKW1489" s="732"/>
      <c r="AKX1489" s="732"/>
      <c r="AKY1489" s="732"/>
      <c r="AKZ1489" s="732"/>
      <c r="ALA1489" s="732"/>
      <c r="ALB1489" s="732"/>
      <c r="ALC1489" s="732"/>
      <c r="ALD1489" s="732"/>
      <c r="ALE1489" s="732"/>
      <c r="ALF1489" s="732"/>
      <c r="ALG1489" s="732"/>
      <c r="ALH1489" s="732"/>
      <c r="ALI1489" s="732"/>
      <c r="ALJ1489" s="732"/>
      <c r="ALK1489" s="732"/>
      <c r="ALL1489" s="732"/>
      <c r="ALM1489" s="732"/>
      <c r="ALN1489" s="732"/>
      <c r="ALO1489" s="732"/>
      <c r="ALP1489" s="732"/>
      <c r="ALQ1489" s="732"/>
      <c r="ALR1489" s="732"/>
      <c r="ALS1489" s="732"/>
      <c r="ALT1489" s="732"/>
      <c r="ALU1489" s="732"/>
      <c r="ALV1489" s="732"/>
      <c r="ALW1489" s="732"/>
      <c r="ALX1489" s="732"/>
      <c r="ALY1489" s="732"/>
      <c r="ALZ1489" s="732"/>
      <c r="AMA1489" s="732"/>
      <c r="AMB1489" s="732"/>
      <c r="AMC1489" s="732"/>
      <c r="AMD1489" s="732"/>
      <c r="AME1489" s="732"/>
      <c r="AMF1489" s="732"/>
      <c r="AMG1489" s="732"/>
      <c r="AMH1489" s="732"/>
      <c r="AMI1489" s="732"/>
      <c r="AMJ1489" s="732"/>
    </row>
    <row r="1490" spans="1:1024" ht="12.6" customHeight="1" x14ac:dyDescent="0.25">
      <c r="A1490" s="227" t="s">
        <v>2047</v>
      </c>
      <c r="B1490" s="217"/>
      <c r="C1490" s="217"/>
      <c r="D1490" s="217"/>
      <c r="E1490" s="217"/>
      <c r="F1490" s="217"/>
      <c r="G1490" s="217"/>
      <c r="H1490" s="217"/>
      <c r="I1490" s="217"/>
      <c r="J1490" s="217"/>
      <c r="K1490" s="217"/>
      <c r="L1490" s="217"/>
      <c r="M1490" s="217"/>
      <c r="N1490" s="217"/>
      <c r="O1490" s="217"/>
      <c r="P1490" s="217"/>
      <c r="Q1490" s="217"/>
      <c r="R1490" s="217"/>
      <c r="S1490" s="217"/>
      <c r="T1490" s="217"/>
      <c r="U1490" s="217"/>
      <c r="V1490" s="217"/>
      <c r="W1490" s="217"/>
      <c r="X1490" s="217"/>
      <c r="Y1490" s="217"/>
      <c r="Z1490" s="217"/>
      <c r="AA1490" s="217"/>
      <c r="AB1490" s="217"/>
      <c r="AC1490" s="217"/>
      <c r="AD1490" s="217"/>
      <c r="AE1490" s="217"/>
      <c r="AF1490" s="217"/>
      <c r="AG1490" s="217"/>
      <c r="AH1490" s="217"/>
      <c r="AI1490" s="217"/>
      <c r="AJ1490" s="217"/>
      <c r="AK1490" s="217"/>
      <c r="AL1490" s="217"/>
      <c r="AM1490" s="217"/>
      <c r="AN1490" s="217"/>
      <c r="AO1490" s="217"/>
      <c r="AP1490" s="217"/>
      <c r="AQ1490" s="217"/>
      <c r="AR1490" s="217"/>
      <c r="AS1490" s="217"/>
      <c r="AT1490" s="217"/>
      <c r="AU1490" s="217"/>
      <c r="AV1490" s="217"/>
      <c r="AW1490" s="217"/>
      <c r="AX1490" s="217"/>
      <c r="AY1490" s="217"/>
      <c r="AZ1490" s="217"/>
      <c r="BA1490" s="217"/>
      <c r="BB1490" s="338"/>
    </row>
    <row r="1491" spans="1:1024" ht="13.5" customHeight="1" x14ac:dyDescent="0.25">
      <c r="A1491" s="909" t="s">
        <v>2048</v>
      </c>
      <c r="B1491" s="909"/>
      <c r="C1491" s="909"/>
      <c r="D1491" s="909"/>
      <c r="E1491" s="909"/>
      <c r="F1491" s="909"/>
      <c r="G1491" s="909"/>
      <c r="H1491" s="909"/>
      <c r="I1491" s="909"/>
      <c r="J1491" s="909"/>
      <c r="K1491" s="909"/>
      <c r="L1491" s="909"/>
      <c r="M1491" s="909"/>
      <c r="N1491" s="909"/>
      <c r="O1491" s="909"/>
      <c r="P1491" s="909"/>
      <c r="Q1491" s="909"/>
      <c r="R1491" s="909"/>
      <c r="S1491" s="909"/>
      <c r="T1491" s="909"/>
      <c r="U1491" s="909"/>
      <c r="V1491" s="909"/>
      <c r="W1491" s="909"/>
      <c r="X1491" s="909"/>
      <c r="Y1491" s="909"/>
      <c r="Z1491" s="909"/>
      <c r="AA1491" s="909"/>
      <c r="AB1491" s="909"/>
      <c r="AC1491" s="909"/>
      <c r="AD1491" s="909"/>
      <c r="AE1491" s="909"/>
      <c r="AF1491" s="909"/>
      <c r="AG1491" s="909"/>
      <c r="AH1491" s="909"/>
      <c r="AI1491" s="909"/>
      <c r="AJ1491" s="909"/>
      <c r="AK1491" s="909"/>
      <c r="AL1491" s="909"/>
      <c r="AM1491" s="909"/>
      <c r="AN1491" s="909"/>
      <c r="AO1491" s="909"/>
      <c r="AP1491" s="909"/>
      <c r="AQ1491" s="909"/>
      <c r="AR1491" s="909"/>
      <c r="AS1491" s="909"/>
      <c r="AT1491" s="909"/>
      <c r="AU1491" s="909"/>
      <c r="AV1491" s="909"/>
      <c r="AW1491" s="909"/>
      <c r="AX1491" s="909"/>
      <c r="AY1491" s="909"/>
      <c r="AZ1491" s="909"/>
      <c r="BA1491" s="909"/>
      <c r="BB1491" s="320"/>
    </row>
    <row r="1492" spans="1:1024" s="230" customFormat="1" ht="12.6" customHeight="1" x14ac:dyDescent="0.25">
      <c r="A1492" s="732" t="s">
        <v>2049</v>
      </c>
      <c r="B1492" s="732"/>
      <c r="C1492" s="732"/>
      <c r="D1492" s="732"/>
      <c r="E1492" s="732"/>
      <c r="F1492" s="732"/>
      <c r="G1492" s="732"/>
      <c r="H1492" s="732"/>
      <c r="I1492" s="732"/>
      <c r="J1492" s="732"/>
      <c r="K1492" s="732"/>
      <c r="L1492" s="732"/>
      <c r="M1492" s="732"/>
      <c r="N1492" s="732"/>
      <c r="O1492" s="732"/>
      <c r="P1492" s="732"/>
      <c r="Q1492" s="732"/>
      <c r="R1492" s="732"/>
      <c r="S1492" s="732"/>
      <c r="T1492" s="732"/>
      <c r="U1492" s="732"/>
      <c r="V1492" s="732"/>
      <c r="W1492" s="732"/>
      <c r="X1492" s="732"/>
      <c r="Y1492" s="732"/>
      <c r="Z1492" s="732"/>
      <c r="AA1492" s="732"/>
      <c r="AB1492" s="732"/>
      <c r="AC1492" s="732"/>
      <c r="AD1492" s="732"/>
      <c r="AE1492" s="732"/>
      <c r="AF1492" s="732"/>
      <c r="AG1492" s="732"/>
      <c r="AH1492" s="732"/>
      <c r="AI1492" s="732"/>
      <c r="AJ1492" s="732"/>
      <c r="AK1492" s="732"/>
      <c r="AL1492" s="732"/>
      <c r="AM1492" s="732"/>
      <c r="AN1492" s="732"/>
      <c r="AO1492" s="732"/>
      <c r="AP1492" s="732"/>
      <c r="AQ1492" s="732"/>
      <c r="AR1492" s="732"/>
      <c r="AS1492" s="732"/>
      <c r="AT1492" s="732"/>
      <c r="AU1492" s="732"/>
      <c r="AV1492" s="732"/>
      <c r="AW1492" s="732"/>
      <c r="AX1492" s="732"/>
      <c r="AY1492" s="732"/>
      <c r="AZ1492" s="732"/>
      <c r="BA1492" s="732"/>
      <c r="BB1492" s="732"/>
      <c r="BC1492" s="732"/>
      <c r="BD1492" s="732"/>
      <c r="BE1492" s="732"/>
      <c r="BF1492" s="732"/>
      <c r="BG1492" s="732"/>
      <c r="BH1492" s="732"/>
      <c r="BI1492" s="732"/>
      <c r="BJ1492" s="732"/>
      <c r="BK1492" s="732"/>
      <c r="BL1492" s="732"/>
      <c r="BM1492" s="732"/>
      <c r="BN1492" s="732"/>
      <c r="BO1492" s="732"/>
      <c r="BP1492" s="732"/>
      <c r="BQ1492" s="732"/>
      <c r="BR1492" s="732"/>
      <c r="BS1492" s="732"/>
      <c r="BT1492" s="732"/>
      <c r="BU1492" s="732"/>
      <c r="BV1492" s="732"/>
      <c r="BW1492" s="732"/>
      <c r="BX1492" s="732"/>
      <c r="BY1492" s="732"/>
      <c r="BZ1492" s="732"/>
      <c r="CA1492" s="732"/>
      <c r="CB1492" s="732"/>
      <c r="CC1492" s="732"/>
      <c r="CD1492" s="732"/>
      <c r="CE1492" s="732"/>
      <c r="CF1492" s="732"/>
      <c r="CG1492" s="732"/>
      <c r="CH1492" s="732"/>
      <c r="CI1492" s="732"/>
      <c r="CJ1492" s="732"/>
      <c r="CK1492" s="732"/>
      <c r="CL1492" s="732"/>
      <c r="CM1492" s="732"/>
      <c r="CN1492" s="732"/>
      <c r="CO1492" s="732"/>
      <c r="CP1492" s="732"/>
      <c r="CQ1492" s="732"/>
      <c r="CR1492" s="732"/>
      <c r="CS1492" s="732"/>
      <c r="CT1492" s="732"/>
      <c r="CU1492" s="732"/>
      <c r="CV1492" s="732"/>
      <c r="CW1492" s="732"/>
      <c r="CX1492" s="732"/>
      <c r="CY1492" s="732"/>
      <c r="CZ1492" s="732"/>
      <c r="DA1492" s="732"/>
      <c r="DB1492" s="732"/>
      <c r="DC1492" s="732"/>
      <c r="DD1492" s="732"/>
      <c r="DE1492" s="732"/>
      <c r="DF1492" s="732"/>
      <c r="DG1492" s="732"/>
      <c r="DH1492" s="732"/>
      <c r="DI1492" s="732"/>
      <c r="DJ1492" s="732"/>
      <c r="DK1492" s="732"/>
      <c r="DL1492" s="732"/>
      <c r="DM1492" s="732"/>
      <c r="DN1492" s="732"/>
      <c r="DO1492" s="732"/>
      <c r="DP1492" s="732"/>
      <c r="DQ1492" s="732"/>
      <c r="DR1492" s="732"/>
      <c r="DS1492" s="732"/>
      <c r="DT1492" s="732"/>
      <c r="DU1492" s="732"/>
      <c r="DV1492" s="732"/>
      <c r="DW1492" s="732"/>
      <c r="DX1492" s="732"/>
      <c r="DY1492" s="732"/>
      <c r="DZ1492" s="732"/>
      <c r="EA1492" s="732"/>
      <c r="EB1492" s="732"/>
      <c r="EC1492" s="732"/>
      <c r="ED1492" s="732"/>
      <c r="EE1492" s="732"/>
      <c r="EF1492" s="732"/>
      <c r="EG1492" s="732"/>
      <c r="EH1492" s="732"/>
      <c r="EI1492" s="732"/>
      <c r="EJ1492" s="732"/>
      <c r="EK1492" s="732"/>
      <c r="EL1492" s="732"/>
      <c r="EM1492" s="732"/>
      <c r="EN1492" s="732"/>
      <c r="EO1492" s="732"/>
      <c r="EP1492" s="732"/>
      <c r="EQ1492" s="732"/>
      <c r="ER1492" s="732"/>
      <c r="ES1492" s="732"/>
      <c r="ET1492" s="732"/>
      <c r="EU1492" s="732"/>
      <c r="EV1492" s="732"/>
      <c r="EW1492" s="732"/>
      <c r="EX1492" s="732"/>
      <c r="EY1492" s="732"/>
      <c r="EZ1492" s="732"/>
      <c r="FA1492" s="732"/>
      <c r="FB1492" s="732"/>
      <c r="FC1492" s="732"/>
      <c r="FD1492" s="732"/>
      <c r="FE1492" s="732"/>
      <c r="FF1492" s="732"/>
      <c r="FG1492" s="732"/>
      <c r="FH1492" s="732"/>
      <c r="FI1492" s="732"/>
      <c r="FJ1492" s="732"/>
      <c r="FK1492" s="732"/>
      <c r="FL1492" s="732"/>
      <c r="FM1492" s="732"/>
      <c r="FN1492" s="732"/>
      <c r="FO1492" s="732"/>
      <c r="FP1492" s="732"/>
      <c r="FQ1492" s="732"/>
      <c r="FR1492" s="732"/>
      <c r="FS1492" s="732"/>
      <c r="FT1492" s="732"/>
      <c r="FU1492" s="732"/>
      <c r="FV1492" s="732"/>
      <c r="FW1492" s="732"/>
      <c r="FX1492" s="732"/>
      <c r="FY1492" s="732"/>
      <c r="FZ1492" s="732"/>
      <c r="GA1492" s="732"/>
      <c r="GB1492" s="732"/>
      <c r="GC1492" s="732"/>
      <c r="GD1492" s="732"/>
      <c r="GE1492" s="732"/>
      <c r="GF1492" s="732"/>
      <c r="GG1492" s="732"/>
      <c r="GH1492" s="732"/>
      <c r="GI1492" s="732"/>
      <c r="GJ1492" s="732"/>
      <c r="GK1492" s="732"/>
      <c r="GL1492" s="732"/>
      <c r="GM1492" s="732"/>
      <c r="GN1492" s="732"/>
      <c r="GO1492" s="732"/>
      <c r="GP1492" s="732"/>
      <c r="GQ1492" s="732"/>
      <c r="GR1492" s="732"/>
      <c r="GS1492" s="732"/>
      <c r="GT1492" s="732"/>
      <c r="GU1492" s="732"/>
      <c r="GV1492" s="732"/>
      <c r="GW1492" s="732"/>
      <c r="GX1492" s="732"/>
      <c r="GY1492" s="732"/>
      <c r="GZ1492" s="732"/>
      <c r="HA1492" s="732"/>
      <c r="HB1492" s="732"/>
      <c r="HC1492" s="732"/>
      <c r="HD1492" s="732"/>
      <c r="HE1492" s="732"/>
      <c r="HF1492" s="732"/>
      <c r="HG1492" s="732"/>
      <c r="HH1492" s="732"/>
      <c r="HI1492" s="732"/>
      <c r="HJ1492" s="732"/>
      <c r="HK1492" s="732"/>
      <c r="HL1492" s="732"/>
      <c r="HM1492" s="732"/>
      <c r="HN1492" s="732"/>
      <c r="HO1492" s="732"/>
      <c r="HP1492" s="732"/>
      <c r="HQ1492" s="732"/>
      <c r="HR1492" s="732"/>
      <c r="HS1492" s="732"/>
      <c r="HT1492" s="732"/>
      <c r="HU1492" s="732"/>
      <c r="HV1492" s="732"/>
      <c r="HW1492" s="732"/>
      <c r="HX1492" s="732"/>
      <c r="HY1492" s="732"/>
      <c r="HZ1492" s="732"/>
      <c r="IA1492" s="732"/>
      <c r="IB1492" s="732"/>
      <c r="IC1492" s="732"/>
      <c r="ID1492" s="732"/>
      <c r="IE1492" s="732"/>
      <c r="IF1492" s="732"/>
      <c r="IG1492" s="732"/>
      <c r="IH1492" s="732"/>
      <c r="II1492" s="732"/>
      <c r="IJ1492" s="732"/>
      <c r="IK1492" s="732"/>
      <c r="IL1492" s="732"/>
      <c r="IM1492" s="732"/>
      <c r="IN1492" s="732"/>
      <c r="IO1492" s="732"/>
      <c r="IP1492" s="732"/>
      <c r="IQ1492" s="732"/>
      <c r="IR1492" s="732"/>
      <c r="IS1492" s="732"/>
      <c r="IT1492" s="732"/>
      <c r="IU1492" s="732"/>
      <c r="IV1492" s="732"/>
      <c r="IW1492" s="732"/>
      <c r="IX1492" s="732"/>
      <c r="IY1492" s="732"/>
      <c r="IZ1492" s="732"/>
      <c r="JA1492" s="732"/>
      <c r="JB1492" s="732"/>
      <c r="JC1492" s="732"/>
      <c r="JD1492" s="732"/>
      <c r="JE1492" s="732"/>
      <c r="JF1492" s="732"/>
      <c r="JG1492" s="732"/>
      <c r="JH1492" s="732"/>
      <c r="JI1492" s="732"/>
      <c r="JJ1492" s="732"/>
      <c r="JK1492" s="732"/>
      <c r="JL1492" s="732"/>
      <c r="JM1492" s="732"/>
      <c r="JN1492" s="732"/>
      <c r="JO1492" s="732"/>
      <c r="JP1492" s="732"/>
      <c r="JQ1492" s="732"/>
      <c r="JR1492" s="732"/>
      <c r="JS1492" s="732"/>
      <c r="JT1492" s="732"/>
      <c r="JU1492" s="732"/>
      <c r="JV1492" s="732"/>
      <c r="JW1492" s="732"/>
      <c r="JX1492" s="732"/>
      <c r="JY1492" s="732"/>
      <c r="JZ1492" s="732"/>
      <c r="KA1492" s="732"/>
      <c r="KB1492" s="732"/>
      <c r="KC1492" s="732"/>
      <c r="KD1492" s="732"/>
      <c r="KE1492" s="732"/>
      <c r="KF1492" s="732"/>
      <c r="KG1492" s="732"/>
      <c r="KH1492" s="732"/>
      <c r="KI1492" s="732"/>
      <c r="KJ1492" s="732"/>
      <c r="KK1492" s="732"/>
      <c r="KL1492" s="732"/>
      <c r="KM1492" s="732"/>
      <c r="KN1492" s="732"/>
      <c r="KO1492" s="732"/>
      <c r="KP1492" s="732"/>
      <c r="KQ1492" s="732"/>
      <c r="KR1492" s="732"/>
      <c r="KS1492" s="732"/>
      <c r="KT1492" s="732"/>
      <c r="KU1492" s="732"/>
      <c r="KV1492" s="732"/>
      <c r="KW1492" s="732"/>
      <c r="KX1492" s="732"/>
      <c r="KY1492" s="732"/>
      <c r="KZ1492" s="732"/>
      <c r="LA1492" s="732"/>
      <c r="LB1492" s="732"/>
      <c r="LC1492" s="732"/>
      <c r="LD1492" s="732"/>
      <c r="LE1492" s="732"/>
      <c r="LF1492" s="732"/>
      <c r="LG1492" s="732"/>
      <c r="LH1492" s="732"/>
      <c r="LI1492" s="732"/>
      <c r="LJ1492" s="732"/>
      <c r="LK1492" s="732"/>
      <c r="LL1492" s="732"/>
      <c r="LM1492" s="732"/>
      <c r="LN1492" s="732"/>
      <c r="LO1492" s="732"/>
      <c r="LP1492" s="732"/>
      <c r="LQ1492" s="732"/>
      <c r="LR1492" s="732"/>
      <c r="LS1492" s="732"/>
      <c r="LT1492" s="732"/>
      <c r="LU1492" s="732"/>
      <c r="LV1492" s="732"/>
      <c r="LW1492" s="732"/>
      <c r="LX1492" s="732"/>
      <c r="LY1492" s="732"/>
      <c r="LZ1492" s="732"/>
      <c r="MA1492" s="732"/>
      <c r="MB1492" s="732"/>
      <c r="MC1492" s="732"/>
      <c r="MD1492" s="732"/>
      <c r="ME1492" s="732"/>
      <c r="MF1492" s="732"/>
      <c r="MG1492" s="732"/>
      <c r="MH1492" s="732"/>
      <c r="MI1492" s="732"/>
      <c r="MJ1492" s="732"/>
      <c r="MK1492" s="732"/>
      <c r="ML1492" s="732"/>
      <c r="MM1492" s="732"/>
      <c r="MN1492" s="732"/>
      <c r="MO1492" s="732"/>
      <c r="MP1492" s="732"/>
      <c r="MQ1492" s="732"/>
      <c r="MR1492" s="732"/>
      <c r="MS1492" s="732"/>
      <c r="MT1492" s="732"/>
      <c r="MU1492" s="732"/>
      <c r="MV1492" s="732"/>
      <c r="MW1492" s="732"/>
      <c r="MX1492" s="732"/>
      <c r="MY1492" s="732"/>
      <c r="MZ1492" s="732"/>
      <c r="NA1492" s="732"/>
      <c r="NB1492" s="732"/>
      <c r="NC1492" s="732"/>
      <c r="ND1492" s="732"/>
      <c r="NE1492" s="732"/>
      <c r="NF1492" s="732"/>
      <c r="NG1492" s="732"/>
      <c r="NH1492" s="732"/>
      <c r="NI1492" s="732"/>
      <c r="NJ1492" s="732"/>
      <c r="NK1492" s="732"/>
      <c r="NL1492" s="732"/>
      <c r="NM1492" s="732"/>
      <c r="NN1492" s="732"/>
      <c r="NO1492" s="732"/>
      <c r="NP1492" s="732"/>
      <c r="NQ1492" s="732"/>
      <c r="NR1492" s="732"/>
      <c r="NS1492" s="732"/>
      <c r="NT1492" s="732"/>
      <c r="NU1492" s="732"/>
      <c r="NV1492" s="732"/>
      <c r="NW1492" s="732"/>
      <c r="NX1492" s="732"/>
      <c r="NY1492" s="732"/>
      <c r="NZ1492" s="732"/>
      <c r="OA1492" s="732"/>
      <c r="OB1492" s="732"/>
      <c r="OC1492" s="732"/>
      <c r="OD1492" s="732"/>
      <c r="OE1492" s="732"/>
      <c r="OF1492" s="732"/>
      <c r="OG1492" s="732"/>
      <c r="OH1492" s="732"/>
      <c r="OI1492" s="732"/>
      <c r="OJ1492" s="732"/>
      <c r="OK1492" s="732"/>
      <c r="OL1492" s="732"/>
      <c r="OM1492" s="732"/>
      <c r="ON1492" s="732"/>
      <c r="OO1492" s="732"/>
      <c r="OP1492" s="732"/>
      <c r="OQ1492" s="732"/>
      <c r="OR1492" s="732"/>
      <c r="OS1492" s="732"/>
      <c r="OT1492" s="732"/>
      <c r="OU1492" s="732"/>
      <c r="OV1492" s="732"/>
      <c r="OW1492" s="732"/>
      <c r="OX1492" s="732"/>
      <c r="OY1492" s="732"/>
      <c r="OZ1492" s="732"/>
      <c r="PA1492" s="732"/>
      <c r="PB1492" s="732"/>
      <c r="PC1492" s="732"/>
      <c r="PD1492" s="732"/>
      <c r="PE1492" s="732"/>
      <c r="PF1492" s="732"/>
      <c r="PG1492" s="732"/>
      <c r="PH1492" s="732"/>
      <c r="PI1492" s="732"/>
      <c r="PJ1492" s="732"/>
      <c r="PK1492" s="732"/>
      <c r="PL1492" s="732"/>
      <c r="PM1492" s="732"/>
      <c r="PN1492" s="732"/>
      <c r="PO1492" s="732"/>
      <c r="PP1492" s="732"/>
      <c r="PQ1492" s="732"/>
      <c r="PR1492" s="732"/>
      <c r="PS1492" s="732"/>
      <c r="PT1492" s="732"/>
      <c r="PU1492" s="732"/>
      <c r="PV1492" s="732"/>
      <c r="PW1492" s="732"/>
      <c r="PX1492" s="732"/>
      <c r="PY1492" s="732"/>
      <c r="PZ1492" s="732"/>
      <c r="QA1492" s="732"/>
      <c r="QB1492" s="732"/>
      <c r="QC1492" s="732"/>
      <c r="QD1492" s="732"/>
      <c r="QE1492" s="732"/>
      <c r="QF1492" s="732"/>
      <c r="QG1492" s="732"/>
      <c r="QH1492" s="732"/>
      <c r="QI1492" s="732"/>
      <c r="QJ1492" s="732"/>
      <c r="QK1492" s="732"/>
      <c r="QL1492" s="732"/>
      <c r="QM1492" s="732"/>
      <c r="QN1492" s="732"/>
      <c r="QO1492" s="732"/>
      <c r="QP1492" s="732"/>
      <c r="QQ1492" s="732"/>
      <c r="QR1492" s="732"/>
      <c r="QS1492" s="732"/>
      <c r="QT1492" s="732"/>
      <c r="QU1492" s="732"/>
      <c r="QV1492" s="732"/>
      <c r="QW1492" s="732"/>
      <c r="QX1492" s="732"/>
      <c r="QY1492" s="732"/>
      <c r="QZ1492" s="732"/>
      <c r="RA1492" s="732"/>
      <c r="RB1492" s="732"/>
      <c r="RC1492" s="732"/>
      <c r="RD1492" s="732"/>
      <c r="RE1492" s="732"/>
      <c r="RF1492" s="732"/>
      <c r="RG1492" s="732"/>
      <c r="RH1492" s="732"/>
      <c r="RI1492" s="732"/>
      <c r="RJ1492" s="732"/>
      <c r="RK1492" s="732"/>
      <c r="RL1492" s="732"/>
      <c r="RM1492" s="732"/>
      <c r="RN1492" s="732"/>
      <c r="RO1492" s="732"/>
      <c r="RP1492" s="732"/>
      <c r="RQ1492" s="732"/>
      <c r="RR1492" s="732"/>
      <c r="RS1492" s="732"/>
      <c r="RT1492" s="732"/>
      <c r="RU1492" s="732"/>
      <c r="RV1492" s="732"/>
      <c r="RW1492" s="732"/>
      <c r="RX1492" s="732"/>
      <c r="RY1492" s="732"/>
      <c r="RZ1492" s="732"/>
      <c r="SA1492" s="732"/>
      <c r="SB1492" s="732"/>
      <c r="SC1492" s="732"/>
      <c r="SD1492" s="732"/>
      <c r="SE1492" s="732"/>
      <c r="SF1492" s="732"/>
      <c r="SG1492" s="732"/>
      <c r="SH1492" s="732"/>
      <c r="SI1492" s="732"/>
      <c r="SJ1492" s="732"/>
      <c r="SK1492" s="732"/>
      <c r="SL1492" s="732"/>
      <c r="SM1492" s="732"/>
      <c r="SN1492" s="732"/>
      <c r="SO1492" s="732"/>
      <c r="SP1492" s="732"/>
      <c r="SQ1492" s="732"/>
      <c r="SR1492" s="732"/>
      <c r="SS1492" s="732"/>
      <c r="ST1492" s="732"/>
      <c r="SU1492" s="732"/>
      <c r="SV1492" s="732"/>
      <c r="SW1492" s="732"/>
      <c r="SX1492" s="732"/>
      <c r="SY1492" s="732"/>
      <c r="SZ1492" s="732"/>
      <c r="TA1492" s="732"/>
      <c r="TB1492" s="732"/>
      <c r="TC1492" s="732"/>
      <c r="TD1492" s="732"/>
      <c r="TE1492" s="732"/>
      <c r="TF1492" s="732"/>
      <c r="TG1492" s="732"/>
      <c r="TH1492" s="732"/>
      <c r="TI1492" s="732"/>
      <c r="TJ1492" s="732"/>
      <c r="TK1492" s="732"/>
      <c r="TL1492" s="732"/>
      <c r="TM1492" s="732"/>
      <c r="TN1492" s="732"/>
      <c r="TO1492" s="732"/>
      <c r="TP1492" s="732"/>
      <c r="TQ1492" s="732"/>
      <c r="TR1492" s="732"/>
      <c r="TS1492" s="732"/>
      <c r="TT1492" s="732"/>
      <c r="TU1492" s="732"/>
      <c r="TV1492" s="732"/>
      <c r="TW1492" s="732"/>
      <c r="TX1492" s="732"/>
      <c r="TY1492" s="732"/>
      <c r="TZ1492" s="732"/>
      <c r="UA1492" s="732"/>
      <c r="UB1492" s="732"/>
      <c r="UC1492" s="732"/>
      <c r="UD1492" s="732"/>
      <c r="UE1492" s="732"/>
      <c r="UF1492" s="732"/>
      <c r="UG1492" s="732"/>
      <c r="UH1492" s="732"/>
      <c r="UI1492" s="732"/>
      <c r="UJ1492" s="732"/>
      <c r="UK1492" s="732"/>
      <c r="UL1492" s="732"/>
      <c r="UM1492" s="732"/>
      <c r="UN1492" s="732"/>
      <c r="UO1492" s="732"/>
      <c r="UP1492" s="732"/>
      <c r="UQ1492" s="732"/>
      <c r="UR1492" s="732"/>
      <c r="US1492" s="732"/>
      <c r="UT1492" s="732"/>
      <c r="UU1492" s="732"/>
      <c r="UV1492" s="732"/>
      <c r="UW1492" s="732"/>
      <c r="UX1492" s="732"/>
      <c r="UY1492" s="732"/>
      <c r="UZ1492" s="732"/>
      <c r="VA1492" s="732"/>
      <c r="VB1492" s="732"/>
      <c r="VC1492" s="732"/>
      <c r="VD1492" s="732"/>
      <c r="VE1492" s="732"/>
      <c r="VF1492" s="732"/>
      <c r="VG1492" s="732"/>
      <c r="VH1492" s="732"/>
      <c r="VI1492" s="732"/>
      <c r="VJ1492" s="732"/>
      <c r="VK1492" s="732"/>
      <c r="VL1492" s="732"/>
      <c r="VM1492" s="732"/>
      <c r="VN1492" s="732"/>
      <c r="VO1492" s="732"/>
      <c r="VP1492" s="732"/>
      <c r="VQ1492" s="732"/>
      <c r="VR1492" s="732"/>
      <c r="VS1492" s="732"/>
      <c r="VT1492" s="732"/>
      <c r="VU1492" s="732"/>
      <c r="VV1492" s="732"/>
      <c r="VW1492" s="732"/>
      <c r="VX1492" s="732"/>
      <c r="VY1492" s="732"/>
      <c r="VZ1492" s="732"/>
      <c r="WA1492" s="732"/>
      <c r="WB1492" s="732"/>
      <c r="WC1492" s="732"/>
      <c r="WD1492" s="732"/>
      <c r="WE1492" s="732"/>
      <c r="WF1492" s="732"/>
      <c r="WG1492" s="732"/>
      <c r="WH1492" s="732"/>
      <c r="WI1492" s="732"/>
      <c r="WJ1492" s="732"/>
      <c r="WK1492" s="732"/>
      <c r="WL1492" s="732"/>
      <c r="WM1492" s="732"/>
      <c r="WN1492" s="732"/>
      <c r="WO1492" s="732"/>
      <c r="WP1492" s="732"/>
      <c r="WQ1492" s="732"/>
      <c r="WR1492" s="732"/>
      <c r="WS1492" s="732"/>
      <c r="WT1492" s="732"/>
      <c r="WU1492" s="732"/>
      <c r="WV1492" s="732"/>
      <c r="WW1492" s="732"/>
      <c r="WX1492" s="732"/>
      <c r="WY1492" s="732"/>
      <c r="WZ1492" s="732"/>
      <c r="XA1492" s="732"/>
      <c r="XB1492" s="732"/>
      <c r="XC1492" s="732"/>
      <c r="XD1492" s="732"/>
      <c r="XE1492" s="732"/>
      <c r="XF1492" s="732"/>
      <c r="XG1492" s="732"/>
      <c r="XH1492" s="732"/>
      <c r="XI1492" s="732"/>
      <c r="XJ1492" s="732"/>
      <c r="XK1492" s="732"/>
      <c r="XL1492" s="732"/>
      <c r="XM1492" s="732"/>
      <c r="XN1492" s="732"/>
      <c r="XO1492" s="732"/>
      <c r="XP1492" s="732"/>
      <c r="XQ1492" s="732"/>
      <c r="XR1492" s="732"/>
      <c r="XS1492" s="732"/>
      <c r="XT1492" s="732"/>
      <c r="XU1492" s="732"/>
      <c r="XV1492" s="732"/>
      <c r="XW1492" s="732"/>
      <c r="XX1492" s="732"/>
      <c r="XY1492" s="732"/>
      <c r="XZ1492" s="732"/>
      <c r="YA1492" s="732"/>
      <c r="YB1492" s="732"/>
      <c r="YC1492" s="732"/>
      <c r="YD1492" s="732"/>
      <c r="YE1492" s="732"/>
      <c r="YF1492" s="732"/>
      <c r="YG1492" s="732"/>
      <c r="YH1492" s="732"/>
      <c r="YI1492" s="732"/>
      <c r="YJ1492" s="732"/>
      <c r="YK1492" s="732"/>
      <c r="YL1492" s="732"/>
      <c r="YM1492" s="732"/>
      <c r="YN1492" s="732"/>
      <c r="YO1492" s="732"/>
      <c r="YP1492" s="732"/>
      <c r="YQ1492" s="732"/>
      <c r="YR1492" s="732"/>
      <c r="YS1492" s="732"/>
      <c r="YT1492" s="732"/>
      <c r="YU1492" s="732"/>
      <c r="YV1492" s="732"/>
      <c r="YW1492" s="732"/>
      <c r="YX1492" s="732"/>
      <c r="YY1492" s="732"/>
      <c r="YZ1492" s="732"/>
      <c r="ZA1492" s="732"/>
      <c r="ZB1492" s="732"/>
      <c r="ZC1492" s="732"/>
      <c r="ZD1492" s="732"/>
      <c r="ZE1492" s="732"/>
      <c r="ZF1492" s="732"/>
      <c r="ZG1492" s="732"/>
      <c r="ZH1492" s="732"/>
      <c r="ZI1492" s="732"/>
      <c r="ZJ1492" s="732"/>
      <c r="ZK1492" s="732"/>
      <c r="ZL1492" s="732"/>
      <c r="ZM1492" s="732"/>
      <c r="ZN1492" s="732"/>
      <c r="ZO1492" s="732"/>
      <c r="ZP1492" s="732"/>
      <c r="ZQ1492" s="732"/>
      <c r="ZR1492" s="732"/>
      <c r="ZS1492" s="732"/>
      <c r="ZT1492" s="732"/>
      <c r="ZU1492" s="732"/>
      <c r="ZV1492" s="732"/>
      <c r="ZW1492" s="732"/>
      <c r="ZX1492" s="732"/>
      <c r="ZY1492" s="732"/>
      <c r="ZZ1492" s="732"/>
      <c r="AAA1492" s="732"/>
      <c r="AAB1492" s="732"/>
      <c r="AAC1492" s="732"/>
      <c r="AAD1492" s="732"/>
      <c r="AAE1492" s="732"/>
      <c r="AAF1492" s="732"/>
      <c r="AAG1492" s="732"/>
      <c r="AAH1492" s="732"/>
      <c r="AAI1492" s="732"/>
      <c r="AAJ1492" s="732"/>
      <c r="AAK1492" s="732"/>
      <c r="AAL1492" s="732"/>
      <c r="AAM1492" s="732"/>
      <c r="AAN1492" s="732"/>
      <c r="AAO1492" s="732"/>
      <c r="AAP1492" s="732"/>
      <c r="AAQ1492" s="732"/>
      <c r="AAR1492" s="732"/>
      <c r="AAS1492" s="732"/>
      <c r="AAT1492" s="732"/>
      <c r="AAU1492" s="732"/>
      <c r="AAV1492" s="732"/>
      <c r="AAW1492" s="732"/>
      <c r="AAX1492" s="732"/>
      <c r="AAY1492" s="732"/>
      <c r="AAZ1492" s="732"/>
      <c r="ABA1492" s="732"/>
      <c r="ABB1492" s="732"/>
      <c r="ABC1492" s="732"/>
      <c r="ABD1492" s="732"/>
      <c r="ABE1492" s="732"/>
      <c r="ABF1492" s="732"/>
      <c r="ABG1492" s="732"/>
      <c r="ABH1492" s="732"/>
      <c r="ABI1492" s="732"/>
      <c r="ABJ1492" s="732"/>
      <c r="ABK1492" s="732"/>
      <c r="ABL1492" s="732"/>
      <c r="ABM1492" s="732"/>
      <c r="ABN1492" s="732"/>
      <c r="ABO1492" s="732"/>
      <c r="ABP1492" s="732"/>
      <c r="ABQ1492" s="732"/>
      <c r="ABR1492" s="732"/>
      <c r="ABS1492" s="732"/>
      <c r="ABT1492" s="732"/>
      <c r="ABU1492" s="732"/>
      <c r="ABV1492" s="732"/>
      <c r="ABW1492" s="732"/>
      <c r="ABX1492" s="732"/>
      <c r="ABY1492" s="732"/>
      <c r="ABZ1492" s="732"/>
      <c r="ACA1492" s="732"/>
      <c r="ACB1492" s="732"/>
      <c r="ACC1492" s="732"/>
      <c r="ACD1492" s="732"/>
      <c r="ACE1492" s="732"/>
      <c r="ACF1492" s="732"/>
      <c r="ACG1492" s="732"/>
      <c r="ACH1492" s="732"/>
      <c r="ACI1492" s="732"/>
      <c r="ACJ1492" s="732"/>
      <c r="ACK1492" s="732"/>
      <c r="ACL1492" s="732"/>
      <c r="ACM1492" s="732"/>
      <c r="ACN1492" s="732"/>
      <c r="ACO1492" s="732"/>
      <c r="ACP1492" s="732"/>
      <c r="ACQ1492" s="732"/>
      <c r="ACR1492" s="732"/>
      <c r="ACS1492" s="732"/>
      <c r="ACT1492" s="732"/>
      <c r="ACU1492" s="732"/>
      <c r="ACV1492" s="732"/>
      <c r="ACW1492" s="732"/>
      <c r="ACX1492" s="732"/>
      <c r="ACY1492" s="732"/>
      <c r="ACZ1492" s="732"/>
      <c r="ADA1492" s="732"/>
      <c r="ADB1492" s="732"/>
      <c r="ADC1492" s="732"/>
      <c r="ADD1492" s="732"/>
      <c r="ADE1492" s="732"/>
      <c r="ADF1492" s="732"/>
      <c r="ADG1492" s="732"/>
      <c r="ADH1492" s="732"/>
      <c r="ADI1492" s="732"/>
      <c r="ADJ1492" s="732"/>
      <c r="ADK1492" s="732"/>
      <c r="ADL1492" s="732"/>
      <c r="ADM1492" s="732"/>
      <c r="ADN1492" s="732"/>
      <c r="ADO1492" s="732"/>
      <c r="ADP1492" s="732"/>
      <c r="ADQ1492" s="732"/>
      <c r="ADR1492" s="732"/>
      <c r="ADS1492" s="732"/>
      <c r="ADT1492" s="732"/>
      <c r="ADU1492" s="732"/>
      <c r="ADV1492" s="732"/>
      <c r="ADW1492" s="732"/>
      <c r="ADX1492" s="732"/>
      <c r="ADY1492" s="732"/>
      <c r="ADZ1492" s="732"/>
      <c r="AEA1492" s="732"/>
      <c r="AEB1492" s="732"/>
      <c r="AEC1492" s="732"/>
      <c r="AED1492" s="732"/>
      <c r="AEE1492" s="732"/>
      <c r="AEF1492" s="732"/>
      <c r="AEG1492" s="732"/>
      <c r="AEH1492" s="732"/>
      <c r="AEI1492" s="732"/>
      <c r="AEJ1492" s="732"/>
      <c r="AEK1492" s="732"/>
      <c r="AEL1492" s="732"/>
      <c r="AEM1492" s="732"/>
      <c r="AEN1492" s="732"/>
      <c r="AEO1492" s="732"/>
      <c r="AEP1492" s="732"/>
      <c r="AEQ1492" s="732"/>
      <c r="AER1492" s="732"/>
      <c r="AES1492" s="732"/>
      <c r="AET1492" s="732"/>
      <c r="AEU1492" s="732"/>
      <c r="AEV1492" s="732"/>
      <c r="AEW1492" s="732"/>
      <c r="AEX1492" s="732"/>
      <c r="AEY1492" s="732"/>
      <c r="AEZ1492" s="732"/>
      <c r="AFA1492" s="732"/>
      <c r="AFB1492" s="732"/>
      <c r="AFC1492" s="732"/>
      <c r="AFD1492" s="732"/>
      <c r="AFE1492" s="732"/>
      <c r="AFF1492" s="732"/>
      <c r="AFG1492" s="732"/>
      <c r="AFH1492" s="732"/>
      <c r="AFI1492" s="732"/>
      <c r="AFJ1492" s="732"/>
      <c r="AFK1492" s="732"/>
      <c r="AFL1492" s="732"/>
      <c r="AFM1492" s="732"/>
      <c r="AFN1492" s="732"/>
      <c r="AFO1492" s="732"/>
      <c r="AFP1492" s="732"/>
      <c r="AFQ1492" s="732"/>
      <c r="AFR1492" s="732"/>
      <c r="AFS1492" s="732"/>
      <c r="AFT1492" s="732"/>
      <c r="AFU1492" s="732"/>
      <c r="AFV1492" s="732"/>
      <c r="AFW1492" s="732"/>
      <c r="AFX1492" s="732"/>
      <c r="AFY1492" s="732"/>
      <c r="AFZ1492" s="732"/>
      <c r="AGA1492" s="732"/>
      <c r="AGB1492" s="732"/>
      <c r="AGC1492" s="732"/>
      <c r="AGD1492" s="732"/>
      <c r="AGE1492" s="732"/>
      <c r="AGF1492" s="732"/>
      <c r="AGG1492" s="732"/>
      <c r="AGH1492" s="732"/>
      <c r="AGI1492" s="732"/>
      <c r="AGJ1492" s="732"/>
      <c r="AGK1492" s="732"/>
      <c r="AGL1492" s="732"/>
      <c r="AGM1492" s="732"/>
      <c r="AGN1492" s="732"/>
      <c r="AGO1492" s="732"/>
      <c r="AGP1492" s="732"/>
      <c r="AGQ1492" s="732"/>
      <c r="AGR1492" s="732"/>
      <c r="AGS1492" s="732"/>
      <c r="AGT1492" s="732"/>
      <c r="AGU1492" s="732"/>
      <c r="AGV1492" s="732"/>
      <c r="AGW1492" s="732"/>
      <c r="AGX1492" s="732"/>
      <c r="AGY1492" s="732"/>
      <c r="AGZ1492" s="732"/>
      <c r="AHA1492" s="732"/>
      <c r="AHB1492" s="732"/>
      <c r="AHC1492" s="732"/>
      <c r="AHD1492" s="732"/>
      <c r="AHE1492" s="732"/>
      <c r="AHF1492" s="732"/>
      <c r="AHG1492" s="732"/>
      <c r="AHH1492" s="732"/>
      <c r="AHI1492" s="732"/>
      <c r="AHJ1492" s="732"/>
      <c r="AHK1492" s="732"/>
      <c r="AHL1492" s="732"/>
      <c r="AHM1492" s="732"/>
      <c r="AHN1492" s="732"/>
      <c r="AHO1492" s="732"/>
      <c r="AHP1492" s="732"/>
      <c r="AHQ1492" s="732"/>
      <c r="AHR1492" s="732"/>
      <c r="AHS1492" s="732"/>
      <c r="AHT1492" s="732"/>
      <c r="AHU1492" s="732"/>
      <c r="AHV1492" s="732"/>
      <c r="AHW1492" s="732"/>
      <c r="AHX1492" s="732"/>
      <c r="AHY1492" s="732"/>
      <c r="AHZ1492" s="732"/>
      <c r="AIA1492" s="732"/>
      <c r="AIB1492" s="732"/>
      <c r="AIC1492" s="732"/>
      <c r="AID1492" s="732"/>
      <c r="AIE1492" s="732"/>
      <c r="AIF1492" s="732"/>
      <c r="AIG1492" s="732"/>
      <c r="AIH1492" s="732"/>
      <c r="AII1492" s="732"/>
      <c r="AIJ1492" s="732"/>
      <c r="AIK1492" s="732"/>
      <c r="AIL1492" s="732"/>
      <c r="AIM1492" s="732"/>
      <c r="AIN1492" s="732"/>
      <c r="AIO1492" s="732"/>
      <c r="AIP1492" s="732"/>
      <c r="AIQ1492" s="732"/>
      <c r="AIR1492" s="732"/>
      <c r="AIS1492" s="732"/>
      <c r="AIT1492" s="732"/>
      <c r="AIU1492" s="732"/>
      <c r="AIV1492" s="732"/>
      <c r="AIW1492" s="732"/>
      <c r="AIX1492" s="732"/>
      <c r="AIY1492" s="732"/>
      <c r="AIZ1492" s="732"/>
      <c r="AJA1492" s="732"/>
      <c r="AJB1492" s="732"/>
      <c r="AJC1492" s="732"/>
      <c r="AJD1492" s="732"/>
      <c r="AJE1492" s="732"/>
      <c r="AJF1492" s="732"/>
      <c r="AJG1492" s="732"/>
      <c r="AJH1492" s="732"/>
      <c r="AJI1492" s="732"/>
      <c r="AJJ1492" s="732"/>
      <c r="AJK1492" s="732"/>
      <c r="AJL1492" s="732"/>
      <c r="AJM1492" s="732"/>
      <c r="AJN1492" s="732"/>
      <c r="AJO1492" s="732"/>
      <c r="AJP1492" s="732"/>
      <c r="AJQ1492" s="732"/>
      <c r="AJR1492" s="732"/>
      <c r="AJS1492" s="732"/>
      <c r="AJT1492" s="732"/>
      <c r="AJU1492" s="732"/>
      <c r="AJV1492" s="732"/>
      <c r="AJW1492" s="732"/>
      <c r="AJX1492" s="732"/>
      <c r="AJY1492" s="732"/>
      <c r="AJZ1492" s="732"/>
      <c r="AKA1492" s="732"/>
      <c r="AKB1492" s="732"/>
      <c r="AKC1492" s="732"/>
      <c r="AKD1492" s="732"/>
      <c r="AKE1492" s="732"/>
      <c r="AKF1492" s="732"/>
      <c r="AKG1492" s="732"/>
      <c r="AKH1492" s="732"/>
      <c r="AKI1492" s="732"/>
      <c r="AKJ1492" s="732"/>
      <c r="AKK1492" s="732"/>
      <c r="AKL1492" s="732"/>
      <c r="AKM1492" s="732"/>
      <c r="AKN1492" s="732"/>
      <c r="AKO1492" s="732"/>
      <c r="AKP1492" s="732"/>
      <c r="AKQ1492" s="732"/>
      <c r="AKR1492" s="732"/>
      <c r="AKS1492" s="732"/>
      <c r="AKT1492" s="732"/>
      <c r="AKU1492" s="732"/>
      <c r="AKV1492" s="732"/>
      <c r="AKW1492" s="732"/>
      <c r="AKX1492" s="732"/>
      <c r="AKY1492" s="732"/>
      <c r="AKZ1492" s="732"/>
      <c r="ALA1492" s="732"/>
      <c r="ALB1492" s="732"/>
      <c r="ALC1492" s="732"/>
      <c r="ALD1492" s="732"/>
      <c r="ALE1492" s="732"/>
      <c r="ALF1492" s="732"/>
      <c r="ALG1492" s="732"/>
      <c r="ALH1492" s="732"/>
      <c r="ALI1492" s="732"/>
      <c r="ALJ1492" s="732"/>
      <c r="ALK1492" s="732"/>
      <c r="ALL1492" s="732"/>
      <c r="ALM1492" s="732"/>
      <c r="ALN1492" s="732"/>
      <c r="ALO1492" s="732"/>
      <c r="ALP1492" s="732"/>
      <c r="ALQ1492" s="732"/>
      <c r="ALR1492" s="732"/>
      <c r="ALS1492" s="732"/>
      <c r="ALT1492" s="732"/>
      <c r="ALU1492" s="732"/>
      <c r="ALV1492" s="732"/>
      <c r="ALW1492" s="732"/>
      <c r="ALX1492" s="732"/>
      <c r="ALY1492" s="732"/>
      <c r="ALZ1492" s="732"/>
      <c r="AMA1492" s="732"/>
      <c r="AMB1492" s="732"/>
      <c r="AMC1492" s="732"/>
      <c r="AMD1492" s="732"/>
      <c r="AME1492" s="732"/>
      <c r="AMF1492" s="732"/>
      <c r="AMG1492" s="732"/>
      <c r="AMH1492" s="732"/>
      <c r="AMI1492" s="732"/>
      <c r="AMJ1492" s="732"/>
    </row>
    <row r="1493" spans="1:1024" ht="24" customHeight="1" x14ac:dyDescent="0.25">
      <c r="A1493" s="853" t="s">
        <v>2050</v>
      </c>
      <c r="B1493" s="853"/>
      <c r="C1493" s="853"/>
      <c r="D1493" s="853"/>
      <c r="E1493" s="853"/>
      <c r="F1493" s="853"/>
      <c r="G1493" s="853"/>
      <c r="H1493" s="853"/>
      <c r="I1493" s="853"/>
      <c r="J1493" s="853"/>
      <c r="K1493" s="853"/>
      <c r="L1493" s="853"/>
      <c r="M1493" s="853"/>
      <c r="N1493" s="853"/>
      <c r="O1493" s="853"/>
      <c r="P1493" s="853"/>
      <c r="Q1493" s="853"/>
      <c r="R1493" s="853"/>
      <c r="S1493" s="853"/>
      <c r="T1493" s="853"/>
      <c r="U1493" s="853"/>
      <c r="V1493" s="853"/>
      <c r="W1493" s="853"/>
      <c r="X1493" s="853"/>
      <c r="Y1493" s="853"/>
      <c r="Z1493" s="853"/>
      <c r="AA1493" s="853"/>
      <c r="AB1493" s="853"/>
      <c r="AC1493" s="853"/>
      <c r="AD1493" s="853"/>
      <c r="AE1493" s="853"/>
      <c r="AF1493" s="854" t="s">
        <v>1288</v>
      </c>
      <c r="AG1493" s="854"/>
      <c r="AH1493" s="854"/>
      <c r="AI1493" s="854"/>
      <c r="AJ1493" s="854"/>
      <c r="AK1493" s="854"/>
      <c r="AL1493" s="854"/>
      <c r="AM1493" s="854"/>
      <c r="AN1493" s="854"/>
      <c r="AO1493" s="855" t="s">
        <v>2051</v>
      </c>
      <c r="AP1493" s="855"/>
      <c r="AQ1493" s="855"/>
      <c r="AR1493" s="855"/>
      <c r="AS1493" s="855"/>
      <c r="AT1493" s="855"/>
      <c r="AU1493" s="855"/>
      <c r="AV1493" s="855"/>
      <c r="AW1493" s="855"/>
      <c r="AX1493" s="855"/>
      <c r="AY1493" s="855"/>
      <c r="AZ1493" s="855"/>
      <c r="BA1493" s="855"/>
      <c r="BB1493" s="855"/>
    </row>
    <row r="1494" spans="1:1024" ht="12.6" customHeight="1" x14ac:dyDescent="0.25">
      <c r="A1494" s="859" t="s">
        <v>2052</v>
      </c>
      <c r="B1494" s="859"/>
      <c r="C1494" s="859"/>
      <c r="D1494" s="859"/>
      <c r="E1494" s="859"/>
      <c r="F1494" s="859"/>
      <c r="G1494" s="859"/>
      <c r="H1494" s="859"/>
      <c r="I1494" s="859"/>
      <c r="J1494" s="859"/>
      <c r="K1494" s="859"/>
      <c r="L1494" s="859"/>
      <c r="M1494" s="859"/>
      <c r="N1494" s="859"/>
      <c r="O1494" s="859"/>
      <c r="P1494" s="859"/>
      <c r="Q1494" s="859"/>
      <c r="R1494" s="859"/>
      <c r="S1494" s="859"/>
      <c r="T1494" s="859"/>
      <c r="U1494" s="859"/>
      <c r="V1494" s="859"/>
      <c r="W1494" s="859"/>
      <c r="X1494" s="859"/>
      <c r="Y1494" s="859"/>
      <c r="Z1494" s="859"/>
      <c r="AA1494" s="859"/>
      <c r="AB1494" s="859"/>
      <c r="AC1494" s="859"/>
      <c r="AD1494" s="859"/>
      <c r="AE1494" s="859"/>
      <c r="AF1494" s="906"/>
      <c r="AG1494" s="906"/>
      <c r="AH1494" s="906"/>
      <c r="AI1494" s="906"/>
      <c r="AJ1494" s="906"/>
      <c r="AK1494" s="906"/>
      <c r="AL1494" s="906"/>
      <c r="AM1494" s="906"/>
      <c r="AN1494" s="906"/>
      <c r="AO1494" s="907"/>
      <c r="AP1494" s="907"/>
      <c r="AQ1494" s="907"/>
      <c r="AR1494" s="907"/>
      <c r="AS1494" s="907"/>
      <c r="AT1494" s="907"/>
      <c r="AU1494" s="907"/>
      <c r="AV1494" s="907"/>
      <c r="AW1494" s="907"/>
      <c r="AX1494" s="907"/>
      <c r="AY1494" s="907"/>
      <c r="AZ1494" s="907"/>
      <c r="BA1494" s="907"/>
      <c r="BB1494" s="907"/>
    </row>
    <row r="1495" spans="1:1024" ht="12.6" customHeight="1" x14ac:dyDescent="0.25">
      <c r="A1495" s="859" t="s">
        <v>2053</v>
      </c>
      <c r="B1495" s="859"/>
      <c r="C1495" s="859"/>
      <c r="D1495" s="859"/>
      <c r="E1495" s="859"/>
      <c r="F1495" s="859"/>
      <c r="G1495" s="859"/>
      <c r="H1495" s="859"/>
      <c r="I1495" s="859"/>
      <c r="J1495" s="859"/>
      <c r="K1495" s="859"/>
      <c r="L1495" s="859"/>
      <c r="M1495" s="859"/>
      <c r="N1495" s="859"/>
      <c r="O1495" s="859"/>
      <c r="P1495" s="859"/>
      <c r="Q1495" s="859"/>
      <c r="R1495" s="859"/>
      <c r="S1495" s="859"/>
      <c r="T1495" s="859"/>
      <c r="U1495" s="859"/>
      <c r="V1495" s="859"/>
      <c r="W1495" s="859"/>
      <c r="X1495" s="859"/>
      <c r="Y1495" s="859"/>
      <c r="Z1495" s="859"/>
      <c r="AA1495" s="859"/>
      <c r="AB1495" s="859"/>
      <c r="AC1495" s="859"/>
      <c r="AD1495" s="859"/>
      <c r="AE1495" s="859"/>
      <c r="AF1495" s="906"/>
      <c r="AG1495" s="906"/>
      <c r="AH1495" s="906"/>
      <c r="AI1495" s="906"/>
      <c r="AJ1495" s="906"/>
      <c r="AK1495" s="906"/>
      <c r="AL1495" s="906"/>
      <c r="AM1495" s="906"/>
      <c r="AN1495" s="906"/>
      <c r="AO1495" s="907"/>
      <c r="AP1495" s="907"/>
      <c r="AQ1495" s="907"/>
      <c r="AR1495" s="907"/>
      <c r="AS1495" s="907"/>
      <c r="AT1495" s="907"/>
      <c r="AU1495" s="907"/>
      <c r="AV1495" s="907"/>
      <c r="AW1495" s="907"/>
      <c r="AX1495" s="907"/>
      <c r="AY1495" s="907"/>
      <c r="AZ1495" s="907"/>
      <c r="BA1495" s="907"/>
      <c r="BB1495" s="907"/>
    </row>
    <row r="1496" spans="1:1024" ht="12.6" customHeight="1" x14ac:dyDescent="0.25">
      <c r="A1496" s="859" t="s">
        <v>2054</v>
      </c>
      <c r="B1496" s="859"/>
      <c r="C1496" s="859"/>
      <c r="D1496" s="859"/>
      <c r="E1496" s="859"/>
      <c r="F1496" s="859"/>
      <c r="G1496" s="859"/>
      <c r="H1496" s="859"/>
      <c r="I1496" s="859"/>
      <c r="J1496" s="859"/>
      <c r="K1496" s="859"/>
      <c r="L1496" s="859"/>
      <c r="M1496" s="859"/>
      <c r="N1496" s="859"/>
      <c r="O1496" s="859"/>
      <c r="P1496" s="859"/>
      <c r="Q1496" s="859"/>
      <c r="R1496" s="859"/>
      <c r="S1496" s="859"/>
      <c r="T1496" s="859"/>
      <c r="U1496" s="859"/>
      <c r="V1496" s="859"/>
      <c r="W1496" s="859"/>
      <c r="X1496" s="859"/>
      <c r="Y1496" s="859"/>
      <c r="Z1496" s="859"/>
      <c r="AA1496" s="859"/>
      <c r="AB1496" s="859"/>
      <c r="AC1496" s="859"/>
      <c r="AD1496" s="859"/>
      <c r="AE1496" s="859"/>
      <c r="AF1496" s="906"/>
      <c r="AG1496" s="906"/>
      <c r="AH1496" s="906"/>
      <c r="AI1496" s="906"/>
      <c r="AJ1496" s="906"/>
      <c r="AK1496" s="906"/>
      <c r="AL1496" s="906"/>
      <c r="AM1496" s="906"/>
      <c r="AN1496" s="906"/>
      <c r="AO1496" s="907"/>
      <c r="AP1496" s="907"/>
      <c r="AQ1496" s="907"/>
      <c r="AR1496" s="907"/>
      <c r="AS1496" s="907"/>
      <c r="AT1496" s="907"/>
      <c r="AU1496" s="907"/>
      <c r="AV1496" s="907"/>
      <c r="AW1496" s="907"/>
      <c r="AX1496" s="907"/>
      <c r="AY1496" s="907"/>
      <c r="AZ1496" s="907"/>
      <c r="BA1496" s="907"/>
      <c r="BB1496" s="907"/>
    </row>
    <row r="1497" spans="1:1024" ht="12.6" customHeight="1" x14ac:dyDescent="0.25">
      <c r="A1497" s="859" t="s">
        <v>2055</v>
      </c>
      <c r="B1497" s="859"/>
      <c r="C1497" s="859"/>
      <c r="D1497" s="859"/>
      <c r="E1497" s="859"/>
      <c r="F1497" s="859"/>
      <c r="G1497" s="859"/>
      <c r="H1497" s="859"/>
      <c r="I1497" s="859"/>
      <c r="J1497" s="859"/>
      <c r="K1497" s="859"/>
      <c r="L1497" s="859"/>
      <c r="M1497" s="859"/>
      <c r="N1497" s="859"/>
      <c r="O1497" s="859"/>
      <c r="P1497" s="859"/>
      <c r="Q1497" s="859"/>
      <c r="R1497" s="859"/>
      <c r="S1497" s="859"/>
      <c r="T1497" s="859"/>
      <c r="U1497" s="859"/>
      <c r="V1497" s="859"/>
      <c r="W1497" s="859"/>
      <c r="X1497" s="859"/>
      <c r="Y1497" s="859"/>
      <c r="Z1497" s="859"/>
      <c r="AA1497" s="859"/>
      <c r="AB1497" s="859"/>
      <c r="AC1497" s="859"/>
      <c r="AD1497" s="859"/>
      <c r="AE1497" s="859"/>
      <c r="AF1497" s="906"/>
      <c r="AG1497" s="906"/>
      <c r="AH1497" s="906"/>
      <c r="AI1497" s="906"/>
      <c r="AJ1497" s="906"/>
      <c r="AK1497" s="906"/>
      <c r="AL1497" s="906"/>
      <c r="AM1497" s="906"/>
      <c r="AN1497" s="906"/>
      <c r="AO1497" s="907"/>
      <c r="AP1497" s="907"/>
      <c r="AQ1497" s="907"/>
      <c r="AR1497" s="907"/>
      <c r="AS1497" s="907"/>
      <c r="AT1497" s="907"/>
      <c r="AU1497" s="907"/>
      <c r="AV1497" s="907"/>
      <c r="AW1497" s="907"/>
      <c r="AX1497" s="907"/>
      <c r="AY1497" s="907"/>
      <c r="AZ1497" s="907"/>
      <c r="BA1497" s="907"/>
      <c r="BB1497" s="907"/>
    </row>
    <row r="1498" spans="1:1024" ht="12.6" customHeight="1" x14ac:dyDescent="0.25">
      <c r="A1498" s="859" t="s">
        <v>2056</v>
      </c>
      <c r="B1498" s="859"/>
      <c r="C1498" s="859"/>
      <c r="D1498" s="859"/>
      <c r="E1498" s="859"/>
      <c r="F1498" s="859"/>
      <c r="G1498" s="859"/>
      <c r="H1498" s="859"/>
      <c r="I1498" s="859"/>
      <c r="J1498" s="859"/>
      <c r="K1498" s="859"/>
      <c r="L1498" s="859"/>
      <c r="M1498" s="859"/>
      <c r="N1498" s="859"/>
      <c r="O1498" s="859"/>
      <c r="P1498" s="859"/>
      <c r="Q1498" s="859"/>
      <c r="R1498" s="859"/>
      <c r="S1498" s="859"/>
      <c r="T1498" s="859"/>
      <c r="U1498" s="859"/>
      <c r="V1498" s="859"/>
      <c r="W1498" s="859"/>
      <c r="X1498" s="859"/>
      <c r="Y1498" s="859"/>
      <c r="Z1498" s="859"/>
      <c r="AA1498" s="859"/>
      <c r="AB1498" s="859"/>
      <c r="AC1498" s="859"/>
      <c r="AD1498" s="859"/>
      <c r="AE1498" s="859"/>
      <c r="AF1498" s="906"/>
      <c r="AG1498" s="906"/>
      <c r="AH1498" s="906"/>
      <c r="AI1498" s="906"/>
      <c r="AJ1498" s="906"/>
      <c r="AK1498" s="906"/>
      <c r="AL1498" s="906"/>
      <c r="AM1498" s="906"/>
      <c r="AN1498" s="906"/>
      <c r="AO1498" s="907"/>
      <c r="AP1498" s="907"/>
      <c r="AQ1498" s="907"/>
      <c r="AR1498" s="907"/>
      <c r="AS1498" s="907"/>
      <c r="AT1498" s="907"/>
      <c r="AU1498" s="907"/>
      <c r="AV1498" s="907"/>
      <c r="AW1498" s="907"/>
      <c r="AX1498" s="907"/>
      <c r="AY1498" s="907"/>
      <c r="AZ1498" s="907"/>
      <c r="BA1498" s="907"/>
      <c r="BB1498" s="907"/>
    </row>
    <row r="1499" spans="1:1024" ht="12.6" customHeight="1" x14ac:dyDescent="0.25">
      <c r="A1499" s="859" t="s">
        <v>2057</v>
      </c>
      <c r="B1499" s="859"/>
      <c r="C1499" s="859"/>
      <c r="D1499" s="859"/>
      <c r="E1499" s="859"/>
      <c r="F1499" s="859"/>
      <c r="G1499" s="859"/>
      <c r="H1499" s="859"/>
      <c r="I1499" s="859"/>
      <c r="J1499" s="859"/>
      <c r="K1499" s="859"/>
      <c r="L1499" s="859"/>
      <c r="M1499" s="859"/>
      <c r="N1499" s="859"/>
      <c r="O1499" s="859"/>
      <c r="P1499" s="859"/>
      <c r="Q1499" s="859"/>
      <c r="R1499" s="859"/>
      <c r="S1499" s="859"/>
      <c r="T1499" s="859"/>
      <c r="U1499" s="859"/>
      <c r="V1499" s="859"/>
      <c r="W1499" s="859"/>
      <c r="X1499" s="859"/>
      <c r="Y1499" s="859"/>
      <c r="Z1499" s="859"/>
      <c r="AA1499" s="859"/>
      <c r="AB1499" s="859"/>
      <c r="AC1499" s="859"/>
      <c r="AD1499" s="859"/>
      <c r="AE1499" s="859"/>
      <c r="AF1499" s="906"/>
      <c r="AG1499" s="906"/>
      <c r="AH1499" s="906"/>
      <c r="AI1499" s="906"/>
      <c r="AJ1499" s="906"/>
      <c r="AK1499" s="906"/>
      <c r="AL1499" s="906"/>
      <c r="AM1499" s="906"/>
      <c r="AN1499" s="906"/>
      <c r="AO1499" s="907"/>
      <c r="AP1499" s="907"/>
      <c r="AQ1499" s="907"/>
      <c r="AR1499" s="907"/>
      <c r="AS1499" s="907"/>
      <c r="AT1499" s="907"/>
      <c r="AU1499" s="907"/>
      <c r="AV1499" s="907"/>
      <c r="AW1499" s="907"/>
      <c r="AX1499" s="907"/>
      <c r="AY1499" s="907"/>
      <c r="AZ1499" s="907"/>
      <c r="BA1499" s="907"/>
      <c r="BB1499" s="907"/>
    </row>
    <row r="1500" spans="1:1024" ht="12.6" customHeight="1" x14ac:dyDescent="0.25">
      <c r="A1500" s="859" t="s">
        <v>2058</v>
      </c>
      <c r="B1500" s="859"/>
      <c r="C1500" s="859"/>
      <c r="D1500" s="859"/>
      <c r="E1500" s="859"/>
      <c r="F1500" s="859"/>
      <c r="G1500" s="859"/>
      <c r="H1500" s="859"/>
      <c r="I1500" s="859"/>
      <c r="J1500" s="859"/>
      <c r="K1500" s="859"/>
      <c r="L1500" s="859"/>
      <c r="M1500" s="859"/>
      <c r="N1500" s="859"/>
      <c r="O1500" s="859"/>
      <c r="P1500" s="859"/>
      <c r="Q1500" s="859"/>
      <c r="R1500" s="859"/>
      <c r="S1500" s="859"/>
      <c r="T1500" s="859"/>
      <c r="U1500" s="859"/>
      <c r="V1500" s="859"/>
      <c r="W1500" s="859"/>
      <c r="X1500" s="859"/>
      <c r="Y1500" s="859"/>
      <c r="Z1500" s="859"/>
      <c r="AA1500" s="859"/>
      <c r="AB1500" s="859"/>
      <c r="AC1500" s="859"/>
      <c r="AD1500" s="859"/>
      <c r="AE1500" s="859"/>
      <c r="AF1500" s="906"/>
      <c r="AG1500" s="906"/>
      <c r="AH1500" s="906"/>
      <c r="AI1500" s="906"/>
      <c r="AJ1500" s="906"/>
      <c r="AK1500" s="906"/>
      <c r="AL1500" s="906"/>
      <c r="AM1500" s="906"/>
      <c r="AN1500" s="906"/>
      <c r="AO1500" s="907"/>
      <c r="AP1500" s="907"/>
      <c r="AQ1500" s="907"/>
      <c r="AR1500" s="907"/>
      <c r="AS1500" s="907"/>
      <c r="AT1500" s="907"/>
      <c r="AU1500" s="907"/>
      <c r="AV1500" s="907"/>
      <c r="AW1500" s="907"/>
      <c r="AX1500" s="907"/>
      <c r="AY1500" s="907"/>
      <c r="AZ1500" s="907"/>
      <c r="BA1500" s="907"/>
      <c r="BB1500" s="907"/>
    </row>
    <row r="1501" spans="1:1024" ht="12.6" customHeight="1" x14ac:dyDescent="0.25">
      <c r="A1501" s="859" t="s">
        <v>2059</v>
      </c>
      <c r="B1501" s="859"/>
      <c r="C1501" s="859"/>
      <c r="D1501" s="859"/>
      <c r="E1501" s="859"/>
      <c r="F1501" s="859"/>
      <c r="G1501" s="859"/>
      <c r="H1501" s="859"/>
      <c r="I1501" s="859"/>
      <c r="J1501" s="859"/>
      <c r="K1501" s="859"/>
      <c r="L1501" s="859"/>
      <c r="M1501" s="859"/>
      <c r="N1501" s="859"/>
      <c r="O1501" s="859"/>
      <c r="P1501" s="859"/>
      <c r="Q1501" s="859"/>
      <c r="R1501" s="859"/>
      <c r="S1501" s="859"/>
      <c r="T1501" s="859"/>
      <c r="U1501" s="859"/>
      <c r="V1501" s="859"/>
      <c r="W1501" s="859"/>
      <c r="X1501" s="859"/>
      <c r="Y1501" s="859"/>
      <c r="Z1501" s="859"/>
      <c r="AA1501" s="859"/>
      <c r="AB1501" s="859"/>
      <c r="AC1501" s="859"/>
      <c r="AD1501" s="859"/>
      <c r="AE1501" s="859"/>
      <c r="AF1501" s="906"/>
      <c r="AG1501" s="906"/>
      <c r="AH1501" s="906"/>
      <c r="AI1501" s="906"/>
      <c r="AJ1501" s="906"/>
      <c r="AK1501" s="906"/>
      <c r="AL1501" s="906"/>
      <c r="AM1501" s="906"/>
      <c r="AN1501" s="906"/>
      <c r="AO1501" s="907"/>
      <c r="AP1501" s="907"/>
      <c r="AQ1501" s="907"/>
      <c r="AR1501" s="907"/>
      <c r="AS1501" s="907"/>
      <c r="AT1501" s="907"/>
      <c r="AU1501" s="907"/>
      <c r="AV1501" s="907"/>
      <c r="AW1501" s="907"/>
      <c r="AX1501" s="907"/>
      <c r="AY1501" s="907"/>
      <c r="AZ1501" s="907"/>
      <c r="BA1501" s="907"/>
      <c r="BB1501" s="907"/>
    </row>
    <row r="1502" spans="1:1024" ht="12.6" customHeight="1" x14ac:dyDescent="0.25">
      <c r="A1502" s="227" t="s">
        <v>1482</v>
      </c>
    </row>
    <row r="1503" spans="1:1024" ht="15" customHeight="1" x14ac:dyDescent="0.25">
      <c r="A1503" s="763"/>
      <c r="B1503" s="763"/>
      <c r="C1503" s="763"/>
      <c r="D1503" s="763"/>
      <c r="E1503" s="763"/>
      <c r="F1503" s="763"/>
      <c r="G1503" s="763"/>
      <c r="H1503" s="763"/>
      <c r="I1503" s="763"/>
      <c r="J1503" s="763"/>
      <c r="K1503" s="763"/>
      <c r="L1503" s="763"/>
      <c r="M1503" s="763"/>
      <c r="N1503" s="763"/>
      <c r="O1503" s="763"/>
      <c r="P1503" s="763"/>
      <c r="Q1503" s="763"/>
      <c r="R1503" s="763"/>
      <c r="S1503" s="763"/>
      <c r="T1503" s="763"/>
      <c r="U1503" s="763"/>
      <c r="V1503" s="763"/>
      <c r="W1503" s="763"/>
      <c r="X1503" s="763"/>
      <c r="Y1503" s="763"/>
      <c r="Z1503" s="763"/>
      <c r="AA1503" s="763"/>
      <c r="AB1503" s="763"/>
      <c r="AC1503" s="763"/>
      <c r="AD1503" s="763"/>
      <c r="AE1503" s="763"/>
      <c r="AF1503" s="763"/>
      <c r="AG1503" s="763"/>
      <c r="AH1503" s="763"/>
      <c r="AI1503" s="763"/>
      <c r="AJ1503" s="763"/>
      <c r="AK1503" s="763"/>
      <c r="AL1503" s="763"/>
      <c r="AM1503" s="763"/>
      <c r="AN1503" s="763"/>
      <c r="AO1503" s="763"/>
      <c r="AP1503" s="763"/>
      <c r="AQ1503" s="763"/>
      <c r="AR1503" s="763"/>
      <c r="AS1503" s="763"/>
      <c r="AT1503" s="763"/>
      <c r="AU1503" s="763"/>
      <c r="AV1503" s="763"/>
      <c r="AW1503" s="763"/>
      <c r="AX1503" s="763"/>
      <c r="AY1503" s="265"/>
      <c r="AZ1503" s="265"/>
      <c r="BA1503" s="265"/>
      <c r="BB1503" s="265"/>
    </row>
    <row r="1504" spans="1:1024" ht="15" customHeight="1" x14ac:dyDescent="0.25">
      <c r="A1504" s="763"/>
      <c r="B1504" s="763"/>
      <c r="C1504" s="763"/>
      <c r="D1504" s="763"/>
      <c r="E1504" s="763"/>
      <c r="F1504" s="763"/>
      <c r="G1504" s="763"/>
      <c r="H1504" s="763"/>
      <c r="I1504" s="763"/>
      <c r="J1504" s="763"/>
      <c r="K1504" s="763"/>
      <c r="L1504" s="763"/>
      <c r="M1504" s="763"/>
      <c r="N1504" s="763"/>
      <c r="O1504" s="763"/>
      <c r="P1504" s="763"/>
      <c r="Q1504" s="763"/>
      <c r="R1504" s="763"/>
      <c r="S1504" s="763"/>
      <c r="T1504" s="763"/>
      <c r="U1504" s="763"/>
      <c r="V1504" s="763"/>
      <c r="W1504" s="763"/>
      <c r="X1504" s="763"/>
      <c r="Y1504" s="763"/>
      <c r="Z1504" s="763"/>
      <c r="AA1504" s="763"/>
      <c r="AB1504" s="763"/>
      <c r="AC1504" s="763"/>
      <c r="AD1504" s="763"/>
      <c r="AE1504" s="763"/>
      <c r="AF1504" s="763"/>
      <c r="AG1504" s="763"/>
      <c r="AH1504" s="763"/>
      <c r="AI1504" s="763"/>
      <c r="AJ1504" s="763"/>
      <c r="AK1504" s="763"/>
      <c r="AL1504" s="763"/>
      <c r="AM1504" s="763"/>
      <c r="AN1504" s="763"/>
      <c r="AO1504" s="763"/>
      <c r="AP1504" s="763"/>
      <c r="AQ1504" s="763"/>
      <c r="AR1504" s="763"/>
      <c r="AS1504" s="763"/>
      <c r="AT1504" s="763"/>
      <c r="AU1504" s="763"/>
      <c r="AV1504" s="763"/>
      <c r="AW1504" s="763"/>
      <c r="AX1504" s="763"/>
      <c r="AY1504" s="265"/>
      <c r="AZ1504" s="265"/>
      <c r="BA1504" s="265"/>
      <c r="BB1504" s="265"/>
    </row>
    <row r="1505" spans="1:54" ht="12.6" customHeight="1" x14ac:dyDescent="0.25">
      <c r="A1505" s="337"/>
      <c r="B1505" s="217"/>
      <c r="C1505" s="217"/>
      <c r="D1505" s="217"/>
      <c r="E1505" s="217"/>
      <c r="F1505" s="217"/>
      <c r="G1505" s="217"/>
      <c r="H1505" s="217"/>
      <c r="I1505" s="217"/>
      <c r="J1505" s="217"/>
      <c r="K1505" s="217"/>
      <c r="L1505" s="217"/>
      <c r="M1505" s="217"/>
      <c r="N1505" s="217"/>
      <c r="O1505" s="217"/>
      <c r="P1505" s="217"/>
      <c r="Q1505" s="217"/>
      <c r="R1505" s="217"/>
      <c r="S1505" s="217"/>
      <c r="T1505" s="217"/>
      <c r="U1505" s="217"/>
      <c r="V1505" s="217"/>
      <c r="W1505" s="217"/>
      <c r="X1505" s="217"/>
      <c r="Y1505" s="217"/>
      <c r="Z1505" s="217"/>
      <c r="AA1505" s="217"/>
      <c r="AB1505" s="217"/>
      <c r="AC1505" s="217"/>
      <c r="AD1505" s="217"/>
      <c r="AE1505" s="217"/>
      <c r="AF1505" s="217"/>
      <c r="AG1505" s="217"/>
      <c r="AH1505" s="217"/>
      <c r="AI1505" s="217"/>
      <c r="AJ1505" s="217"/>
      <c r="AK1505" s="217"/>
      <c r="AL1505" s="217"/>
      <c r="AM1505" s="217"/>
      <c r="AN1505" s="217"/>
      <c r="AO1505" s="217"/>
      <c r="AP1505" s="217"/>
      <c r="AQ1505" s="217"/>
      <c r="AR1505" s="217"/>
      <c r="AS1505" s="217"/>
      <c r="AT1505" s="217"/>
      <c r="AU1505" s="217"/>
      <c r="AV1505" s="217"/>
      <c r="AW1505" s="217"/>
      <c r="AX1505" s="217"/>
      <c r="AY1505" s="217"/>
      <c r="AZ1505" s="217"/>
      <c r="BA1505" s="217"/>
      <c r="BB1505" s="338"/>
    </row>
    <row r="1506" spans="1:54" s="225" customFormat="1" ht="15" customHeight="1" x14ac:dyDescent="0.25">
      <c r="A1506" s="726" t="s">
        <v>2060</v>
      </c>
      <c r="B1506" s="726"/>
      <c r="C1506" s="726"/>
      <c r="D1506" s="726"/>
      <c r="E1506" s="726"/>
      <c r="F1506" s="726"/>
      <c r="G1506" s="726"/>
      <c r="H1506" s="726"/>
      <c r="I1506" s="726"/>
      <c r="J1506" s="726"/>
      <c r="K1506" s="726"/>
      <c r="L1506" s="726"/>
      <c r="M1506" s="726"/>
      <c r="N1506" s="726"/>
      <c r="O1506" s="726"/>
      <c r="P1506" s="726"/>
      <c r="Q1506" s="726"/>
      <c r="R1506" s="726"/>
      <c r="S1506" s="726"/>
      <c r="T1506" s="726"/>
      <c r="U1506" s="726"/>
      <c r="V1506" s="726"/>
      <c r="W1506" s="726"/>
      <c r="X1506" s="726"/>
      <c r="Y1506" s="726"/>
      <c r="Z1506" s="726"/>
      <c r="AA1506" s="726"/>
      <c r="AB1506" s="726"/>
      <c r="AC1506" s="726"/>
      <c r="AD1506" s="726"/>
      <c r="AE1506" s="726"/>
      <c r="AF1506" s="726"/>
      <c r="AG1506" s="726"/>
      <c r="AH1506" s="726"/>
      <c r="AI1506" s="726"/>
      <c r="AJ1506" s="726"/>
      <c r="AK1506" s="726"/>
      <c r="AL1506" s="726"/>
      <c r="AM1506" s="726"/>
      <c r="AN1506" s="726"/>
      <c r="AO1506" s="726"/>
      <c r="AP1506" s="726"/>
      <c r="AQ1506" s="726"/>
      <c r="AR1506" s="726"/>
      <c r="AS1506" s="726"/>
      <c r="AT1506" s="726"/>
      <c r="AU1506" s="726"/>
      <c r="AV1506" s="726"/>
      <c r="AW1506" s="726"/>
      <c r="AX1506" s="726"/>
      <c r="AY1506" s="726"/>
      <c r="AZ1506" s="726"/>
      <c r="BA1506" s="726"/>
      <c r="BB1506" s="339"/>
    </row>
    <row r="1507" spans="1:54" ht="15" customHeight="1" x14ac:dyDescent="0.25">
      <c r="A1507" s="227" t="s">
        <v>2061</v>
      </c>
      <c r="B1507" s="226"/>
      <c r="C1507" s="226"/>
      <c r="D1507" s="226"/>
      <c r="E1507" s="226"/>
      <c r="F1507" s="226"/>
      <c r="G1507" s="226"/>
      <c r="H1507" s="226"/>
      <c r="I1507" s="226"/>
      <c r="J1507" s="226"/>
      <c r="K1507" s="226"/>
      <c r="L1507" s="226"/>
      <c r="M1507" s="226"/>
      <c r="N1507" s="226"/>
      <c r="O1507" s="226"/>
      <c r="P1507" s="226"/>
      <c r="Q1507" s="226"/>
      <c r="R1507" s="226"/>
      <c r="S1507" s="226"/>
      <c r="T1507" s="226"/>
      <c r="U1507" s="226"/>
      <c r="V1507" s="226"/>
      <c r="W1507" s="226"/>
      <c r="X1507" s="226"/>
      <c r="Y1507" s="226"/>
      <c r="Z1507" s="226"/>
      <c r="AA1507" s="226"/>
      <c r="AB1507" s="226"/>
      <c r="AC1507" s="226"/>
      <c r="AD1507" s="226"/>
      <c r="AE1507" s="226"/>
      <c r="AF1507" s="226"/>
      <c r="AG1507" s="226"/>
      <c r="AH1507" s="226"/>
      <c r="AI1507" s="226"/>
      <c r="AJ1507" s="226"/>
      <c r="AK1507" s="226"/>
      <c r="AL1507" s="226"/>
      <c r="AM1507" s="226"/>
      <c r="AN1507" s="226"/>
      <c r="AO1507" s="226"/>
      <c r="AP1507" s="226"/>
      <c r="AQ1507" s="226"/>
      <c r="AR1507" s="226"/>
      <c r="AS1507" s="226"/>
      <c r="AT1507" s="226"/>
      <c r="AU1507" s="226"/>
      <c r="AV1507" s="226"/>
      <c r="AW1507" s="226"/>
      <c r="AX1507" s="226"/>
      <c r="AY1507" s="226"/>
      <c r="AZ1507" s="226"/>
      <c r="BA1507" s="226"/>
      <c r="BB1507" s="339"/>
    </row>
    <row r="1508" spans="1:54" ht="12.6" customHeight="1" x14ac:dyDescent="0.25">
      <c r="A1508" s="896" t="s">
        <v>2062</v>
      </c>
      <c r="B1508" s="896"/>
      <c r="C1508" s="896"/>
      <c r="D1508" s="896"/>
      <c r="E1508" s="896"/>
      <c r="F1508" s="896"/>
      <c r="G1508" s="896"/>
      <c r="H1508" s="896"/>
      <c r="I1508" s="706" t="s">
        <v>2063</v>
      </c>
      <c r="J1508" s="706"/>
      <c r="K1508" s="706"/>
      <c r="L1508" s="706"/>
      <c r="M1508" s="706"/>
      <c r="N1508" s="706"/>
      <c r="O1508" s="706"/>
      <c r="P1508" s="706"/>
      <c r="Q1508" s="706"/>
      <c r="R1508" s="706"/>
      <c r="S1508" s="706"/>
      <c r="T1508" s="706"/>
      <c r="U1508" s="706"/>
      <c r="V1508" s="706"/>
      <c r="W1508" s="706"/>
      <c r="X1508" s="706"/>
      <c r="Y1508" s="706"/>
      <c r="Z1508" s="706"/>
      <c r="AA1508" s="706"/>
      <c r="AB1508" s="706"/>
      <c r="AC1508" s="882" t="s">
        <v>2064</v>
      </c>
      <c r="AD1508" s="882"/>
      <c r="AE1508" s="882"/>
      <c r="AF1508" s="882"/>
      <c r="AG1508" s="882"/>
      <c r="AH1508" s="882"/>
      <c r="AI1508" s="882"/>
      <c r="AJ1508" s="882"/>
      <c r="AK1508" s="882"/>
      <c r="AL1508" s="882"/>
      <c r="AM1508" s="882"/>
      <c r="AN1508" s="882"/>
      <c r="AO1508" s="882"/>
      <c r="AP1508" s="882"/>
      <c r="AQ1508" s="882"/>
      <c r="AR1508" s="882"/>
      <c r="AS1508" s="882"/>
      <c r="AT1508" s="882"/>
      <c r="AU1508" s="882"/>
      <c r="AV1508" s="882"/>
      <c r="AW1508" s="882"/>
      <c r="AX1508" s="882"/>
      <c r="AY1508" s="882"/>
      <c r="AZ1508" s="882"/>
      <c r="BA1508" s="882"/>
      <c r="BB1508" s="882"/>
    </row>
    <row r="1509" spans="1:54" ht="12.6" customHeight="1" x14ac:dyDescent="0.25">
      <c r="A1509" s="896"/>
      <c r="B1509" s="896"/>
      <c r="C1509" s="896"/>
      <c r="D1509" s="896"/>
      <c r="E1509" s="896"/>
      <c r="F1509" s="896"/>
      <c r="G1509" s="896"/>
      <c r="H1509" s="896"/>
      <c r="I1509" s="706"/>
      <c r="J1509" s="706"/>
      <c r="K1509" s="706"/>
      <c r="L1509" s="706"/>
      <c r="M1509" s="706"/>
      <c r="N1509" s="706"/>
      <c r="O1509" s="706"/>
      <c r="P1509" s="706"/>
      <c r="Q1509" s="706"/>
      <c r="R1509" s="706"/>
      <c r="S1509" s="706"/>
      <c r="T1509" s="706"/>
      <c r="U1509" s="706"/>
      <c r="V1509" s="706"/>
      <c r="W1509" s="706"/>
      <c r="X1509" s="706"/>
      <c r="Y1509" s="706"/>
      <c r="Z1509" s="706"/>
      <c r="AA1509" s="706"/>
      <c r="AB1509" s="706"/>
      <c r="AC1509" s="882"/>
      <c r="AD1509" s="882"/>
      <c r="AE1509" s="882"/>
      <c r="AF1509" s="882"/>
      <c r="AG1509" s="882"/>
      <c r="AH1509" s="882"/>
      <c r="AI1509" s="882"/>
      <c r="AJ1509" s="882"/>
      <c r="AK1509" s="882"/>
      <c r="AL1509" s="882"/>
      <c r="AM1509" s="882"/>
      <c r="AN1509" s="882"/>
      <c r="AO1509" s="882"/>
      <c r="AP1509" s="882"/>
      <c r="AQ1509" s="882"/>
      <c r="AR1509" s="882"/>
      <c r="AS1509" s="882"/>
      <c r="AT1509" s="882"/>
      <c r="AU1509" s="882"/>
      <c r="AV1509" s="882"/>
      <c r="AW1509" s="882"/>
      <c r="AX1509" s="882"/>
      <c r="AY1509" s="882"/>
      <c r="AZ1509" s="882"/>
      <c r="BA1509" s="882"/>
      <c r="BB1509" s="882"/>
    </row>
    <row r="1510" spans="1:54" ht="12.6" customHeight="1" x14ac:dyDescent="0.25">
      <c r="A1510" s="896"/>
      <c r="B1510" s="896"/>
      <c r="C1510" s="896"/>
      <c r="D1510" s="896"/>
      <c r="E1510" s="896"/>
      <c r="F1510" s="896"/>
      <c r="G1510" s="896"/>
      <c r="H1510" s="896"/>
      <c r="I1510" s="910" t="s">
        <v>2065</v>
      </c>
      <c r="J1510" s="910"/>
      <c r="K1510" s="910"/>
      <c r="L1510" s="910"/>
      <c r="M1510" s="910"/>
      <c r="N1510" s="910"/>
      <c r="O1510" s="910" t="s">
        <v>2066</v>
      </c>
      <c r="P1510" s="910"/>
      <c r="Q1510" s="910"/>
      <c r="R1510" s="910"/>
      <c r="S1510" s="910"/>
      <c r="T1510" s="910"/>
      <c r="U1510" s="910"/>
      <c r="V1510" s="910"/>
      <c r="W1510" s="911" t="s">
        <v>2067</v>
      </c>
      <c r="X1510" s="911"/>
      <c r="Y1510" s="911"/>
      <c r="Z1510" s="911"/>
      <c r="AA1510" s="911"/>
      <c r="AB1510" s="911"/>
      <c r="AC1510" s="910" t="s">
        <v>2065</v>
      </c>
      <c r="AD1510" s="910"/>
      <c r="AE1510" s="910"/>
      <c r="AF1510" s="910"/>
      <c r="AG1510" s="910"/>
      <c r="AH1510" s="910"/>
      <c r="AI1510" s="910" t="s">
        <v>2066</v>
      </c>
      <c r="AJ1510" s="910"/>
      <c r="AK1510" s="910"/>
      <c r="AL1510" s="910"/>
      <c r="AM1510" s="910"/>
      <c r="AN1510" s="910"/>
      <c r="AO1510" s="910"/>
      <c r="AP1510" s="910"/>
      <c r="AQ1510" s="910" t="s">
        <v>2067</v>
      </c>
      <c r="AR1510" s="910"/>
      <c r="AS1510" s="910"/>
      <c r="AT1510" s="910"/>
      <c r="AU1510" s="910"/>
      <c r="AV1510" s="910"/>
      <c r="AW1510" s="910"/>
      <c r="AX1510" s="910"/>
      <c r="AY1510" s="910"/>
      <c r="AZ1510" s="910"/>
      <c r="BA1510" s="910"/>
      <c r="BB1510" s="910"/>
    </row>
    <row r="1511" spans="1:54" ht="12.6" customHeight="1" x14ac:dyDescent="0.25">
      <c r="A1511" s="896"/>
      <c r="B1511" s="896"/>
      <c r="C1511" s="896"/>
      <c r="D1511" s="896"/>
      <c r="E1511" s="896"/>
      <c r="F1511" s="896"/>
      <c r="G1511" s="896"/>
      <c r="H1511" s="896"/>
      <c r="I1511" s="707" t="s">
        <v>2068</v>
      </c>
      <c r="J1511" s="707"/>
      <c r="K1511" s="707"/>
      <c r="L1511" s="707"/>
      <c r="M1511" s="707"/>
      <c r="N1511" s="707"/>
      <c r="O1511" s="707"/>
      <c r="P1511" s="707"/>
      <c r="Q1511" s="707"/>
      <c r="R1511" s="707"/>
      <c r="S1511" s="707"/>
      <c r="T1511" s="707"/>
      <c r="U1511" s="707"/>
      <c r="V1511" s="707"/>
      <c r="W1511" s="707"/>
      <c r="X1511" s="707"/>
      <c r="Y1511" s="707"/>
      <c r="Z1511" s="707"/>
      <c r="AA1511" s="707"/>
      <c r="AB1511" s="707"/>
      <c r="AC1511" s="707" t="s">
        <v>2068</v>
      </c>
      <c r="AD1511" s="707"/>
      <c r="AE1511" s="707"/>
      <c r="AF1511" s="707"/>
      <c r="AG1511" s="707"/>
      <c r="AH1511" s="707"/>
      <c r="AI1511" s="707"/>
      <c r="AJ1511" s="707"/>
      <c r="AK1511" s="707"/>
      <c r="AL1511" s="707"/>
      <c r="AM1511" s="707"/>
      <c r="AN1511" s="707"/>
      <c r="AO1511" s="707"/>
      <c r="AP1511" s="707"/>
      <c r="AQ1511" s="707"/>
      <c r="AR1511" s="707"/>
      <c r="AS1511" s="707"/>
      <c r="AT1511" s="707"/>
      <c r="AU1511" s="707"/>
      <c r="AV1511" s="707"/>
      <c r="AW1511" s="707"/>
      <c r="AX1511" s="707"/>
      <c r="AY1511" s="707"/>
      <c r="AZ1511" s="707"/>
      <c r="BA1511" s="707"/>
      <c r="BB1511" s="707"/>
    </row>
    <row r="1512" spans="1:54" ht="12.6" customHeight="1" x14ac:dyDescent="0.25">
      <c r="A1512" s="896"/>
      <c r="B1512" s="896"/>
      <c r="C1512" s="896"/>
      <c r="D1512" s="896"/>
      <c r="E1512" s="896"/>
      <c r="F1512" s="896"/>
      <c r="G1512" s="896"/>
      <c r="H1512" s="896"/>
      <c r="I1512" s="707"/>
      <c r="J1512" s="707"/>
      <c r="K1512" s="707"/>
      <c r="L1512" s="707"/>
      <c r="M1512" s="707"/>
      <c r="N1512" s="707"/>
      <c r="O1512" s="707"/>
      <c r="P1512" s="707"/>
      <c r="Q1512" s="707"/>
      <c r="R1512" s="707"/>
      <c r="S1512" s="707"/>
      <c r="T1512" s="707"/>
      <c r="U1512" s="707"/>
      <c r="V1512" s="707"/>
      <c r="W1512" s="707"/>
      <c r="X1512" s="707"/>
      <c r="Y1512" s="707"/>
      <c r="Z1512" s="707"/>
      <c r="AA1512" s="707"/>
      <c r="AB1512" s="707"/>
      <c r="AC1512" s="707"/>
      <c r="AD1512" s="707"/>
      <c r="AE1512" s="707"/>
      <c r="AF1512" s="707"/>
      <c r="AG1512" s="707"/>
      <c r="AH1512" s="707"/>
      <c r="AI1512" s="707"/>
      <c r="AJ1512" s="707"/>
      <c r="AK1512" s="707"/>
      <c r="AL1512" s="707"/>
      <c r="AM1512" s="707"/>
      <c r="AN1512" s="707"/>
      <c r="AO1512" s="707"/>
      <c r="AP1512" s="707"/>
      <c r="AQ1512" s="707"/>
      <c r="AR1512" s="707"/>
      <c r="AS1512" s="707"/>
      <c r="AT1512" s="707"/>
      <c r="AU1512" s="707"/>
      <c r="AV1512" s="707"/>
      <c r="AW1512" s="707"/>
      <c r="AX1512" s="707"/>
      <c r="AY1512" s="707"/>
      <c r="AZ1512" s="707"/>
      <c r="BA1512" s="707"/>
      <c r="BB1512" s="707"/>
    </row>
    <row r="1513" spans="1:54" ht="24.75" customHeight="1" x14ac:dyDescent="0.25">
      <c r="A1513" s="896"/>
      <c r="B1513" s="896"/>
      <c r="C1513" s="896"/>
      <c r="D1513" s="896"/>
      <c r="E1513" s="896"/>
      <c r="F1513" s="896"/>
      <c r="G1513" s="896"/>
      <c r="H1513" s="896"/>
      <c r="I1513" s="912" t="s">
        <v>2069</v>
      </c>
      <c r="J1513" s="912"/>
      <c r="K1513" s="912"/>
      <c r="L1513" s="912"/>
      <c r="M1513" s="912"/>
      <c r="N1513" s="912"/>
      <c r="O1513" s="912"/>
      <c r="P1513" s="912"/>
      <c r="Q1513" s="912"/>
      <c r="R1513" s="912"/>
      <c r="S1513" s="912"/>
      <c r="T1513" s="912"/>
      <c r="U1513" s="912"/>
      <c r="V1513" s="912"/>
      <c r="W1513" s="912"/>
      <c r="X1513" s="912"/>
      <c r="Y1513" s="912"/>
      <c r="Z1513" s="912"/>
      <c r="AA1513" s="912"/>
      <c r="AB1513" s="912"/>
      <c r="AC1513" s="746" t="s">
        <v>2069</v>
      </c>
      <c r="AD1513" s="746"/>
      <c r="AE1513" s="746"/>
      <c r="AF1513" s="746"/>
      <c r="AG1513" s="746"/>
      <c r="AH1513" s="746"/>
      <c r="AI1513" s="746"/>
      <c r="AJ1513" s="746"/>
      <c r="AK1513" s="746"/>
      <c r="AL1513" s="746"/>
      <c r="AM1513" s="746"/>
      <c r="AN1513" s="746"/>
      <c r="AO1513" s="746"/>
      <c r="AP1513" s="746"/>
      <c r="AQ1513" s="746"/>
      <c r="AR1513" s="746"/>
      <c r="AS1513" s="746"/>
      <c r="AT1513" s="746"/>
      <c r="AU1513" s="746"/>
      <c r="AV1513" s="746"/>
      <c r="AW1513" s="746"/>
      <c r="AX1513" s="746"/>
      <c r="AY1513" s="746"/>
      <c r="AZ1513" s="746"/>
      <c r="BA1513" s="746"/>
      <c r="BB1513" s="746"/>
    </row>
    <row r="1514" spans="1:54" ht="12.6" customHeight="1" x14ac:dyDescent="0.25">
      <c r="A1514" s="750" t="s">
        <v>1323</v>
      </c>
      <c r="B1514" s="750"/>
      <c r="C1514" s="750"/>
      <c r="D1514" s="750"/>
      <c r="E1514" s="750"/>
      <c r="F1514" s="750"/>
      <c r="G1514" s="750"/>
      <c r="H1514" s="750"/>
      <c r="I1514" s="750" t="s">
        <v>1324</v>
      </c>
      <c r="J1514" s="750"/>
      <c r="K1514" s="750"/>
      <c r="L1514" s="750"/>
      <c r="M1514" s="750"/>
      <c r="N1514" s="750"/>
      <c r="O1514" s="750" t="s">
        <v>1325</v>
      </c>
      <c r="P1514" s="750"/>
      <c r="Q1514" s="750"/>
      <c r="R1514" s="750"/>
      <c r="S1514" s="750"/>
      <c r="T1514" s="750"/>
      <c r="U1514" s="750"/>
      <c r="V1514" s="750"/>
      <c r="W1514" s="749" t="s">
        <v>1326</v>
      </c>
      <c r="X1514" s="749"/>
      <c r="Y1514" s="749"/>
      <c r="Z1514" s="749"/>
      <c r="AA1514" s="749"/>
      <c r="AB1514" s="749"/>
      <c r="AC1514" s="750" t="s">
        <v>1327</v>
      </c>
      <c r="AD1514" s="750"/>
      <c r="AE1514" s="750"/>
      <c r="AF1514" s="750"/>
      <c r="AG1514" s="750"/>
      <c r="AH1514" s="750"/>
      <c r="AI1514" s="750" t="s">
        <v>1333</v>
      </c>
      <c r="AJ1514" s="750"/>
      <c r="AK1514" s="750"/>
      <c r="AL1514" s="750"/>
      <c r="AM1514" s="750"/>
      <c r="AN1514" s="750"/>
      <c r="AO1514" s="750"/>
      <c r="AP1514" s="750"/>
      <c r="AQ1514" s="750" t="s">
        <v>1468</v>
      </c>
      <c r="AR1514" s="750"/>
      <c r="AS1514" s="750"/>
      <c r="AT1514" s="750"/>
      <c r="AU1514" s="750"/>
      <c r="AV1514" s="750"/>
      <c r="AW1514" s="750"/>
      <c r="AX1514" s="750"/>
      <c r="AY1514" s="750"/>
      <c r="AZ1514" s="750"/>
      <c r="BA1514" s="750"/>
      <c r="BB1514" s="750"/>
    </row>
    <row r="1515" spans="1:54" ht="12.6" customHeight="1" x14ac:dyDescent="0.25">
      <c r="A1515" s="708" t="s">
        <v>2070</v>
      </c>
      <c r="B1515" s="708"/>
      <c r="C1515" s="708"/>
      <c r="D1515" s="708"/>
      <c r="E1515" s="708"/>
      <c r="F1515" s="708"/>
      <c r="G1515" s="708"/>
      <c r="H1515" s="708"/>
      <c r="I1515" s="800"/>
      <c r="J1515" s="800"/>
      <c r="K1515" s="800"/>
      <c r="L1515" s="800"/>
      <c r="M1515" s="800"/>
      <c r="N1515" s="800"/>
      <c r="O1515" s="800"/>
      <c r="P1515" s="800"/>
      <c r="Q1515" s="800"/>
      <c r="R1515" s="800"/>
      <c r="S1515" s="800"/>
      <c r="T1515" s="800"/>
      <c r="U1515" s="800"/>
      <c r="V1515" s="800"/>
      <c r="W1515" s="913"/>
      <c r="X1515" s="913"/>
      <c r="Y1515" s="913"/>
      <c r="Z1515" s="913"/>
      <c r="AA1515" s="913"/>
      <c r="AB1515" s="913"/>
      <c r="AC1515" s="800"/>
      <c r="AD1515" s="800"/>
      <c r="AE1515" s="800"/>
      <c r="AF1515" s="800"/>
      <c r="AG1515" s="800"/>
      <c r="AH1515" s="800"/>
      <c r="AI1515" s="800"/>
      <c r="AJ1515" s="800"/>
      <c r="AK1515" s="800"/>
      <c r="AL1515" s="800"/>
      <c r="AM1515" s="800"/>
      <c r="AN1515" s="800"/>
      <c r="AO1515" s="800"/>
      <c r="AP1515" s="800"/>
      <c r="AQ1515" s="800"/>
      <c r="AR1515" s="800"/>
      <c r="AS1515" s="800"/>
      <c r="AT1515" s="800"/>
      <c r="AU1515" s="800"/>
      <c r="AV1515" s="800"/>
      <c r="AW1515" s="800"/>
      <c r="AX1515" s="800"/>
      <c r="AY1515" s="800"/>
      <c r="AZ1515" s="800"/>
      <c r="BA1515" s="800"/>
      <c r="BB1515" s="800"/>
    </row>
    <row r="1516" spans="1:54" ht="12.6" customHeight="1" x14ac:dyDescent="0.25">
      <c r="A1516" s="708"/>
      <c r="B1516" s="708"/>
      <c r="C1516" s="708"/>
      <c r="D1516" s="708"/>
      <c r="E1516" s="708"/>
      <c r="F1516" s="708"/>
      <c r="G1516" s="708"/>
      <c r="H1516" s="708"/>
      <c r="I1516" s="801"/>
      <c r="J1516" s="801"/>
      <c r="K1516" s="801"/>
      <c r="L1516" s="801"/>
      <c r="M1516" s="801"/>
      <c r="N1516" s="801"/>
      <c r="O1516" s="801"/>
      <c r="P1516" s="801"/>
      <c r="Q1516" s="801"/>
      <c r="R1516" s="801"/>
      <c r="S1516" s="801"/>
      <c r="T1516" s="801"/>
      <c r="U1516" s="801"/>
      <c r="V1516" s="801"/>
      <c r="W1516" s="914"/>
      <c r="X1516" s="914"/>
      <c r="Y1516" s="914"/>
      <c r="Z1516" s="914"/>
      <c r="AA1516" s="914"/>
      <c r="AB1516" s="914"/>
      <c r="AC1516" s="801"/>
      <c r="AD1516" s="801"/>
      <c r="AE1516" s="801"/>
      <c r="AF1516" s="801"/>
      <c r="AG1516" s="801"/>
      <c r="AH1516" s="801"/>
      <c r="AI1516" s="801"/>
      <c r="AJ1516" s="801"/>
      <c r="AK1516" s="801"/>
      <c r="AL1516" s="801"/>
      <c r="AM1516" s="801"/>
      <c r="AN1516" s="801"/>
      <c r="AO1516" s="801"/>
      <c r="AP1516" s="801"/>
      <c r="AQ1516" s="801"/>
      <c r="AR1516" s="801"/>
      <c r="AS1516" s="801"/>
      <c r="AT1516" s="801"/>
      <c r="AU1516" s="801"/>
      <c r="AV1516" s="801"/>
      <c r="AW1516" s="801"/>
      <c r="AX1516" s="801"/>
      <c r="AY1516" s="801"/>
      <c r="AZ1516" s="801"/>
      <c r="BA1516" s="801"/>
      <c r="BB1516" s="801"/>
    </row>
    <row r="1517" spans="1:54" ht="12.6" customHeight="1" x14ac:dyDescent="0.25">
      <c r="A1517" s="708" t="s">
        <v>2071</v>
      </c>
      <c r="B1517" s="708"/>
      <c r="C1517" s="708"/>
      <c r="D1517" s="708"/>
      <c r="E1517" s="708"/>
      <c r="F1517" s="708"/>
      <c r="G1517" s="708"/>
      <c r="H1517" s="708"/>
      <c r="I1517" s="800"/>
      <c r="J1517" s="800"/>
      <c r="K1517" s="800"/>
      <c r="L1517" s="800"/>
      <c r="M1517" s="800"/>
      <c r="N1517" s="800"/>
      <c r="O1517" s="800"/>
      <c r="P1517" s="800"/>
      <c r="Q1517" s="800"/>
      <c r="R1517" s="800"/>
      <c r="S1517" s="800"/>
      <c r="T1517" s="800"/>
      <c r="U1517" s="800"/>
      <c r="V1517" s="800"/>
      <c r="W1517" s="913"/>
      <c r="X1517" s="913"/>
      <c r="Y1517" s="913"/>
      <c r="Z1517" s="913"/>
      <c r="AA1517" s="913"/>
      <c r="AB1517" s="913"/>
      <c r="AC1517" s="800"/>
      <c r="AD1517" s="800"/>
      <c r="AE1517" s="800"/>
      <c r="AF1517" s="800"/>
      <c r="AG1517" s="800"/>
      <c r="AH1517" s="800"/>
      <c r="AI1517" s="800"/>
      <c r="AJ1517" s="800"/>
      <c r="AK1517" s="800"/>
      <c r="AL1517" s="800"/>
      <c r="AM1517" s="800"/>
      <c r="AN1517" s="800"/>
      <c r="AO1517" s="800"/>
      <c r="AP1517" s="800"/>
      <c r="AQ1517" s="800"/>
      <c r="AR1517" s="800"/>
      <c r="AS1517" s="800"/>
      <c r="AT1517" s="800"/>
      <c r="AU1517" s="800"/>
      <c r="AV1517" s="800"/>
      <c r="AW1517" s="800"/>
      <c r="AX1517" s="800"/>
      <c r="AY1517" s="800"/>
      <c r="AZ1517" s="800"/>
      <c r="BA1517" s="800"/>
      <c r="BB1517" s="800"/>
    </row>
    <row r="1518" spans="1:54" s="225" customFormat="1" ht="13.5" x14ac:dyDescent="0.25">
      <c r="A1518" s="708"/>
      <c r="B1518" s="708"/>
      <c r="C1518" s="708"/>
      <c r="D1518" s="708"/>
      <c r="E1518" s="708"/>
      <c r="F1518" s="708"/>
      <c r="G1518" s="708"/>
      <c r="H1518" s="708"/>
      <c r="I1518" s="801"/>
      <c r="J1518" s="801"/>
      <c r="K1518" s="801"/>
      <c r="L1518" s="801"/>
      <c r="M1518" s="801"/>
      <c r="N1518" s="801"/>
      <c r="O1518" s="801"/>
      <c r="P1518" s="801"/>
      <c r="Q1518" s="801"/>
      <c r="R1518" s="801"/>
      <c r="S1518" s="801"/>
      <c r="T1518" s="801"/>
      <c r="U1518" s="801"/>
      <c r="V1518" s="801"/>
      <c r="W1518" s="914"/>
      <c r="X1518" s="914"/>
      <c r="Y1518" s="914"/>
      <c r="Z1518" s="914"/>
      <c r="AA1518" s="914"/>
      <c r="AB1518" s="914"/>
      <c r="AC1518" s="801"/>
      <c r="AD1518" s="801"/>
      <c r="AE1518" s="801"/>
      <c r="AF1518" s="801"/>
      <c r="AG1518" s="801"/>
      <c r="AH1518" s="801"/>
      <c r="AI1518" s="801"/>
      <c r="AJ1518" s="801"/>
      <c r="AK1518" s="801"/>
      <c r="AL1518" s="801"/>
      <c r="AM1518" s="801"/>
      <c r="AN1518" s="801"/>
      <c r="AO1518" s="801"/>
      <c r="AP1518" s="801"/>
      <c r="AQ1518" s="801"/>
      <c r="AR1518" s="801"/>
      <c r="AS1518" s="801"/>
      <c r="AT1518" s="801"/>
      <c r="AU1518" s="801"/>
      <c r="AV1518" s="801"/>
      <c r="AW1518" s="801"/>
      <c r="AX1518" s="801"/>
      <c r="AY1518" s="801"/>
      <c r="AZ1518" s="801"/>
      <c r="BA1518" s="801"/>
      <c r="BB1518" s="801"/>
    </row>
    <row r="1519" spans="1:54" x14ac:dyDescent="0.25">
      <c r="A1519" s="708" t="s">
        <v>2072</v>
      </c>
      <c r="B1519" s="708"/>
      <c r="C1519" s="708"/>
      <c r="D1519" s="708"/>
      <c r="E1519" s="708"/>
      <c r="F1519" s="708"/>
      <c r="G1519" s="708"/>
      <c r="H1519" s="708"/>
      <c r="I1519" s="800"/>
      <c r="J1519" s="800"/>
      <c r="K1519" s="800"/>
      <c r="L1519" s="800"/>
      <c r="M1519" s="800"/>
      <c r="N1519" s="800"/>
      <c r="O1519" s="800"/>
      <c r="P1519" s="800"/>
      <c r="Q1519" s="800"/>
      <c r="R1519" s="800"/>
      <c r="S1519" s="800"/>
      <c r="T1519" s="800"/>
      <c r="U1519" s="800"/>
      <c r="V1519" s="800"/>
      <c r="W1519" s="913"/>
      <c r="X1519" s="913"/>
      <c r="Y1519" s="913"/>
      <c r="Z1519" s="913"/>
      <c r="AA1519" s="913"/>
      <c r="AB1519" s="913"/>
      <c r="AC1519" s="800"/>
      <c r="AD1519" s="800"/>
      <c r="AE1519" s="800"/>
      <c r="AF1519" s="800"/>
      <c r="AG1519" s="800"/>
      <c r="AH1519" s="800"/>
      <c r="AI1519" s="800"/>
      <c r="AJ1519" s="800"/>
      <c r="AK1519" s="800"/>
      <c r="AL1519" s="800"/>
      <c r="AM1519" s="800"/>
      <c r="AN1519" s="800"/>
      <c r="AO1519" s="800"/>
      <c r="AP1519" s="800"/>
      <c r="AQ1519" s="800"/>
      <c r="AR1519" s="800"/>
      <c r="AS1519" s="800"/>
      <c r="AT1519" s="800"/>
      <c r="AU1519" s="800"/>
      <c r="AV1519" s="800"/>
      <c r="AW1519" s="800"/>
      <c r="AX1519" s="800"/>
      <c r="AY1519" s="800"/>
      <c r="AZ1519" s="800"/>
      <c r="BA1519" s="800"/>
      <c r="BB1519" s="800"/>
    </row>
    <row r="1520" spans="1:54" x14ac:dyDescent="0.25">
      <c r="A1520" s="708"/>
      <c r="B1520" s="708"/>
      <c r="C1520" s="708"/>
      <c r="D1520" s="708"/>
      <c r="E1520" s="708"/>
      <c r="F1520" s="708"/>
      <c r="G1520" s="708"/>
      <c r="H1520" s="708"/>
      <c r="I1520" s="801"/>
      <c r="J1520" s="801"/>
      <c r="K1520" s="801"/>
      <c r="L1520" s="801"/>
      <c r="M1520" s="801"/>
      <c r="N1520" s="801"/>
      <c r="O1520" s="801"/>
      <c r="P1520" s="801"/>
      <c r="Q1520" s="801"/>
      <c r="R1520" s="801"/>
      <c r="S1520" s="801"/>
      <c r="T1520" s="801"/>
      <c r="U1520" s="801"/>
      <c r="V1520" s="801"/>
      <c r="W1520" s="914"/>
      <c r="X1520" s="914"/>
      <c r="Y1520" s="914"/>
      <c r="Z1520" s="914"/>
      <c r="AA1520" s="914"/>
      <c r="AB1520" s="914"/>
      <c r="AC1520" s="801"/>
      <c r="AD1520" s="801"/>
      <c r="AE1520" s="801"/>
      <c r="AF1520" s="801"/>
      <c r="AG1520" s="801"/>
      <c r="AH1520" s="801"/>
      <c r="AI1520" s="801"/>
      <c r="AJ1520" s="801"/>
      <c r="AK1520" s="801"/>
      <c r="AL1520" s="801"/>
      <c r="AM1520" s="801"/>
      <c r="AN1520" s="801"/>
      <c r="AO1520" s="801"/>
      <c r="AP1520" s="801"/>
      <c r="AQ1520" s="801"/>
      <c r="AR1520" s="801"/>
      <c r="AS1520" s="801"/>
      <c r="AT1520" s="801"/>
      <c r="AU1520" s="801"/>
      <c r="AV1520" s="801"/>
      <c r="AW1520" s="801"/>
      <c r="AX1520" s="801"/>
      <c r="AY1520" s="801"/>
      <c r="AZ1520" s="801"/>
      <c r="BA1520" s="801"/>
      <c r="BB1520" s="801"/>
    </row>
    <row r="1521" spans="1:1024" x14ac:dyDescent="0.25">
      <c r="A1521" s="708" t="s">
        <v>2073</v>
      </c>
      <c r="B1521" s="708"/>
      <c r="C1521" s="708"/>
      <c r="D1521" s="708"/>
      <c r="E1521" s="708"/>
      <c r="F1521" s="708"/>
      <c r="G1521" s="708"/>
      <c r="H1521" s="708"/>
      <c r="I1521" s="800"/>
      <c r="J1521" s="800"/>
      <c r="K1521" s="800"/>
      <c r="L1521" s="800"/>
      <c r="M1521" s="800"/>
      <c r="N1521" s="800"/>
      <c r="O1521" s="800"/>
      <c r="P1521" s="800"/>
      <c r="Q1521" s="800"/>
      <c r="R1521" s="800"/>
      <c r="S1521" s="800"/>
      <c r="T1521" s="800"/>
      <c r="U1521" s="800"/>
      <c r="V1521" s="800"/>
      <c r="W1521" s="913"/>
      <c r="X1521" s="913"/>
      <c r="Y1521" s="913"/>
      <c r="Z1521" s="913"/>
      <c r="AA1521" s="913"/>
      <c r="AB1521" s="913"/>
      <c r="AC1521" s="800"/>
      <c r="AD1521" s="800"/>
      <c r="AE1521" s="800"/>
      <c r="AF1521" s="800"/>
      <c r="AG1521" s="800"/>
      <c r="AH1521" s="800"/>
      <c r="AI1521" s="800"/>
      <c r="AJ1521" s="800"/>
      <c r="AK1521" s="800"/>
      <c r="AL1521" s="800"/>
      <c r="AM1521" s="800"/>
      <c r="AN1521" s="800"/>
      <c r="AO1521" s="800"/>
      <c r="AP1521" s="800"/>
      <c r="AQ1521" s="800"/>
      <c r="AR1521" s="800"/>
      <c r="AS1521" s="800"/>
      <c r="AT1521" s="800"/>
      <c r="AU1521" s="800"/>
      <c r="AV1521" s="800"/>
      <c r="AW1521" s="800"/>
      <c r="AX1521" s="800"/>
      <c r="AY1521" s="800"/>
      <c r="AZ1521" s="800"/>
      <c r="BA1521" s="800"/>
      <c r="BB1521" s="800"/>
    </row>
    <row r="1522" spans="1:1024" x14ac:dyDescent="0.25">
      <c r="A1522" s="708"/>
      <c r="B1522" s="708"/>
      <c r="C1522" s="708"/>
      <c r="D1522" s="708"/>
      <c r="E1522" s="708"/>
      <c r="F1522" s="708"/>
      <c r="G1522" s="708"/>
      <c r="H1522" s="708"/>
      <c r="I1522" s="801"/>
      <c r="J1522" s="801"/>
      <c r="K1522" s="801"/>
      <c r="L1522" s="801"/>
      <c r="M1522" s="801"/>
      <c r="N1522" s="801"/>
      <c r="O1522" s="801"/>
      <c r="P1522" s="801"/>
      <c r="Q1522" s="801"/>
      <c r="R1522" s="801"/>
      <c r="S1522" s="801"/>
      <c r="T1522" s="801"/>
      <c r="U1522" s="801"/>
      <c r="V1522" s="801"/>
      <c r="W1522" s="914"/>
      <c r="X1522" s="914"/>
      <c r="Y1522" s="914"/>
      <c r="Z1522" s="914"/>
      <c r="AA1522" s="914"/>
      <c r="AB1522" s="914"/>
      <c r="AC1522" s="801"/>
      <c r="AD1522" s="801"/>
      <c r="AE1522" s="801"/>
      <c r="AF1522" s="801"/>
      <c r="AG1522" s="801"/>
      <c r="AH1522" s="801"/>
      <c r="AI1522" s="801"/>
      <c r="AJ1522" s="801"/>
      <c r="AK1522" s="801"/>
      <c r="AL1522" s="801"/>
      <c r="AM1522" s="801"/>
      <c r="AN1522" s="801"/>
      <c r="AO1522" s="801"/>
      <c r="AP1522" s="801"/>
      <c r="AQ1522" s="801"/>
      <c r="AR1522" s="801"/>
      <c r="AS1522" s="801"/>
      <c r="AT1522" s="801"/>
      <c r="AU1522" s="801"/>
      <c r="AV1522" s="801"/>
      <c r="AW1522" s="801"/>
      <c r="AX1522" s="801"/>
      <c r="AY1522" s="801"/>
      <c r="AZ1522" s="801"/>
      <c r="BA1522" s="801"/>
      <c r="BB1522" s="801"/>
    </row>
    <row r="1523" spans="1:1024" x14ac:dyDescent="0.25">
      <c r="A1523" s="708" t="s">
        <v>2074</v>
      </c>
      <c r="B1523" s="708"/>
      <c r="C1523" s="708"/>
      <c r="D1523" s="708"/>
      <c r="E1523" s="708"/>
      <c r="F1523" s="708"/>
      <c r="G1523" s="708"/>
      <c r="H1523" s="708"/>
      <c r="I1523" s="800"/>
      <c r="J1523" s="800"/>
      <c r="K1523" s="800"/>
      <c r="L1523" s="800"/>
      <c r="M1523" s="800"/>
      <c r="N1523" s="800"/>
      <c r="O1523" s="800"/>
      <c r="P1523" s="800"/>
      <c r="Q1523" s="800"/>
      <c r="R1523" s="800"/>
      <c r="S1523" s="800"/>
      <c r="T1523" s="800"/>
      <c r="U1523" s="800"/>
      <c r="V1523" s="800"/>
      <c r="W1523" s="913"/>
      <c r="X1523" s="913"/>
      <c r="Y1523" s="913"/>
      <c r="Z1523" s="913"/>
      <c r="AA1523" s="913"/>
      <c r="AB1523" s="913"/>
      <c r="AC1523" s="800"/>
      <c r="AD1523" s="800"/>
      <c r="AE1523" s="800"/>
      <c r="AF1523" s="800"/>
      <c r="AG1523" s="800"/>
      <c r="AH1523" s="800"/>
      <c r="AI1523" s="800"/>
      <c r="AJ1523" s="800"/>
      <c r="AK1523" s="800"/>
      <c r="AL1523" s="800"/>
      <c r="AM1523" s="800"/>
      <c r="AN1523" s="800"/>
      <c r="AO1523" s="800"/>
      <c r="AP1523" s="800"/>
      <c r="AQ1523" s="800"/>
      <c r="AR1523" s="800"/>
      <c r="AS1523" s="800"/>
      <c r="AT1523" s="800"/>
      <c r="AU1523" s="800"/>
      <c r="AV1523" s="800"/>
      <c r="AW1523" s="800"/>
      <c r="AX1523" s="800"/>
      <c r="AY1523" s="800"/>
      <c r="AZ1523" s="800"/>
      <c r="BA1523" s="800"/>
      <c r="BB1523" s="800"/>
    </row>
    <row r="1524" spans="1:1024" x14ac:dyDescent="0.25">
      <c r="A1524" s="708"/>
      <c r="B1524" s="708"/>
      <c r="C1524" s="708"/>
      <c r="D1524" s="708"/>
      <c r="E1524" s="708"/>
      <c r="F1524" s="708"/>
      <c r="G1524" s="708"/>
      <c r="H1524" s="708"/>
      <c r="I1524" s="801"/>
      <c r="J1524" s="801"/>
      <c r="K1524" s="801"/>
      <c r="L1524" s="801"/>
      <c r="M1524" s="801"/>
      <c r="N1524" s="801"/>
      <c r="O1524" s="801"/>
      <c r="P1524" s="801"/>
      <c r="Q1524" s="801"/>
      <c r="R1524" s="801"/>
      <c r="S1524" s="801"/>
      <c r="T1524" s="801"/>
      <c r="U1524" s="801"/>
      <c r="V1524" s="801"/>
      <c r="W1524" s="914"/>
      <c r="X1524" s="914"/>
      <c r="Y1524" s="914"/>
      <c r="Z1524" s="914"/>
      <c r="AA1524" s="914"/>
      <c r="AB1524" s="914"/>
      <c r="AC1524" s="801"/>
      <c r="AD1524" s="801"/>
      <c r="AE1524" s="801"/>
      <c r="AF1524" s="801"/>
      <c r="AG1524" s="801"/>
      <c r="AH1524" s="801"/>
      <c r="AI1524" s="801"/>
      <c r="AJ1524" s="801"/>
      <c r="AK1524" s="801"/>
      <c r="AL1524" s="801"/>
      <c r="AM1524" s="801"/>
      <c r="AN1524" s="801"/>
      <c r="AO1524" s="801"/>
      <c r="AP1524" s="801"/>
      <c r="AQ1524" s="801"/>
      <c r="AR1524" s="801"/>
      <c r="AS1524" s="801"/>
      <c r="AT1524" s="801"/>
      <c r="AU1524" s="801"/>
      <c r="AV1524" s="801"/>
      <c r="AW1524" s="801"/>
      <c r="AX1524" s="801"/>
      <c r="AY1524" s="801"/>
      <c r="AZ1524" s="801"/>
      <c r="BA1524" s="801"/>
      <c r="BB1524" s="801"/>
    </row>
    <row r="1525" spans="1:1024" x14ac:dyDescent="0.25">
      <c r="A1525" s="708" t="s">
        <v>2075</v>
      </c>
      <c r="B1525" s="708"/>
      <c r="C1525" s="708"/>
      <c r="D1525" s="708"/>
      <c r="E1525" s="708"/>
      <c r="F1525" s="708"/>
      <c r="G1525" s="708"/>
      <c r="H1525" s="708"/>
      <c r="I1525" s="800"/>
      <c r="J1525" s="800"/>
      <c r="K1525" s="800"/>
      <c r="L1525" s="800"/>
      <c r="M1525" s="800"/>
      <c r="N1525" s="800"/>
      <c r="O1525" s="800"/>
      <c r="P1525" s="800"/>
      <c r="Q1525" s="800"/>
      <c r="R1525" s="800"/>
      <c r="S1525" s="800"/>
      <c r="T1525" s="800"/>
      <c r="U1525" s="800"/>
      <c r="V1525" s="800"/>
      <c r="W1525" s="913"/>
      <c r="X1525" s="913"/>
      <c r="Y1525" s="913"/>
      <c r="Z1525" s="913"/>
      <c r="AA1525" s="913"/>
      <c r="AB1525" s="913"/>
      <c r="AC1525" s="800"/>
      <c r="AD1525" s="800"/>
      <c r="AE1525" s="800"/>
      <c r="AF1525" s="800"/>
      <c r="AG1525" s="800"/>
      <c r="AH1525" s="800"/>
      <c r="AI1525" s="800"/>
      <c r="AJ1525" s="800"/>
      <c r="AK1525" s="800"/>
      <c r="AL1525" s="800"/>
      <c r="AM1525" s="800"/>
      <c r="AN1525" s="800"/>
      <c r="AO1525" s="800"/>
      <c r="AP1525" s="800"/>
      <c r="AQ1525" s="800"/>
      <c r="AR1525" s="800"/>
      <c r="AS1525" s="800"/>
      <c r="AT1525" s="800"/>
      <c r="AU1525" s="800"/>
      <c r="AV1525" s="800"/>
      <c r="AW1525" s="800"/>
      <c r="AX1525" s="800"/>
      <c r="AY1525" s="800"/>
      <c r="AZ1525" s="800"/>
      <c r="BA1525" s="800"/>
      <c r="BB1525" s="800"/>
    </row>
    <row r="1526" spans="1:1024" x14ac:dyDescent="0.25">
      <c r="A1526" s="708"/>
      <c r="B1526" s="708"/>
      <c r="C1526" s="708"/>
      <c r="D1526" s="708"/>
      <c r="E1526" s="708"/>
      <c r="F1526" s="708"/>
      <c r="G1526" s="708"/>
      <c r="H1526" s="708"/>
      <c r="I1526" s="801"/>
      <c r="J1526" s="801"/>
      <c r="K1526" s="801"/>
      <c r="L1526" s="801"/>
      <c r="M1526" s="801"/>
      <c r="N1526" s="801"/>
      <c r="O1526" s="801"/>
      <c r="P1526" s="801"/>
      <c r="Q1526" s="801"/>
      <c r="R1526" s="801"/>
      <c r="S1526" s="801"/>
      <c r="T1526" s="801"/>
      <c r="U1526" s="801"/>
      <c r="V1526" s="801"/>
      <c r="W1526" s="914"/>
      <c r="X1526" s="914"/>
      <c r="Y1526" s="914"/>
      <c r="Z1526" s="914"/>
      <c r="AA1526" s="914"/>
      <c r="AB1526" s="914"/>
      <c r="AC1526" s="801"/>
      <c r="AD1526" s="801"/>
      <c r="AE1526" s="801"/>
      <c r="AF1526" s="801"/>
      <c r="AG1526" s="801"/>
      <c r="AH1526" s="801"/>
      <c r="AI1526" s="801"/>
      <c r="AJ1526" s="801"/>
      <c r="AK1526" s="801"/>
      <c r="AL1526" s="801"/>
      <c r="AM1526" s="801"/>
      <c r="AN1526" s="801"/>
      <c r="AO1526" s="801"/>
      <c r="AP1526" s="801"/>
      <c r="AQ1526" s="801"/>
      <c r="AR1526" s="801"/>
      <c r="AS1526" s="801"/>
      <c r="AT1526" s="801"/>
      <c r="AU1526" s="801"/>
      <c r="AV1526" s="801"/>
      <c r="AW1526" s="801"/>
      <c r="AX1526" s="801"/>
      <c r="AY1526" s="801"/>
      <c r="AZ1526" s="801"/>
      <c r="BA1526" s="801"/>
      <c r="BB1526" s="801"/>
    </row>
    <row r="1527" spans="1:1024" x14ac:dyDescent="0.25">
      <c r="A1527" s="708" t="s">
        <v>1806</v>
      </c>
      <c r="B1527" s="708"/>
      <c r="C1527" s="708"/>
      <c r="D1527" s="708"/>
      <c r="E1527" s="708"/>
      <c r="F1527" s="708"/>
      <c r="G1527" s="708"/>
      <c r="H1527" s="708"/>
      <c r="I1527" s="800"/>
      <c r="J1527" s="800"/>
      <c r="K1527" s="800"/>
      <c r="L1527" s="800"/>
      <c r="M1527" s="800"/>
      <c r="N1527" s="800"/>
      <c r="O1527" s="800"/>
      <c r="P1527" s="800"/>
      <c r="Q1527" s="800"/>
      <c r="R1527" s="800"/>
      <c r="S1527" s="800"/>
      <c r="T1527" s="800"/>
      <c r="U1527" s="800"/>
      <c r="V1527" s="800"/>
      <c r="W1527" s="913"/>
      <c r="X1527" s="913"/>
      <c r="Y1527" s="913"/>
      <c r="Z1527" s="913"/>
      <c r="AA1527" s="913"/>
      <c r="AB1527" s="913"/>
      <c r="AC1527" s="800"/>
      <c r="AD1527" s="800"/>
      <c r="AE1527" s="800"/>
      <c r="AF1527" s="800"/>
      <c r="AG1527" s="800"/>
      <c r="AH1527" s="800"/>
      <c r="AI1527" s="800"/>
      <c r="AJ1527" s="800"/>
      <c r="AK1527" s="800"/>
      <c r="AL1527" s="800"/>
      <c r="AM1527" s="800"/>
      <c r="AN1527" s="800"/>
      <c r="AO1527" s="800"/>
      <c r="AP1527" s="800"/>
      <c r="AQ1527" s="800"/>
      <c r="AR1527" s="800"/>
      <c r="AS1527" s="800"/>
      <c r="AT1527" s="800"/>
      <c r="AU1527" s="800"/>
      <c r="AV1527" s="800"/>
      <c r="AW1527" s="800"/>
      <c r="AX1527" s="800"/>
      <c r="AY1527" s="800"/>
      <c r="AZ1527" s="800"/>
      <c r="BA1527" s="800"/>
      <c r="BB1527" s="800"/>
    </row>
    <row r="1528" spans="1:1024" x14ac:dyDescent="0.25">
      <c r="A1528" s="708"/>
      <c r="B1528" s="708"/>
      <c r="C1528" s="708"/>
      <c r="D1528" s="708"/>
      <c r="E1528" s="708"/>
      <c r="F1528" s="708"/>
      <c r="G1528" s="708"/>
      <c r="H1528" s="708"/>
      <c r="I1528" s="801"/>
      <c r="J1528" s="801"/>
      <c r="K1528" s="801"/>
      <c r="L1528" s="801"/>
      <c r="M1528" s="801"/>
      <c r="N1528" s="801"/>
      <c r="O1528" s="801"/>
      <c r="P1528" s="801"/>
      <c r="Q1528" s="801"/>
      <c r="R1528" s="801"/>
      <c r="S1528" s="801"/>
      <c r="T1528" s="801"/>
      <c r="U1528" s="801"/>
      <c r="V1528" s="801"/>
      <c r="W1528" s="914"/>
      <c r="X1528" s="914"/>
      <c r="Y1528" s="914"/>
      <c r="Z1528" s="914"/>
      <c r="AA1528" s="914"/>
      <c r="AB1528" s="914"/>
      <c r="AC1528" s="801"/>
      <c r="AD1528" s="801"/>
      <c r="AE1528" s="801"/>
      <c r="AF1528" s="801"/>
      <c r="AG1528" s="801"/>
      <c r="AH1528" s="801"/>
      <c r="AI1528" s="801"/>
      <c r="AJ1528" s="801"/>
      <c r="AK1528" s="801"/>
      <c r="AL1528" s="801"/>
      <c r="AM1528" s="801"/>
      <c r="AN1528" s="801"/>
      <c r="AO1528" s="801"/>
      <c r="AP1528" s="801"/>
      <c r="AQ1528" s="801"/>
      <c r="AR1528" s="801"/>
      <c r="AS1528" s="801"/>
      <c r="AT1528" s="801"/>
      <c r="AU1528" s="801"/>
      <c r="AV1528" s="801"/>
      <c r="AW1528" s="801"/>
      <c r="AX1528" s="801"/>
      <c r="AY1528" s="801"/>
      <c r="AZ1528" s="801"/>
      <c r="BA1528" s="801"/>
      <c r="BB1528" s="801"/>
    </row>
    <row r="1529" spans="1:1024" ht="12.6" customHeight="1" x14ac:dyDescent="0.25">
      <c r="A1529" s="227" t="s">
        <v>1482</v>
      </c>
    </row>
    <row r="1530" spans="1:1024" ht="15" customHeight="1" x14ac:dyDescent="0.25">
      <c r="A1530" s="763"/>
      <c r="B1530" s="763"/>
      <c r="C1530" s="763"/>
      <c r="D1530" s="763"/>
      <c r="E1530" s="763"/>
      <c r="F1530" s="763"/>
      <c r="G1530" s="763"/>
      <c r="H1530" s="763"/>
      <c r="I1530" s="763"/>
      <c r="J1530" s="763"/>
      <c r="K1530" s="763"/>
      <c r="L1530" s="763"/>
      <c r="M1530" s="763"/>
      <c r="N1530" s="763"/>
      <c r="O1530" s="763"/>
      <c r="P1530" s="763"/>
      <c r="Q1530" s="763"/>
      <c r="R1530" s="763"/>
      <c r="S1530" s="763"/>
      <c r="T1530" s="763"/>
      <c r="U1530" s="763"/>
      <c r="V1530" s="763"/>
      <c r="W1530" s="763"/>
      <c r="X1530" s="763"/>
      <c r="Y1530" s="763"/>
      <c r="Z1530" s="763"/>
      <c r="AA1530" s="763"/>
      <c r="AB1530" s="763"/>
      <c r="AC1530" s="763"/>
      <c r="AD1530" s="763"/>
      <c r="AE1530" s="763"/>
      <c r="AF1530" s="763"/>
      <c r="AG1530" s="763"/>
      <c r="AH1530" s="763"/>
      <c r="AI1530" s="763"/>
      <c r="AJ1530" s="763"/>
      <c r="AK1530" s="763"/>
      <c r="AL1530" s="763"/>
      <c r="AM1530" s="763"/>
      <c r="AN1530" s="763"/>
      <c r="AO1530" s="763"/>
      <c r="AP1530" s="763"/>
      <c r="AQ1530" s="763"/>
      <c r="AR1530" s="763"/>
      <c r="AS1530" s="763"/>
      <c r="AT1530" s="763"/>
      <c r="AU1530" s="763"/>
      <c r="AV1530" s="763"/>
      <c r="AW1530" s="763"/>
      <c r="AX1530" s="763"/>
      <c r="AY1530" s="265"/>
      <c r="AZ1530" s="265"/>
      <c r="BA1530" s="265"/>
      <c r="BB1530" s="265"/>
    </row>
    <row r="1531" spans="1:1024" ht="15" customHeight="1" x14ac:dyDescent="0.25">
      <c r="A1531" s="763"/>
      <c r="B1531" s="763"/>
      <c r="C1531" s="763"/>
      <c r="D1531" s="763"/>
      <c r="E1531" s="763"/>
      <c r="F1531" s="763"/>
      <c r="G1531" s="763"/>
      <c r="H1531" s="763"/>
      <c r="I1531" s="763"/>
      <c r="J1531" s="763"/>
      <c r="K1531" s="763"/>
      <c r="L1531" s="763"/>
      <c r="M1531" s="763"/>
      <c r="N1531" s="763"/>
      <c r="O1531" s="763"/>
      <c r="P1531" s="763"/>
      <c r="Q1531" s="763"/>
      <c r="R1531" s="763"/>
      <c r="S1531" s="763"/>
      <c r="T1531" s="763"/>
      <c r="U1531" s="763"/>
      <c r="V1531" s="763"/>
      <c r="W1531" s="763"/>
      <c r="X1531" s="763"/>
      <c r="Y1531" s="763"/>
      <c r="Z1531" s="763"/>
      <c r="AA1531" s="763"/>
      <c r="AB1531" s="763"/>
      <c r="AC1531" s="763"/>
      <c r="AD1531" s="763"/>
      <c r="AE1531" s="763"/>
      <c r="AF1531" s="763"/>
      <c r="AG1531" s="763"/>
      <c r="AH1531" s="763"/>
      <c r="AI1531" s="763"/>
      <c r="AJ1531" s="763"/>
      <c r="AK1531" s="763"/>
      <c r="AL1531" s="763"/>
      <c r="AM1531" s="763"/>
      <c r="AN1531" s="763"/>
      <c r="AO1531" s="763"/>
      <c r="AP1531" s="763"/>
      <c r="AQ1531" s="763"/>
      <c r="AR1531" s="763"/>
      <c r="AS1531" s="763"/>
      <c r="AT1531" s="763"/>
      <c r="AU1531" s="763"/>
      <c r="AV1531" s="763"/>
      <c r="AW1531" s="763"/>
      <c r="AX1531" s="763"/>
      <c r="AY1531" s="265"/>
      <c r="AZ1531" s="265"/>
      <c r="BA1531" s="265"/>
      <c r="BB1531" s="265"/>
    </row>
    <row r="1532" spans="1:1024" ht="12.6" customHeight="1" x14ac:dyDescent="0.25">
      <c r="A1532" s="217"/>
      <c r="B1532" s="217"/>
      <c r="C1532" s="217"/>
      <c r="D1532" s="217"/>
      <c r="E1532" s="217"/>
      <c r="F1532" s="217"/>
      <c r="G1532" s="217"/>
      <c r="H1532" s="217"/>
      <c r="I1532" s="217"/>
      <c r="J1532" s="217"/>
      <c r="K1532" s="217"/>
      <c r="L1532" s="217"/>
      <c r="M1532" s="217"/>
      <c r="N1532" s="217"/>
      <c r="O1532" s="217"/>
      <c r="P1532" s="217"/>
      <c r="Q1532" s="217"/>
      <c r="R1532" s="217"/>
      <c r="S1532" s="217"/>
      <c r="T1532" s="217"/>
      <c r="U1532" s="217"/>
      <c r="V1532" s="217"/>
      <c r="W1532" s="217"/>
      <c r="X1532" s="217"/>
      <c r="Y1532" s="217"/>
      <c r="Z1532" s="217"/>
      <c r="AA1532" s="217"/>
      <c r="AB1532" s="217"/>
      <c r="AC1532" s="217"/>
      <c r="AD1532" s="217"/>
      <c r="AE1532" s="217"/>
      <c r="AF1532" s="217"/>
      <c r="AG1532" s="217"/>
      <c r="AH1532" s="217"/>
      <c r="AI1532" s="217"/>
      <c r="AJ1532" s="217"/>
      <c r="AK1532" s="217"/>
      <c r="AL1532" s="217"/>
      <c r="AM1532" s="217"/>
      <c r="AN1532" s="217"/>
      <c r="AO1532" s="217"/>
      <c r="AP1532" s="217"/>
      <c r="AQ1532" s="217"/>
      <c r="AR1532" s="217"/>
      <c r="AS1532" s="217"/>
      <c r="AT1532" s="217"/>
      <c r="AU1532" s="217"/>
      <c r="AV1532" s="217"/>
      <c r="AW1532" s="217"/>
      <c r="AX1532" s="217"/>
      <c r="AY1532" s="217"/>
      <c r="AZ1532" s="217"/>
      <c r="BA1532" s="217"/>
      <c r="BB1532" s="217"/>
    </row>
    <row r="1533" spans="1:1024" s="208" customFormat="1" ht="12" customHeight="1" x14ac:dyDescent="0.25">
      <c r="A1533" s="908" t="s">
        <v>2076</v>
      </c>
      <c r="B1533" s="908"/>
      <c r="C1533" s="908"/>
      <c r="D1533" s="908"/>
      <c r="E1533" s="908"/>
      <c r="F1533" s="908"/>
      <c r="G1533" s="908"/>
      <c r="H1533" s="908"/>
      <c r="I1533" s="908"/>
      <c r="J1533" s="908"/>
      <c r="K1533" s="908"/>
      <c r="L1533" s="908"/>
      <c r="M1533" s="908"/>
      <c r="N1533" s="908"/>
      <c r="O1533" s="908"/>
      <c r="P1533" s="908"/>
      <c r="Q1533" s="908"/>
      <c r="R1533" s="908"/>
      <c r="S1533" s="908"/>
      <c r="T1533" s="908"/>
      <c r="U1533" s="908"/>
      <c r="V1533" s="908"/>
      <c r="W1533" s="908"/>
      <c r="X1533" s="908"/>
      <c r="Y1533" s="908"/>
      <c r="Z1533" s="908"/>
      <c r="AA1533" s="908"/>
      <c r="AB1533" s="908"/>
      <c r="AC1533" s="908"/>
      <c r="AD1533" s="908"/>
      <c r="AE1533" s="908"/>
      <c r="AF1533" s="908"/>
      <c r="AG1533" s="908"/>
      <c r="AH1533" s="908"/>
      <c r="AI1533" s="908"/>
      <c r="AJ1533" s="908"/>
      <c r="AK1533" s="908"/>
      <c r="AL1533" s="908"/>
      <c r="AM1533" s="908"/>
      <c r="AN1533" s="908"/>
      <c r="AO1533" s="908"/>
      <c r="AP1533" s="908"/>
      <c r="AQ1533" s="908"/>
      <c r="AR1533" s="908"/>
      <c r="AS1533" s="908"/>
      <c r="AT1533" s="908"/>
      <c r="AU1533" s="908"/>
      <c r="AV1533" s="908"/>
      <c r="AW1533" s="908"/>
      <c r="AX1533" s="908"/>
      <c r="AY1533" s="908"/>
    </row>
    <row r="1534" spans="1:1024" s="225" customFormat="1" ht="12.6" customHeight="1" x14ac:dyDescent="0.25">
      <c r="A1534" s="220" t="s">
        <v>2077</v>
      </c>
      <c r="B1534" s="224"/>
      <c r="C1534" s="224"/>
      <c r="D1534" s="224"/>
      <c r="E1534" s="224"/>
      <c r="F1534" s="224"/>
      <c r="G1534" s="224"/>
      <c r="H1534" s="224"/>
      <c r="I1534" s="224"/>
      <c r="J1534" s="224"/>
      <c r="K1534" s="224"/>
      <c r="L1534" s="224"/>
      <c r="M1534" s="224"/>
      <c r="N1534" s="224"/>
      <c r="O1534" s="224"/>
      <c r="P1534" s="224"/>
      <c r="Q1534" s="224"/>
      <c r="R1534" s="224"/>
      <c r="S1534" s="224"/>
      <c r="T1534" s="224"/>
      <c r="U1534" s="224"/>
      <c r="V1534" s="224"/>
      <c r="W1534" s="224"/>
      <c r="X1534" s="224"/>
      <c r="Y1534" s="224"/>
      <c r="Z1534" s="224"/>
      <c r="AA1534" s="224"/>
      <c r="AB1534" s="224"/>
      <c r="AC1534" s="224"/>
      <c r="AD1534" s="224"/>
      <c r="AE1534" s="224"/>
      <c r="AF1534" s="224"/>
      <c r="AG1534" s="224"/>
      <c r="AH1534" s="224"/>
      <c r="AI1534" s="224"/>
      <c r="AJ1534" s="224"/>
      <c r="AK1534" s="224"/>
      <c r="AL1534" s="224"/>
      <c r="AM1534" s="224"/>
      <c r="AN1534" s="224"/>
      <c r="AO1534" s="224"/>
      <c r="AP1534" s="224"/>
      <c r="AQ1534" s="224"/>
      <c r="AR1534" s="224"/>
      <c r="AS1534" s="224"/>
      <c r="AT1534" s="224"/>
      <c r="AU1534" s="224"/>
      <c r="AV1534" s="224"/>
      <c r="AW1534" s="224"/>
      <c r="AX1534" s="224"/>
      <c r="AY1534" s="224"/>
      <c r="AZ1534" s="224"/>
      <c r="BA1534" s="224"/>
      <c r="BB1534" s="224"/>
    </row>
    <row r="1535" spans="1:1024" s="230" customFormat="1" ht="12.6" customHeight="1" x14ac:dyDescent="0.25">
      <c r="A1535" s="908" t="s">
        <v>2078</v>
      </c>
      <c r="B1535" s="908"/>
      <c r="C1535" s="908"/>
      <c r="D1535" s="908"/>
      <c r="E1535" s="908"/>
      <c r="F1535" s="908"/>
      <c r="G1535" s="908"/>
      <c r="H1535" s="908"/>
      <c r="I1535" s="908"/>
      <c r="J1535" s="908"/>
      <c r="K1535" s="908"/>
      <c r="L1535" s="908"/>
      <c r="M1535" s="908"/>
      <c r="N1535" s="908"/>
      <c r="O1535" s="908"/>
      <c r="P1535" s="908"/>
      <c r="Q1535" s="908"/>
      <c r="R1535" s="908"/>
      <c r="S1535" s="908"/>
      <c r="T1535" s="908"/>
      <c r="U1535" s="908"/>
      <c r="V1535" s="908"/>
      <c r="W1535" s="908"/>
      <c r="X1535" s="908"/>
      <c r="Y1535" s="908"/>
      <c r="Z1535" s="908"/>
      <c r="AA1535" s="908"/>
      <c r="AB1535" s="908"/>
      <c r="AC1535" s="908"/>
      <c r="AD1535" s="908"/>
      <c r="AE1535" s="908"/>
      <c r="AF1535" s="908"/>
      <c r="AG1535" s="908"/>
      <c r="AH1535" s="908"/>
      <c r="AI1535" s="908"/>
      <c r="AJ1535" s="908"/>
      <c r="AK1535" s="908"/>
      <c r="AL1535" s="908"/>
      <c r="AM1535" s="908"/>
      <c r="AN1535" s="908"/>
      <c r="AO1535" s="908"/>
      <c r="AP1535" s="908"/>
      <c r="AQ1535" s="908"/>
      <c r="AR1535" s="908"/>
      <c r="AS1535" s="908"/>
      <c r="AT1535" s="908"/>
      <c r="AU1535" s="908"/>
      <c r="AV1535" s="908"/>
      <c r="AW1535" s="908"/>
      <c r="AX1535" s="908"/>
      <c r="AY1535" s="908"/>
      <c r="AZ1535" s="732"/>
      <c r="BA1535" s="732"/>
      <c r="BB1535" s="732"/>
      <c r="BC1535" s="732"/>
      <c r="BD1535" s="732"/>
      <c r="BE1535" s="732"/>
      <c r="BF1535" s="732"/>
      <c r="BG1535" s="732"/>
      <c r="BH1535" s="732"/>
      <c r="BI1535" s="732"/>
      <c r="BJ1535" s="732"/>
      <c r="BK1535" s="732"/>
      <c r="BL1535" s="732"/>
      <c r="BM1535" s="732"/>
      <c r="BN1535" s="732"/>
      <c r="BO1535" s="732"/>
      <c r="BP1535" s="732"/>
      <c r="BQ1535" s="732"/>
      <c r="BR1535" s="732"/>
      <c r="BS1535" s="732"/>
      <c r="BT1535" s="732"/>
      <c r="BU1535" s="732"/>
      <c r="BV1535" s="732"/>
      <c r="BW1535" s="732"/>
      <c r="BX1535" s="732"/>
      <c r="BY1535" s="732"/>
      <c r="BZ1535" s="732"/>
      <c r="CA1535" s="732"/>
      <c r="CB1535" s="732"/>
      <c r="CC1535" s="732"/>
      <c r="CD1535" s="732"/>
      <c r="CE1535" s="732"/>
      <c r="CF1535" s="732"/>
      <c r="CG1535" s="732"/>
      <c r="CH1535" s="732"/>
      <c r="CI1535" s="732"/>
      <c r="CJ1535" s="732"/>
      <c r="CK1535" s="732"/>
      <c r="CL1535" s="732"/>
      <c r="CM1535" s="732"/>
      <c r="CN1535" s="732"/>
      <c r="CO1535" s="732"/>
      <c r="CP1535" s="732"/>
      <c r="CQ1535" s="732"/>
      <c r="CR1535" s="732"/>
      <c r="CS1535" s="732"/>
      <c r="CT1535" s="732"/>
      <c r="CU1535" s="732"/>
      <c r="CV1535" s="732"/>
      <c r="CW1535" s="732"/>
      <c r="CX1535" s="732"/>
      <c r="CY1535" s="732"/>
      <c r="CZ1535" s="732"/>
      <c r="DA1535" s="732"/>
      <c r="DB1535" s="732"/>
      <c r="DC1535" s="732"/>
      <c r="DD1535" s="732"/>
      <c r="DE1535" s="732"/>
      <c r="DF1535" s="732"/>
      <c r="DG1535" s="732"/>
      <c r="DH1535" s="732"/>
      <c r="DI1535" s="732"/>
      <c r="DJ1535" s="732"/>
      <c r="DK1535" s="732"/>
      <c r="DL1535" s="732"/>
      <c r="DM1535" s="732"/>
      <c r="DN1535" s="732"/>
      <c r="DO1535" s="732"/>
      <c r="DP1535" s="732"/>
      <c r="DQ1535" s="732"/>
      <c r="DR1535" s="732"/>
      <c r="DS1535" s="732"/>
      <c r="DT1535" s="732"/>
      <c r="DU1535" s="732"/>
      <c r="DV1535" s="732"/>
      <c r="DW1535" s="732"/>
      <c r="DX1535" s="732"/>
      <c r="DY1535" s="732"/>
      <c r="DZ1535" s="732"/>
      <c r="EA1535" s="732"/>
      <c r="EB1535" s="732"/>
      <c r="EC1535" s="732"/>
      <c r="ED1535" s="732"/>
      <c r="EE1535" s="732"/>
      <c r="EF1535" s="732"/>
      <c r="EG1535" s="732"/>
      <c r="EH1535" s="732"/>
      <c r="EI1535" s="732"/>
      <c r="EJ1535" s="732"/>
      <c r="EK1535" s="732"/>
      <c r="EL1535" s="732"/>
      <c r="EM1535" s="732"/>
      <c r="EN1535" s="732"/>
      <c r="EO1535" s="732"/>
      <c r="EP1535" s="732"/>
      <c r="EQ1535" s="732"/>
      <c r="ER1535" s="732"/>
      <c r="ES1535" s="732"/>
      <c r="ET1535" s="732"/>
      <c r="EU1535" s="732"/>
      <c r="EV1535" s="732"/>
      <c r="EW1535" s="732"/>
      <c r="EX1535" s="732"/>
      <c r="EY1535" s="732"/>
      <c r="EZ1535" s="732"/>
      <c r="FA1535" s="732"/>
      <c r="FB1535" s="732"/>
      <c r="FC1535" s="732"/>
      <c r="FD1535" s="732"/>
      <c r="FE1535" s="732"/>
      <c r="FF1535" s="732"/>
      <c r="FG1535" s="732"/>
      <c r="FH1535" s="732"/>
      <c r="FI1535" s="732"/>
      <c r="FJ1535" s="732"/>
      <c r="FK1535" s="732"/>
      <c r="FL1535" s="732"/>
      <c r="FM1535" s="732"/>
      <c r="FN1535" s="732"/>
      <c r="FO1535" s="732"/>
      <c r="FP1535" s="732"/>
      <c r="FQ1535" s="732"/>
      <c r="FR1535" s="732"/>
      <c r="FS1535" s="732"/>
      <c r="FT1535" s="732"/>
      <c r="FU1535" s="732"/>
      <c r="FV1535" s="732"/>
      <c r="FW1535" s="732"/>
      <c r="FX1535" s="732"/>
      <c r="FY1535" s="732"/>
      <c r="FZ1535" s="732"/>
      <c r="GA1535" s="732"/>
      <c r="GB1535" s="732"/>
      <c r="GC1535" s="732"/>
      <c r="GD1535" s="732"/>
      <c r="GE1535" s="732"/>
      <c r="GF1535" s="732"/>
      <c r="GG1535" s="732"/>
      <c r="GH1535" s="732"/>
      <c r="GI1535" s="732"/>
      <c r="GJ1535" s="732"/>
      <c r="GK1535" s="732"/>
      <c r="GL1535" s="732"/>
      <c r="GM1535" s="732"/>
      <c r="GN1535" s="732"/>
      <c r="GO1535" s="732"/>
      <c r="GP1535" s="732"/>
      <c r="GQ1535" s="732"/>
      <c r="GR1535" s="732"/>
      <c r="GS1535" s="732"/>
      <c r="GT1535" s="732"/>
      <c r="GU1535" s="732"/>
      <c r="GV1535" s="732"/>
      <c r="GW1535" s="732"/>
      <c r="GX1535" s="732"/>
      <c r="GY1535" s="732"/>
      <c r="GZ1535" s="732"/>
      <c r="HA1535" s="732"/>
      <c r="HB1535" s="732"/>
      <c r="HC1535" s="732"/>
      <c r="HD1535" s="732"/>
      <c r="HE1535" s="732"/>
      <c r="HF1535" s="732"/>
      <c r="HG1535" s="732"/>
      <c r="HH1535" s="732"/>
      <c r="HI1535" s="732"/>
      <c r="HJ1535" s="732"/>
      <c r="HK1535" s="732"/>
      <c r="HL1535" s="732"/>
      <c r="HM1535" s="732"/>
      <c r="HN1535" s="732"/>
      <c r="HO1535" s="732"/>
      <c r="HP1535" s="732"/>
      <c r="HQ1535" s="732"/>
      <c r="HR1535" s="732"/>
      <c r="HS1535" s="732"/>
      <c r="HT1535" s="732"/>
      <c r="HU1535" s="732"/>
      <c r="HV1535" s="732"/>
      <c r="HW1535" s="732"/>
      <c r="HX1535" s="732"/>
      <c r="HY1535" s="732"/>
      <c r="HZ1535" s="732"/>
      <c r="IA1535" s="732"/>
      <c r="IB1535" s="732"/>
      <c r="IC1535" s="732"/>
      <c r="ID1535" s="732"/>
      <c r="IE1535" s="732"/>
      <c r="IF1535" s="732"/>
      <c r="IG1535" s="732"/>
      <c r="IH1535" s="732"/>
      <c r="II1535" s="732"/>
      <c r="IJ1535" s="732"/>
      <c r="IK1535" s="732"/>
      <c r="IL1535" s="732"/>
      <c r="IM1535" s="732"/>
      <c r="IN1535" s="732"/>
      <c r="IO1535" s="732"/>
      <c r="IP1535" s="732"/>
      <c r="IQ1535" s="732"/>
      <c r="IR1535" s="732"/>
      <c r="IS1535" s="732"/>
      <c r="IT1535" s="732"/>
      <c r="IU1535" s="732"/>
      <c r="IV1535" s="732"/>
      <c r="IW1535" s="732"/>
      <c r="IX1535" s="732"/>
      <c r="IY1535" s="732"/>
      <c r="IZ1535" s="732"/>
      <c r="JA1535" s="732"/>
      <c r="JB1535" s="732"/>
      <c r="JC1535" s="732"/>
      <c r="JD1535" s="732"/>
      <c r="JE1535" s="732"/>
      <c r="JF1535" s="732"/>
      <c r="JG1535" s="732"/>
      <c r="JH1535" s="732"/>
      <c r="JI1535" s="732"/>
      <c r="JJ1535" s="732"/>
      <c r="JK1535" s="732"/>
      <c r="JL1535" s="732"/>
      <c r="JM1535" s="732"/>
      <c r="JN1535" s="732"/>
      <c r="JO1535" s="732"/>
      <c r="JP1535" s="732"/>
      <c r="JQ1535" s="732"/>
      <c r="JR1535" s="732"/>
      <c r="JS1535" s="732"/>
      <c r="JT1535" s="732"/>
      <c r="JU1535" s="732"/>
      <c r="JV1535" s="732"/>
      <c r="JW1535" s="732"/>
      <c r="JX1535" s="732"/>
      <c r="JY1535" s="732"/>
      <c r="JZ1535" s="732"/>
      <c r="KA1535" s="732"/>
      <c r="KB1535" s="732"/>
      <c r="KC1535" s="732"/>
      <c r="KD1535" s="732"/>
      <c r="KE1535" s="732"/>
      <c r="KF1535" s="732"/>
      <c r="KG1535" s="732"/>
      <c r="KH1535" s="732"/>
      <c r="KI1535" s="732"/>
      <c r="KJ1535" s="732"/>
      <c r="KK1535" s="732"/>
      <c r="KL1535" s="732"/>
      <c r="KM1535" s="732"/>
      <c r="KN1535" s="732"/>
      <c r="KO1535" s="732"/>
      <c r="KP1535" s="732"/>
      <c r="KQ1535" s="732"/>
      <c r="KR1535" s="732"/>
      <c r="KS1535" s="732"/>
      <c r="KT1535" s="732"/>
      <c r="KU1535" s="732"/>
      <c r="KV1535" s="732"/>
      <c r="KW1535" s="732"/>
      <c r="KX1535" s="732"/>
      <c r="KY1535" s="732"/>
      <c r="KZ1535" s="732"/>
      <c r="LA1535" s="732"/>
      <c r="LB1535" s="732"/>
      <c r="LC1535" s="732"/>
      <c r="LD1535" s="732"/>
      <c r="LE1535" s="732"/>
      <c r="LF1535" s="732"/>
      <c r="LG1535" s="732"/>
      <c r="LH1535" s="732"/>
      <c r="LI1535" s="732"/>
      <c r="LJ1535" s="732"/>
      <c r="LK1535" s="732"/>
      <c r="LL1535" s="732"/>
      <c r="LM1535" s="732"/>
      <c r="LN1535" s="732"/>
      <c r="LO1535" s="732"/>
      <c r="LP1535" s="732"/>
      <c r="LQ1535" s="732"/>
      <c r="LR1535" s="732"/>
      <c r="LS1535" s="732"/>
      <c r="LT1535" s="732"/>
      <c r="LU1535" s="732"/>
      <c r="LV1535" s="732"/>
      <c r="LW1535" s="732"/>
      <c r="LX1535" s="732"/>
      <c r="LY1535" s="732"/>
      <c r="LZ1535" s="732"/>
      <c r="MA1535" s="732"/>
      <c r="MB1535" s="732"/>
      <c r="MC1535" s="732"/>
      <c r="MD1535" s="732"/>
      <c r="ME1535" s="732"/>
      <c r="MF1535" s="732"/>
      <c r="MG1535" s="732"/>
      <c r="MH1535" s="732"/>
      <c r="MI1535" s="732"/>
      <c r="MJ1535" s="732"/>
      <c r="MK1535" s="732"/>
      <c r="ML1535" s="732"/>
      <c r="MM1535" s="732"/>
      <c r="MN1535" s="732"/>
      <c r="MO1535" s="732"/>
      <c r="MP1535" s="732"/>
      <c r="MQ1535" s="732"/>
      <c r="MR1535" s="732"/>
      <c r="MS1535" s="732"/>
      <c r="MT1535" s="732"/>
      <c r="MU1535" s="732"/>
      <c r="MV1535" s="732"/>
      <c r="MW1535" s="732"/>
      <c r="MX1535" s="732"/>
      <c r="MY1535" s="732"/>
      <c r="MZ1535" s="732"/>
      <c r="NA1535" s="732"/>
      <c r="NB1535" s="732"/>
      <c r="NC1535" s="732"/>
      <c r="ND1535" s="732"/>
      <c r="NE1535" s="732"/>
      <c r="NF1535" s="732"/>
      <c r="NG1535" s="732"/>
      <c r="NH1535" s="732"/>
      <c r="NI1535" s="732"/>
      <c r="NJ1535" s="732"/>
      <c r="NK1535" s="732"/>
      <c r="NL1535" s="732"/>
      <c r="NM1535" s="732"/>
      <c r="NN1535" s="732"/>
      <c r="NO1535" s="732"/>
      <c r="NP1535" s="732"/>
      <c r="NQ1535" s="732"/>
      <c r="NR1535" s="732"/>
      <c r="NS1535" s="732"/>
      <c r="NT1535" s="732"/>
      <c r="NU1535" s="732"/>
      <c r="NV1535" s="732"/>
      <c r="NW1535" s="732"/>
      <c r="NX1535" s="732"/>
      <c r="NY1535" s="732"/>
      <c r="NZ1535" s="732"/>
      <c r="OA1535" s="732"/>
      <c r="OB1535" s="732"/>
      <c r="OC1535" s="732"/>
      <c r="OD1535" s="732"/>
      <c r="OE1535" s="732"/>
      <c r="OF1535" s="732"/>
      <c r="OG1535" s="732"/>
      <c r="OH1535" s="732"/>
      <c r="OI1535" s="732"/>
      <c r="OJ1535" s="732"/>
      <c r="OK1535" s="732"/>
      <c r="OL1535" s="732"/>
      <c r="OM1535" s="732"/>
      <c r="ON1535" s="732"/>
      <c r="OO1535" s="732"/>
      <c r="OP1535" s="732"/>
      <c r="OQ1535" s="732"/>
      <c r="OR1535" s="732"/>
      <c r="OS1535" s="732"/>
      <c r="OT1535" s="732"/>
      <c r="OU1535" s="732"/>
      <c r="OV1535" s="732"/>
      <c r="OW1535" s="732"/>
      <c r="OX1535" s="732"/>
      <c r="OY1535" s="732"/>
      <c r="OZ1535" s="732"/>
      <c r="PA1535" s="732"/>
      <c r="PB1535" s="732"/>
      <c r="PC1535" s="732"/>
      <c r="PD1535" s="732"/>
      <c r="PE1535" s="732"/>
      <c r="PF1535" s="732"/>
      <c r="PG1535" s="732"/>
      <c r="PH1535" s="732"/>
      <c r="PI1535" s="732"/>
      <c r="PJ1535" s="732"/>
      <c r="PK1535" s="732"/>
      <c r="PL1535" s="732"/>
      <c r="PM1535" s="732"/>
      <c r="PN1535" s="732"/>
      <c r="PO1535" s="732"/>
      <c r="PP1535" s="732"/>
      <c r="PQ1535" s="732"/>
      <c r="PR1535" s="732"/>
      <c r="PS1535" s="732"/>
      <c r="PT1535" s="732"/>
      <c r="PU1535" s="732"/>
      <c r="PV1535" s="732"/>
      <c r="PW1535" s="732"/>
      <c r="PX1535" s="732"/>
      <c r="PY1535" s="732"/>
      <c r="PZ1535" s="732"/>
      <c r="QA1535" s="732"/>
      <c r="QB1535" s="732"/>
      <c r="QC1535" s="732"/>
      <c r="QD1535" s="732"/>
      <c r="QE1535" s="732"/>
      <c r="QF1535" s="732"/>
      <c r="QG1535" s="732"/>
      <c r="QH1535" s="732"/>
      <c r="QI1535" s="732"/>
      <c r="QJ1535" s="732"/>
      <c r="QK1535" s="732"/>
      <c r="QL1535" s="732"/>
      <c r="QM1535" s="732"/>
      <c r="QN1535" s="732"/>
      <c r="QO1535" s="732"/>
      <c r="QP1535" s="732"/>
      <c r="QQ1535" s="732"/>
      <c r="QR1535" s="732"/>
      <c r="QS1535" s="732"/>
      <c r="QT1535" s="732"/>
      <c r="QU1535" s="732"/>
      <c r="QV1535" s="732"/>
      <c r="QW1535" s="732"/>
      <c r="QX1535" s="732"/>
      <c r="QY1535" s="732"/>
      <c r="QZ1535" s="732"/>
      <c r="RA1535" s="732"/>
      <c r="RB1535" s="732"/>
      <c r="RC1535" s="732"/>
      <c r="RD1535" s="732"/>
      <c r="RE1535" s="732"/>
      <c r="RF1535" s="732"/>
      <c r="RG1535" s="732"/>
      <c r="RH1535" s="732"/>
      <c r="RI1535" s="732"/>
      <c r="RJ1535" s="732"/>
      <c r="RK1535" s="732"/>
      <c r="RL1535" s="732"/>
      <c r="RM1535" s="732"/>
      <c r="RN1535" s="732"/>
      <c r="RO1535" s="732"/>
      <c r="RP1535" s="732"/>
      <c r="RQ1535" s="732"/>
      <c r="RR1535" s="732"/>
      <c r="RS1535" s="732"/>
      <c r="RT1535" s="732"/>
      <c r="RU1535" s="732"/>
      <c r="RV1535" s="732"/>
      <c r="RW1535" s="732"/>
      <c r="RX1535" s="732"/>
      <c r="RY1535" s="732"/>
      <c r="RZ1535" s="732"/>
      <c r="SA1535" s="732"/>
      <c r="SB1535" s="732"/>
      <c r="SC1535" s="732"/>
      <c r="SD1535" s="732"/>
      <c r="SE1535" s="732"/>
      <c r="SF1535" s="732"/>
      <c r="SG1535" s="732"/>
      <c r="SH1535" s="732"/>
      <c r="SI1535" s="732"/>
      <c r="SJ1535" s="732"/>
      <c r="SK1535" s="732"/>
      <c r="SL1535" s="732"/>
      <c r="SM1535" s="732"/>
      <c r="SN1535" s="732"/>
      <c r="SO1535" s="732"/>
      <c r="SP1535" s="732"/>
      <c r="SQ1535" s="732"/>
      <c r="SR1535" s="732"/>
      <c r="SS1535" s="732"/>
      <c r="ST1535" s="732"/>
      <c r="SU1535" s="732"/>
      <c r="SV1535" s="732"/>
      <c r="SW1535" s="732"/>
      <c r="SX1535" s="732"/>
      <c r="SY1535" s="732"/>
      <c r="SZ1535" s="732"/>
      <c r="TA1535" s="732"/>
      <c r="TB1535" s="732"/>
      <c r="TC1535" s="732"/>
      <c r="TD1535" s="732"/>
      <c r="TE1535" s="732"/>
      <c r="TF1535" s="732"/>
      <c r="TG1535" s="732"/>
      <c r="TH1535" s="732"/>
      <c r="TI1535" s="732"/>
      <c r="TJ1535" s="732"/>
      <c r="TK1535" s="732"/>
      <c r="TL1535" s="732"/>
      <c r="TM1535" s="732"/>
      <c r="TN1535" s="732"/>
      <c r="TO1535" s="732"/>
      <c r="TP1535" s="732"/>
      <c r="TQ1535" s="732"/>
      <c r="TR1535" s="732"/>
      <c r="TS1535" s="732"/>
      <c r="TT1535" s="732"/>
      <c r="TU1535" s="732"/>
      <c r="TV1535" s="732"/>
      <c r="TW1535" s="732"/>
      <c r="TX1535" s="732"/>
      <c r="TY1535" s="732"/>
      <c r="TZ1535" s="732"/>
      <c r="UA1535" s="732"/>
      <c r="UB1535" s="732"/>
      <c r="UC1535" s="732"/>
      <c r="UD1535" s="732"/>
      <c r="UE1535" s="732"/>
      <c r="UF1535" s="732"/>
      <c r="UG1535" s="732"/>
      <c r="UH1535" s="732"/>
      <c r="UI1535" s="732"/>
      <c r="UJ1535" s="732"/>
      <c r="UK1535" s="732"/>
      <c r="UL1535" s="732"/>
      <c r="UM1535" s="732"/>
      <c r="UN1535" s="732"/>
      <c r="UO1535" s="732"/>
      <c r="UP1535" s="732"/>
      <c r="UQ1535" s="732"/>
      <c r="UR1535" s="732"/>
      <c r="US1535" s="732"/>
      <c r="UT1535" s="732"/>
      <c r="UU1535" s="732"/>
      <c r="UV1535" s="732"/>
      <c r="UW1535" s="732"/>
      <c r="UX1535" s="732"/>
      <c r="UY1535" s="732"/>
      <c r="UZ1535" s="732"/>
      <c r="VA1535" s="732"/>
      <c r="VB1535" s="732"/>
      <c r="VC1535" s="732"/>
      <c r="VD1535" s="732"/>
      <c r="VE1535" s="732"/>
      <c r="VF1535" s="732"/>
      <c r="VG1535" s="732"/>
      <c r="VH1535" s="732"/>
      <c r="VI1535" s="732"/>
      <c r="VJ1535" s="732"/>
      <c r="VK1535" s="732"/>
      <c r="VL1535" s="732"/>
      <c r="VM1535" s="732"/>
      <c r="VN1535" s="732"/>
      <c r="VO1535" s="732"/>
      <c r="VP1535" s="732"/>
      <c r="VQ1535" s="732"/>
      <c r="VR1535" s="732"/>
      <c r="VS1535" s="732"/>
      <c r="VT1535" s="732"/>
      <c r="VU1535" s="732"/>
      <c r="VV1535" s="732"/>
      <c r="VW1535" s="732"/>
      <c r="VX1535" s="732"/>
      <c r="VY1535" s="732"/>
      <c r="VZ1535" s="732"/>
      <c r="WA1535" s="732"/>
      <c r="WB1535" s="732"/>
      <c r="WC1535" s="732"/>
      <c r="WD1535" s="732"/>
      <c r="WE1535" s="732"/>
      <c r="WF1535" s="732"/>
      <c r="WG1535" s="732"/>
      <c r="WH1535" s="732"/>
      <c r="WI1535" s="732"/>
      <c r="WJ1535" s="732"/>
      <c r="WK1535" s="732"/>
      <c r="WL1535" s="732"/>
      <c r="WM1535" s="732"/>
      <c r="WN1535" s="732"/>
      <c r="WO1535" s="732"/>
      <c r="WP1535" s="732"/>
      <c r="WQ1535" s="732"/>
      <c r="WR1535" s="732"/>
      <c r="WS1535" s="732"/>
      <c r="WT1535" s="732"/>
      <c r="WU1535" s="732"/>
      <c r="WV1535" s="732"/>
      <c r="WW1535" s="732"/>
      <c r="WX1535" s="732"/>
      <c r="WY1535" s="732"/>
      <c r="WZ1535" s="732"/>
      <c r="XA1535" s="732"/>
      <c r="XB1535" s="732"/>
      <c r="XC1535" s="732"/>
      <c r="XD1535" s="732"/>
      <c r="XE1535" s="732"/>
      <c r="XF1535" s="732"/>
      <c r="XG1535" s="732"/>
      <c r="XH1535" s="732"/>
      <c r="XI1535" s="732"/>
      <c r="XJ1535" s="732"/>
      <c r="XK1535" s="732"/>
      <c r="XL1535" s="732"/>
      <c r="XM1535" s="732"/>
      <c r="XN1535" s="732"/>
      <c r="XO1535" s="732"/>
      <c r="XP1535" s="732"/>
      <c r="XQ1535" s="732"/>
      <c r="XR1535" s="732"/>
      <c r="XS1535" s="732"/>
      <c r="XT1535" s="732"/>
      <c r="XU1535" s="732"/>
      <c r="XV1535" s="732"/>
      <c r="XW1535" s="732"/>
      <c r="XX1535" s="732"/>
      <c r="XY1535" s="732"/>
      <c r="XZ1535" s="732"/>
      <c r="YA1535" s="732"/>
      <c r="YB1535" s="732"/>
      <c r="YC1535" s="732"/>
      <c r="YD1535" s="732"/>
      <c r="YE1535" s="732"/>
      <c r="YF1535" s="732"/>
      <c r="YG1535" s="732"/>
      <c r="YH1535" s="732"/>
      <c r="YI1535" s="732"/>
      <c r="YJ1535" s="732"/>
      <c r="YK1535" s="732"/>
      <c r="YL1535" s="732"/>
      <c r="YM1535" s="732"/>
      <c r="YN1535" s="732"/>
      <c r="YO1535" s="732"/>
      <c r="YP1535" s="732"/>
      <c r="YQ1535" s="732"/>
      <c r="YR1535" s="732"/>
      <c r="YS1535" s="732"/>
      <c r="YT1535" s="732"/>
      <c r="YU1535" s="732"/>
      <c r="YV1535" s="732"/>
      <c r="YW1535" s="732"/>
      <c r="YX1535" s="732"/>
      <c r="YY1535" s="732"/>
      <c r="YZ1535" s="732"/>
      <c r="ZA1535" s="732"/>
      <c r="ZB1535" s="732"/>
      <c r="ZC1535" s="732"/>
      <c r="ZD1535" s="732"/>
      <c r="ZE1535" s="732"/>
      <c r="ZF1535" s="732"/>
      <c r="ZG1535" s="732"/>
      <c r="ZH1535" s="732"/>
      <c r="ZI1535" s="732"/>
      <c r="ZJ1535" s="732"/>
      <c r="ZK1535" s="732"/>
      <c r="ZL1535" s="732"/>
      <c r="ZM1535" s="732"/>
      <c r="ZN1535" s="732"/>
      <c r="ZO1535" s="732"/>
      <c r="ZP1535" s="732"/>
      <c r="ZQ1535" s="732"/>
      <c r="ZR1535" s="732"/>
      <c r="ZS1535" s="732"/>
      <c r="ZT1535" s="732"/>
      <c r="ZU1535" s="732"/>
      <c r="ZV1535" s="732"/>
      <c r="ZW1535" s="732"/>
      <c r="ZX1535" s="732"/>
      <c r="ZY1535" s="732"/>
      <c r="ZZ1535" s="732"/>
      <c r="AAA1535" s="732"/>
      <c r="AAB1535" s="732"/>
      <c r="AAC1535" s="732"/>
      <c r="AAD1535" s="732"/>
      <c r="AAE1535" s="732"/>
      <c r="AAF1535" s="732"/>
      <c r="AAG1535" s="732"/>
      <c r="AAH1535" s="732"/>
      <c r="AAI1535" s="732"/>
      <c r="AAJ1535" s="732"/>
      <c r="AAK1535" s="732"/>
      <c r="AAL1535" s="732"/>
      <c r="AAM1535" s="732"/>
      <c r="AAN1535" s="732"/>
      <c r="AAO1535" s="732"/>
      <c r="AAP1535" s="732"/>
      <c r="AAQ1535" s="732"/>
      <c r="AAR1535" s="732"/>
      <c r="AAS1535" s="732"/>
      <c r="AAT1535" s="732"/>
      <c r="AAU1535" s="732"/>
      <c r="AAV1535" s="732"/>
      <c r="AAW1535" s="732"/>
      <c r="AAX1535" s="732"/>
      <c r="AAY1535" s="732"/>
      <c r="AAZ1535" s="732"/>
      <c r="ABA1535" s="732"/>
      <c r="ABB1535" s="732"/>
      <c r="ABC1535" s="732"/>
      <c r="ABD1535" s="732"/>
      <c r="ABE1535" s="732"/>
      <c r="ABF1535" s="732"/>
      <c r="ABG1535" s="732"/>
      <c r="ABH1535" s="732"/>
      <c r="ABI1535" s="732"/>
      <c r="ABJ1535" s="732"/>
      <c r="ABK1535" s="732"/>
      <c r="ABL1535" s="732"/>
      <c r="ABM1535" s="732"/>
      <c r="ABN1535" s="732"/>
      <c r="ABO1535" s="732"/>
      <c r="ABP1535" s="732"/>
      <c r="ABQ1535" s="732"/>
      <c r="ABR1535" s="732"/>
      <c r="ABS1535" s="732"/>
      <c r="ABT1535" s="732"/>
      <c r="ABU1535" s="732"/>
      <c r="ABV1535" s="732"/>
      <c r="ABW1535" s="732"/>
      <c r="ABX1535" s="732"/>
      <c r="ABY1535" s="732"/>
      <c r="ABZ1535" s="732"/>
      <c r="ACA1535" s="732"/>
      <c r="ACB1535" s="732"/>
      <c r="ACC1535" s="732"/>
      <c r="ACD1535" s="732"/>
      <c r="ACE1535" s="732"/>
      <c r="ACF1535" s="732"/>
      <c r="ACG1535" s="732"/>
      <c r="ACH1535" s="732"/>
      <c r="ACI1535" s="732"/>
      <c r="ACJ1535" s="732"/>
      <c r="ACK1535" s="732"/>
      <c r="ACL1535" s="732"/>
      <c r="ACM1535" s="732"/>
      <c r="ACN1535" s="732"/>
      <c r="ACO1535" s="732"/>
      <c r="ACP1535" s="732"/>
      <c r="ACQ1535" s="732"/>
      <c r="ACR1535" s="732"/>
      <c r="ACS1535" s="732"/>
      <c r="ACT1535" s="732"/>
      <c r="ACU1535" s="732"/>
      <c r="ACV1535" s="732"/>
      <c r="ACW1535" s="732"/>
      <c r="ACX1535" s="732"/>
      <c r="ACY1535" s="732"/>
      <c r="ACZ1535" s="732"/>
      <c r="ADA1535" s="732"/>
      <c r="ADB1535" s="732"/>
      <c r="ADC1535" s="732"/>
      <c r="ADD1535" s="732"/>
      <c r="ADE1535" s="732"/>
      <c r="ADF1535" s="732"/>
      <c r="ADG1535" s="732"/>
      <c r="ADH1535" s="732"/>
      <c r="ADI1535" s="732"/>
      <c r="ADJ1535" s="732"/>
      <c r="ADK1535" s="732"/>
      <c r="ADL1535" s="732"/>
      <c r="ADM1535" s="732"/>
      <c r="ADN1535" s="732"/>
      <c r="ADO1535" s="732"/>
      <c r="ADP1535" s="732"/>
      <c r="ADQ1535" s="732"/>
      <c r="ADR1535" s="732"/>
      <c r="ADS1535" s="732"/>
      <c r="ADT1535" s="732"/>
      <c r="ADU1535" s="732"/>
      <c r="ADV1535" s="732"/>
      <c r="ADW1535" s="732"/>
      <c r="ADX1535" s="732"/>
      <c r="ADY1535" s="732"/>
      <c r="ADZ1535" s="732"/>
      <c r="AEA1535" s="732"/>
      <c r="AEB1535" s="732"/>
      <c r="AEC1535" s="732"/>
      <c r="AED1535" s="732"/>
      <c r="AEE1535" s="732"/>
      <c r="AEF1535" s="732"/>
      <c r="AEG1535" s="732"/>
      <c r="AEH1535" s="732"/>
      <c r="AEI1535" s="732"/>
      <c r="AEJ1535" s="732"/>
      <c r="AEK1535" s="732"/>
      <c r="AEL1535" s="732"/>
      <c r="AEM1535" s="732"/>
      <c r="AEN1535" s="732"/>
      <c r="AEO1535" s="732"/>
      <c r="AEP1535" s="732"/>
      <c r="AEQ1535" s="732"/>
      <c r="AER1535" s="732"/>
      <c r="AES1535" s="732"/>
      <c r="AET1535" s="732"/>
      <c r="AEU1535" s="732"/>
      <c r="AEV1535" s="732"/>
      <c r="AEW1535" s="732"/>
      <c r="AEX1535" s="732"/>
      <c r="AEY1535" s="732"/>
      <c r="AEZ1535" s="732"/>
      <c r="AFA1535" s="732"/>
      <c r="AFB1535" s="732"/>
      <c r="AFC1535" s="732"/>
      <c r="AFD1535" s="732"/>
      <c r="AFE1535" s="732"/>
      <c r="AFF1535" s="732"/>
      <c r="AFG1535" s="732"/>
      <c r="AFH1535" s="732"/>
      <c r="AFI1535" s="732"/>
      <c r="AFJ1535" s="732"/>
      <c r="AFK1535" s="732"/>
      <c r="AFL1535" s="732"/>
      <c r="AFM1535" s="732"/>
      <c r="AFN1535" s="732"/>
      <c r="AFO1535" s="732"/>
      <c r="AFP1535" s="732"/>
      <c r="AFQ1535" s="732"/>
      <c r="AFR1535" s="732"/>
      <c r="AFS1535" s="732"/>
      <c r="AFT1535" s="732"/>
      <c r="AFU1535" s="732"/>
      <c r="AFV1535" s="732"/>
      <c r="AFW1535" s="732"/>
      <c r="AFX1535" s="732"/>
      <c r="AFY1535" s="732"/>
      <c r="AFZ1535" s="732"/>
      <c r="AGA1535" s="732"/>
      <c r="AGB1535" s="732"/>
      <c r="AGC1535" s="732"/>
      <c r="AGD1535" s="732"/>
      <c r="AGE1535" s="732"/>
      <c r="AGF1535" s="732"/>
      <c r="AGG1535" s="732"/>
      <c r="AGH1535" s="732"/>
      <c r="AGI1535" s="732"/>
      <c r="AGJ1535" s="732"/>
      <c r="AGK1535" s="732"/>
      <c r="AGL1535" s="732"/>
      <c r="AGM1535" s="732"/>
      <c r="AGN1535" s="732"/>
      <c r="AGO1535" s="732"/>
      <c r="AGP1535" s="732"/>
      <c r="AGQ1535" s="732"/>
      <c r="AGR1535" s="732"/>
      <c r="AGS1535" s="732"/>
      <c r="AGT1535" s="732"/>
      <c r="AGU1535" s="732"/>
      <c r="AGV1535" s="732"/>
      <c r="AGW1535" s="732"/>
      <c r="AGX1535" s="732"/>
      <c r="AGY1535" s="732"/>
      <c r="AGZ1535" s="732"/>
      <c r="AHA1535" s="732"/>
      <c r="AHB1535" s="732"/>
      <c r="AHC1535" s="732"/>
      <c r="AHD1535" s="732"/>
      <c r="AHE1535" s="732"/>
      <c r="AHF1535" s="732"/>
      <c r="AHG1535" s="732"/>
      <c r="AHH1535" s="732"/>
      <c r="AHI1535" s="732"/>
      <c r="AHJ1535" s="732"/>
      <c r="AHK1535" s="732"/>
      <c r="AHL1535" s="732"/>
      <c r="AHM1535" s="732"/>
      <c r="AHN1535" s="732"/>
      <c r="AHO1535" s="732"/>
      <c r="AHP1535" s="732"/>
      <c r="AHQ1535" s="732"/>
      <c r="AHR1535" s="732"/>
      <c r="AHS1535" s="732"/>
      <c r="AHT1535" s="732"/>
      <c r="AHU1535" s="732"/>
      <c r="AHV1535" s="732"/>
      <c r="AHW1535" s="732"/>
      <c r="AHX1535" s="732"/>
      <c r="AHY1535" s="732"/>
      <c r="AHZ1535" s="732"/>
      <c r="AIA1535" s="732"/>
      <c r="AIB1535" s="732"/>
      <c r="AIC1535" s="732"/>
      <c r="AID1535" s="732"/>
      <c r="AIE1535" s="732"/>
      <c r="AIF1535" s="732"/>
      <c r="AIG1535" s="732"/>
      <c r="AIH1535" s="732"/>
      <c r="AII1535" s="732"/>
      <c r="AIJ1535" s="732"/>
      <c r="AIK1535" s="732"/>
      <c r="AIL1535" s="732"/>
      <c r="AIM1535" s="732"/>
      <c r="AIN1535" s="732"/>
      <c r="AIO1535" s="732"/>
      <c r="AIP1535" s="732"/>
      <c r="AIQ1535" s="732"/>
      <c r="AIR1535" s="732"/>
      <c r="AIS1535" s="732"/>
      <c r="AIT1535" s="732"/>
      <c r="AIU1535" s="732"/>
      <c r="AIV1535" s="732"/>
      <c r="AIW1535" s="732"/>
      <c r="AIX1535" s="732"/>
      <c r="AIY1535" s="732"/>
      <c r="AIZ1535" s="732"/>
      <c r="AJA1535" s="732"/>
      <c r="AJB1535" s="732"/>
      <c r="AJC1535" s="732"/>
      <c r="AJD1535" s="732"/>
      <c r="AJE1535" s="732"/>
      <c r="AJF1535" s="732"/>
      <c r="AJG1535" s="732"/>
      <c r="AJH1535" s="732"/>
      <c r="AJI1535" s="732"/>
      <c r="AJJ1535" s="732"/>
      <c r="AJK1535" s="732"/>
      <c r="AJL1535" s="732"/>
      <c r="AJM1535" s="732"/>
      <c r="AJN1535" s="732"/>
      <c r="AJO1535" s="732"/>
      <c r="AJP1535" s="732"/>
      <c r="AJQ1535" s="732"/>
      <c r="AJR1535" s="732"/>
      <c r="AJS1535" s="732"/>
      <c r="AJT1535" s="732"/>
      <c r="AJU1535" s="732"/>
      <c r="AJV1535" s="732"/>
      <c r="AJW1535" s="732"/>
      <c r="AJX1535" s="732"/>
      <c r="AJY1535" s="732"/>
      <c r="AJZ1535" s="732"/>
      <c r="AKA1535" s="732"/>
      <c r="AKB1535" s="732"/>
      <c r="AKC1535" s="732"/>
      <c r="AKD1535" s="732"/>
      <c r="AKE1535" s="732"/>
      <c r="AKF1535" s="732"/>
      <c r="AKG1535" s="732"/>
      <c r="AKH1535" s="732"/>
      <c r="AKI1535" s="732"/>
      <c r="AKJ1535" s="732"/>
      <c r="AKK1535" s="732"/>
      <c r="AKL1535" s="732"/>
      <c r="AKM1535" s="732"/>
      <c r="AKN1535" s="732"/>
      <c r="AKO1535" s="732"/>
      <c r="AKP1535" s="732"/>
      <c r="AKQ1535" s="732"/>
      <c r="AKR1535" s="732"/>
      <c r="AKS1535" s="732"/>
      <c r="AKT1535" s="732"/>
      <c r="AKU1535" s="732"/>
      <c r="AKV1535" s="732"/>
      <c r="AKW1535" s="732"/>
      <c r="AKX1535" s="732"/>
      <c r="AKY1535" s="732"/>
      <c r="AKZ1535" s="732"/>
      <c r="ALA1535" s="732"/>
      <c r="ALB1535" s="732"/>
      <c r="ALC1535" s="732"/>
      <c r="ALD1535" s="732"/>
      <c r="ALE1535" s="732"/>
      <c r="ALF1535" s="732"/>
      <c r="ALG1535" s="732"/>
      <c r="ALH1535" s="732"/>
      <c r="ALI1535" s="732"/>
      <c r="ALJ1535" s="732"/>
      <c r="ALK1535" s="732"/>
      <c r="ALL1535" s="732"/>
      <c r="ALM1535" s="732"/>
      <c r="ALN1535" s="732"/>
      <c r="ALO1535" s="732"/>
      <c r="ALP1535" s="732"/>
      <c r="ALQ1535" s="732"/>
      <c r="ALR1535" s="732"/>
      <c r="ALS1535" s="732"/>
      <c r="ALT1535" s="732"/>
      <c r="ALU1535" s="732"/>
      <c r="ALV1535" s="732"/>
      <c r="ALW1535" s="732"/>
      <c r="ALX1535" s="732"/>
      <c r="ALY1535" s="732"/>
      <c r="ALZ1535" s="732"/>
      <c r="AMA1535" s="732"/>
      <c r="AMB1535" s="732"/>
      <c r="AMC1535" s="732"/>
      <c r="AMD1535" s="732"/>
      <c r="AME1535" s="732"/>
      <c r="AMF1535" s="732"/>
      <c r="AMG1535" s="732"/>
      <c r="AMH1535" s="732"/>
      <c r="AMI1535" s="732"/>
      <c r="AMJ1535" s="732"/>
    </row>
    <row r="1536" spans="1:1024" s="230" customFormat="1" ht="12.6" customHeight="1" x14ac:dyDescent="0.25"/>
    <row r="1537" spans="1:54" s="225" customFormat="1" ht="12.6" customHeight="1" x14ac:dyDescent="0.25">
      <c r="A1537" s="227" t="s">
        <v>2079</v>
      </c>
      <c r="B1537" s="224"/>
      <c r="C1537" s="224"/>
      <c r="D1537" s="224"/>
      <c r="E1537" s="224"/>
      <c r="F1537" s="224"/>
      <c r="G1537" s="224"/>
      <c r="H1537" s="224"/>
      <c r="I1537" s="224"/>
      <c r="J1537" s="224"/>
      <c r="K1537" s="224"/>
      <c r="L1537" s="224"/>
      <c r="M1537" s="224"/>
      <c r="N1537" s="224"/>
      <c r="O1537" s="224"/>
      <c r="P1537" s="224"/>
      <c r="Q1537" s="224"/>
      <c r="R1537" s="224"/>
      <c r="S1537" s="224"/>
      <c r="T1537" s="224"/>
      <c r="U1537" s="224"/>
      <c r="V1537" s="224"/>
      <c r="W1537" s="224"/>
      <c r="X1537" s="224"/>
      <c r="Y1537" s="224"/>
      <c r="Z1537" s="224"/>
      <c r="AA1537" s="224"/>
      <c r="AB1537" s="224"/>
      <c r="AC1537" s="224"/>
      <c r="AD1537" s="224"/>
      <c r="AE1537" s="224"/>
      <c r="AF1537" s="224"/>
      <c r="AG1537" s="224"/>
      <c r="AH1537" s="224"/>
      <c r="AI1537" s="224"/>
      <c r="AJ1537" s="224"/>
      <c r="AK1537" s="224"/>
      <c r="AL1537" s="224"/>
      <c r="AM1537" s="224"/>
      <c r="AN1537" s="224"/>
      <c r="AO1537" s="224"/>
      <c r="AP1537" s="224"/>
      <c r="AQ1537" s="224"/>
      <c r="AR1537" s="224"/>
      <c r="AS1537" s="224"/>
      <c r="AT1537" s="224"/>
      <c r="AU1537" s="224"/>
      <c r="AV1537" s="224"/>
      <c r="AW1537" s="224"/>
      <c r="AX1537" s="224"/>
      <c r="AY1537" s="224"/>
      <c r="AZ1537" s="224"/>
      <c r="BA1537" s="224"/>
      <c r="BB1537" s="224"/>
    </row>
    <row r="1538" spans="1:54" s="225" customFormat="1" ht="12.6" customHeight="1" x14ac:dyDescent="0.25">
      <c r="A1538" s="29" t="s">
        <v>1316</v>
      </c>
      <c r="B1538" s="224"/>
      <c r="C1538" s="224"/>
      <c r="D1538" s="224"/>
      <c r="E1538" s="224"/>
      <c r="F1538" s="224"/>
      <c r="G1538" s="224"/>
      <c r="H1538" s="224"/>
      <c r="I1538" s="224"/>
      <c r="J1538" s="224"/>
      <c r="K1538" s="224"/>
      <c r="L1538" s="224"/>
      <c r="M1538" s="224"/>
      <c r="N1538" s="224"/>
      <c r="O1538" s="224"/>
      <c r="P1538" s="224"/>
      <c r="Q1538" s="224"/>
      <c r="R1538" s="224"/>
      <c r="S1538" s="224"/>
      <c r="T1538" s="224"/>
      <c r="U1538" s="224"/>
      <c r="V1538" s="224"/>
      <c r="W1538" s="224"/>
      <c r="X1538" s="224"/>
      <c r="Y1538" s="224"/>
      <c r="Z1538" s="224"/>
      <c r="AA1538" s="224"/>
      <c r="AB1538" s="224"/>
      <c r="AC1538" s="224"/>
      <c r="AD1538" s="224"/>
      <c r="AE1538" s="224"/>
      <c r="AF1538" s="224"/>
      <c r="AG1538" s="224"/>
      <c r="AH1538" s="224"/>
      <c r="AI1538" s="224"/>
      <c r="AJ1538" s="224"/>
      <c r="AK1538" s="224"/>
      <c r="AL1538" s="224"/>
      <c r="AM1538" s="224"/>
      <c r="AN1538" s="224"/>
      <c r="AO1538" s="224"/>
      <c r="AP1538" s="224"/>
      <c r="AQ1538" s="224"/>
      <c r="AR1538" s="224"/>
      <c r="AS1538" s="224"/>
      <c r="AT1538" s="224"/>
      <c r="AU1538" s="224"/>
      <c r="AV1538" s="224"/>
      <c r="AW1538" s="224"/>
      <c r="AX1538" s="224"/>
      <c r="AY1538" s="224"/>
      <c r="AZ1538" s="224"/>
      <c r="BA1538" s="224"/>
      <c r="BB1538" s="224"/>
    </row>
    <row r="1539" spans="1:54" ht="12.6" customHeight="1" x14ac:dyDescent="0.25">
      <c r="A1539" s="915" t="s">
        <v>2080</v>
      </c>
      <c r="B1539" s="915"/>
      <c r="C1539" s="915"/>
      <c r="D1539" s="915"/>
      <c r="E1539" s="915"/>
      <c r="F1539" s="915"/>
      <c r="G1539" s="915"/>
      <c r="H1539" s="915"/>
      <c r="I1539" s="915"/>
      <c r="J1539" s="915"/>
      <c r="K1539" s="915"/>
      <c r="L1539" s="915"/>
      <c r="M1539" s="915"/>
      <c r="N1539" s="915"/>
      <c r="O1539" s="915"/>
      <c r="P1539" s="915"/>
      <c r="Q1539" s="915"/>
      <c r="R1539" s="915"/>
      <c r="S1539" s="915"/>
      <c r="T1539" s="915"/>
      <c r="U1539" s="915"/>
      <c r="V1539" s="915"/>
      <c r="W1539" s="915"/>
      <c r="X1539" s="853" t="s">
        <v>2081</v>
      </c>
      <c r="Y1539" s="853"/>
      <c r="Z1539" s="853"/>
      <c r="AA1539" s="853"/>
      <c r="AB1539" s="853"/>
      <c r="AC1539" s="853"/>
      <c r="AD1539" s="853"/>
      <c r="AE1539" s="916" t="s">
        <v>2082</v>
      </c>
      <c r="AF1539" s="916"/>
      <c r="AG1539" s="916"/>
      <c r="AH1539" s="916"/>
      <c r="AI1539" s="916"/>
      <c r="AJ1539" s="916"/>
      <c r="AK1539" s="916"/>
      <c r="AL1539" s="916"/>
      <c r="AM1539" s="916"/>
      <c r="AN1539" s="916"/>
      <c r="AO1539" s="916"/>
      <c r="AP1539" s="916"/>
      <c r="AQ1539" s="916"/>
      <c r="AR1539" s="916"/>
      <c r="AS1539" s="916"/>
      <c r="AT1539" s="916"/>
      <c r="AU1539" s="916"/>
      <c r="AV1539" s="916"/>
      <c r="AW1539" s="916"/>
      <c r="AX1539" s="916"/>
      <c r="AY1539" s="916"/>
      <c r="AZ1539" s="916"/>
      <c r="BA1539" s="224"/>
      <c r="BB1539" s="224"/>
    </row>
    <row r="1540" spans="1:54" ht="25.5" customHeight="1" x14ac:dyDescent="0.25">
      <c r="A1540" s="915"/>
      <c r="B1540" s="915"/>
      <c r="C1540" s="915"/>
      <c r="D1540" s="915"/>
      <c r="E1540" s="915"/>
      <c r="F1540" s="915"/>
      <c r="G1540" s="915"/>
      <c r="H1540" s="915"/>
      <c r="I1540" s="915"/>
      <c r="J1540" s="915"/>
      <c r="K1540" s="915"/>
      <c r="L1540" s="915"/>
      <c r="M1540" s="915"/>
      <c r="N1540" s="915"/>
      <c r="O1540" s="915"/>
      <c r="P1540" s="915"/>
      <c r="Q1540" s="915"/>
      <c r="R1540" s="915"/>
      <c r="S1540" s="915"/>
      <c r="T1540" s="915"/>
      <c r="U1540" s="915"/>
      <c r="V1540" s="915"/>
      <c r="W1540" s="915"/>
      <c r="X1540" s="853"/>
      <c r="Y1540" s="853"/>
      <c r="Z1540" s="853"/>
      <c r="AA1540" s="853"/>
      <c r="AB1540" s="853"/>
      <c r="AC1540" s="853"/>
      <c r="AD1540" s="853"/>
      <c r="AE1540" s="853" t="s">
        <v>1288</v>
      </c>
      <c r="AF1540" s="853"/>
      <c r="AG1540" s="853"/>
      <c r="AH1540" s="853"/>
      <c r="AI1540" s="853"/>
      <c r="AJ1540" s="853"/>
      <c r="AK1540" s="853"/>
      <c r="AL1540" s="853"/>
      <c r="AM1540" s="853"/>
      <c r="AN1540" s="853"/>
      <c r="AO1540" s="853"/>
      <c r="AP1540" s="853" t="s">
        <v>2083</v>
      </c>
      <c r="AQ1540" s="853"/>
      <c r="AR1540" s="853"/>
      <c r="AS1540" s="853"/>
      <c r="AT1540" s="853"/>
      <c r="AU1540" s="853"/>
      <c r="AV1540" s="853"/>
      <c r="AW1540" s="853"/>
      <c r="AX1540" s="853"/>
      <c r="AY1540" s="853"/>
      <c r="AZ1540" s="853"/>
      <c r="BA1540" s="224"/>
      <c r="BB1540" s="224"/>
    </row>
    <row r="1541" spans="1:54" ht="12.6" customHeight="1" x14ac:dyDescent="0.25">
      <c r="A1541" s="917" t="s">
        <v>1323</v>
      </c>
      <c r="B1541" s="917"/>
      <c r="C1541" s="917"/>
      <c r="D1541" s="917"/>
      <c r="E1541" s="917"/>
      <c r="F1541" s="917"/>
      <c r="G1541" s="917"/>
      <c r="H1541" s="917"/>
      <c r="I1541" s="917"/>
      <c r="J1541" s="917"/>
      <c r="K1541" s="917"/>
      <c r="L1541" s="917"/>
      <c r="M1541" s="917"/>
      <c r="N1541" s="917"/>
      <c r="O1541" s="917"/>
      <c r="P1541" s="917"/>
      <c r="Q1541" s="917"/>
      <c r="R1541" s="917"/>
      <c r="S1541" s="917"/>
      <c r="T1541" s="917"/>
      <c r="U1541" s="917"/>
      <c r="V1541" s="917"/>
      <c r="W1541" s="917"/>
      <c r="X1541" s="916" t="s">
        <v>1324</v>
      </c>
      <c r="Y1541" s="916"/>
      <c r="Z1541" s="916"/>
      <c r="AA1541" s="916"/>
      <c r="AB1541" s="916"/>
      <c r="AC1541" s="916"/>
      <c r="AD1541" s="916"/>
      <c r="AE1541" s="916" t="s">
        <v>1325</v>
      </c>
      <c r="AF1541" s="916"/>
      <c r="AG1541" s="916"/>
      <c r="AH1541" s="916"/>
      <c r="AI1541" s="916"/>
      <c r="AJ1541" s="916"/>
      <c r="AK1541" s="916"/>
      <c r="AL1541" s="916"/>
      <c r="AM1541" s="916"/>
      <c r="AN1541" s="916"/>
      <c r="AO1541" s="916"/>
      <c r="AP1541" s="916" t="s">
        <v>1326</v>
      </c>
      <c r="AQ1541" s="916"/>
      <c r="AR1541" s="916"/>
      <c r="AS1541" s="916"/>
      <c r="AT1541" s="916"/>
      <c r="AU1541" s="916"/>
      <c r="AV1541" s="916"/>
      <c r="AW1541" s="916"/>
      <c r="AX1541" s="916"/>
      <c r="AY1541" s="916"/>
      <c r="AZ1541" s="916"/>
      <c r="BA1541" s="224"/>
      <c r="BB1541" s="224"/>
    </row>
    <row r="1542" spans="1:54" ht="12.6" customHeight="1" x14ac:dyDescent="0.25">
      <c r="A1542" s="917"/>
      <c r="B1542" s="917"/>
      <c r="C1542" s="917"/>
      <c r="D1542" s="917"/>
      <c r="E1542" s="917"/>
      <c r="F1542" s="917"/>
      <c r="G1542" s="917"/>
      <c r="H1542" s="917"/>
      <c r="I1542" s="917"/>
      <c r="J1542" s="917"/>
      <c r="K1542" s="917"/>
      <c r="L1542" s="917"/>
      <c r="M1542" s="917"/>
      <c r="N1542" s="917"/>
      <c r="O1542" s="917"/>
      <c r="P1542" s="917"/>
      <c r="Q1542" s="917"/>
      <c r="R1542" s="917"/>
      <c r="S1542" s="917"/>
      <c r="T1542" s="917"/>
      <c r="U1542" s="917"/>
      <c r="V1542" s="917"/>
      <c r="W1542" s="917"/>
      <c r="X1542" s="916"/>
      <c r="Y1542" s="916"/>
      <c r="Z1542" s="916"/>
      <c r="AA1542" s="916"/>
      <c r="AB1542" s="916"/>
      <c r="AC1542" s="916"/>
      <c r="AD1542" s="916"/>
      <c r="AE1542" s="916"/>
      <c r="AF1542" s="916"/>
      <c r="AG1542" s="916"/>
      <c r="AH1542" s="916"/>
      <c r="AI1542" s="916"/>
      <c r="AJ1542" s="916"/>
      <c r="AK1542" s="916"/>
      <c r="AL1542" s="916"/>
      <c r="AM1542" s="916"/>
      <c r="AN1542" s="916"/>
      <c r="AO1542" s="916"/>
      <c r="AP1542" s="916"/>
      <c r="AQ1542" s="916"/>
      <c r="AR1542" s="916"/>
      <c r="AS1542" s="916"/>
      <c r="AT1542" s="916"/>
      <c r="AU1542" s="916"/>
      <c r="AV1542" s="916"/>
      <c r="AW1542" s="916"/>
      <c r="AX1542" s="916"/>
      <c r="AY1542" s="916"/>
      <c r="AZ1542" s="916"/>
      <c r="BA1542" s="224"/>
      <c r="BB1542" s="224"/>
    </row>
    <row r="1543" spans="1:54" ht="12.6" customHeight="1" x14ac:dyDescent="0.25">
      <c r="A1543" s="917"/>
      <c r="B1543" s="917"/>
      <c r="C1543" s="917"/>
      <c r="D1543" s="917"/>
      <c r="E1543" s="917"/>
      <c r="F1543" s="917"/>
      <c r="G1543" s="917"/>
      <c r="H1543" s="917"/>
      <c r="I1543" s="917"/>
      <c r="J1543" s="917"/>
      <c r="K1543" s="917"/>
      <c r="L1543" s="917"/>
      <c r="M1543" s="917"/>
      <c r="N1543" s="917"/>
      <c r="O1543" s="917"/>
      <c r="P1543" s="917"/>
      <c r="Q1543" s="917"/>
      <c r="R1543" s="917"/>
      <c r="S1543" s="917"/>
      <c r="T1543" s="917"/>
      <c r="U1543" s="917"/>
      <c r="V1543" s="917"/>
      <c r="W1543" s="917"/>
      <c r="X1543" s="916"/>
      <c r="Y1543" s="916"/>
      <c r="Z1543" s="916"/>
      <c r="AA1543" s="916"/>
      <c r="AB1543" s="916"/>
      <c r="AC1543" s="916"/>
      <c r="AD1543" s="916"/>
      <c r="AE1543" s="916"/>
      <c r="AF1543" s="916"/>
      <c r="AG1543" s="916"/>
      <c r="AH1543" s="916"/>
      <c r="AI1543" s="916"/>
      <c r="AJ1543" s="916"/>
      <c r="AK1543" s="916"/>
      <c r="AL1543" s="916"/>
      <c r="AM1543" s="916"/>
      <c r="AN1543" s="916"/>
      <c r="AO1543" s="916"/>
      <c r="AP1543" s="916"/>
      <c r="AQ1543" s="916"/>
      <c r="AR1543" s="916"/>
      <c r="AS1543" s="916"/>
      <c r="AT1543" s="916"/>
      <c r="AU1543" s="916"/>
      <c r="AV1543" s="916"/>
      <c r="AW1543" s="916"/>
      <c r="AX1543" s="916"/>
      <c r="AY1543" s="916"/>
      <c r="AZ1543" s="916"/>
      <c r="BA1543" s="224"/>
      <c r="BB1543" s="224"/>
    </row>
    <row r="1544" spans="1:54" ht="12.6" customHeight="1" x14ac:dyDescent="0.25">
      <c r="A1544" s="917"/>
      <c r="B1544" s="917"/>
      <c r="C1544" s="917"/>
      <c r="D1544" s="917"/>
      <c r="E1544" s="917"/>
      <c r="F1544" s="917"/>
      <c r="G1544" s="917"/>
      <c r="H1544" s="917"/>
      <c r="I1544" s="917"/>
      <c r="J1544" s="917"/>
      <c r="K1544" s="917"/>
      <c r="L1544" s="917"/>
      <c r="M1544" s="917"/>
      <c r="N1544" s="917"/>
      <c r="O1544" s="917"/>
      <c r="P1544" s="917"/>
      <c r="Q1544" s="917"/>
      <c r="R1544" s="917"/>
      <c r="S1544" s="917"/>
      <c r="T1544" s="917"/>
      <c r="U1544" s="917"/>
      <c r="V1544" s="917"/>
      <c r="W1544" s="917"/>
      <c r="X1544" s="916"/>
      <c r="Y1544" s="916"/>
      <c r="Z1544" s="916"/>
      <c r="AA1544" s="916"/>
      <c r="AB1544" s="916"/>
      <c r="AC1544" s="916"/>
      <c r="AD1544" s="916"/>
      <c r="AE1544" s="916"/>
      <c r="AF1544" s="916"/>
      <c r="AG1544" s="916"/>
      <c r="AH1544" s="916"/>
      <c r="AI1544" s="916"/>
      <c r="AJ1544" s="916"/>
      <c r="AK1544" s="916"/>
      <c r="AL1544" s="916"/>
      <c r="AM1544" s="916"/>
      <c r="AN1544" s="916"/>
      <c r="AO1544" s="916"/>
      <c r="AP1544" s="916"/>
      <c r="AQ1544" s="916"/>
      <c r="AR1544" s="916"/>
      <c r="AS1544" s="916"/>
      <c r="AT1544" s="916"/>
      <c r="AU1544" s="916"/>
      <c r="AV1544" s="916"/>
      <c r="AW1544" s="916"/>
      <c r="AX1544" s="916"/>
      <c r="AY1544" s="916"/>
      <c r="AZ1544" s="916"/>
      <c r="BA1544" s="224"/>
      <c r="BB1544" s="224"/>
    </row>
    <row r="1545" spans="1:54" ht="12.6" customHeight="1" x14ac:dyDescent="0.25">
      <c r="A1545" s="917"/>
      <c r="B1545" s="917"/>
      <c r="C1545" s="917"/>
      <c r="D1545" s="917"/>
      <c r="E1545" s="917"/>
      <c r="F1545" s="917"/>
      <c r="G1545" s="917"/>
      <c r="H1545" s="917"/>
      <c r="I1545" s="917"/>
      <c r="J1545" s="917"/>
      <c r="K1545" s="917"/>
      <c r="L1545" s="917"/>
      <c r="M1545" s="917"/>
      <c r="N1545" s="917"/>
      <c r="O1545" s="917"/>
      <c r="P1545" s="917"/>
      <c r="Q1545" s="917"/>
      <c r="R1545" s="917"/>
      <c r="S1545" s="917"/>
      <c r="T1545" s="917"/>
      <c r="U1545" s="917"/>
      <c r="V1545" s="917"/>
      <c r="W1545" s="917"/>
      <c r="X1545" s="916"/>
      <c r="Y1545" s="916"/>
      <c r="Z1545" s="916"/>
      <c r="AA1545" s="916"/>
      <c r="AB1545" s="916"/>
      <c r="AC1545" s="916"/>
      <c r="AD1545" s="916"/>
      <c r="AE1545" s="916"/>
      <c r="AF1545" s="916"/>
      <c r="AG1545" s="916"/>
      <c r="AH1545" s="916"/>
      <c r="AI1545" s="916"/>
      <c r="AJ1545" s="916"/>
      <c r="AK1545" s="916"/>
      <c r="AL1545" s="916"/>
      <c r="AM1545" s="916"/>
      <c r="AN1545" s="916"/>
      <c r="AO1545" s="916"/>
      <c r="AP1545" s="916"/>
      <c r="AQ1545" s="916"/>
      <c r="AR1545" s="916"/>
      <c r="AS1545" s="916"/>
      <c r="AT1545" s="916"/>
      <c r="AU1545" s="916"/>
      <c r="AV1545" s="916"/>
      <c r="AW1545" s="916"/>
      <c r="AX1545" s="916"/>
      <c r="AY1545" s="916"/>
      <c r="AZ1545" s="916"/>
      <c r="BA1545" s="224"/>
      <c r="BB1545" s="224"/>
    </row>
    <row r="1546" spans="1:54" ht="12.6" customHeight="1" x14ac:dyDescent="0.25">
      <c r="A1546" s="917"/>
      <c r="B1546" s="917"/>
      <c r="C1546" s="917"/>
      <c r="D1546" s="917"/>
      <c r="E1546" s="917"/>
      <c r="F1546" s="917"/>
      <c r="G1546" s="917"/>
      <c r="H1546" s="917"/>
      <c r="I1546" s="917"/>
      <c r="J1546" s="917"/>
      <c r="K1546" s="917"/>
      <c r="L1546" s="917"/>
      <c r="M1546" s="917"/>
      <c r="N1546" s="917"/>
      <c r="O1546" s="917"/>
      <c r="P1546" s="917"/>
      <c r="Q1546" s="917"/>
      <c r="R1546" s="917"/>
      <c r="S1546" s="917"/>
      <c r="T1546" s="917"/>
      <c r="U1546" s="917"/>
      <c r="V1546" s="917"/>
      <c r="W1546" s="917"/>
      <c r="X1546" s="916"/>
      <c r="Y1546" s="916"/>
      <c r="Z1546" s="916"/>
      <c r="AA1546" s="916"/>
      <c r="AB1546" s="916"/>
      <c r="AC1546" s="916"/>
      <c r="AD1546" s="916"/>
      <c r="AE1546" s="916"/>
      <c r="AF1546" s="916"/>
      <c r="AG1546" s="916"/>
      <c r="AH1546" s="916"/>
      <c r="AI1546" s="916"/>
      <c r="AJ1546" s="916"/>
      <c r="AK1546" s="916"/>
      <c r="AL1546" s="916"/>
      <c r="AM1546" s="916"/>
      <c r="AN1546" s="916"/>
      <c r="AO1546" s="916"/>
      <c r="AP1546" s="916"/>
      <c r="AQ1546" s="916"/>
      <c r="AR1546" s="916"/>
      <c r="AS1546" s="916"/>
      <c r="AT1546" s="916"/>
      <c r="AU1546" s="916"/>
      <c r="AV1546" s="916"/>
      <c r="AW1546" s="916"/>
      <c r="AX1546" s="916"/>
      <c r="AY1546" s="916"/>
      <c r="AZ1546" s="916"/>
      <c r="BA1546" s="224"/>
      <c r="BB1546" s="224"/>
    </row>
    <row r="1547" spans="1:54" ht="12.6" customHeight="1" x14ac:dyDescent="0.25">
      <c r="A1547" s="917"/>
      <c r="B1547" s="917"/>
      <c r="C1547" s="917"/>
      <c r="D1547" s="917"/>
      <c r="E1547" s="917"/>
      <c r="F1547" s="917"/>
      <c r="G1547" s="917"/>
      <c r="H1547" s="917"/>
      <c r="I1547" s="917"/>
      <c r="J1547" s="917"/>
      <c r="K1547" s="917"/>
      <c r="L1547" s="917"/>
      <c r="M1547" s="917"/>
      <c r="N1547" s="917"/>
      <c r="O1547" s="917"/>
      <c r="P1547" s="917"/>
      <c r="Q1547" s="917"/>
      <c r="R1547" s="917"/>
      <c r="S1547" s="917"/>
      <c r="T1547" s="917"/>
      <c r="U1547" s="917"/>
      <c r="V1547" s="917"/>
      <c r="W1547" s="917"/>
      <c r="X1547" s="916"/>
      <c r="Y1547" s="916"/>
      <c r="Z1547" s="916"/>
      <c r="AA1547" s="916"/>
      <c r="AB1547" s="916"/>
      <c r="AC1547" s="916"/>
      <c r="AD1547" s="916"/>
      <c r="AE1547" s="916"/>
      <c r="AF1547" s="916"/>
      <c r="AG1547" s="916"/>
      <c r="AH1547" s="916"/>
      <c r="AI1547" s="916"/>
      <c r="AJ1547" s="916"/>
      <c r="AK1547" s="916"/>
      <c r="AL1547" s="916"/>
      <c r="AM1547" s="916"/>
      <c r="AN1547" s="916"/>
      <c r="AO1547" s="916"/>
      <c r="AP1547" s="916"/>
      <c r="AQ1547" s="916"/>
      <c r="AR1547" s="916"/>
      <c r="AS1547" s="916"/>
      <c r="AT1547" s="916"/>
      <c r="AU1547" s="916"/>
      <c r="AV1547" s="916"/>
      <c r="AW1547" s="916"/>
      <c r="AX1547" s="916"/>
      <c r="AY1547" s="916"/>
      <c r="AZ1547" s="916"/>
      <c r="BA1547" s="224"/>
      <c r="BB1547" s="224"/>
    </row>
    <row r="1548" spans="1:54" ht="12.6" customHeight="1" x14ac:dyDescent="0.25">
      <c r="A1548" s="917"/>
      <c r="B1548" s="917"/>
      <c r="C1548" s="917"/>
      <c r="D1548" s="917"/>
      <c r="E1548" s="917"/>
      <c r="F1548" s="917"/>
      <c r="G1548" s="917"/>
      <c r="H1548" s="917"/>
      <c r="I1548" s="917"/>
      <c r="J1548" s="917"/>
      <c r="K1548" s="917"/>
      <c r="L1548" s="917"/>
      <c r="M1548" s="917"/>
      <c r="N1548" s="917"/>
      <c r="O1548" s="917"/>
      <c r="P1548" s="917"/>
      <c r="Q1548" s="917"/>
      <c r="R1548" s="917"/>
      <c r="S1548" s="917"/>
      <c r="T1548" s="917"/>
      <c r="U1548" s="917"/>
      <c r="V1548" s="917"/>
      <c r="W1548" s="917"/>
      <c r="X1548" s="916"/>
      <c r="Y1548" s="916"/>
      <c r="Z1548" s="916"/>
      <c r="AA1548" s="916"/>
      <c r="AB1548" s="916"/>
      <c r="AC1548" s="916"/>
      <c r="AD1548" s="916"/>
      <c r="AE1548" s="916"/>
      <c r="AF1548" s="916"/>
      <c r="AG1548" s="916"/>
      <c r="AH1548" s="916"/>
      <c r="AI1548" s="916"/>
      <c r="AJ1548" s="916"/>
      <c r="AK1548" s="916"/>
      <c r="AL1548" s="916"/>
      <c r="AM1548" s="916"/>
      <c r="AN1548" s="916"/>
      <c r="AO1548" s="916"/>
      <c r="AP1548" s="916"/>
      <c r="AQ1548" s="916"/>
      <c r="AR1548" s="916"/>
      <c r="AS1548" s="916"/>
      <c r="AT1548" s="916"/>
      <c r="AU1548" s="916"/>
      <c r="AV1548" s="916"/>
      <c r="AW1548" s="916"/>
      <c r="AX1548" s="916"/>
      <c r="AY1548" s="916"/>
      <c r="AZ1548" s="916"/>
      <c r="BA1548" s="224"/>
      <c r="BB1548" s="224"/>
    </row>
    <row r="1549" spans="1:54" ht="12.6" customHeight="1" x14ac:dyDescent="0.25">
      <c r="A1549" s="917"/>
      <c r="B1549" s="917"/>
      <c r="C1549" s="917"/>
      <c r="D1549" s="917"/>
      <c r="E1549" s="917"/>
      <c r="F1549" s="917"/>
      <c r="G1549" s="917"/>
      <c r="H1549" s="917"/>
      <c r="I1549" s="917"/>
      <c r="J1549" s="917"/>
      <c r="K1549" s="917"/>
      <c r="L1549" s="917"/>
      <c r="M1549" s="917"/>
      <c r="N1549" s="917"/>
      <c r="O1549" s="917"/>
      <c r="P1549" s="917"/>
      <c r="Q1549" s="917"/>
      <c r="R1549" s="917"/>
      <c r="S1549" s="917"/>
      <c r="T1549" s="917"/>
      <c r="U1549" s="917"/>
      <c r="V1549" s="917"/>
      <c r="W1549" s="917"/>
      <c r="X1549" s="916"/>
      <c r="Y1549" s="916"/>
      <c r="Z1549" s="916"/>
      <c r="AA1549" s="916"/>
      <c r="AB1549" s="916"/>
      <c r="AC1549" s="916"/>
      <c r="AD1549" s="916"/>
      <c r="AE1549" s="916"/>
      <c r="AF1549" s="916"/>
      <c r="AG1549" s="916"/>
      <c r="AH1549" s="916"/>
      <c r="AI1549" s="916"/>
      <c r="AJ1549" s="916"/>
      <c r="AK1549" s="916"/>
      <c r="AL1549" s="916"/>
      <c r="AM1549" s="916"/>
      <c r="AN1549" s="916"/>
      <c r="AO1549" s="916"/>
      <c r="AP1549" s="916"/>
      <c r="AQ1549" s="916"/>
      <c r="AR1549" s="916"/>
      <c r="AS1549" s="916"/>
      <c r="AT1549" s="916"/>
      <c r="AU1549" s="916"/>
      <c r="AV1549" s="916"/>
      <c r="AW1549" s="916"/>
      <c r="AX1549" s="916"/>
      <c r="AY1549" s="916"/>
      <c r="AZ1549" s="916"/>
      <c r="BA1549" s="224"/>
      <c r="BB1549" s="224"/>
    </row>
    <row r="1550" spans="1:54" ht="12.6" customHeight="1" x14ac:dyDescent="0.25">
      <c r="A1550" s="917"/>
      <c r="B1550" s="917"/>
      <c r="C1550" s="917"/>
      <c r="D1550" s="917"/>
      <c r="E1550" s="917"/>
      <c r="F1550" s="917"/>
      <c r="G1550" s="917"/>
      <c r="H1550" s="917"/>
      <c r="I1550" s="917"/>
      <c r="J1550" s="917"/>
      <c r="K1550" s="917"/>
      <c r="L1550" s="917"/>
      <c r="M1550" s="917"/>
      <c r="N1550" s="917"/>
      <c r="O1550" s="917"/>
      <c r="P1550" s="917"/>
      <c r="Q1550" s="917"/>
      <c r="R1550" s="917"/>
      <c r="S1550" s="917"/>
      <c r="T1550" s="917"/>
      <c r="U1550" s="917"/>
      <c r="V1550" s="917"/>
      <c r="W1550" s="917"/>
      <c r="X1550" s="916"/>
      <c r="Y1550" s="916"/>
      <c r="Z1550" s="916"/>
      <c r="AA1550" s="916"/>
      <c r="AB1550" s="916"/>
      <c r="AC1550" s="916"/>
      <c r="AD1550" s="916"/>
      <c r="AE1550" s="916"/>
      <c r="AF1550" s="916"/>
      <c r="AG1550" s="916"/>
      <c r="AH1550" s="916"/>
      <c r="AI1550" s="916"/>
      <c r="AJ1550" s="916"/>
      <c r="AK1550" s="916"/>
      <c r="AL1550" s="916"/>
      <c r="AM1550" s="916"/>
      <c r="AN1550" s="916"/>
      <c r="AO1550" s="916"/>
      <c r="AP1550" s="916"/>
      <c r="AQ1550" s="916"/>
      <c r="AR1550" s="916"/>
      <c r="AS1550" s="916"/>
      <c r="AT1550" s="916"/>
      <c r="AU1550" s="916"/>
      <c r="AV1550" s="916"/>
      <c r="AW1550" s="916"/>
      <c r="AX1550" s="916"/>
      <c r="AY1550" s="916"/>
      <c r="AZ1550" s="916"/>
      <c r="BA1550" s="224"/>
      <c r="BB1550" s="224"/>
    </row>
    <row r="1551" spans="1:54" ht="12.6" customHeight="1" x14ac:dyDescent="0.25">
      <c r="A1551" s="917"/>
      <c r="B1551" s="917"/>
      <c r="C1551" s="917"/>
      <c r="D1551" s="917"/>
      <c r="E1551" s="917"/>
      <c r="F1551" s="917"/>
      <c r="G1551" s="917"/>
      <c r="H1551" s="917"/>
      <c r="I1551" s="917"/>
      <c r="J1551" s="917"/>
      <c r="K1551" s="917"/>
      <c r="L1551" s="917"/>
      <c r="M1551" s="917"/>
      <c r="N1551" s="917"/>
      <c r="O1551" s="917"/>
      <c r="P1551" s="917"/>
      <c r="Q1551" s="917"/>
      <c r="R1551" s="917"/>
      <c r="S1551" s="917"/>
      <c r="T1551" s="917"/>
      <c r="U1551" s="917"/>
      <c r="V1551" s="917"/>
      <c r="W1551" s="917"/>
      <c r="X1551" s="916"/>
      <c r="Y1551" s="916"/>
      <c r="Z1551" s="916"/>
      <c r="AA1551" s="916"/>
      <c r="AB1551" s="916"/>
      <c r="AC1551" s="916"/>
      <c r="AD1551" s="916"/>
      <c r="AE1551" s="916"/>
      <c r="AF1551" s="916"/>
      <c r="AG1551" s="916"/>
      <c r="AH1551" s="916"/>
      <c r="AI1551" s="916"/>
      <c r="AJ1551" s="916"/>
      <c r="AK1551" s="916"/>
      <c r="AL1551" s="916"/>
      <c r="AM1551" s="916"/>
      <c r="AN1551" s="916"/>
      <c r="AO1551" s="916"/>
      <c r="AP1551" s="916"/>
      <c r="AQ1551" s="916"/>
      <c r="AR1551" s="916"/>
      <c r="AS1551" s="916"/>
      <c r="AT1551" s="916"/>
      <c r="AU1551" s="916"/>
      <c r="AV1551" s="916"/>
      <c r="AW1551" s="916"/>
      <c r="AX1551" s="916"/>
      <c r="AY1551" s="916"/>
      <c r="AZ1551" s="916"/>
      <c r="BA1551" s="224"/>
      <c r="BB1551" s="224"/>
    </row>
    <row r="1552" spans="1:54" ht="12.6" customHeight="1" x14ac:dyDescent="0.25">
      <c r="A1552" s="345"/>
      <c r="B1552" s="345"/>
      <c r="C1552" s="345"/>
      <c r="D1552" s="345"/>
      <c r="E1552" s="345"/>
      <c r="F1552" s="345"/>
      <c r="G1552" s="345"/>
      <c r="H1552" s="345"/>
      <c r="I1552" s="345"/>
      <c r="J1552" s="345"/>
      <c r="K1552" s="345"/>
      <c r="L1552" s="345"/>
      <c r="M1552" s="345"/>
      <c r="N1552" s="345"/>
      <c r="O1552" s="345"/>
      <c r="P1552" s="345"/>
      <c r="Q1552" s="345"/>
      <c r="R1552" s="345"/>
      <c r="S1552" s="345"/>
      <c r="T1552" s="345"/>
      <c r="U1552" s="345"/>
      <c r="V1552" s="345"/>
      <c r="W1552" s="345"/>
      <c r="X1552" s="346"/>
      <c r="Y1552" s="346"/>
      <c r="Z1552" s="346"/>
      <c r="AA1552" s="346"/>
      <c r="AB1552" s="346"/>
      <c r="AC1552" s="346"/>
      <c r="AD1552" s="346"/>
      <c r="AE1552" s="346"/>
      <c r="AF1552" s="346"/>
      <c r="AG1552" s="346"/>
      <c r="AH1552" s="346"/>
      <c r="AI1552" s="346"/>
      <c r="AJ1552" s="346"/>
      <c r="AK1552" s="346"/>
      <c r="AL1552" s="346"/>
      <c r="AM1552" s="346"/>
      <c r="AN1552" s="346"/>
      <c r="AO1552" s="346"/>
      <c r="AP1552" s="346"/>
      <c r="AQ1552" s="346"/>
      <c r="AR1552" s="346"/>
      <c r="AS1552" s="346"/>
      <c r="AT1552" s="346"/>
      <c r="AU1552" s="346"/>
      <c r="AV1552" s="346"/>
      <c r="AW1552" s="346"/>
      <c r="AX1552" s="346"/>
      <c r="AY1552" s="346"/>
      <c r="AZ1552" s="346"/>
      <c r="BA1552" s="224"/>
      <c r="BB1552" s="224"/>
    </row>
    <row r="1553" spans="1:54" ht="12.6" customHeight="1" x14ac:dyDescent="0.25">
      <c r="A1553" s="29" t="s">
        <v>1329</v>
      </c>
      <c r="B1553" s="224"/>
      <c r="C1553" s="224"/>
      <c r="D1553" s="224"/>
      <c r="E1553" s="224"/>
      <c r="F1553" s="224"/>
      <c r="G1553" s="224"/>
      <c r="H1553" s="224"/>
      <c r="I1553" s="224"/>
      <c r="J1553" s="224"/>
      <c r="K1553" s="224"/>
      <c r="L1553" s="224"/>
      <c r="M1553" s="224"/>
      <c r="N1553" s="224"/>
      <c r="O1553" s="224"/>
      <c r="P1553" s="224"/>
      <c r="Q1553" s="224"/>
      <c r="R1553" s="224"/>
      <c r="S1553" s="224"/>
      <c r="T1553" s="224"/>
      <c r="U1553" s="224"/>
      <c r="V1553" s="224"/>
      <c r="W1553" s="224"/>
      <c r="X1553" s="224"/>
      <c r="Y1553" s="224"/>
      <c r="Z1553" s="224"/>
      <c r="AA1553" s="224"/>
      <c r="AB1553" s="224"/>
      <c r="AC1553" s="224"/>
      <c r="AD1553" s="224"/>
      <c r="AE1553" s="224"/>
      <c r="AF1553" s="224"/>
      <c r="AG1553" s="224"/>
      <c r="AH1553" s="224"/>
      <c r="AI1553" s="224"/>
      <c r="AJ1553" s="224"/>
      <c r="AK1553" s="224"/>
      <c r="AL1553" s="224"/>
      <c r="AM1553" s="224"/>
      <c r="AN1553" s="224"/>
      <c r="AO1553" s="224"/>
      <c r="AP1553" s="224"/>
      <c r="AQ1553" s="224"/>
      <c r="AR1553" s="224"/>
      <c r="AS1553" s="224"/>
      <c r="AT1553" s="224"/>
      <c r="AU1553" s="224"/>
      <c r="AV1553" s="224"/>
      <c r="AW1553" s="224"/>
      <c r="AX1553" s="224"/>
      <c r="AY1553" s="224"/>
      <c r="AZ1553" s="224"/>
      <c r="BA1553" s="224"/>
      <c r="BB1553" s="224"/>
    </row>
    <row r="1554" spans="1:54" ht="12.6" customHeight="1" x14ac:dyDescent="0.25">
      <c r="A1554" s="915" t="s">
        <v>2084</v>
      </c>
      <c r="B1554" s="915"/>
      <c r="C1554" s="915"/>
      <c r="D1554" s="915"/>
      <c r="E1554" s="915"/>
      <c r="F1554" s="915"/>
      <c r="G1554" s="915"/>
      <c r="H1554" s="915"/>
      <c r="I1554" s="915"/>
      <c r="J1554" s="915"/>
      <c r="K1554" s="915"/>
      <c r="L1554" s="915"/>
      <c r="M1554" s="915"/>
      <c r="N1554" s="915"/>
      <c r="O1554" s="915"/>
      <c r="P1554" s="915"/>
      <c r="Q1554" s="915"/>
      <c r="R1554" s="915"/>
      <c r="S1554" s="915"/>
      <c r="T1554" s="915"/>
      <c r="U1554" s="915"/>
      <c r="V1554" s="915"/>
      <c r="W1554" s="915"/>
      <c r="X1554" s="853" t="s">
        <v>2081</v>
      </c>
      <c r="Y1554" s="853"/>
      <c r="Z1554" s="853"/>
      <c r="AA1554" s="853"/>
      <c r="AB1554" s="853"/>
      <c r="AC1554" s="853"/>
      <c r="AD1554" s="853"/>
      <c r="AE1554" s="916" t="s">
        <v>2082</v>
      </c>
      <c r="AF1554" s="916"/>
      <c r="AG1554" s="916"/>
      <c r="AH1554" s="916"/>
      <c r="AI1554" s="916"/>
      <c r="AJ1554" s="916"/>
      <c r="AK1554" s="916"/>
      <c r="AL1554" s="916"/>
      <c r="AM1554" s="916"/>
      <c r="AN1554" s="916"/>
      <c r="AO1554" s="916"/>
      <c r="AP1554" s="916"/>
      <c r="AQ1554" s="916"/>
      <c r="AR1554" s="916"/>
      <c r="AS1554" s="916"/>
      <c r="AT1554" s="916"/>
      <c r="AU1554" s="916"/>
      <c r="AV1554" s="916"/>
      <c r="AW1554" s="916"/>
      <c r="AX1554" s="916"/>
      <c r="AY1554" s="916"/>
      <c r="AZ1554" s="916"/>
      <c r="BA1554" s="224"/>
      <c r="BB1554" s="224"/>
    </row>
    <row r="1555" spans="1:54" ht="12.6" customHeight="1" x14ac:dyDescent="0.25">
      <c r="A1555" s="915"/>
      <c r="B1555" s="915"/>
      <c r="C1555" s="915"/>
      <c r="D1555" s="915"/>
      <c r="E1555" s="915"/>
      <c r="F1555" s="915"/>
      <c r="G1555" s="915"/>
      <c r="H1555" s="915"/>
      <c r="I1555" s="915"/>
      <c r="J1555" s="915"/>
      <c r="K1555" s="915"/>
      <c r="L1555" s="915"/>
      <c r="M1555" s="915"/>
      <c r="N1555" s="915"/>
      <c r="O1555" s="915"/>
      <c r="P1555" s="915"/>
      <c r="Q1555" s="915"/>
      <c r="R1555" s="915"/>
      <c r="S1555" s="915"/>
      <c r="T1555" s="915"/>
      <c r="U1555" s="915"/>
      <c r="V1555" s="915"/>
      <c r="W1555" s="915"/>
      <c r="X1555" s="853"/>
      <c r="Y1555" s="853"/>
      <c r="Z1555" s="853"/>
      <c r="AA1555" s="853"/>
      <c r="AB1555" s="853"/>
      <c r="AC1555" s="853"/>
      <c r="AD1555" s="853"/>
      <c r="AE1555" s="853" t="s">
        <v>1288</v>
      </c>
      <c r="AF1555" s="853"/>
      <c r="AG1555" s="853"/>
      <c r="AH1555" s="853"/>
      <c r="AI1555" s="853"/>
      <c r="AJ1555" s="853"/>
      <c r="AK1555" s="853"/>
      <c r="AL1555" s="853"/>
      <c r="AM1555" s="853"/>
      <c r="AN1555" s="853"/>
      <c r="AO1555" s="853"/>
      <c r="AP1555" s="853" t="s">
        <v>2083</v>
      </c>
      <c r="AQ1555" s="853"/>
      <c r="AR1555" s="853"/>
      <c r="AS1555" s="853"/>
      <c r="AT1555" s="853"/>
      <c r="AU1555" s="853"/>
      <c r="AV1555" s="853"/>
      <c r="AW1555" s="853"/>
      <c r="AX1555" s="853"/>
      <c r="AY1555" s="853"/>
      <c r="AZ1555" s="853"/>
      <c r="BA1555" s="224"/>
      <c r="BB1555" s="224"/>
    </row>
    <row r="1556" spans="1:54" ht="12.6" customHeight="1" x14ac:dyDescent="0.25">
      <c r="A1556" s="917" t="s">
        <v>1323</v>
      </c>
      <c r="B1556" s="917"/>
      <c r="C1556" s="917"/>
      <c r="D1556" s="917"/>
      <c r="E1556" s="917"/>
      <c r="F1556" s="917"/>
      <c r="G1556" s="917"/>
      <c r="H1556" s="917"/>
      <c r="I1556" s="917"/>
      <c r="J1556" s="917"/>
      <c r="K1556" s="917"/>
      <c r="L1556" s="917"/>
      <c r="M1556" s="917"/>
      <c r="N1556" s="917"/>
      <c r="O1556" s="917"/>
      <c r="P1556" s="917"/>
      <c r="Q1556" s="917"/>
      <c r="R1556" s="917"/>
      <c r="S1556" s="917"/>
      <c r="T1556" s="917"/>
      <c r="U1556" s="917"/>
      <c r="V1556" s="917"/>
      <c r="W1556" s="917"/>
      <c r="X1556" s="916" t="s">
        <v>1324</v>
      </c>
      <c r="Y1556" s="916"/>
      <c r="Z1556" s="916"/>
      <c r="AA1556" s="916"/>
      <c r="AB1556" s="916"/>
      <c r="AC1556" s="916"/>
      <c r="AD1556" s="916"/>
      <c r="AE1556" s="916" t="s">
        <v>1325</v>
      </c>
      <c r="AF1556" s="916"/>
      <c r="AG1556" s="916"/>
      <c r="AH1556" s="916"/>
      <c r="AI1556" s="916"/>
      <c r="AJ1556" s="916"/>
      <c r="AK1556" s="916"/>
      <c r="AL1556" s="916"/>
      <c r="AM1556" s="916"/>
      <c r="AN1556" s="916"/>
      <c r="AO1556" s="916"/>
      <c r="AP1556" s="916" t="s">
        <v>1326</v>
      </c>
      <c r="AQ1556" s="916"/>
      <c r="AR1556" s="916"/>
      <c r="AS1556" s="916"/>
      <c r="AT1556" s="916"/>
      <c r="AU1556" s="916"/>
      <c r="AV1556" s="916"/>
      <c r="AW1556" s="916"/>
      <c r="AX1556" s="916"/>
      <c r="AY1556" s="916"/>
      <c r="AZ1556" s="916"/>
      <c r="BA1556" s="224"/>
      <c r="BB1556" s="224"/>
    </row>
    <row r="1557" spans="1:54" ht="12.6" customHeight="1" x14ac:dyDescent="0.25">
      <c r="A1557" s="917"/>
      <c r="B1557" s="917"/>
      <c r="C1557" s="917"/>
      <c r="D1557" s="917"/>
      <c r="E1557" s="917"/>
      <c r="F1557" s="917"/>
      <c r="G1557" s="917"/>
      <c r="H1557" s="917"/>
      <c r="I1557" s="917"/>
      <c r="J1557" s="917"/>
      <c r="K1557" s="917"/>
      <c r="L1557" s="917"/>
      <c r="M1557" s="917"/>
      <c r="N1557" s="917"/>
      <c r="O1557" s="917"/>
      <c r="P1557" s="917"/>
      <c r="Q1557" s="917"/>
      <c r="R1557" s="917"/>
      <c r="S1557" s="917"/>
      <c r="T1557" s="917"/>
      <c r="U1557" s="917"/>
      <c r="V1557" s="917"/>
      <c r="W1557" s="917"/>
      <c r="X1557" s="916"/>
      <c r="Y1557" s="916"/>
      <c r="Z1557" s="916"/>
      <c r="AA1557" s="916"/>
      <c r="AB1557" s="916"/>
      <c r="AC1557" s="916"/>
      <c r="AD1557" s="916"/>
      <c r="AE1557" s="916"/>
      <c r="AF1557" s="916"/>
      <c r="AG1557" s="916"/>
      <c r="AH1557" s="916"/>
      <c r="AI1557" s="916"/>
      <c r="AJ1557" s="916"/>
      <c r="AK1557" s="916"/>
      <c r="AL1557" s="916"/>
      <c r="AM1557" s="916"/>
      <c r="AN1557" s="916"/>
      <c r="AO1557" s="916"/>
      <c r="AP1557" s="916"/>
      <c r="AQ1557" s="916"/>
      <c r="AR1557" s="916"/>
      <c r="AS1557" s="916"/>
      <c r="AT1557" s="916"/>
      <c r="AU1557" s="916"/>
      <c r="AV1557" s="916"/>
      <c r="AW1557" s="916"/>
      <c r="AX1557" s="916"/>
      <c r="AY1557" s="916"/>
      <c r="AZ1557" s="916"/>
      <c r="BA1557" s="224"/>
      <c r="BB1557" s="224"/>
    </row>
    <row r="1558" spans="1:54" ht="12.6" customHeight="1" x14ac:dyDescent="0.25">
      <c r="A1558" s="917"/>
      <c r="B1558" s="917"/>
      <c r="C1558" s="917"/>
      <c r="D1558" s="917"/>
      <c r="E1558" s="917"/>
      <c r="F1558" s="917"/>
      <c r="G1558" s="917"/>
      <c r="H1558" s="917"/>
      <c r="I1558" s="917"/>
      <c r="J1558" s="917"/>
      <c r="K1558" s="917"/>
      <c r="L1558" s="917"/>
      <c r="M1558" s="917"/>
      <c r="N1558" s="917"/>
      <c r="O1558" s="917"/>
      <c r="P1558" s="917"/>
      <c r="Q1558" s="917"/>
      <c r="R1558" s="917"/>
      <c r="S1558" s="917"/>
      <c r="T1558" s="917"/>
      <c r="U1558" s="917"/>
      <c r="V1558" s="917"/>
      <c r="W1558" s="917"/>
      <c r="X1558" s="916"/>
      <c r="Y1558" s="916"/>
      <c r="Z1558" s="916"/>
      <c r="AA1558" s="916"/>
      <c r="AB1558" s="916"/>
      <c r="AC1558" s="916"/>
      <c r="AD1558" s="916"/>
      <c r="AE1558" s="916"/>
      <c r="AF1558" s="916"/>
      <c r="AG1558" s="916"/>
      <c r="AH1558" s="916"/>
      <c r="AI1558" s="916"/>
      <c r="AJ1558" s="916"/>
      <c r="AK1558" s="916"/>
      <c r="AL1558" s="916"/>
      <c r="AM1558" s="916"/>
      <c r="AN1558" s="916"/>
      <c r="AO1558" s="916"/>
      <c r="AP1558" s="916"/>
      <c r="AQ1558" s="916"/>
      <c r="AR1558" s="916"/>
      <c r="AS1558" s="916"/>
      <c r="AT1558" s="916"/>
      <c r="AU1558" s="916"/>
      <c r="AV1558" s="916"/>
      <c r="AW1558" s="916"/>
      <c r="AX1558" s="916"/>
      <c r="AY1558" s="916"/>
      <c r="AZ1558" s="916"/>
      <c r="BA1558" s="224"/>
      <c r="BB1558" s="224"/>
    </row>
    <row r="1559" spans="1:54" ht="12.6" customHeight="1" x14ac:dyDescent="0.25">
      <c r="A1559" s="917"/>
      <c r="B1559" s="917"/>
      <c r="C1559" s="917"/>
      <c r="D1559" s="917"/>
      <c r="E1559" s="917"/>
      <c r="F1559" s="917"/>
      <c r="G1559" s="917"/>
      <c r="H1559" s="917"/>
      <c r="I1559" s="917"/>
      <c r="J1559" s="917"/>
      <c r="K1559" s="917"/>
      <c r="L1559" s="917"/>
      <c r="M1559" s="917"/>
      <c r="N1559" s="917"/>
      <c r="O1559" s="917"/>
      <c r="P1559" s="917"/>
      <c r="Q1559" s="917"/>
      <c r="R1559" s="917"/>
      <c r="S1559" s="917"/>
      <c r="T1559" s="917"/>
      <c r="U1559" s="917"/>
      <c r="V1559" s="917"/>
      <c r="W1559" s="917"/>
      <c r="X1559" s="916"/>
      <c r="Y1559" s="916"/>
      <c r="Z1559" s="916"/>
      <c r="AA1559" s="916"/>
      <c r="AB1559" s="916"/>
      <c r="AC1559" s="916"/>
      <c r="AD1559" s="916"/>
      <c r="AE1559" s="916"/>
      <c r="AF1559" s="916"/>
      <c r="AG1559" s="916"/>
      <c r="AH1559" s="916"/>
      <c r="AI1559" s="916"/>
      <c r="AJ1559" s="916"/>
      <c r="AK1559" s="916"/>
      <c r="AL1559" s="916"/>
      <c r="AM1559" s="916"/>
      <c r="AN1559" s="916"/>
      <c r="AO1559" s="916"/>
      <c r="AP1559" s="916"/>
      <c r="AQ1559" s="916"/>
      <c r="AR1559" s="916"/>
      <c r="AS1559" s="916"/>
      <c r="AT1559" s="916"/>
      <c r="AU1559" s="916"/>
      <c r="AV1559" s="916"/>
      <c r="AW1559" s="916"/>
      <c r="AX1559" s="916"/>
      <c r="AY1559" s="916"/>
      <c r="AZ1559" s="916"/>
      <c r="BA1559" s="224"/>
      <c r="BB1559" s="224"/>
    </row>
    <row r="1560" spans="1:54" ht="12.6" customHeight="1" x14ac:dyDescent="0.25">
      <c r="A1560" s="917"/>
      <c r="B1560" s="917"/>
      <c r="C1560" s="917"/>
      <c r="D1560" s="917"/>
      <c r="E1560" s="917"/>
      <c r="F1560" s="917"/>
      <c r="G1560" s="917"/>
      <c r="H1560" s="917"/>
      <c r="I1560" s="917"/>
      <c r="J1560" s="917"/>
      <c r="K1560" s="917"/>
      <c r="L1560" s="917"/>
      <c r="M1560" s="917"/>
      <c r="N1560" s="917"/>
      <c r="O1560" s="917"/>
      <c r="P1560" s="917"/>
      <c r="Q1560" s="917"/>
      <c r="R1560" s="917"/>
      <c r="S1560" s="917"/>
      <c r="T1560" s="917"/>
      <c r="U1560" s="917"/>
      <c r="V1560" s="917"/>
      <c r="W1560" s="917"/>
      <c r="X1560" s="916"/>
      <c r="Y1560" s="916"/>
      <c r="Z1560" s="916"/>
      <c r="AA1560" s="916"/>
      <c r="AB1560" s="916"/>
      <c r="AC1560" s="916"/>
      <c r="AD1560" s="916"/>
      <c r="AE1560" s="916"/>
      <c r="AF1560" s="916"/>
      <c r="AG1560" s="916"/>
      <c r="AH1560" s="916"/>
      <c r="AI1560" s="916"/>
      <c r="AJ1560" s="916"/>
      <c r="AK1560" s="916"/>
      <c r="AL1560" s="916"/>
      <c r="AM1560" s="916"/>
      <c r="AN1560" s="916"/>
      <c r="AO1560" s="916"/>
      <c r="AP1560" s="916"/>
      <c r="AQ1560" s="916"/>
      <c r="AR1560" s="916"/>
      <c r="AS1560" s="916"/>
      <c r="AT1560" s="916"/>
      <c r="AU1560" s="916"/>
      <c r="AV1560" s="916"/>
      <c r="AW1560" s="916"/>
      <c r="AX1560" s="916"/>
      <c r="AY1560" s="916"/>
      <c r="AZ1560" s="916"/>
      <c r="BA1560" s="224"/>
      <c r="BB1560" s="224"/>
    </row>
    <row r="1561" spans="1:54" ht="12.6" customHeight="1" x14ac:dyDescent="0.25">
      <c r="A1561" s="917"/>
      <c r="B1561" s="917"/>
      <c r="C1561" s="917"/>
      <c r="D1561" s="917"/>
      <c r="E1561" s="917"/>
      <c r="F1561" s="917"/>
      <c r="G1561" s="917"/>
      <c r="H1561" s="917"/>
      <c r="I1561" s="917"/>
      <c r="J1561" s="917"/>
      <c r="K1561" s="917"/>
      <c r="L1561" s="917"/>
      <c r="M1561" s="917"/>
      <c r="N1561" s="917"/>
      <c r="O1561" s="917"/>
      <c r="P1561" s="917"/>
      <c r="Q1561" s="917"/>
      <c r="R1561" s="917"/>
      <c r="S1561" s="917"/>
      <c r="T1561" s="917"/>
      <c r="U1561" s="917"/>
      <c r="V1561" s="917"/>
      <c r="W1561" s="917"/>
      <c r="X1561" s="916"/>
      <c r="Y1561" s="916"/>
      <c r="Z1561" s="916"/>
      <c r="AA1561" s="916"/>
      <c r="AB1561" s="916"/>
      <c r="AC1561" s="916"/>
      <c r="AD1561" s="916"/>
      <c r="AE1561" s="916"/>
      <c r="AF1561" s="916"/>
      <c r="AG1561" s="916"/>
      <c r="AH1561" s="916"/>
      <c r="AI1561" s="916"/>
      <c r="AJ1561" s="916"/>
      <c r="AK1561" s="916"/>
      <c r="AL1561" s="916"/>
      <c r="AM1561" s="916"/>
      <c r="AN1561" s="916"/>
      <c r="AO1561" s="916"/>
      <c r="AP1561" s="916"/>
      <c r="AQ1561" s="916"/>
      <c r="AR1561" s="916"/>
      <c r="AS1561" s="916"/>
      <c r="AT1561" s="916"/>
      <c r="AU1561" s="916"/>
      <c r="AV1561" s="916"/>
      <c r="AW1561" s="916"/>
      <c r="AX1561" s="916"/>
      <c r="AY1561" s="916"/>
      <c r="AZ1561" s="916"/>
      <c r="BA1561" s="224"/>
      <c r="BB1561" s="224"/>
    </row>
    <row r="1562" spans="1:54" ht="12.6" customHeight="1" x14ac:dyDescent="0.25">
      <c r="A1562" s="917"/>
      <c r="B1562" s="917"/>
      <c r="C1562" s="917"/>
      <c r="D1562" s="917"/>
      <c r="E1562" s="917"/>
      <c r="F1562" s="917"/>
      <c r="G1562" s="917"/>
      <c r="H1562" s="917"/>
      <c r="I1562" s="917"/>
      <c r="J1562" s="917"/>
      <c r="K1562" s="917"/>
      <c r="L1562" s="917"/>
      <c r="M1562" s="917"/>
      <c r="N1562" s="917"/>
      <c r="O1562" s="917"/>
      <c r="P1562" s="917"/>
      <c r="Q1562" s="917"/>
      <c r="R1562" s="917"/>
      <c r="S1562" s="917"/>
      <c r="T1562" s="917"/>
      <c r="U1562" s="917"/>
      <c r="V1562" s="917"/>
      <c r="W1562" s="917"/>
      <c r="X1562" s="916"/>
      <c r="Y1562" s="916"/>
      <c r="Z1562" s="916"/>
      <c r="AA1562" s="916"/>
      <c r="AB1562" s="916"/>
      <c r="AC1562" s="916"/>
      <c r="AD1562" s="916"/>
      <c r="AE1562" s="916"/>
      <c r="AF1562" s="916"/>
      <c r="AG1562" s="916"/>
      <c r="AH1562" s="916"/>
      <c r="AI1562" s="916"/>
      <c r="AJ1562" s="916"/>
      <c r="AK1562" s="916"/>
      <c r="AL1562" s="916"/>
      <c r="AM1562" s="916"/>
      <c r="AN1562" s="916"/>
      <c r="AO1562" s="916"/>
      <c r="AP1562" s="916"/>
      <c r="AQ1562" s="916"/>
      <c r="AR1562" s="916"/>
      <c r="AS1562" s="916"/>
      <c r="AT1562" s="916"/>
      <c r="AU1562" s="916"/>
      <c r="AV1562" s="916"/>
      <c r="AW1562" s="916"/>
      <c r="AX1562" s="916"/>
      <c r="AY1562" s="916"/>
      <c r="AZ1562" s="916"/>
      <c r="BA1562" s="224"/>
      <c r="BB1562" s="224"/>
    </row>
    <row r="1563" spans="1:54" ht="12.6" customHeight="1" x14ac:dyDescent="0.25">
      <c r="A1563" s="917"/>
      <c r="B1563" s="917"/>
      <c r="C1563" s="917"/>
      <c r="D1563" s="917"/>
      <c r="E1563" s="917"/>
      <c r="F1563" s="917"/>
      <c r="G1563" s="917"/>
      <c r="H1563" s="917"/>
      <c r="I1563" s="917"/>
      <c r="J1563" s="917"/>
      <c r="K1563" s="917"/>
      <c r="L1563" s="917"/>
      <c r="M1563" s="917"/>
      <c r="N1563" s="917"/>
      <c r="O1563" s="917"/>
      <c r="P1563" s="917"/>
      <c r="Q1563" s="917"/>
      <c r="R1563" s="917"/>
      <c r="S1563" s="917"/>
      <c r="T1563" s="917"/>
      <c r="U1563" s="917"/>
      <c r="V1563" s="917"/>
      <c r="W1563" s="917"/>
      <c r="X1563" s="916"/>
      <c r="Y1563" s="916"/>
      <c r="Z1563" s="916"/>
      <c r="AA1563" s="916"/>
      <c r="AB1563" s="916"/>
      <c r="AC1563" s="916"/>
      <c r="AD1563" s="916"/>
      <c r="AE1563" s="916"/>
      <c r="AF1563" s="916"/>
      <c r="AG1563" s="916"/>
      <c r="AH1563" s="916"/>
      <c r="AI1563" s="916"/>
      <c r="AJ1563" s="916"/>
      <c r="AK1563" s="916"/>
      <c r="AL1563" s="916"/>
      <c r="AM1563" s="916"/>
      <c r="AN1563" s="916"/>
      <c r="AO1563" s="916"/>
      <c r="AP1563" s="916"/>
      <c r="AQ1563" s="916"/>
      <c r="AR1563" s="916"/>
      <c r="AS1563" s="916"/>
      <c r="AT1563" s="916"/>
      <c r="AU1563" s="916"/>
      <c r="AV1563" s="916"/>
      <c r="AW1563" s="916"/>
      <c r="AX1563" s="916"/>
      <c r="AY1563" s="916"/>
      <c r="AZ1563" s="916"/>
      <c r="BA1563" s="224"/>
      <c r="BB1563" s="224"/>
    </row>
    <row r="1564" spans="1:54" ht="12.6" customHeight="1" x14ac:dyDescent="0.25">
      <c r="A1564" s="917"/>
      <c r="B1564" s="917"/>
      <c r="C1564" s="917"/>
      <c r="D1564" s="917"/>
      <c r="E1564" s="917"/>
      <c r="F1564" s="917"/>
      <c r="G1564" s="917"/>
      <c r="H1564" s="917"/>
      <c r="I1564" s="917"/>
      <c r="J1564" s="917"/>
      <c r="K1564" s="917"/>
      <c r="L1564" s="917"/>
      <c r="M1564" s="917"/>
      <c r="N1564" s="917"/>
      <c r="O1564" s="917"/>
      <c r="P1564" s="917"/>
      <c r="Q1564" s="917"/>
      <c r="R1564" s="917"/>
      <c r="S1564" s="917"/>
      <c r="T1564" s="917"/>
      <c r="U1564" s="917"/>
      <c r="V1564" s="917"/>
      <c r="W1564" s="917"/>
      <c r="X1564" s="916"/>
      <c r="Y1564" s="916"/>
      <c r="Z1564" s="916"/>
      <c r="AA1564" s="916"/>
      <c r="AB1564" s="916"/>
      <c r="AC1564" s="916"/>
      <c r="AD1564" s="916"/>
      <c r="AE1564" s="916"/>
      <c r="AF1564" s="916"/>
      <c r="AG1564" s="916"/>
      <c r="AH1564" s="916"/>
      <c r="AI1564" s="916"/>
      <c r="AJ1564" s="916"/>
      <c r="AK1564" s="916"/>
      <c r="AL1564" s="916"/>
      <c r="AM1564" s="916"/>
      <c r="AN1564" s="916"/>
      <c r="AO1564" s="916"/>
      <c r="AP1564" s="916"/>
      <c r="AQ1564" s="916"/>
      <c r="AR1564" s="916"/>
      <c r="AS1564" s="916"/>
      <c r="AT1564" s="916"/>
      <c r="AU1564" s="916"/>
      <c r="AV1564" s="916"/>
      <c r="AW1564" s="916"/>
      <c r="AX1564" s="916"/>
      <c r="AY1564" s="916"/>
      <c r="AZ1564" s="916"/>
      <c r="BA1564" s="224"/>
      <c r="BB1564" s="224"/>
    </row>
    <row r="1565" spans="1:54" ht="12.6" customHeight="1" x14ac:dyDescent="0.25">
      <c r="A1565" s="917"/>
      <c r="B1565" s="917"/>
      <c r="C1565" s="917"/>
      <c r="D1565" s="917"/>
      <c r="E1565" s="917"/>
      <c r="F1565" s="917"/>
      <c r="G1565" s="917"/>
      <c r="H1565" s="917"/>
      <c r="I1565" s="917"/>
      <c r="J1565" s="917"/>
      <c r="K1565" s="917"/>
      <c r="L1565" s="917"/>
      <c r="M1565" s="917"/>
      <c r="N1565" s="917"/>
      <c r="O1565" s="917"/>
      <c r="P1565" s="917"/>
      <c r="Q1565" s="917"/>
      <c r="R1565" s="917"/>
      <c r="S1565" s="917"/>
      <c r="T1565" s="917"/>
      <c r="U1565" s="917"/>
      <c r="V1565" s="917"/>
      <c r="W1565" s="917"/>
      <c r="X1565" s="916"/>
      <c r="Y1565" s="916"/>
      <c r="Z1565" s="916"/>
      <c r="AA1565" s="916"/>
      <c r="AB1565" s="916"/>
      <c r="AC1565" s="916"/>
      <c r="AD1565" s="916"/>
      <c r="AE1565" s="916"/>
      <c r="AF1565" s="916"/>
      <c r="AG1565" s="916"/>
      <c r="AH1565" s="916"/>
      <c r="AI1565" s="916"/>
      <c r="AJ1565" s="916"/>
      <c r="AK1565" s="916"/>
      <c r="AL1565" s="916"/>
      <c r="AM1565" s="916"/>
      <c r="AN1565" s="916"/>
      <c r="AO1565" s="916"/>
      <c r="AP1565" s="916"/>
      <c r="AQ1565" s="916"/>
      <c r="AR1565" s="916"/>
      <c r="AS1565" s="916"/>
      <c r="AT1565" s="916"/>
      <c r="AU1565" s="916"/>
      <c r="AV1565" s="916"/>
      <c r="AW1565" s="916"/>
      <c r="AX1565" s="916"/>
      <c r="AY1565" s="916"/>
      <c r="AZ1565" s="916"/>
      <c r="BA1565" s="224"/>
      <c r="BB1565" s="224"/>
    </row>
    <row r="1566" spans="1:54" ht="12.6" customHeight="1" x14ac:dyDescent="0.25">
      <c r="A1566" s="917"/>
      <c r="B1566" s="917"/>
      <c r="C1566" s="917"/>
      <c r="D1566" s="917"/>
      <c r="E1566" s="917"/>
      <c r="F1566" s="917"/>
      <c r="G1566" s="917"/>
      <c r="H1566" s="917"/>
      <c r="I1566" s="917"/>
      <c r="J1566" s="917"/>
      <c r="K1566" s="917"/>
      <c r="L1566" s="917"/>
      <c r="M1566" s="917"/>
      <c r="N1566" s="917"/>
      <c r="O1566" s="917"/>
      <c r="P1566" s="917"/>
      <c r="Q1566" s="917"/>
      <c r="R1566" s="917"/>
      <c r="S1566" s="917"/>
      <c r="T1566" s="917"/>
      <c r="U1566" s="917"/>
      <c r="V1566" s="917"/>
      <c r="W1566" s="917"/>
      <c r="X1566" s="916"/>
      <c r="Y1566" s="916"/>
      <c r="Z1566" s="916"/>
      <c r="AA1566" s="916"/>
      <c r="AB1566" s="916"/>
      <c r="AC1566" s="916"/>
      <c r="AD1566" s="916"/>
      <c r="AE1566" s="916"/>
      <c r="AF1566" s="916"/>
      <c r="AG1566" s="916"/>
      <c r="AH1566" s="916"/>
      <c r="AI1566" s="916"/>
      <c r="AJ1566" s="916"/>
      <c r="AK1566" s="916"/>
      <c r="AL1566" s="916"/>
      <c r="AM1566" s="916"/>
      <c r="AN1566" s="916"/>
      <c r="AO1566" s="916"/>
      <c r="AP1566" s="916"/>
      <c r="AQ1566" s="916"/>
      <c r="AR1566" s="916"/>
      <c r="AS1566" s="916"/>
      <c r="AT1566" s="916"/>
      <c r="AU1566" s="916"/>
      <c r="AV1566" s="916"/>
      <c r="AW1566" s="916"/>
      <c r="AX1566" s="916"/>
      <c r="AY1566" s="916"/>
      <c r="AZ1566" s="916"/>
      <c r="BA1566" s="224"/>
      <c r="BB1566" s="224"/>
    </row>
    <row r="1567" spans="1:54" ht="12.6" customHeight="1" x14ac:dyDescent="0.25">
      <c r="A1567" s="227" t="s">
        <v>1482</v>
      </c>
    </row>
    <row r="1568" spans="1:54" ht="15" customHeight="1" x14ac:dyDescent="0.25">
      <c r="A1568" s="763"/>
      <c r="B1568" s="763"/>
      <c r="C1568" s="763"/>
      <c r="D1568" s="763"/>
      <c r="E1568" s="763"/>
      <c r="F1568" s="763"/>
      <c r="G1568" s="763"/>
      <c r="H1568" s="763"/>
      <c r="I1568" s="763"/>
      <c r="J1568" s="763"/>
      <c r="K1568" s="763"/>
      <c r="L1568" s="763"/>
      <c r="M1568" s="763"/>
      <c r="N1568" s="763"/>
      <c r="O1568" s="763"/>
      <c r="P1568" s="763"/>
      <c r="Q1568" s="763"/>
      <c r="R1568" s="763"/>
      <c r="S1568" s="763"/>
      <c r="T1568" s="763"/>
      <c r="U1568" s="763"/>
      <c r="V1568" s="763"/>
      <c r="W1568" s="763"/>
      <c r="X1568" s="763"/>
      <c r="Y1568" s="763"/>
      <c r="Z1568" s="763"/>
      <c r="AA1568" s="763"/>
      <c r="AB1568" s="763"/>
      <c r="AC1568" s="763"/>
      <c r="AD1568" s="763"/>
      <c r="AE1568" s="763"/>
      <c r="AF1568" s="763"/>
      <c r="AG1568" s="763"/>
      <c r="AH1568" s="763"/>
      <c r="AI1568" s="763"/>
      <c r="AJ1568" s="763"/>
      <c r="AK1568" s="763"/>
      <c r="AL1568" s="763"/>
      <c r="AM1568" s="763"/>
      <c r="AN1568" s="763"/>
      <c r="AO1568" s="763"/>
      <c r="AP1568" s="763"/>
      <c r="AQ1568" s="763"/>
      <c r="AR1568" s="763"/>
      <c r="AS1568" s="763"/>
      <c r="AT1568" s="763"/>
      <c r="AU1568" s="763"/>
      <c r="AV1568" s="763"/>
      <c r="AW1568" s="763"/>
      <c r="AX1568" s="763"/>
      <c r="AY1568" s="265"/>
      <c r="AZ1568" s="265"/>
      <c r="BA1568" s="265"/>
      <c r="BB1568" s="265"/>
    </row>
    <row r="1569" spans="1:54" ht="15" customHeight="1" x14ac:dyDescent="0.25">
      <c r="A1569" s="763"/>
      <c r="B1569" s="763"/>
      <c r="C1569" s="763"/>
      <c r="D1569" s="763"/>
      <c r="E1569" s="763"/>
      <c r="F1569" s="763"/>
      <c r="G1569" s="763"/>
      <c r="H1569" s="763"/>
      <c r="I1569" s="763"/>
      <c r="J1569" s="763"/>
      <c r="K1569" s="763"/>
      <c r="L1569" s="763"/>
      <c r="M1569" s="763"/>
      <c r="N1569" s="763"/>
      <c r="O1569" s="763"/>
      <c r="P1569" s="763"/>
      <c r="Q1569" s="763"/>
      <c r="R1569" s="763"/>
      <c r="S1569" s="763"/>
      <c r="T1569" s="763"/>
      <c r="U1569" s="763"/>
      <c r="V1569" s="763"/>
      <c r="W1569" s="763"/>
      <c r="X1569" s="763"/>
      <c r="Y1569" s="763"/>
      <c r="Z1569" s="763"/>
      <c r="AA1569" s="763"/>
      <c r="AB1569" s="763"/>
      <c r="AC1569" s="763"/>
      <c r="AD1569" s="763"/>
      <c r="AE1569" s="763"/>
      <c r="AF1569" s="763"/>
      <c r="AG1569" s="763"/>
      <c r="AH1569" s="763"/>
      <c r="AI1569" s="763"/>
      <c r="AJ1569" s="763"/>
      <c r="AK1569" s="763"/>
      <c r="AL1569" s="763"/>
      <c r="AM1569" s="763"/>
      <c r="AN1569" s="763"/>
      <c r="AO1569" s="763"/>
      <c r="AP1569" s="763"/>
      <c r="AQ1569" s="763"/>
      <c r="AR1569" s="763"/>
      <c r="AS1569" s="763"/>
      <c r="AT1569" s="763"/>
      <c r="AU1569" s="763"/>
      <c r="AV1569" s="763"/>
      <c r="AW1569" s="763"/>
      <c r="AX1569" s="763"/>
      <c r="AY1569" s="265"/>
      <c r="AZ1569" s="265"/>
      <c r="BA1569" s="265"/>
      <c r="BB1569" s="265"/>
    </row>
    <row r="1570" spans="1:54" s="225" customFormat="1" ht="12.6" customHeight="1" x14ac:dyDescent="0.25">
      <c r="A1570" s="220" t="s">
        <v>2085</v>
      </c>
      <c r="B1570" s="224"/>
      <c r="C1570" s="224"/>
      <c r="D1570" s="224"/>
      <c r="E1570" s="224"/>
      <c r="F1570" s="224"/>
      <c r="G1570" s="224"/>
      <c r="H1570" s="224"/>
      <c r="I1570" s="224"/>
      <c r="J1570" s="224"/>
      <c r="K1570" s="224"/>
      <c r="L1570" s="224"/>
      <c r="M1570" s="224"/>
      <c r="N1570" s="224"/>
      <c r="O1570" s="224"/>
      <c r="P1570" s="224"/>
      <c r="Q1570" s="224"/>
      <c r="R1570" s="224"/>
      <c r="S1570" s="224"/>
      <c r="T1570" s="224"/>
      <c r="U1570" s="224"/>
      <c r="V1570" s="224"/>
      <c r="W1570" s="224"/>
      <c r="X1570" s="224"/>
      <c r="Y1570" s="224"/>
      <c r="Z1570" s="224"/>
      <c r="AA1570" s="224"/>
      <c r="AB1570" s="224"/>
      <c r="AC1570" s="224"/>
      <c r="AD1570" s="224"/>
      <c r="AE1570" s="224"/>
      <c r="AF1570" s="224"/>
      <c r="AG1570" s="224"/>
      <c r="AH1570" s="224"/>
      <c r="AI1570" s="224"/>
      <c r="AJ1570" s="224"/>
      <c r="AK1570" s="224"/>
      <c r="AL1570" s="224"/>
      <c r="AM1570" s="224"/>
      <c r="AN1570" s="224"/>
      <c r="AO1570" s="224"/>
      <c r="AP1570" s="224"/>
      <c r="AQ1570" s="224"/>
      <c r="AR1570" s="224"/>
      <c r="AS1570" s="224"/>
      <c r="AT1570" s="224"/>
      <c r="AU1570" s="224"/>
      <c r="AV1570" s="224"/>
      <c r="AW1570" s="224"/>
      <c r="AX1570" s="224"/>
      <c r="AY1570" s="224"/>
      <c r="AZ1570" s="224"/>
      <c r="BA1570" s="224"/>
      <c r="BB1570" s="224"/>
    </row>
    <row r="1571" spans="1:54" s="225" customFormat="1" ht="12.6" customHeight="1" x14ac:dyDescent="0.25">
      <c r="A1571" s="220"/>
      <c r="B1571" s="224"/>
      <c r="C1571" s="224"/>
      <c r="D1571" s="224"/>
      <c r="E1571" s="224"/>
      <c r="F1571" s="224"/>
      <c r="G1571" s="224"/>
      <c r="H1571" s="224"/>
      <c r="I1571" s="224"/>
      <c r="J1571" s="224"/>
      <c r="K1571" s="224"/>
      <c r="L1571" s="224"/>
      <c r="M1571" s="224"/>
      <c r="N1571" s="224"/>
      <c r="O1571" s="224"/>
      <c r="P1571" s="224"/>
      <c r="Q1571" s="224"/>
      <c r="R1571" s="224"/>
      <c r="S1571" s="224"/>
      <c r="T1571" s="224"/>
      <c r="U1571" s="224"/>
      <c r="V1571" s="224"/>
      <c r="W1571" s="224"/>
      <c r="X1571" s="224"/>
      <c r="Y1571" s="224"/>
      <c r="Z1571" s="224"/>
      <c r="AA1571" s="224"/>
      <c r="AB1571" s="224"/>
      <c r="AC1571" s="224"/>
      <c r="AD1571" s="224"/>
      <c r="AE1571" s="224"/>
      <c r="AF1571" s="224"/>
      <c r="AG1571" s="224"/>
      <c r="AH1571" s="224"/>
      <c r="AI1571" s="224"/>
      <c r="AJ1571" s="224"/>
      <c r="AK1571" s="224"/>
      <c r="AL1571" s="224"/>
      <c r="AM1571" s="224"/>
      <c r="AN1571" s="224"/>
      <c r="AO1571" s="224"/>
      <c r="AP1571" s="224"/>
      <c r="AQ1571" s="224"/>
      <c r="AR1571" s="224"/>
      <c r="AS1571" s="224"/>
      <c r="AT1571" s="224"/>
      <c r="AU1571" s="224"/>
      <c r="AV1571" s="224"/>
      <c r="AW1571" s="224"/>
      <c r="AX1571" s="224"/>
      <c r="AY1571" s="224"/>
      <c r="AZ1571" s="224"/>
      <c r="BA1571" s="224"/>
      <c r="BB1571" s="224"/>
    </row>
    <row r="1572" spans="1:54" s="225" customFormat="1" ht="12.6" customHeight="1" x14ac:dyDescent="0.25">
      <c r="A1572" s="220"/>
      <c r="B1572" s="224"/>
      <c r="C1572" s="224"/>
      <c r="D1572" s="224"/>
      <c r="E1572" s="224"/>
      <c r="F1572" s="224"/>
      <c r="G1572" s="224"/>
      <c r="H1572" s="224"/>
      <c r="I1572" s="224"/>
      <c r="J1572" s="224"/>
      <c r="K1572" s="224"/>
      <c r="L1572" s="224"/>
      <c r="M1572" s="224"/>
      <c r="N1572" s="224"/>
      <c r="O1572" s="224"/>
      <c r="P1572" s="224"/>
      <c r="Q1572" s="224"/>
      <c r="R1572" s="224"/>
      <c r="S1572" s="224"/>
      <c r="T1572" s="224"/>
      <c r="U1572" s="224"/>
      <c r="V1572" s="224"/>
      <c r="W1572" s="224"/>
      <c r="X1572" s="224"/>
      <c r="Y1572" s="224"/>
      <c r="Z1572" s="224"/>
      <c r="AA1572" s="224"/>
      <c r="AB1572" s="224"/>
      <c r="AC1572" s="224"/>
      <c r="AD1572" s="224"/>
      <c r="AE1572" s="224"/>
      <c r="AF1572" s="224"/>
      <c r="AG1572" s="224"/>
      <c r="AH1572" s="224"/>
      <c r="AI1572" s="224"/>
      <c r="AJ1572" s="224"/>
      <c r="AK1572" s="224"/>
      <c r="AL1572" s="224"/>
      <c r="AM1572" s="224"/>
      <c r="AN1572" s="224"/>
      <c r="AO1572" s="224"/>
      <c r="AP1572" s="224"/>
      <c r="AQ1572" s="224"/>
      <c r="AR1572" s="224"/>
      <c r="AS1572" s="224"/>
      <c r="AT1572" s="224"/>
      <c r="AU1572" s="224"/>
      <c r="AV1572" s="224"/>
      <c r="AW1572" s="224"/>
      <c r="AX1572" s="224"/>
      <c r="AY1572" s="224"/>
      <c r="AZ1572" s="224"/>
      <c r="BA1572" s="224"/>
      <c r="BB1572" s="224"/>
    </row>
    <row r="1573" spans="1:54" s="225" customFormat="1" ht="12.6" customHeight="1" x14ac:dyDescent="0.25">
      <c r="A1573" s="220"/>
      <c r="B1573" s="224"/>
      <c r="C1573" s="224"/>
      <c r="D1573" s="224"/>
      <c r="E1573" s="224"/>
      <c r="F1573" s="224"/>
      <c r="G1573" s="224"/>
      <c r="H1573" s="224"/>
      <c r="I1573" s="224"/>
      <c r="J1573" s="224"/>
      <c r="K1573" s="224"/>
      <c r="L1573" s="224"/>
      <c r="M1573" s="224"/>
      <c r="N1573" s="224"/>
      <c r="O1573" s="224"/>
      <c r="P1573" s="224"/>
      <c r="Q1573" s="224"/>
      <c r="R1573" s="224"/>
      <c r="S1573" s="224"/>
      <c r="T1573" s="224"/>
      <c r="U1573" s="224"/>
      <c r="V1573" s="224"/>
      <c r="W1573" s="224"/>
      <c r="X1573" s="224"/>
      <c r="Y1573" s="224"/>
      <c r="Z1573" s="224"/>
      <c r="AA1573" s="224"/>
      <c r="AB1573" s="224"/>
      <c r="AC1573" s="224"/>
      <c r="AD1573" s="224"/>
      <c r="AE1573" s="224"/>
      <c r="AF1573" s="224"/>
      <c r="AG1573" s="224"/>
      <c r="AH1573" s="224"/>
      <c r="AI1573" s="224"/>
      <c r="AJ1573" s="224"/>
      <c r="AK1573" s="224"/>
      <c r="AL1573" s="224"/>
      <c r="AM1573" s="224"/>
      <c r="AN1573" s="224"/>
      <c r="AO1573" s="224"/>
      <c r="AP1573" s="224"/>
      <c r="AQ1573" s="224"/>
      <c r="AR1573" s="224"/>
      <c r="AS1573" s="224"/>
      <c r="AT1573" s="224"/>
      <c r="AU1573" s="224"/>
      <c r="AV1573" s="224"/>
      <c r="AW1573" s="224"/>
      <c r="AX1573" s="224"/>
      <c r="AY1573" s="224"/>
      <c r="AZ1573" s="224"/>
      <c r="BA1573" s="224"/>
      <c r="BB1573" s="224"/>
    </row>
    <row r="1574" spans="1:54" s="225" customFormat="1" ht="12.6" customHeight="1" x14ac:dyDescent="0.25">
      <c r="A1574" s="220"/>
      <c r="B1574" s="224"/>
      <c r="C1574" s="224"/>
      <c r="D1574" s="224"/>
      <c r="E1574" s="224"/>
      <c r="F1574" s="224"/>
      <c r="G1574" s="224"/>
      <c r="H1574" s="224"/>
      <c r="I1574" s="224"/>
      <c r="J1574" s="224"/>
      <c r="K1574" s="224"/>
      <c r="L1574" s="224"/>
      <c r="M1574" s="224"/>
      <c r="N1574" s="224"/>
      <c r="O1574" s="224"/>
      <c r="P1574" s="224"/>
      <c r="Q1574" s="224"/>
      <c r="R1574" s="224"/>
      <c r="S1574" s="224"/>
      <c r="T1574" s="224"/>
      <c r="U1574" s="224"/>
      <c r="V1574" s="224"/>
      <c r="W1574" s="224"/>
      <c r="X1574" s="224"/>
      <c r="Y1574" s="224"/>
      <c r="Z1574" s="224"/>
      <c r="AA1574" s="224"/>
      <c r="AB1574" s="224"/>
      <c r="AC1574" s="224"/>
      <c r="AD1574" s="224"/>
      <c r="AE1574" s="224"/>
      <c r="AF1574" s="224"/>
      <c r="AG1574" s="224"/>
      <c r="AH1574" s="224"/>
      <c r="AI1574" s="224"/>
      <c r="AJ1574" s="224"/>
      <c r="AK1574" s="224"/>
      <c r="AL1574" s="224"/>
      <c r="AM1574" s="224"/>
      <c r="AN1574" s="224"/>
      <c r="AO1574" s="224"/>
      <c r="AP1574" s="224"/>
      <c r="AQ1574" s="224"/>
      <c r="AR1574" s="224"/>
      <c r="AS1574" s="224"/>
      <c r="AT1574" s="224"/>
      <c r="AU1574" s="224"/>
      <c r="AV1574" s="224"/>
      <c r="AW1574" s="224"/>
      <c r="AX1574" s="224"/>
      <c r="AY1574" s="224"/>
      <c r="AZ1574" s="224"/>
      <c r="BA1574" s="224"/>
      <c r="BB1574" s="224"/>
    </row>
    <row r="1575" spans="1:54" s="225" customFormat="1" ht="12.6" customHeight="1" x14ac:dyDescent="0.25">
      <c r="A1575" s="220"/>
      <c r="B1575" s="224"/>
      <c r="C1575" s="224"/>
      <c r="D1575" s="224"/>
      <c r="E1575" s="224"/>
      <c r="F1575" s="224"/>
      <c r="G1575" s="224"/>
      <c r="H1575" s="224"/>
      <c r="I1575" s="224"/>
      <c r="J1575" s="224"/>
      <c r="K1575" s="224"/>
      <c r="L1575" s="224"/>
      <c r="M1575" s="224"/>
      <c r="N1575" s="224"/>
      <c r="O1575" s="224"/>
      <c r="P1575" s="224"/>
      <c r="Q1575" s="224"/>
      <c r="R1575" s="224"/>
      <c r="S1575" s="224"/>
      <c r="T1575" s="224"/>
      <c r="U1575" s="224"/>
      <c r="V1575" s="224"/>
      <c r="W1575" s="224"/>
      <c r="X1575" s="224"/>
      <c r="Y1575" s="224"/>
      <c r="Z1575" s="224"/>
      <c r="AA1575" s="224"/>
      <c r="AB1575" s="224"/>
      <c r="AC1575" s="224"/>
      <c r="AD1575" s="224"/>
      <c r="AE1575" s="224"/>
      <c r="AF1575" s="224"/>
      <c r="AG1575" s="224"/>
      <c r="AH1575" s="224"/>
      <c r="AI1575" s="224"/>
      <c r="AJ1575" s="224"/>
      <c r="AK1575" s="224"/>
      <c r="AL1575" s="224"/>
      <c r="AM1575" s="224"/>
      <c r="AN1575" s="224"/>
      <c r="AO1575" s="224"/>
      <c r="AP1575" s="224"/>
      <c r="AQ1575" s="224"/>
      <c r="AR1575" s="224"/>
      <c r="AS1575" s="224"/>
      <c r="AT1575" s="224"/>
      <c r="AU1575" s="224"/>
      <c r="AV1575" s="224"/>
      <c r="AW1575" s="224"/>
      <c r="AX1575" s="224"/>
      <c r="AY1575" s="224"/>
      <c r="AZ1575" s="224"/>
      <c r="BA1575" s="224"/>
      <c r="BB1575" s="224"/>
    </row>
    <row r="1576" spans="1:54" s="225" customFormat="1" ht="12.6" customHeight="1" x14ac:dyDescent="0.25">
      <c r="A1576" s="220"/>
      <c r="B1576" s="224"/>
      <c r="C1576" s="224"/>
      <c r="D1576" s="224"/>
      <c r="E1576" s="224"/>
      <c r="F1576" s="224"/>
      <c r="G1576" s="224"/>
      <c r="H1576" s="224"/>
      <c r="I1576" s="224"/>
      <c r="J1576" s="224"/>
      <c r="K1576" s="224"/>
      <c r="L1576" s="224"/>
      <c r="M1576" s="224"/>
      <c r="N1576" s="224"/>
      <c r="O1576" s="224"/>
      <c r="P1576" s="224"/>
      <c r="Q1576" s="224"/>
      <c r="R1576" s="224"/>
      <c r="S1576" s="224"/>
      <c r="T1576" s="224"/>
      <c r="U1576" s="224"/>
      <c r="V1576" s="224"/>
      <c r="W1576" s="224"/>
      <c r="X1576" s="224"/>
      <c r="Y1576" s="224"/>
      <c r="Z1576" s="224"/>
      <c r="AA1576" s="224"/>
      <c r="AB1576" s="224"/>
      <c r="AC1576" s="224"/>
      <c r="AD1576" s="224"/>
      <c r="AE1576" s="224"/>
      <c r="AF1576" s="224"/>
      <c r="AG1576" s="224"/>
      <c r="AH1576" s="224"/>
      <c r="AI1576" s="224"/>
      <c r="AJ1576" s="224"/>
      <c r="AK1576" s="224"/>
      <c r="AL1576" s="224"/>
      <c r="AM1576" s="224"/>
      <c r="AN1576" s="224"/>
      <c r="AO1576" s="224"/>
      <c r="AP1576" s="224"/>
      <c r="AQ1576" s="224"/>
      <c r="AR1576" s="224"/>
      <c r="AS1576" s="224"/>
      <c r="AT1576" s="224"/>
      <c r="AU1576" s="224"/>
      <c r="AV1576" s="224"/>
      <c r="AW1576" s="224"/>
      <c r="AX1576" s="224"/>
      <c r="AY1576" s="224"/>
      <c r="AZ1576" s="224"/>
      <c r="BA1576" s="224"/>
      <c r="BB1576" s="224"/>
    </row>
    <row r="1577" spans="1:54" s="225" customFormat="1" ht="12.6" customHeight="1" x14ac:dyDescent="0.25">
      <c r="A1577" s="220"/>
      <c r="B1577" s="224"/>
      <c r="C1577" s="224"/>
      <c r="D1577" s="224"/>
      <c r="E1577" s="224"/>
      <c r="F1577" s="224"/>
      <c r="G1577" s="224"/>
      <c r="H1577" s="224"/>
      <c r="I1577" s="224"/>
      <c r="J1577" s="224"/>
      <c r="K1577" s="224"/>
      <c r="L1577" s="224"/>
      <c r="M1577" s="224"/>
      <c r="N1577" s="224"/>
      <c r="O1577" s="224"/>
      <c r="P1577" s="224"/>
      <c r="Q1577" s="224"/>
      <c r="R1577" s="224"/>
      <c r="S1577" s="224"/>
      <c r="T1577" s="224"/>
      <c r="U1577" s="224"/>
      <c r="V1577" s="224"/>
      <c r="W1577" s="224"/>
      <c r="X1577" s="224"/>
      <c r="Y1577" s="224"/>
      <c r="Z1577" s="224"/>
      <c r="AA1577" s="224"/>
      <c r="AB1577" s="224"/>
      <c r="AC1577" s="224"/>
      <c r="AD1577" s="224"/>
      <c r="AE1577" s="224"/>
      <c r="AF1577" s="224"/>
      <c r="AG1577" s="224"/>
      <c r="AH1577" s="224"/>
      <c r="AI1577" s="224"/>
      <c r="AJ1577" s="224"/>
      <c r="AK1577" s="224"/>
      <c r="AL1577" s="224"/>
      <c r="AM1577" s="224"/>
      <c r="AN1577" s="224"/>
      <c r="AO1577" s="224"/>
      <c r="AP1577" s="224"/>
      <c r="AQ1577" s="224"/>
      <c r="AR1577" s="224"/>
      <c r="AS1577" s="224"/>
      <c r="AT1577" s="224"/>
      <c r="AU1577" s="224"/>
      <c r="AV1577" s="224"/>
      <c r="AW1577" s="224"/>
      <c r="AX1577" s="224"/>
      <c r="AY1577" s="224"/>
      <c r="AZ1577" s="224"/>
      <c r="BA1577" s="224"/>
      <c r="BB1577" s="224"/>
    </row>
    <row r="1578" spans="1:54" s="225" customFormat="1" ht="12.6" customHeight="1" x14ac:dyDescent="0.25">
      <c r="A1578" s="220"/>
      <c r="B1578" s="224"/>
      <c r="C1578" s="224"/>
      <c r="D1578" s="224"/>
      <c r="E1578" s="224"/>
      <c r="F1578" s="224"/>
      <c r="G1578" s="224"/>
      <c r="H1578" s="224"/>
      <c r="I1578" s="224"/>
      <c r="J1578" s="224"/>
      <c r="K1578" s="224"/>
      <c r="L1578" s="224"/>
      <c r="M1578" s="224"/>
      <c r="N1578" s="224"/>
      <c r="O1578" s="224"/>
      <c r="P1578" s="224"/>
      <c r="Q1578" s="224"/>
      <c r="R1578" s="224"/>
      <c r="S1578" s="224"/>
      <c r="T1578" s="224"/>
      <c r="U1578" s="224"/>
      <c r="V1578" s="224"/>
      <c r="W1578" s="224"/>
      <c r="X1578" s="224"/>
      <c r="Y1578" s="224"/>
      <c r="Z1578" s="224"/>
      <c r="AA1578" s="224"/>
      <c r="AB1578" s="224"/>
      <c r="AC1578" s="224"/>
      <c r="AD1578" s="224"/>
      <c r="AE1578" s="224"/>
      <c r="AF1578" s="224"/>
      <c r="AG1578" s="224"/>
      <c r="AH1578" s="224"/>
      <c r="AI1578" s="224"/>
      <c r="AJ1578" s="224"/>
      <c r="AK1578" s="224"/>
      <c r="AL1578" s="224"/>
      <c r="AM1578" s="224"/>
      <c r="AN1578" s="224"/>
      <c r="AO1578" s="224"/>
      <c r="AP1578" s="224"/>
      <c r="AQ1578" s="224"/>
      <c r="AR1578" s="224"/>
      <c r="AS1578" s="224"/>
      <c r="AT1578" s="224"/>
      <c r="AU1578" s="224"/>
      <c r="AV1578" s="224"/>
      <c r="AW1578" s="224"/>
      <c r="AX1578" s="224"/>
      <c r="AY1578" s="224"/>
      <c r="AZ1578" s="224"/>
      <c r="BA1578" s="224"/>
      <c r="BB1578" s="224"/>
    </row>
    <row r="1579" spans="1:54" s="225" customFormat="1" ht="12.6" customHeight="1" x14ac:dyDescent="0.25">
      <c r="A1579" s="220"/>
      <c r="B1579" s="224"/>
      <c r="C1579" s="224"/>
      <c r="D1579" s="224"/>
      <c r="E1579" s="224"/>
      <c r="F1579" s="224"/>
      <c r="G1579" s="224"/>
      <c r="H1579" s="224"/>
      <c r="I1579" s="224"/>
      <c r="J1579" s="224"/>
      <c r="K1579" s="224"/>
      <c r="L1579" s="224"/>
      <c r="M1579" s="224"/>
      <c r="N1579" s="224"/>
      <c r="O1579" s="224"/>
      <c r="P1579" s="224"/>
      <c r="Q1579" s="224"/>
      <c r="R1579" s="224"/>
      <c r="S1579" s="224"/>
      <c r="T1579" s="224"/>
      <c r="U1579" s="224"/>
      <c r="V1579" s="224"/>
      <c r="W1579" s="224"/>
      <c r="X1579" s="224"/>
      <c r="Y1579" s="224"/>
      <c r="Z1579" s="224"/>
      <c r="AA1579" s="224"/>
      <c r="AB1579" s="224"/>
      <c r="AC1579" s="224"/>
      <c r="AD1579" s="224"/>
      <c r="AE1579" s="224"/>
      <c r="AF1579" s="224"/>
      <c r="AG1579" s="224"/>
      <c r="AH1579" s="224"/>
      <c r="AI1579" s="224"/>
      <c r="AJ1579" s="224"/>
      <c r="AK1579" s="224"/>
      <c r="AL1579" s="224"/>
      <c r="AM1579" s="224"/>
      <c r="AN1579" s="224"/>
      <c r="AO1579" s="224"/>
      <c r="AP1579" s="224"/>
      <c r="AQ1579" s="224"/>
      <c r="AR1579" s="224"/>
      <c r="AS1579" s="224"/>
      <c r="AT1579" s="224"/>
      <c r="AU1579" s="224"/>
      <c r="AV1579" s="224"/>
      <c r="AW1579" s="224"/>
      <c r="AX1579" s="224"/>
      <c r="AY1579" s="224"/>
      <c r="AZ1579" s="224"/>
      <c r="BA1579" s="224"/>
      <c r="BB1579" s="224"/>
    </row>
    <row r="1580" spans="1:54" s="225" customFormat="1" ht="12.6" customHeight="1" x14ac:dyDescent="0.25">
      <c r="A1580" s="220"/>
      <c r="B1580" s="224"/>
      <c r="C1580" s="224"/>
      <c r="D1580" s="224"/>
      <c r="E1580" s="224"/>
      <c r="F1580" s="224"/>
      <c r="G1580" s="224"/>
      <c r="H1580" s="224"/>
      <c r="I1580" s="224"/>
      <c r="J1580" s="224"/>
      <c r="K1580" s="224"/>
      <c r="L1580" s="224"/>
      <c r="M1580" s="224"/>
      <c r="N1580" s="224"/>
      <c r="O1580" s="224"/>
      <c r="P1580" s="224"/>
      <c r="Q1580" s="224"/>
      <c r="R1580" s="224"/>
      <c r="S1580" s="224"/>
      <c r="T1580" s="224"/>
      <c r="U1580" s="224"/>
      <c r="V1580" s="224"/>
      <c r="W1580" s="224"/>
      <c r="X1580" s="224"/>
      <c r="Y1580" s="224"/>
      <c r="Z1580" s="224"/>
      <c r="AA1580" s="224"/>
      <c r="AB1580" s="224"/>
      <c r="AC1580" s="224"/>
      <c r="AD1580" s="224"/>
      <c r="AE1580" s="224"/>
      <c r="AF1580" s="224"/>
      <c r="AG1580" s="224"/>
      <c r="AH1580" s="224"/>
      <c r="AI1580" s="224"/>
      <c r="AJ1580" s="224"/>
      <c r="AK1580" s="224"/>
      <c r="AL1580" s="224"/>
      <c r="AM1580" s="224"/>
      <c r="AN1580" s="224"/>
      <c r="AO1580" s="224"/>
      <c r="AP1580" s="224"/>
      <c r="AQ1580" s="224"/>
      <c r="AR1580" s="224"/>
      <c r="AS1580" s="224"/>
      <c r="AT1580" s="224"/>
      <c r="AU1580" s="224"/>
      <c r="AV1580" s="224"/>
      <c r="AW1580" s="224"/>
      <c r="AX1580" s="224"/>
      <c r="AY1580" s="224"/>
      <c r="AZ1580" s="224"/>
      <c r="BA1580" s="224"/>
      <c r="BB1580" s="224"/>
    </row>
    <row r="1581" spans="1:54" s="225" customFormat="1" ht="12.6" customHeight="1" x14ac:dyDescent="0.25">
      <c r="A1581" s="220"/>
      <c r="B1581" s="224"/>
      <c r="C1581" s="224"/>
      <c r="D1581" s="224"/>
      <c r="E1581" s="224"/>
      <c r="F1581" s="224"/>
      <c r="G1581" s="224"/>
      <c r="H1581" s="224"/>
      <c r="I1581" s="224"/>
      <c r="J1581" s="224"/>
      <c r="K1581" s="224"/>
      <c r="L1581" s="224"/>
      <c r="M1581" s="224"/>
      <c r="N1581" s="224"/>
      <c r="O1581" s="224"/>
      <c r="P1581" s="224"/>
      <c r="Q1581" s="224"/>
      <c r="R1581" s="224"/>
      <c r="S1581" s="224"/>
      <c r="T1581" s="224"/>
      <c r="U1581" s="224"/>
      <c r="V1581" s="224"/>
      <c r="W1581" s="224"/>
      <c r="X1581" s="224"/>
      <c r="Y1581" s="224"/>
      <c r="Z1581" s="224"/>
      <c r="AA1581" s="224"/>
      <c r="AB1581" s="224"/>
      <c r="AC1581" s="224"/>
      <c r="AD1581" s="224"/>
      <c r="AE1581" s="224"/>
      <c r="AF1581" s="224"/>
      <c r="AG1581" s="224"/>
      <c r="AH1581" s="224"/>
      <c r="AI1581" s="224"/>
      <c r="AJ1581" s="224"/>
      <c r="AK1581" s="224"/>
      <c r="AL1581" s="224"/>
      <c r="AM1581" s="224"/>
      <c r="AN1581" s="224"/>
      <c r="AO1581" s="224"/>
      <c r="AP1581" s="224"/>
      <c r="AQ1581" s="224"/>
      <c r="AR1581" s="224"/>
      <c r="AS1581" s="224"/>
      <c r="AT1581" s="224"/>
      <c r="AU1581" s="224"/>
      <c r="AV1581" s="224"/>
      <c r="AW1581" s="224"/>
      <c r="AX1581" s="224"/>
      <c r="AY1581" s="224"/>
      <c r="AZ1581" s="224"/>
      <c r="BA1581" s="224"/>
      <c r="BB1581" s="224"/>
    </row>
    <row r="1582" spans="1:54" s="225" customFormat="1" ht="12.6" customHeight="1" x14ac:dyDescent="0.25">
      <c r="A1582" s="220"/>
      <c r="B1582" s="224"/>
      <c r="C1582" s="224"/>
      <c r="D1582" s="224"/>
      <c r="E1582" s="224"/>
      <c r="F1582" s="224"/>
      <c r="G1582" s="224"/>
      <c r="H1582" s="224"/>
      <c r="I1582" s="224"/>
      <c r="J1582" s="224"/>
      <c r="K1582" s="224"/>
      <c r="L1582" s="224"/>
      <c r="M1582" s="224"/>
      <c r="N1582" s="224"/>
      <c r="O1582" s="224"/>
      <c r="P1582" s="224"/>
      <c r="Q1582" s="224"/>
      <c r="R1582" s="224"/>
      <c r="S1582" s="224"/>
      <c r="T1582" s="224"/>
      <c r="U1582" s="224"/>
      <c r="V1582" s="224"/>
      <c r="W1582" s="224"/>
      <c r="X1582" s="224"/>
      <c r="Y1582" s="224"/>
      <c r="Z1582" s="224"/>
      <c r="AA1582" s="224"/>
      <c r="AB1582" s="224"/>
      <c r="AC1582" s="224"/>
      <c r="AD1582" s="224"/>
      <c r="AE1582" s="224"/>
      <c r="AF1582" s="224"/>
      <c r="AG1582" s="224"/>
      <c r="AH1582" s="224"/>
      <c r="AI1582" s="224"/>
      <c r="AJ1582" s="224"/>
      <c r="AK1582" s="224"/>
      <c r="AL1582" s="224"/>
      <c r="AM1582" s="224"/>
      <c r="AN1582" s="224"/>
      <c r="AO1582" s="224"/>
      <c r="AP1582" s="224"/>
      <c r="AQ1582" s="224"/>
      <c r="AR1582" s="224"/>
      <c r="AS1582" s="224"/>
      <c r="AT1582" s="224"/>
      <c r="AU1582" s="224"/>
      <c r="AV1582" s="224"/>
      <c r="AW1582" s="224"/>
      <c r="AX1582" s="224"/>
      <c r="AY1582" s="224"/>
      <c r="AZ1582" s="224"/>
      <c r="BA1582" s="224"/>
      <c r="BB1582" s="224"/>
    </row>
    <row r="1583" spans="1:54" s="225" customFormat="1" ht="12.6" customHeight="1" x14ac:dyDescent="0.25">
      <c r="A1583" s="220"/>
      <c r="B1583" s="224"/>
      <c r="C1583" s="224"/>
      <c r="D1583" s="224"/>
      <c r="E1583" s="224"/>
      <c r="F1583" s="224"/>
      <c r="G1583" s="224"/>
      <c r="H1583" s="224"/>
      <c r="I1583" s="224"/>
      <c r="J1583" s="224"/>
      <c r="K1583" s="224"/>
      <c r="L1583" s="224"/>
      <c r="M1583" s="224"/>
      <c r="N1583" s="224"/>
      <c r="O1583" s="224"/>
      <c r="P1583" s="224"/>
      <c r="Q1583" s="224"/>
      <c r="R1583" s="224"/>
      <c r="S1583" s="224"/>
      <c r="T1583" s="224"/>
      <c r="U1583" s="224"/>
      <c r="V1583" s="224"/>
      <c r="W1583" s="224"/>
      <c r="X1583" s="224"/>
      <c r="Y1583" s="224"/>
      <c r="Z1583" s="224"/>
      <c r="AA1583" s="224"/>
      <c r="AB1583" s="224"/>
      <c r="AC1583" s="224"/>
      <c r="AD1583" s="224"/>
      <c r="AE1583" s="224"/>
      <c r="AF1583" s="224"/>
      <c r="AG1583" s="224"/>
      <c r="AH1583" s="224"/>
      <c r="AI1583" s="224"/>
      <c r="AJ1583" s="224"/>
      <c r="AK1583" s="224"/>
      <c r="AL1583" s="224"/>
      <c r="AM1583" s="224"/>
      <c r="AN1583" s="224"/>
      <c r="AO1583" s="224"/>
      <c r="AP1583" s="224"/>
      <c r="AQ1583" s="224"/>
      <c r="AR1583" s="224"/>
      <c r="AS1583" s="224"/>
      <c r="AT1583" s="224"/>
      <c r="AU1583" s="224"/>
      <c r="AV1583" s="224"/>
      <c r="AW1583" s="224"/>
      <c r="AX1583" s="224"/>
      <c r="AY1583" s="224"/>
      <c r="AZ1583" s="224"/>
      <c r="BA1583" s="224"/>
      <c r="BB1583" s="224"/>
    </row>
    <row r="1584" spans="1:54" s="225" customFormat="1" ht="12.6" customHeight="1" x14ac:dyDescent="0.25">
      <c r="A1584" s="220"/>
      <c r="B1584" s="224"/>
      <c r="C1584" s="224"/>
      <c r="D1584" s="224"/>
      <c r="E1584" s="224"/>
      <c r="F1584" s="224"/>
      <c r="G1584" s="224"/>
      <c r="H1584" s="224"/>
      <c r="I1584" s="224"/>
      <c r="J1584" s="224"/>
      <c r="K1584" s="224"/>
      <c r="L1584" s="224"/>
      <c r="M1584" s="224"/>
      <c r="N1584" s="224"/>
      <c r="O1584" s="224"/>
      <c r="P1584" s="224"/>
      <c r="Q1584" s="224"/>
      <c r="R1584" s="224"/>
      <c r="S1584" s="224"/>
      <c r="T1584" s="224"/>
      <c r="U1584" s="224"/>
      <c r="V1584" s="224"/>
      <c r="W1584" s="224"/>
      <c r="X1584" s="224"/>
      <c r="Y1584" s="224"/>
      <c r="Z1584" s="224"/>
      <c r="AA1584" s="224"/>
      <c r="AB1584" s="224"/>
      <c r="AC1584" s="224"/>
      <c r="AD1584" s="224"/>
      <c r="AE1584" s="224"/>
      <c r="AF1584" s="224"/>
      <c r="AG1584" s="224"/>
      <c r="AH1584" s="224"/>
      <c r="AI1584" s="224"/>
      <c r="AJ1584" s="224"/>
      <c r="AK1584" s="224"/>
      <c r="AL1584" s="224"/>
      <c r="AM1584" s="224"/>
      <c r="AN1584" s="224"/>
      <c r="AO1584" s="224"/>
      <c r="AP1584" s="224"/>
      <c r="AQ1584" s="224"/>
      <c r="AR1584" s="224"/>
      <c r="AS1584" s="224"/>
      <c r="AT1584" s="224"/>
      <c r="AU1584" s="224"/>
      <c r="AV1584" s="224"/>
      <c r="AW1584" s="224"/>
      <c r="AX1584" s="224"/>
      <c r="AY1584" s="224"/>
      <c r="AZ1584" s="224"/>
      <c r="BA1584" s="224"/>
      <c r="BB1584" s="224"/>
    </row>
    <row r="1585" spans="1:54" s="225" customFormat="1" ht="12.6" customHeight="1" x14ac:dyDescent="0.25">
      <c r="A1585" s="220"/>
      <c r="B1585" s="224"/>
      <c r="C1585" s="224"/>
      <c r="D1585" s="224"/>
      <c r="E1585" s="224"/>
      <c r="F1585" s="224"/>
      <c r="G1585" s="224"/>
      <c r="H1585" s="224"/>
      <c r="I1585" s="224"/>
      <c r="J1585" s="224"/>
      <c r="K1585" s="224"/>
      <c r="L1585" s="224"/>
      <c r="M1585" s="224"/>
      <c r="N1585" s="224"/>
      <c r="O1585" s="224"/>
      <c r="P1585" s="224"/>
      <c r="Q1585" s="224"/>
      <c r="R1585" s="224"/>
      <c r="S1585" s="224"/>
      <c r="T1585" s="224"/>
      <c r="U1585" s="224"/>
      <c r="V1585" s="224"/>
      <c r="W1585" s="224"/>
      <c r="X1585" s="224"/>
      <c r="Y1585" s="224"/>
      <c r="Z1585" s="224"/>
      <c r="AA1585" s="224"/>
      <c r="AB1585" s="224"/>
      <c r="AC1585" s="224"/>
      <c r="AD1585" s="224"/>
      <c r="AE1585" s="224"/>
      <c r="AF1585" s="224"/>
      <c r="AG1585" s="224"/>
      <c r="AH1585" s="224"/>
      <c r="AI1585" s="224"/>
      <c r="AJ1585" s="224"/>
      <c r="AK1585" s="224"/>
      <c r="AL1585" s="224"/>
      <c r="AM1585" s="224"/>
      <c r="AN1585" s="224"/>
      <c r="AO1585" s="224"/>
      <c r="AP1585" s="224"/>
      <c r="AQ1585" s="224"/>
      <c r="AR1585" s="224"/>
      <c r="AS1585" s="224"/>
      <c r="AT1585" s="224"/>
      <c r="AU1585" s="224"/>
      <c r="AV1585" s="224"/>
      <c r="AW1585" s="224"/>
      <c r="AX1585" s="224"/>
      <c r="AY1585" s="224"/>
      <c r="AZ1585" s="224"/>
      <c r="BA1585" s="224"/>
      <c r="BB1585" s="224"/>
    </row>
    <row r="1586" spans="1:54" s="225" customFormat="1" ht="12.6" customHeight="1" x14ac:dyDescent="0.25">
      <c r="A1586" s="220"/>
      <c r="B1586" s="224"/>
      <c r="C1586" s="224"/>
      <c r="D1586" s="224"/>
      <c r="E1586" s="224"/>
      <c r="F1586" s="224"/>
      <c r="G1586" s="224"/>
      <c r="H1586" s="224"/>
      <c r="I1586" s="224"/>
      <c r="J1586" s="224"/>
      <c r="K1586" s="224"/>
      <c r="L1586" s="224"/>
      <c r="M1586" s="224"/>
      <c r="N1586" s="224"/>
      <c r="O1586" s="224"/>
      <c r="P1586" s="224"/>
      <c r="Q1586" s="224"/>
      <c r="R1586" s="224"/>
      <c r="S1586" s="224"/>
      <c r="T1586" s="224"/>
      <c r="U1586" s="224"/>
      <c r="V1586" s="224"/>
      <c r="W1586" s="224"/>
      <c r="X1586" s="224"/>
      <c r="Y1586" s="224"/>
      <c r="Z1586" s="224"/>
      <c r="AA1586" s="224"/>
      <c r="AB1586" s="224"/>
      <c r="AC1586" s="224"/>
      <c r="AD1586" s="224"/>
      <c r="AE1586" s="224"/>
      <c r="AF1586" s="224"/>
      <c r="AG1586" s="224"/>
      <c r="AH1586" s="224"/>
      <c r="AI1586" s="224"/>
      <c r="AJ1586" s="224"/>
      <c r="AK1586" s="224"/>
      <c r="AL1586" s="224"/>
      <c r="AM1586" s="224"/>
      <c r="AN1586" s="224"/>
      <c r="AO1586" s="224"/>
      <c r="AP1586" s="224"/>
      <c r="AQ1586" s="224"/>
      <c r="AR1586" s="224"/>
      <c r="AS1586" s="224"/>
      <c r="AT1586" s="224"/>
      <c r="AU1586" s="224"/>
      <c r="AV1586" s="224"/>
      <c r="AW1586" s="224"/>
      <c r="AX1586" s="224"/>
      <c r="AY1586" s="224"/>
      <c r="AZ1586" s="224"/>
      <c r="BA1586" s="224"/>
      <c r="BB1586" s="224"/>
    </row>
    <row r="1587" spans="1:54" s="225" customFormat="1" ht="12.6" customHeight="1" x14ac:dyDescent="0.25">
      <c r="A1587" s="220"/>
      <c r="B1587" s="224"/>
      <c r="C1587" s="224"/>
      <c r="D1587" s="224"/>
      <c r="E1587" s="224"/>
      <c r="F1587" s="224"/>
      <c r="G1587" s="224"/>
      <c r="H1587" s="224"/>
      <c r="I1587" s="224"/>
      <c r="J1587" s="224"/>
      <c r="K1587" s="224"/>
      <c r="L1587" s="224"/>
      <c r="M1587" s="224"/>
      <c r="N1587" s="224"/>
      <c r="O1587" s="224"/>
      <c r="P1587" s="224"/>
      <c r="Q1587" s="224"/>
      <c r="R1587" s="224"/>
      <c r="S1587" s="224"/>
      <c r="T1587" s="224"/>
      <c r="U1587" s="224"/>
      <c r="V1587" s="224"/>
      <c r="W1587" s="224"/>
      <c r="X1587" s="224"/>
      <c r="Y1587" s="224"/>
      <c r="Z1587" s="224"/>
      <c r="AA1587" s="224"/>
      <c r="AB1587" s="224"/>
      <c r="AC1587" s="224"/>
      <c r="AD1587" s="224"/>
      <c r="AE1587" s="224"/>
      <c r="AF1587" s="224"/>
      <c r="AG1587" s="224"/>
      <c r="AH1587" s="224"/>
      <c r="AI1587" s="224"/>
      <c r="AJ1587" s="224"/>
      <c r="AK1587" s="224"/>
      <c r="AL1587" s="224"/>
      <c r="AM1587" s="224"/>
      <c r="AN1587" s="224"/>
      <c r="AO1587" s="224"/>
      <c r="AP1587" s="224"/>
      <c r="AQ1587" s="224"/>
      <c r="AR1587" s="224"/>
      <c r="AS1587" s="224"/>
      <c r="AT1587" s="224"/>
      <c r="AU1587" s="224"/>
      <c r="AV1587" s="224"/>
      <c r="AW1587" s="224"/>
      <c r="AX1587" s="224"/>
      <c r="AY1587" s="224"/>
      <c r="AZ1587" s="224"/>
      <c r="BA1587" s="224"/>
      <c r="BB1587" s="224"/>
    </row>
    <row r="1588" spans="1:54" s="225" customFormat="1" ht="12.6" customHeight="1" x14ac:dyDescent="0.25">
      <c r="A1588" s="220"/>
      <c r="B1588" s="224"/>
      <c r="C1588" s="224"/>
      <c r="D1588" s="224"/>
      <c r="E1588" s="224"/>
      <c r="F1588" s="224"/>
      <c r="G1588" s="224"/>
      <c r="H1588" s="224"/>
      <c r="I1588" s="224"/>
      <c r="J1588" s="224"/>
      <c r="K1588" s="224"/>
      <c r="L1588" s="224"/>
      <c r="M1588" s="224"/>
      <c r="N1588" s="224"/>
      <c r="O1588" s="224"/>
      <c r="P1588" s="224"/>
      <c r="Q1588" s="224"/>
      <c r="R1588" s="224"/>
      <c r="S1588" s="224"/>
      <c r="T1588" s="224"/>
      <c r="U1588" s="224"/>
      <c r="V1588" s="224"/>
      <c r="W1588" s="224"/>
      <c r="X1588" s="224"/>
      <c r="Y1588" s="224"/>
      <c r="Z1588" s="224"/>
      <c r="AA1588" s="224"/>
      <c r="AB1588" s="224"/>
      <c r="AC1588" s="224"/>
      <c r="AD1588" s="224"/>
      <c r="AE1588" s="224"/>
      <c r="AF1588" s="224"/>
      <c r="AG1588" s="224"/>
      <c r="AH1588" s="224"/>
      <c r="AI1588" s="224"/>
      <c r="AJ1588" s="224"/>
      <c r="AK1588" s="224"/>
      <c r="AL1588" s="224"/>
      <c r="AM1588" s="224"/>
      <c r="AN1588" s="224"/>
      <c r="AO1588" s="224"/>
      <c r="AP1588" s="224"/>
      <c r="AQ1588" s="224"/>
      <c r="AR1588" s="224"/>
      <c r="AS1588" s="224"/>
      <c r="AT1588" s="224"/>
      <c r="AU1588" s="224"/>
      <c r="AV1588" s="224"/>
      <c r="AW1588" s="224"/>
      <c r="AX1588" s="224"/>
      <c r="AY1588" s="224"/>
      <c r="AZ1588" s="224"/>
      <c r="BA1588" s="224"/>
      <c r="BB1588" s="224"/>
    </row>
    <row r="1589" spans="1:54" s="225" customFormat="1" ht="12.6" customHeight="1" x14ac:dyDescent="0.25">
      <c r="A1589" s="220"/>
      <c r="B1589" s="224"/>
      <c r="C1589" s="224"/>
      <c r="D1589" s="224"/>
      <c r="E1589" s="224"/>
      <c r="F1589" s="224"/>
      <c r="G1589" s="224"/>
      <c r="H1589" s="224"/>
      <c r="I1589" s="224"/>
      <c r="J1589" s="224"/>
      <c r="K1589" s="224"/>
      <c r="L1589" s="224"/>
      <c r="M1589" s="224"/>
      <c r="N1589" s="224"/>
      <c r="O1589" s="224"/>
      <c r="P1589" s="224"/>
      <c r="Q1589" s="224"/>
      <c r="R1589" s="224"/>
      <c r="S1589" s="224"/>
      <c r="T1589" s="224"/>
      <c r="U1589" s="224"/>
      <c r="V1589" s="224"/>
      <c r="W1589" s="224"/>
      <c r="X1589" s="224"/>
      <c r="Y1589" s="224"/>
      <c r="Z1589" s="224"/>
      <c r="AA1589" s="224"/>
      <c r="AB1589" s="224"/>
      <c r="AC1589" s="224"/>
      <c r="AD1589" s="224"/>
      <c r="AE1589" s="224"/>
      <c r="AF1589" s="224"/>
      <c r="AG1589" s="224"/>
      <c r="AH1589" s="224"/>
      <c r="AI1589" s="224"/>
      <c r="AJ1589" s="224"/>
      <c r="AK1589" s="224"/>
      <c r="AL1589" s="224"/>
      <c r="AM1589" s="224"/>
      <c r="AN1589" s="224"/>
      <c r="AO1589" s="224"/>
      <c r="AP1589" s="224"/>
      <c r="AQ1589" s="224"/>
      <c r="AR1589" s="224"/>
      <c r="AS1589" s="224"/>
      <c r="AT1589" s="224"/>
      <c r="AU1589" s="224"/>
      <c r="AV1589" s="224"/>
      <c r="AW1589" s="224"/>
      <c r="AX1589" s="224"/>
      <c r="AY1589" s="224"/>
      <c r="AZ1589" s="224"/>
      <c r="BA1589" s="224"/>
      <c r="BB1589" s="224"/>
    </row>
    <row r="1590" spans="1:54" s="225" customFormat="1" ht="12.6" customHeight="1" x14ac:dyDescent="0.25">
      <c r="A1590" s="220"/>
      <c r="B1590" s="224"/>
      <c r="C1590" s="224"/>
      <c r="D1590" s="224"/>
      <c r="E1590" s="224"/>
      <c r="F1590" s="224"/>
      <c r="G1590" s="224"/>
      <c r="H1590" s="224"/>
      <c r="I1590" s="224"/>
      <c r="J1590" s="224"/>
      <c r="K1590" s="224"/>
      <c r="L1590" s="224"/>
      <c r="M1590" s="224"/>
      <c r="N1590" s="224"/>
      <c r="O1590" s="224"/>
      <c r="P1590" s="224"/>
      <c r="Q1590" s="224"/>
      <c r="R1590" s="224"/>
      <c r="S1590" s="224"/>
      <c r="T1590" s="224"/>
      <c r="U1590" s="224"/>
      <c r="V1590" s="224"/>
      <c r="W1590" s="224"/>
      <c r="X1590" s="224"/>
      <c r="Y1590" s="224"/>
      <c r="Z1590" s="224"/>
      <c r="AA1590" s="224"/>
      <c r="AB1590" s="224"/>
      <c r="AC1590" s="224"/>
      <c r="AD1590" s="224"/>
      <c r="AE1590" s="224"/>
      <c r="AF1590" s="224"/>
      <c r="AG1590" s="224"/>
      <c r="AH1590" s="224"/>
      <c r="AI1590" s="224"/>
      <c r="AJ1590" s="224"/>
      <c r="AK1590" s="224"/>
      <c r="AL1590" s="224"/>
      <c r="AM1590" s="224"/>
      <c r="AN1590" s="224"/>
      <c r="AO1590" s="224"/>
      <c r="AP1590" s="224"/>
      <c r="AQ1590" s="224"/>
      <c r="AR1590" s="224"/>
      <c r="AS1590" s="224"/>
      <c r="AT1590" s="224"/>
      <c r="AU1590" s="224"/>
      <c r="AV1590" s="224"/>
      <c r="AW1590" s="224"/>
      <c r="AX1590" s="224"/>
      <c r="AY1590" s="224"/>
      <c r="AZ1590" s="224"/>
      <c r="BA1590" s="224"/>
      <c r="BB1590" s="224"/>
    </row>
    <row r="1591" spans="1:54" s="225" customFormat="1" ht="12.6" customHeight="1" x14ac:dyDescent="0.25">
      <c r="A1591" s="220"/>
      <c r="B1591" s="224"/>
      <c r="C1591" s="224"/>
      <c r="D1591" s="224"/>
      <c r="E1591" s="224"/>
      <c r="F1591" s="224"/>
      <c r="G1591" s="224"/>
      <c r="H1591" s="224"/>
      <c r="I1591" s="224"/>
      <c r="J1591" s="224"/>
      <c r="K1591" s="224"/>
      <c r="L1591" s="224"/>
      <c r="M1591" s="224"/>
      <c r="N1591" s="224"/>
      <c r="O1591" s="224"/>
      <c r="P1591" s="224"/>
      <c r="Q1591" s="224"/>
      <c r="R1591" s="224"/>
      <c r="S1591" s="224"/>
      <c r="T1591" s="224"/>
      <c r="U1591" s="224"/>
      <c r="V1591" s="224"/>
      <c r="W1591" s="224"/>
      <c r="X1591" s="224"/>
      <c r="Y1591" s="224"/>
      <c r="Z1591" s="224"/>
      <c r="AA1591" s="224"/>
      <c r="AB1591" s="224"/>
      <c r="AC1591" s="224"/>
      <c r="AD1591" s="224"/>
      <c r="AE1591" s="224"/>
      <c r="AF1591" s="224"/>
      <c r="AG1591" s="224"/>
      <c r="AH1591" s="224"/>
      <c r="AI1591" s="224"/>
      <c r="AJ1591" s="224"/>
      <c r="AK1591" s="224"/>
      <c r="AL1591" s="224"/>
      <c r="AM1591" s="224"/>
      <c r="AN1591" s="224"/>
      <c r="AO1591" s="224"/>
      <c r="AP1591" s="224"/>
      <c r="AQ1591" s="224"/>
      <c r="AR1591" s="224"/>
      <c r="AS1591" s="224"/>
      <c r="AT1591" s="224"/>
      <c r="AU1591" s="224"/>
      <c r="AV1591" s="224"/>
      <c r="AW1591" s="224"/>
      <c r="AX1591" s="224"/>
      <c r="AY1591" s="224"/>
      <c r="AZ1591" s="224"/>
      <c r="BA1591" s="224"/>
      <c r="BB1591" s="224"/>
    </row>
    <row r="1592" spans="1:54" s="225" customFormat="1" ht="12.6" customHeight="1" x14ac:dyDescent="0.25">
      <c r="A1592" s="220"/>
      <c r="B1592" s="224"/>
      <c r="C1592" s="224"/>
      <c r="D1592" s="224"/>
      <c r="E1592" s="224"/>
      <c r="F1592" s="224"/>
      <c r="G1592" s="224"/>
      <c r="H1592" s="224"/>
      <c r="I1592" s="224"/>
      <c r="J1592" s="224"/>
      <c r="K1592" s="224"/>
      <c r="L1592" s="224"/>
      <c r="M1592" s="224"/>
      <c r="N1592" s="224"/>
      <c r="O1592" s="224"/>
      <c r="P1592" s="224"/>
      <c r="Q1592" s="224"/>
      <c r="R1592" s="224"/>
      <c r="S1592" s="224"/>
      <c r="T1592" s="224"/>
      <c r="U1592" s="224"/>
      <c r="V1592" s="224"/>
      <c r="W1592" s="224"/>
      <c r="X1592" s="224"/>
      <c r="Y1592" s="224"/>
      <c r="Z1592" s="224"/>
      <c r="AA1592" s="224"/>
      <c r="AB1592" s="224"/>
      <c r="AC1592" s="224"/>
      <c r="AD1592" s="224"/>
      <c r="AE1592" s="224"/>
      <c r="AF1592" s="224"/>
      <c r="AG1592" s="224"/>
      <c r="AH1592" s="224"/>
      <c r="AI1592" s="224"/>
      <c r="AJ1592" s="224"/>
      <c r="AK1592" s="224"/>
      <c r="AL1592" s="224"/>
      <c r="AM1592" s="224"/>
      <c r="AN1592" s="224"/>
      <c r="AO1592" s="224"/>
      <c r="AP1592" s="224"/>
      <c r="AQ1592" s="224"/>
      <c r="AR1592" s="224"/>
      <c r="AS1592" s="224"/>
      <c r="AT1592" s="224"/>
      <c r="AU1592" s="224"/>
      <c r="AV1592" s="224"/>
      <c r="AW1592" s="224"/>
      <c r="AX1592" s="224"/>
      <c r="AY1592" s="224"/>
      <c r="AZ1592" s="224"/>
      <c r="BA1592" s="224"/>
      <c r="BB1592" s="224"/>
    </row>
    <row r="1593" spans="1:54" s="225" customFormat="1" ht="12.6" customHeight="1" x14ac:dyDescent="0.25">
      <c r="A1593" s="220"/>
      <c r="B1593" s="224"/>
      <c r="C1593" s="224"/>
      <c r="D1593" s="224"/>
      <c r="E1593" s="224"/>
      <c r="F1593" s="224"/>
      <c r="G1593" s="224"/>
      <c r="H1593" s="224"/>
      <c r="I1593" s="224"/>
      <c r="J1593" s="224"/>
      <c r="K1593" s="224"/>
      <c r="L1593" s="224"/>
      <c r="M1593" s="224"/>
      <c r="N1593" s="224"/>
      <c r="O1593" s="224"/>
      <c r="P1593" s="224"/>
      <c r="Q1593" s="224"/>
      <c r="R1593" s="224"/>
      <c r="S1593" s="224"/>
      <c r="T1593" s="224"/>
      <c r="U1593" s="224"/>
      <c r="V1593" s="224"/>
      <c r="W1593" s="224"/>
      <c r="X1593" s="224"/>
      <c r="Y1593" s="224"/>
      <c r="Z1593" s="224"/>
      <c r="AA1593" s="224"/>
      <c r="AB1593" s="224"/>
      <c r="AC1593" s="224"/>
      <c r="AD1593" s="224"/>
      <c r="AE1593" s="224"/>
      <c r="AF1593" s="224"/>
      <c r="AG1593" s="224"/>
      <c r="AH1593" s="224"/>
      <c r="AI1593" s="224"/>
      <c r="AJ1593" s="224"/>
      <c r="AK1593" s="224"/>
      <c r="AL1593" s="224"/>
      <c r="AM1593" s="224"/>
      <c r="AN1593" s="224"/>
      <c r="AO1593" s="224"/>
      <c r="AP1593" s="224"/>
      <c r="AQ1593" s="224"/>
      <c r="AR1593" s="224"/>
      <c r="AS1593" s="224"/>
      <c r="AT1593" s="224"/>
      <c r="AU1593" s="224"/>
      <c r="AV1593" s="224"/>
      <c r="AW1593" s="224"/>
      <c r="AX1593" s="224"/>
      <c r="AY1593" s="224"/>
      <c r="AZ1593" s="224"/>
      <c r="BA1593" s="224"/>
      <c r="BB1593" s="224"/>
    </row>
    <row r="1594" spans="1:54" s="225" customFormat="1" ht="12.6" customHeight="1" x14ac:dyDescent="0.25">
      <c r="A1594" s="220"/>
      <c r="B1594" s="224"/>
      <c r="C1594" s="224"/>
      <c r="D1594" s="224"/>
      <c r="E1594" s="224"/>
      <c r="F1594" s="224"/>
      <c r="G1594" s="224"/>
      <c r="H1594" s="224"/>
      <c r="I1594" s="224"/>
      <c r="J1594" s="224"/>
      <c r="K1594" s="224"/>
      <c r="L1594" s="224"/>
      <c r="M1594" s="224"/>
      <c r="N1594" s="224"/>
      <c r="O1594" s="224"/>
      <c r="P1594" s="224"/>
      <c r="Q1594" s="224"/>
      <c r="R1594" s="224"/>
      <c r="S1594" s="224"/>
      <c r="T1594" s="224"/>
      <c r="U1594" s="224"/>
      <c r="V1594" s="224"/>
      <c r="W1594" s="224"/>
      <c r="X1594" s="224"/>
      <c r="Y1594" s="224"/>
      <c r="Z1594" s="224"/>
      <c r="AA1594" s="224"/>
      <c r="AB1594" s="224"/>
      <c r="AC1594" s="224"/>
      <c r="AD1594" s="224"/>
      <c r="AE1594" s="224"/>
      <c r="AF1594" s="224"/>
      <c r="AG1594" s="224"/>
      <c r="AH1594" s="224"/>
      <c r="AI1594" s="224"/>
      <c r="AJ1594" s="224"/>
      <c r="AK1594" s="224"/>
      <c r="AL1594" s="224"/>
      <c r="AM1594" s="224"/>
      <c r="AN1594" s="224"/>
      <c r="AO1594" s="224"/>
      <c r="AP1594" s="224"/>
      <c r="AQ1594" s="224"/>
      <c r="AR1594" s="224"/>
      <c r="AS1594" s="224"/>
      <c r="AT1594" s="224"/>
      <c r="AU1594" s="224"/>
      <c r="AV1594" s="224"/>
      <c r="AW1594" s="224"/>
      <c r="AX1594" s="224"/>
      <c r="AY1594" s="224"/>
      <c r="AZ1594" s="224"/>
      <c r="BA1594" s="224"/>
      <c r="BB1594" s="224"/>
    </row>
    <row r="1595" spans="1:54" s="225" customFormat="1" ht="12.6" customHeight="1" x14ac:dyDescent="0.25">
      <c r="A1595" s="220"/>
      <c r="B1595" s="224"/>
      <c r="C1595" s="224"/>
      <c r="D1595" s="224"/>
      <c r="E1595" s="224"/>
      <c r="F1595" s="224"/>
      <c r="G1595" s="224"/>
      <c r="H1595" s="224"/>
      <c r="I1595" s="224"/>
      <c r="J1595" s="224"/>
      <c r="K1595" s="224"/>
      <c r="L1595" s="224"/>
      <c r="M1595" s="224"/>
      <c r="N1595" s="224"/>
      <c r="O1595" s="224"/>
      <c r="P1595" s="224"/>
      <c r="Q1595" s="224"/>
      <c r="R1595" s="224"/>
      <c r="S1595" s="224"/>
      <c r="T1595" s="224"/>
      <c r="U1595" s="224"/>
      <c r="V1595" s="224"/>
      <c r="W1595" s="224"/>
      <c r="X1595" s="224"/>
      <c r="Y1595" s="224"/>
      <c r="Z1595" s="224"/>
      <c r="AA1595" s="224"/>
      <c r="AB1595" s="224"/>
      <c r="AC1595" s="224"/>
      <c r="AD1595" s="224"/>
      <c r="AE1595" s="224"/>
      <c r="AF1595" s="224"/>
      <c r="AG1595" s="224"/>
      <c r="AH1595" s="224"/>
      <c r="AI1595" s="224"/>
      <c r="AJ1595" s="224"/>
      <c r="AK1595" s="224"/>
      <c r="AL1595" s="224"/>
      <c r="AM1595" s="224"/>
      <c r="AN1595" s="224"/>
      <c r="AO1595" s="224"/>
      <c r="AP1595" s="224"/>
      <c r="AQ1595" s="224"/>
      <c r="AR1595" s="224"/>
      <c r="AS1595" s="224"/>
      <c r="AT1595" s="224"/>
      <c r="AU1595" s="224"/>
      <c r="AV1595" s="224"/>
      <c r="AW1595" s="224"/>
      <c r="AX1595" s="224"/>
      <c r="AY1595" s="224"/>
      <c r="AZ1595" s="224"/>
      <c r="BA1595" s="224"/>
      <c r="BB1595" s="224"/>
    </row>
    <row r="1596" spans="1:54" s="225" customFormat="1" ht="12.6" customHeight="1" x14ac:dyDescent="0.25">
      <c r="A1596" s="220"/>
      <c r="B1596" s="224"/>
      <c r="C1596" s="224"/>
      <c r="D1596" s="224"/>
      <c r="E1596" s="224"/>
      <c r="F1596" s="224"/>
      <c r="G1596" s="224"/>
      <c r="H1596" s="224"/>
      <c r="I1596" s="224"/>
      <c r="J1596" s="224"/>
      <c r="K1596" s="224"/>
      <c r="L1596" s="224"/>
      <c r="M1596" s="224"/>
      <c r="N1596" s="224"/>
      <c r="O1596" s="224"/>
      <c r="P1596" s="224"/>
      <c r="Q1596" s="224"/>
      <c r="R1596" s="224"/>
      <c r="S1596" s="224"/>
      <c r="T1596" s="224"/>
      <c r="U1596" s="224"/>
      <c r="V1596" s="224"/>
      <c r="W1596" s="224"/>
      <c r="X1596" s="224"/>
      <c r="Y1596" s="224"/>
      <c r="Z1596" s="224"/>
      <c r="AA1596" s="224"/>
      <c r="AB1596" s="224"/>
      <c r="AC1596" s="224"/>
      <c r="AD1596" s="224"/>
      <c r="AE1596" s="224"/>
      <c r="AF1596" s="224"/>
      <c r="AG1596" s="224"/>
      <c r="AH1596" s="224"/>
      <c r="AI1596" s="224"/>
      <c r="AJ1596" s="224"/>
      <c r="AK1596" s="224"/>
      <c r="AL1596" s="224"/>
      <c r="AM1596" s="224"/>
      <c r="AN1596" s="224"/>
      <c r="AO1596" s="224"/>
      <c r="AP1596" s="224"/>
      <c r="AQ1596" s="224"/>
      <c r="AR1596" s="224"/>
      <c r="AS1596" s="224"/>
      <c r="AT1596" s="224"/>
      <c r="AU1596" s="224"/>
      <c r="AV1596" s="224"/>
      <c r="AW1596" s="224"/>
      <c r="AX1596" s="224"/>
      <c r="AY1596" s="224"/>
      <c r="AZ1596" s="224"/>
      <c r="BA1596" s="224"/>
      <c r="BB1596" s="224"/>
    </row>
    <row r="1598" spans="1:54" s="225" customFormat="1" ht="12.6" customHeight="1" x14ac:dyDescent="0.25">
      <c r="A1598" s="220" t="s">
        <v>2086</v>
      </c>
      <c r="B1598" s="224"/>
      <c r="C1598" s="224"/>
      <c r="D1598" s="224"/>
      <c r="E1598" s="224"/>
      <c r="F1598" s="224"/>
      <c r="G1598" s="224"/>
      <c r="H1598" s="224"/>
      <c r="I1598" s="224"/>
      <c r="J1598" s="224"/>
      <c r="K1598" s="224"/>
      <c r="L1598" s="224"/>
      <c r="M1598" s="224"/>
      <c r="N1598" s="224"/>
      <c r="O1598" s="224"/>
      <c r="P1598" s="224"/>
      <c r="Q1598" s="224"/>
      <c r="R1598" s="224"/>
      <c r="S1598" s="224"/>
      <c r="T1598" s="224"/>
      <c r="U1598" s="224"/>
      <c r="V1598" s="224"/>
      <c r="W1598" s="224"/>
      <c r="X1598" s="224"/>
      <c r="Y1598" s="224"/>
      <c r="Z1598" s="224"/>
      <c r="AA1598" s="224"/>
      <c r="AB1598" s="224"/>
      <c r="AC1598" s="224"/>
      <c r="AD1598" s="224"/>
      <c r="AE1598" s="224"/>
      <c r="AF1598" s="224"/>
      <c r="AG1598" s="224"/>
      <c r="AH1598" s="224"/>
      <c r="AI1598" s="224"/>
      <c r="AJ1598" s="224"/>
      <c r="AK1598" s="224"/>
      <c r="AL1598" s="224"/>
      <c r="AM1598" s="224"/>
      <c r="AN1598" s="224"/>
      <c r="AO1598" s="224"/>
      <c r="AP1598" s="224"/>
      <c r="AQ1598" s="224"/>
      <c r="AR1598" s="224"/>
      <c r="AS1598" s="224"/>
      <c r="AT1598" s="224"/>
      <c r="AU1598" s="224"/>
      <c r="AV1598" s="224"/>
      <c r="AW1598" s="224"/>
      <c r="AX1598" s="224"/>
      <c r="AY1598" s="224"/>
      <c r="AZ1598" s="224"/>
      <c r="BA1598" s="224"/>
      <c r="BB1598" s="224"/>
    </row>
    <row r="1599" spans="1:54" ht="12.6" customHeight="1" x14ac:dyDescent="0.25">
      <c r="A1599" s="227" t="s">
        <v>2087</v>
      </c>
    </row>
    <row r="1600" spans="1:54" ht="12.6" customHeight="1" x14ac:dyDescent="0.25">
      <c r="A1600" s="29" t="s">
        <v>1316</v>
      </c>
    </row>
    <row r="1601" spans="1:54" ht="12.6" customHeight="1" x14ac:dyDescent="0.25">
      <c r="A1601" s="241"/>
      <c r="B1601" s="242"/>
      <c r="C1601" s="242"/>
      <c r="D1601" s="242"/>
      <c r="E1601" s="242"/>
      <c r="F1601" s="242"/>
      <c r="G1601" s="242"/>
      <c r="H1601" s="242"/>
      <c r="I1601" s="242"/>
      <c r="J1601" s="242"/>
      <c r="K1601" s="242"/>
      <c r="L1601" s="268"/>
      <c r="M1601" s="347" t="s">
        <v>1288</v>
      </c>
      <c r="N1601" s="327"/>
      <c r="O1601" s="327"/>
      <c r="P1601" s="327"/>
      <c r="Q1601" s="327"/>
      <c r="R1601" s="327"/>
      <c r="S1601" s="327"/>
      <c r="T1601" s="327"/>
      <c r="U1601" s="327"/>
      <c r="V1601" s="327"/>
      <c r="W1601" s="327"/>
      <c r="X1601" s="327"/>
      <c r="Y1601" s="327"/>
      <c r="Z1601" s="327"/>
      <c r="AA1601" s="327"/>
      <c r="AB1601" s="327"/>
      <c r="AC1601" s="327"/>
      <c r="AD1601" s="327"/>
      <c r="AE1601" s="327"/>
      <c r="AF1601" s="327"/>
      <c r="AG1601" s="327"/>
      <c r="AH1601" s="327"/>
      <c r="AI1601" s="327"/>
      <c r="AJ1601" s="327"/>
      <c r="AK1601" s="327"/>
      <c r="AL1601" s="327"/>
      <c r="AM1601" s="327"/>
      <c r="AN1601" s="327"/>
      <c r="AO1601" s="327"/>
      <c r="AP1601" s="327"/>
      <c r="AQ1601" s="327"/>
      <c r="AR1601" s="327"/>
      <c r="AS1601" s="327"/>
      <c r="AT1601" s="327"/>
      <c r="AU1601" s="327"/>
      <c r="AV1601" s="348"/>
      <c r="AW1601" s="210"/>
      <c r="AX1601" s="211"/>
      <c r="AY1601" s="211"/>
      <c r="AZ1601" s="211"/>
      <c r="BA1601" s="211"/>
      <c r="BB1601" s="211"/>
    </row>
    <row r="1602" spans="1:54" ht="12.6" customHeight="1" x14ac:dyDescent="0.25">
      <c r="A1602" s="243"/>
      <c r="B1602" s="244"/>
      <c r="C1602" s="244"/>
      <c r="D1602" s="244"/>
      <c r="E1602" s="244"/>
      <c r="F1602" s="244"/>
      <c r="G1602" s="244"/>
      <c r="H1602" s="244"/>
      <c r="I1602" s="244"/>
      <c r="J1602" s="244"/>
      <c r="K1602" s="244"/>
      <c r="L1602" s="269"/>
      <c r="M1602" s="241"/>
      <c r="N1602" s="242"/>
      <c r="O1602" s="242"/>
      <c r="P1602" s="242"/>
      <c r="Q1602" s="242"/>
      <c r="R1602" s="242"/>
      <c r="S1602" s="242"/>
      <c r="T1602" s="268"/>
      <c r="U1602" s="241"/>
      <c r="V1602" s="242"/>
      <c r="W1602" s="242"/>
      <c r="X1602" s="242"/>
      <c r="Y1602" s="242"/>
      <c r="Z1602" s="242"/>
      <c r="AA1602" s="268"/>
      <c r="AB1602" s="241"/>
      <c r="AC1602" s="242"/>
      <c r="AD1602" s="242"/>
      <c r="AE1602" s="242"/>
      <c r="AF1602" s="242"/>
      <c r="AG1602" s="242"/>
      <c r="AH1602" s="268"/>
      <c r="AI1602" s="241"/>
      <c r="AJ1602" s="242"/>
      <c r="AK1602" s="242"/>
      <c r="AL1602" s="242"/>
      <c r="AM1602" s="242"/>
      <c r="AN1602" s="242"/>
      <c r="AO1602" s="268"/>
      <c r="AP1602" s="298" t="s">
        <v>1522</v>
      </c>
      <c r="AQ1602" s="299"/>
      <c r="AR1602" s="299"/>
      <c r="AS1602" s="299"/>
      <c r="AT1602" s="299"/>
      <c r="AU1602" s="299"/>
      <c r="AV1602" s="300"/>
      <c r="AW1602" s="211"/>
      <c r="AX1602" s="211"/>
      <c r="AY1602" s="211"/>
      <c r="AZ1602" s="211"/>
      <c r="BA1602" s="211"/>
      <c r="BB1602" s="211"/>
    </row>
    <row r="1603" spans="1:54" ht="12.6" customHeight="1" x14ac:dyDescent="0.25">
      <c r="A1603" s="745" t="s">
        <v>2088</v>
      </c>
      <c r="B1603" s="745"/>
      <c r="C1603" s="745"/>
      <c r="D1603" s="745"/>
      <c r="E1603" s="745"/>
      <c r="F1603" s="745"/>
      <c r="G1603" s="745"/>
      <c r="H1603" s="745"/>
      <c r="I1603" s="745"/>
      <c r="J1603" s="745"/>
      <c r="K1603" s="745"/>
      <c r="L1603" s="745"/>
      <c r="M1603" s="745" t="s">
        <v>1472</v>
      </c>
      <c r="N1603" s="745"/>
      <c r="O1603" s="745"/>
      <c r="P1603" s="745"/>
      <c r="Q1603" s="745"/>
      <c r="R1603" s="745"/>
      <c r="S1603" s="745"/>
      <c r="T1603" s="745"/>
      <c r="U1603" s="745" t="s">
        <v>1474</v>
      </c>
      <c r="V1603" s="745"/>
      <c r="W1603" s="745"/>
      <c r="X1603" s="745"/>
      <c r="Y1603" s="745"/>
      <c r="Z1603" s="745"/>
      <c r="AA1603" s="745"/>
      <c r="AB1603" s="745" t="s">
        <v>1475</v>
      </c>
      <c r="AC1603" s="745"/>
      <c r="AD1603" s="745"/>
      <c r="AE1603" s="745"/>
      <c r="AF1603" s="745"/>
      <c r="AG1603" s="745"/>
      <c r="AH1603" s="745"/>
      <c r="AI1603" s="745" t="s">
        <v>1476</v>
      </c>
      <c r="AJ1603" s="745"/>
      <c r="AK1603" s="745"/>
      <c r="AL1603" s="745"/>
      <c r="AM1603" s="745"/>
      <c r="AN1603" s="745"/>
      <c r="AO1603" s="745"/>
      <c r="AP1603" s="210" t="s">
        <v>1587</v>
      </c>
      <c r="AQ1603" s="211"/>
      <c r="AR1603" s="211"/>
      <c r="AS1603" s="211"/>
      <c r="AT1603" s="211"/>
      <c r="AU1603" s="211"/>
      <c r="AV1603" s="317"/>
      <c r="AW1603" s="211"/>
      <c r="AX1603" s="211"/>
      <c r="AY1603" s="211"/>
      <c r="AZ1603" s="211"/>
      <c r="BA1603" s="211"/>
      <c r="BB1603" s="211"/>
    </row>
    <row r="1604" spans="1:54" ht="12.6" customHeight="1" x14ac:dyDescent="0.25">
      <c r="A1604" s="745" t="s">
        <v>2089</v>
      </c>
      <c r="B1604" s="745"/>
      <c r="C1604" s="745"/>
      <c r="D1604" s="745"/>
      <c r="E1604" s="745"/>
      <c r="F1604" s="745"/>
      <c r="G1604" s="745"/>
      <c r="H1604" s="745"/>
      <c r="I1604" s="745"/>
      <c r="J1604" s="745"/>
      <c r="K1604" s="745"/>
      <c r="L1604" s="745"/>
      <c r="M1604" s="745" t="s">
        <v>1473</v>
      </c>
      <c r="N1604" s="745"/>
      <c r="O1604" s="745"/>
      <c r="P1604" s="745"/>
      <c r="Q1604" s="745"/>
      <c r="R1604" s="745"/>
      <c r="S1604" s="745"/>
      <c r="T1604" s="745"/>
      <c r="U1604" s="243"/>
      <c r="V1604" s="244"/>
      <c r="W1604" s="244"/>
      <c r="X1604" s="244"/>
      <c r="Y1604" s="244"/>
      <c r="Z1604" s="244"/>
      <c r="AA1604" s="269"/>
      <c r="AB1604" s="243"/>
      <c r="AC1604" s="244"/>
      <c r="AD1604" s="244"/>
      <c r="AE1604" s="244"/>
      <c r="AF1604" s="244"/>
      <c r="AG1604" s="244"/>
      <c r="AH1604" s="269"/>
      <c r="AI1604" s="243"/>
      <c r="AJ1604" s="244"/>
      <c r="AK1604" s="244"/>
      <c r="AL1604" s="244"/>
      <c r="AM1604" s="244"/>
      <c r="AN1604" s="244"/>
      <c r="AO1604" s="269"/>
      <c r="AP1604" s="210" t="s">
        <v>1524</v>
      </c>
      <c r="AQ1604" s="211"/>
      <c r="AR1604" s="211"/>
      <c r="AS1604" s="211"/>
      <c r="AT1604" s="211"/>
      <c r="AU1604" s="211"/>
      <c r="AV1604" s="317"/>
      <c r="AW1604" s="211"/>
      <c r="AX1604" s="211"/>
      <c r="AY1604" s="211"/>
      <c r="AZ1604" s="211"/>
      <c r="BA1604" s="211"/>
      <c r="BB1604" s="211"/>
    </row>
    <row r="1605" spans="1:54" ht="12.6" customHeight="1" x14ac:dyDescent="0.25">
      <c r="A1605" s="243"/>
      <c r="B1605" s="244"/>
      <c r="C1605" s="244"/>
      <c r="D1605" s="244"/>
      <c r="E1605" s="244"/>
      <c r="F1605" s="244"/>
      <c r="G1605" s="244"/>
      <c r="H1605" s="244"/>
      <c r="I1605" s="244"/>
      <c r="J1605" s="244"/>
      <c r="K1605" s="244"/>
      <c r="L1605" s="269"/>
      <c r="M1605" s="243"/>
      <c r="N1605" s="244"/>
      <c r="O1605" s="244"/>
      <c r="P1605" s="244"/>
      <c r="Q1605" s="244"/>
      <c r="R1605" s="244"/>
      <c r="S1605" s="244"/>
      <c r="T1605" s="269"/>
      <c r="U1605" s="243"/>
      <c r="V1605" s="244"/>
      <c r="W1605" s="244"/>
      <c r="X1605" s="244"/>
      <c r="Y1605" s="244"/>
      <c r="Z1605" s="244"/>
      <c r="AA1605" s="269"/>
      <c r="AB1605" s="243"/>
      <c r="AC1605" s="244"/>
      <c r="AD1605" s="244"/>
      <c r="AE1605" s="244"/>
      <c r="AF1605" s="244"/>
      <c r="AG1605" s="244"/>
      <c r="AH1605" s="269"/>
      <c r="AI1605" s="243"/>
      <c r="AJ1605" s="244"/>
      <c r="AK1605" s="244"/>
      <c r="AL1605" s="244"/>
      <c r="AM1605" s="244"/>
      <c r="AN1605" s="244"/>
      <c r="AO1605" s="269"/>
      <c r="AP1605" s="210" t="s">
        <v>1525</v>
      </c>
      <c r="AQ1605" s="211"/>
      <c r="AR1605" s="211"/>
      <c r="AS1605" s="211"/>
      <c r="AT1605" s="211"/>
      <c r="AU1605" s="211"/>
      <c r="AV1605" s="317"/>
      <c r="AW1605" s="211"/>
      <c r="AX1605" s="211"/>
      <c r="AY1605" s="211"/>
      <c r="AZ1605" s="211"/>
      <c r="BA1605" s="211"/>
      <c r="BB1605" s="211"/>
    </row>
    <row r="1606" spans="1:54" ht="12.6" customHeight="1" x14ac:dyDescent="0.25">
      <c r="A1606" s="745" t="s">
        <v>1323</v>
      </c>
      <c r="B1606" s="745"/>
      <c r="C1606" s="745"/>
      <c r="D1606" s="745"/>
      <c r="E1606" s="745"/>
      <c r="F1606" s="745"/>
      <c r="G1606" s="745"/>
      <c r="H1606" s="745"/>
      <c r="I1606" s="745"/>
      <c r="J1606" s="745"/>
      <c r="K1606" s="745"/>
      <c r="L1606" s="745"/>
      <c r="M1606" s="745" t="s">
        <v>1324</v>
      </c>
      <c r="N1606" s="745"/>
      <c r="O1606" s="745"/>
      <c r="P1606" s="745"/>
      <c r="Q1606" s="745"/>
      <c r="R1606" s="745"/>
      <c r="S1606" s="745"/>
      <c r="T1606" s="745"/>
      <c r="U1606" s="745" t="s">
        <v>1325</v>
      </c>
      <c r="V1606" s="745"/>
      <c r="W1606" s="745"/>
      <c r="X1606" s="745"/>
      <c r="Y1606" s="745"/>
      <c r="Z1606" s="745"/>
      <c r="AA1606" s="745"/>
      <c r="AB1606" s="745" t="s">
        <v>1326</v>
      </c>
      <c r="AC1606" s="745"/>
      <c r="AD1606" s="745"/>
      <c r="AE1606" s="745"/>
      <c r="AF1606" s="745"/>
      <c r="AG1606" s="745"/>
      <c r="AH1606" s="745"/>
      <c r="AI1606" s="745" t="s">
        <v>1327</v>
      </c>
      <c r="AJ1606" s="745"/>
      <c r="AK1606" s="745"/>
      <c r="AL1606" s="745"/>
      <c r="AM1606" s="745"/>
      <c r="AN1606" s="745"/>
      <c r="AO1606" s="745"/>
      <c r="AP1606" s="313" t="s">
        <v>1333</v>
      </c>
      <c r="AQ1606" s="314"/>
      <c r="AR1606" s="314"/>
      <c r="AS1606" s="314"/>
      <c r="AT1606" s="314"/>
      <c r="AU1606" s="314"/>
      <c r="AV1606" s="315"/>
      <c r="AW1606" s="211"/>
      <c r="AX1606" s="211"/>
      <c r="AY1606" s="211"/>
      <c r="AZ1606" s="211"/>
      <c r="BA1606" s="211"/>
      <c r="BB1606" s="211"/>
    </row>
    <row r="1607" spans="1:54" ht="12.6" customHeight="1" x14ac:dyDescent="0.25">
      <c r="A1607" s="253" t="s">
        <v>2090</v>
      </c>
      <c r="B1607" s="246"/>
      <c r="C1607" s="246"/>
      <c r="D1607" s="246"/>
      <c r="E1607" s="246"/>
      <c r="F1607" s="246"/>
      <c r="G1607" s="246"/>
      <c r="H1607" s="246"/>
      <c r="I1607" s="246"/>
      <c r="J1607" s="246"/>
      <c r="K1607" s="246"/>
      <c r="L1607" s="248"/>
      <c r="M1607" s="876">
        <f>'HL KNIHA VYPOC'!$D$215*-1</f>
        <v>92666.77</v>
      </c>
      <c r="N1607" s="876"/>
      <c r="O1607" s="876"/>
      <c r="P1607" s="876"/>
      <c r="Q1607" s="876"/>
      <c r="R1607" s="876"/>
      <c r="S1607" s="876"/>
      <c r="T1607" s="876"/>
      <c r="U1607" s="876">
        <f>'HL KNIHA VYPOC'!$F$215</f>
        <v>0</v>
      </c>
      <c r="V1607" s="876"/>
      <c r="W1607" s="876"/>
      <c r="X1607" s="876"/>
      <c r="Y1607" s="876"/>
      <c r="Z1607" s="876"/>
      <c r="AA1607" s="876"/>
      <c r="AB1607" s="876">
        <f>'HL KNIHA VYPOC'!$E$215</f>
        <v>0</v>
      </c>
      <c r="AC1607" s="876"/>
      <c r="AD1607" s="876"/>
      <c r="AE1607" s="876"/>
      <c r="AF1607" s="876"/>
      <c r="AG1607" s="876"/>
      <c r="AH1607" s="876"/>
      <c r="AI1607" s="876"/>
      <c r="AJ1607" s="876"/>
      <c r="AK1607" s="876"/>
      <c r="AL1607" s="876"/>
      <c r="AM1607" s="876"/>
      <c r="AN1607" s="876"/>
      <c r="AO1607" s="876"/>
      <c r="AP1607" s="876">
        <f>SUM(M1607+U1607-AB1607+AI1607)</f>
        <v>92666.77</v>
      </c>
      <c r="AQ1607" s="876"/>
      <c r="AR1607" s="876"/>
      <c r="AS1607" s="876"/>
      <c r="AT1607" s="876"/>
      <c r="AU1607" s="876"/>
      <c r="AV1607" s="876"/>
      <c r="AW1607" s="213"/>
      <c r="AX1607" s="213"/>
      <c r="AY1607" s="213"/>
      <c r="AZ1607" s="213"/>
      <c r="BA1607" s="213"/>
      <c r="BB1607" s="213"/>
    </row>
    <row r="1608" spans="1:54" ht="12.6" customHeight="1" x14ac:dyDescent="0.25">
      <c r="A1608" s="257" t="s">
        <v>2091</v>
      </c>
      <c r="B1608" s="249"/>
      <c r="C1608" s="249"/>
      <c r="D1608" s="249"/>
      <c r="E1608" s="249"/>
      <c r="F1608" s="249"/>
      <c r="G1608" s="249"/>
      <c r="H1608" s="249"/>
      <c r="I1608" s="249"/>
      <c r="J1608" s="249"/>
      <c r="K1608" s="249"/>
      <c r="L1608" s="250"/>
      <c r="M1608" s="876"/>
      <c r="N1608" s="876"/>
      <c r="O1608" s="876"/>
      <c r="P1608" s="876"/>
      <c r="Q1608" s="876"/>
      <c r="R1608" s="876"/>
      <c r="S1608" s="876"/>
      <c r="T1608" s="876"/>
      <c r="U1608" s="876"/>
      <c r="V1608" s="876"/>
      <c r="W1608" s="876"/>
      <c r="X1608" s="876"/>
      <c r="Y1608" s="876"/>
      <c r="Z1608" s="876"/>
      <c r="AA1608" s="876"/>
      <c r="AB1608" s="876"/>
      <c r="AC1608" s="876"/>
      <c r="AD1608" s="876"/>
      <c r="AE1608" s="876"/>
      <c r="AF1608" s="876"/>
      <c r="AG1608" s="876"/>
      <c r="AH1608" s="876"/>
      <c r="AI1608" s="876"/>
      <c r="AJ1608" s="876"/>
      <c r="AK1608" s="876"/>
      <c r="AL1608" s="876"/>
      <c r="AM1608" s="876"/>
      <c r="AN1608" s="876"/>
      <c r="AO1608" s="876"/>
      <c r="AP1608" s="876">
        <f>SUM(M1608+U1608-AB1608+AI1608)</f>
        <v>0</v>
      </c>
      <c r="AQ1608" s="876"/>
      <c r="AR1608" s="876"/>
      <c r="AS1608" s="876"/>
      <c r="AT1608" s="876"/>
      <c r="AU1608" s="876"/>
      <c r="AV1608" s="876"/>
      <c r="AW1608" s="213"/>
      <c r="AX1608" s="213"/>
      <c r="AY1608" s="213"/>
      <c r="AZ1608" s="213"/>
      <c r="BA1608" s="213"/>
      <c r="BB1608" s="213"/>
    </row>
    <row r="1609" spans="1:54" ht="12.6" customHeight="1" x14ac:dyDescent="0.25">
      <c r="A1609" s="258" t="s">
        <v>2092</v>
      </c>
      <c r="B1609" s="247"/>
      <c r="C1609" s="247"/>
      <c r="D1609" s="247"/>
      <c r="E1609" s="247"/>
      <c r="F1609" s="247"/>
      <c r="G1609" s="247"/>
      <c r="H1609" s="247"/>
      <c r="I1609" s="247"/>
      <c r="J1609" s="247"/>
      <c r="K1609" s="247"/>
      <c r="L1609" s="252"/>
      <c r="M1609" s="876"/>
      <c r="N1609" s="876"/>
      <c r="O1609" s="876"/>
      <c r="P1609" s="876"/>
      <c r="Q1609" s="876"/>
      <c r="R1609" s="876"/>
      <c r="S1609" s="876"/>
      <c r="T1609" s="876"/>
      <c r="U1609" s="876"/>
      <c r="V1609" s="876"/>
      <c r="W1609" s="876"/>
      <c r="X1609" s="876"/>
      <c r="Y1609" s="876"/>
      <c r="Z1609" s="876"/>
      <c r="AA1609" s="876"/>
      <c r="AB1609" s="876"/>
      <c r="AC1609" s="876"/>
      <c r="AD1609" s="876"/>
      <c r="AE1609" s="876"/>
      <c r="AF1609" s="876"/>
      <c r="AG1609" s="876"/>
      <c r="AH1609" s="876"/>
      <c r="AI1609" s="876"/>
      <c r="AJ1609" s="876"/>
      <c r="AK1609" s="876"/>
      <c r="AL1609" s="876"/>
      <c r="AM1609" s="876"/>
      <c r="AN1609" s="876"/>
      <c r="AO1609" s="876"/>
      <c r="AP1609" s="876"/>
      <c r="AQ1609" s="876"/>
      <c r="AR1609" s="876"/>
      <c r="AS1609" s="876"/>
      <c r="AT1609" s="876"/>
      <c r="AU1609" s="876"/>
      <c r="AV1609" s="876"/>
      <c r="AW1609" s="213"/>
      <c r="AX1609" s="213"/>
      <c r="AY1609" s="213"/>
      <c r="AZ1609" s="213"/>
      <c r="BA1609" s="213"/>
      <c r="BB1609" s="213"/>
    </row>
    <row r="1610" spans="1:54" ht="12.6" customHeight="1" x14ac:dyDescent="0.25">
      <c r="A1610" s="257" t="s">
        <v>2093</v>
      </c>
      <c r="B1610" s="249"/>
      <c r="C1610" s="249"/>
      <c r="D1610" s="249"/>
      <c r="E1610" s="249"/>
      <c r="F1610" s="249"/>
      <c r="G1610" s="249"/>
      <c r="H1610" s="249"/>
      <c r="I1610" s="249"/>
      <c r="J1610" s="249"/>
      <c r="K1610" s="249"/>
      <c r="L1610" s="250"/>
      <c r="M1610" s="876">
        <f>SUM('HL KNIHA VYPOC'!D223)*-1</f>
        <v>0</v>
      </c>
      <c r="N1610" s="876"/>
      <c r="O1610" s="876"/>
      <c r="P1610" s="876"/>
      <c r="Q1610" s="876"/>
      <c r="R1610" s="876"/>
      <c r="S1610" s="876"/>
      <c r="T1610" s="876"/>
      <c r="U1610" s="876">
        <f>SUM('HL KNIHA VYPOC'!F223)</f>
        <v>0</v>
      </c>
      <c r="V1610" s="876"/>
      <c r="W1610" s="876"/>
      <c r="X1610" s="876"/>
      <c r="Y1610" s="876"/>
      <c r="Z1610" s="876"/>
      <c r="AA1610" s="876"/>
      <c r="AB1610" s="876">
        <f>SUM('HL KNIHA VYPOC'!E223)</f>
        <v>0</v>
      </c>
      <c r="AC1610" s="876"/>
      <c r="AD1610" s="876"/>
      <c r="AE1610" s="876"/>
      <c r="AF1610" s="876"/>
      <c r="AG1610" s="876"/>
      <c r="AH1610" s="876"/>
      <c r="AI1610" s="876"/>
      <c r="AJ1610" s="876"/>
      <c r="AK1610" s="876"/>
      <c r="AL1610" s="876"/>
      <c r="AM1610" s="876"/>
      <c r="AN1610" s="876"/>
      <c r="AO1610" s="876"/>
      <c r="AP1610" s="876">
        <f>SUM(M1610+U1610-AB1610+AI1610)</f>
        <v>0</v>
      </c>
      <c r="AQ1610" s="876"/>
      <c r="AR1610" s="876"/>
      <c r="AS1610" s="876"/>
      <c r="AT1610" s="876"/>
      <c r="AU1610" s="876"/>
      <c r="AV1610" s="876"/>
      <c r="AW1610" s="213"/>
      <c r="AX1610" s="213"/>
      <c r="AY1610" s="213"/>
      <c r="AZ1610" s="213"/>
      <c r="BA1610" s="213"/>
      <c r="BB1610" s="213"/>
    </row>
    <row r="1611" spans="1:54" ht="12.6" customHeight="1" x14ac:dyDescent="0.25">
      <c r="A1611" s="257" t="s">
        <v>2094</v>
      </c>
      <c r="B1611" s="249"/>
      <c r="C1611" s="249"/>
      <c r="D1611" s="249"/>
      <c r="E1611" s="249"/>
      <c r="F1611" s="249"/>
      <c r="G1611" s="249"/>
      <c r="H1611" s="249"/>
      <c r="I1611" s="249"/>
      <c r="J1611" s="249"/>
      <c r="K1611" s="249"/>
      <c r="L1611" s="250"/>
      <c r="M1611" s="876">
        <f>SUM('HL KNIHA VYPOC'!D172)</f>
        <v>0</v>
      </c>
      <c r="N1611" s="876"/>
      <c r="O1611" s="876"/>
      <c r="P1611" s="876"/>
      <c r="Q1611" s="876"/>
      <c r="R1611" s="876"/>
      <c r="S1611" s="876"/>
      <c r="T1611" s="876"/>
      <c r="U1611" s="876">
        <f>SUM('HL KNIHA VYPOC'!F172)</f>
        <v>0</v>
      </c>
      <c r="V1611" s="876"/>
      <c r="W1611" s="876"/>
      <c r="X1611" s="876"/>
      <c r="Y1611" s="876"/>
      <c r="Z1611" s="876"/>
      <c r="AA1611" s="876"/>
      <c r="AB1611" s="876">
        <f>SUM('HL KNIHA VYPOC'!E172)</f>
        <v>0</v>
      </c>
      <c r="AC1611" s="876"/>
      <c r="AD1611" s="876"/>
      <c r="AE1611" s="876"/>
      <c r="AF1611" s="876"/>
      <c r="AG1611" s="876"/>
      <c r="AH1611" s="876"/>
      <c r="AI1611" s="876"/>
      <c r="AJ1611" s="876"/>
      <c r="AK1611" s="876"/>
      <c r="AL1611" s="876"/>
      <c r="AM1611" s="876"/>
      <c r="AN1611" s="876"/>
      <c r="AO1611" s="876"/>
      <c r="AP1611" s="876">
        <f>SUM('HL KNIHA VYPOC'!G172)</f>
        <v>0</v>
      </c>
      <c r="AQ1611" s="876"/>
      <c r="AR1611" s="876"/>
      <c r="AS1611" s="876"/>
      <c r="AT1611" s="876"/>
      <c r="AU1611" s="876"/>
      <c r="AV1611" s="876"/>
      <c r="AW1611" s="213"/>
      <c r="AX1611" s="213"/>
      <c r="AY1611" s="213"/>
      <c r="AZ1611" s="213"/>
      <c r="BA1611" s="213"/>
      <c r="BB1611" s="213"/>
    </row>
    <row r="1612" spans="1:54" ht="12.6" customHeight="1" x14ac:dyDescent="0.25">
      <c r="A1612" s="258" t="s">
        <v>2095</v>
      </c>
      <c r="B1612" s="247"/>
      <c r="C1612" s="247"/>
      <c r="D1612" s="247"/>
      <c r="E1612" s="247"/>
      <c r="F1612" s="247"/>
      <c r="G1612" s="247"/>
      <c r="H1612" s="247"/>
      <c r="I1612" s="247"/>
      <c r="J1612" s="247"/>
      <c r="K1612" s="247"/>
      <c r="L1612" s="252"/>
      <c r="M1612" s="876"/>
      <c r="N1612" s="876"/>
      <c r="O1612" s="876"/>
      <c r="P1612" s="876"/>
      <c r="Q1612" s="876"/>
      <c r="R1612" s="876"/>
      <c r="S1612" s="876"/>
      <c r="T1612" s="876"/>
      <c r="U1612" s="876"/>
      <c r="V1612" s="876"/>
      <c r="W1612" s="876"/>
      <c r="X1612" s="876"/>
      <c r="Y1612" s="876"/>
      <c r="Z1612" s="876"/>
      <c r="AA1612" s="876"/>
      <c r="AB1612" s="876"/>
      <c r="AC1612" s="876"/>
      <c r="AD1612" s="876"/>
      <c r="AE1612" s="876"/>
      <c r="AF1612" s="876"/>
      <c r="AG1612" s="876"/>
      <c r="AH1612" s="876"/>
      <c r="AI1612" s="876"/>
      <c r="AJ1612" s="876"/>
      <c r="AK1612" s="876"/>
      <c r="AL1612" s="876"/>
      <c r="AM1612" s="876"/>
      <c r="AN1612" s="876"/>
      <c r="AO1612" s="876"/>
      <c r="AP1612" s="876"/>
      <c r="AQ1612" s="876"/>
      <c r="AR1612" s="876"/>
      <c r="AS1612" s="876"/>
      <c r="AT1612" s="876"/>
      <c r="AU1612" s="876"/>
      <c r="AV1612" s="876"/>
      <c r="AW1612" s="213"/>
      <c r="AX1612" s="213"/>
      <c r="AY1612" s="213"/>
      <c r="AZ1612" s="213"/>
      <c r="BA1612" s="213"/>
      <c r="BB1612" s="213"/>
    </row>
    <row r="1613" spans="1:54" ht="12.6" customHeight="1" x14ac:dyDescent="0.25">
      <c r="A1613" s="253" t="s">
        <v>2096</v>
      </c>
      <c r="B1613" s="246"/>
      <c r="C1613" s="246"/>
      <c r="D1613" s="246"/>
      <c r="E1613" s="246"/>
      <c r="F1613" s="246"/>
      <c r="G1613" s="246"/>
      <c r="H1613" s="246"/>
      <c r="I1613" s="246"/>
      <c r="J1613" s="246"/>
      <c r="K1613" s="246"/>
      <c r="L1613" s="248"/>
      <c r="M1613" s="876">
        <f>SUM('HL KNIHA VYPOC'!D216)*-1</f>
        <v>0</v>
      </c>
      <c r="N1613" s="876"/>
      <c r="O1613" s="876"/>
      <c r="P1613" s="876"/>
      <c r="Q1613" s="876"/>
      <c r="R1613" s="876"/>
      <c r="S1613" s="876"/>
      <c r="T1613" s="876"/>
      <c r="U1613" s="876">
        <f>SUM('HL KNIHA VYPOC'!F216)</f>
        <v>0</v>
      </c>
      <c r="V1613" s="876"/>
      <c r="W1613" s="876"/>
      <c r="X1613" s="876"/>
      <c r="Y1613" s="876"/>
      <c r="Z1613" s="876"/>
      <c r="AA1613" s="876"/>
      <c r="AB1613" s="876">
        <f>SUM('HL KNIHA VYPOC'!E216)</f>
        <v>0</v>
      </c>
      <c r="AC1613" s="876"/>
      <c r="AD1613" s="876"/>
      <c r="AE1613" s="876"/>
      <c r="AF1613" s="876"/>
      <c r="AG1613" s="876"/>
      <c r="AH1613" s="876"/>
      <c r="AI1613" s="876"/>
      <c r="AJ1613" s="876"/>
      <c r="AK1613" s="876"/>
      <c r="AL1613" s="876"/>
      <c r="AM1613" s="876"/>
      <c r="AN1613" s="876"/>
      <c r="AO1613" s="876"/>
      <c r="AP1613" s="876">
        <f t="shared" ref="AP1613:AP1619" si="1">SUM(M1613+U1613-AB1613+AI1613)</f>
        <v>0</v>
      </c>
      <c r="AQ1613" s="876"/>
      <c r="AR1613" s="876"/>
      <c r="AS1613" s="876"/>
      <c r="AT1613" s="876"/>
      <c r="AU1613" s="876"/>
      <c r="AV1613" s="876"/>
      <c r="AW1613" s="213"/>
      <c r="AX1613" s="213"/>
      <c r="AY1613" s="213"/>
      <c r="AZ1613" s="213"/>
      <c r="BA1613" s="213"/>
      <c r="BB1613" s="213"/>
    </row>
    <row r="1614" spans="1:54" ht="12.6" customHeight="1" x14ac:dyDescent="0.25">
      <c r="A1614" s="253" t="s">
        <v>2097</v>
      </c>
      <c r="B1614" s="246"/>
      <c r="C1614" s="246"/>
      <c r="D1614" s="246"/>
      <c r="E1614" s="246"/>
      <c r="F1614" s="246"/>
      <c r="G1614" s="246"/>
      <c r="H1614" s="246"/>
      <c r="I1614" s="246"/>
      <c r="J1614" s="246"/>
      <c r="K1614" s="246"/>
      <c r="L1614" s="248"/>
      <c r="M1614" s="876">
        <f>SUM('HL KNIHA VYPOC'!D217)*-1</f>
        <v>100010.42</v>
      </c>
      <c r="N1614" s="876"/>
      <c r="O1614" s="876"/>
      <c r="P1614" s="876"/>
      <c r="Q1614" s="876"/>
      <c r="R1614" s="876"/>
      <c r="S1614" s="876"/>
      <c r="T1614" s="876"/>
      <c r="U1614" s="876">
        <f>SUM('HL KNIHA VYPOC'!F217)</f>
        <v>0</v>
      </c>
      <c r="V1614" s="876"/>
      <c r="W1614" s="876"/>
      <c r="X1614" s="876"/>
      <c r="Y1614" s="876"/>
      <c r="Z1614" s="876"/>
      <c r="AA1614" s="876"/>
      <c r="AB1614" s="876">
        <f>SUM('HL KNIHA VYPOC'!E217)</f>
        <v>0</v>
      </c>
      <c r="AC1614" s="876"/>
      <c r="AD1614" s="876"/>
      <c r="AE1614" s="876"/>
      <c r="AF1614" s="876"/>
      <c r="AG1614" s="876"/>
      <c r="AH1614" s="876"/>
      <c r="AI1614" s="876"/>
      <c r="AJ1614" s="876"/>
      <c r="AK1614" s="876"/>
      <c r="AL1614" s="876"/>
      <c r="AM1614" s="876"/>
      <c r="AN1614" s="876"/>
      <c r="AO1614" s="876"/>
      <c r="AP1614" s="876">
        <f t="shared" si="1"/>
        <v>100010.42</v>
      </c>
      <c r="AQ1614" s="876"/>
      <c r="AR1614" s="876"/>
      <c r="AS1614" s="876"/>
      <c r="AT1614" s="876"/>
      <c r="AU1614" s="876"/>
      <c r="AV1614" s="876"/>
      <c r="AW1614" s="213"/>
      <c r="AX1614" s="213"/>
      <c r="AY1614" s="213"/>
      <c r="AZ1614" s="213"/>
      <c r="BA1614" s="213"/>
      <c r="BB1614" s="213"/>
    </row>
    <row r="1615" spans="1:54" ht="27" customHeight="1" x14ac:dyDescent="0.25">
      <c r="A1615" s="835" t="s">
        <v>2098</v>
      </c>
      <c r="B1615" s="835"/>
      <c r="C1615" s="835"/>
      <c r="D1615" s="835"/>
      <c r="E1615" s="835"/>
      <c r="F1615" s="835"/>
      <c r="G1615" s="835"/>
      <c r="H1615" s="835"/>
      <c r="I1615" s="835"/>
      <c r="J1615" s="835"/>
      <c r="K1615" s="835"/>
      <c r="L1615" s="835"/>
      <c r="M1615" s="876">
        <f>SUM('HL KNIHA VYPOC'!D222+'HL KNIHA VYPOC'!D227)*-1</f>
        <v>19085.28</v>
      </c>
      <c r="N1615" s="876"/>
      <c r="O1615" s="876"/>
      <c r="P1615" s="876"/>
      <c r="Q1615" s="876"/>
      <c r="R1615" s="876"/>
      <c r="S1615" s="876"/>
      <c r="T1615" s="876"/>
      <c r="U1615" s="876">
        <f>SUM('HL KNIHA VYPOC'!F222+'HL KNIHA VYPOC'!F227)</f>
        <v>0</v>
      </c>
      <c r="V1615" s="876"/>
      <c r="W1615" s="876"/>
      <c r="X1615" s="876"/>
      <c r="Y1615" s="876"/>
      <c r="Z1615" s="876"/>
      <c r="AA1615" s="876"/>
      <c r="AB1615" s="876">
        <f>SUM('HL KNIHA VYPOC'!E222+'HL KNIHA VYPOC'!E227)</f>
        <v>0</v>
      </c>
      <c r="AC1615" s="876"/>
      <c r="AD1615" s="876"/>
      <c r="AE1615" s="876"/>
      <c r="AF1615" s="876"/>
      <c r="AG1615" s="876"/>
      <c r="AH1615" s="876"/>
      <c r="AI1615" s="876"/>
      <c r="AJ1615" s="876"/>
      <c r="AK1615" s="876"/>
      <c r="AL1615" s="876"/>
      <c r="AM1615" s="876"/>
      <c r="AN1615" s="876"/>
      <c r="AO1615" s="876"/>
      <c r="AP1615" s="876">
        <f t="shared" si="1"/>
        <v>19085.28</v>
      </c>
      <c r="AQ1615" s="876"/>
      <c r="AR1615" s="876"/>
      <c r="AS1615" s="876"/>
      <c r="AT1615" s="876"/>
      <c r="AU1615" s="876"/>
      <c r="AV1615" s="876"/>
      <c r="AW1615" s="213"/>
      <c r="AX1615" s="213"/>
      <c r="AY1615" s="213"/>
      <c r="AZ1615" s="213"/>
      <c r="BA1615" s="213"/>
      <c r="BB1615" s="213"/>
    </row>
    <row r="1616" spans="1:54" ht="24.75" customHeight="1" x14ac:dyDescent="0.25">
      <c r="A1616" s="835" t="s">
        <v>2099</v>
      </c>
      <c r="B1616" s="835"/>
      <c r="C1616" s="835"/>
      <c r="D1616" s="835"/>
      <c r="E1616" s="835"/>
      <c r="F1616" s="835"/>
      <c r="G1616" s="835"/>
      <c r="H1616" s="835"/>
      <c r="I1616" s="835"/>
      <c r="J1616" s="835"/>
      <c r="K1616" s="835"/>
      <c r="L1616" s="835"/>
      <c r="M1616" s="876">
        <f>SUM('HL KNIHA VYPOC'!D221+'HL KNIHA VYPOC'!D226)*-1</f>
        <v>15612.46</v>
      </c>
      <c r="N1616" s="876"/>
      <c r="O1616" s="876"/>
      <c r="P1616" s="876"/>
      <c r="Q1616" s="876"/>
      <c r="R1616" s="876"/>
      <c r="S1616" s="876"/>
      <c r="T1616" s="876"/>
      <c r="U1616" s="876">
        <f>SUM('HL KNIHA VYPOC'!F221+'HL KNIHA VYPOC'!F226)</f>
        <v>0</v>
      </c>
      <c r="V1616" s="876"/>
      <c r="W1616" s="876"/>
      <c r="X1616" s="876"/>
      <c r="Y1616" s="876"/>
      <c r="Z1616" s="876"/>
      <c r="AA1616" s="876"/>
      <c r="AB1616" s="876">
        <f>SUM('HL KNIHA VYPOC'!E221+'HL KNIHA VYPOC'!E226)</f>
        <v>0</v>
      </c>
      <c r="AC1616" s="876"/>
      <c r="AD1616" s="876"/>
      <c r="AE1616" s="876"/>
      <c r="AF1616" s="876"/>
      <c r="AG1616" s="876"/>
      <c r="AH1616" s="876"/>
      <c r="AI1616" s="876"/>
      <c r="AJ1616" s="876"/>
      <c r="AK1616" s="876"/>
      <c r="AL1616" s="876"/>
      <c r="AM1616" s="876"/>
      <c r="AN1616" s="876"/>
      <c r="AO1616" s="876"/>
      <c r="AP1616" s="876">
        <f t="shared" si="1"/>
        <v>15612.46</v>
      </c>
      <c r="AQ1616" s="876"/>
      <c r="AR1616" s="876"/>
      <c r="AS1616" s="876"/>
      <c r="AT1616" s="876"/>
      <c r="AU1616" s="876"/>
      <c r="AV1616" s="876"/>
      <c r="AW1616" s="213"/>
      <c r="AX1616" s="213"/>
      <c r="AY1616" s="213"/>
      <c r="AZ1616" s="213"/>
      <c r="BA1616" s="213"/>
      <c r="BB1616" s="213"/>
    </row>
    <row r="1617" spans="1:54" ht="12.6" customHeight="1" x14ac:dyDescent="0.25">
      <c r="A1617" s="253" t="s">
        <v>2100</v>
      </c>
      <c r="B1617" s="246"/>
      <c r="C1617" s="246"/>
      <c r="D1617" s="246"/>
      <c r="E1617" s="246"/>
      <c r="F1617" s="246"/>
      <c r="G1617" s="246"/>
      <c r="H1617" s="246"/>
      <c r="I1617" s="246"/>
      <c r="J1617" s="246"/>
      <c r="K1617" s="246"/>
      <c r="L1617" s="248"/>
      <c r="M1617" s="820">
        <f>SUM('HL KNIHA VYPOC'!D228)*-1</f>
        <v>0</v>
      </c>
      <c r="N1617" s="820"/>
      <c r="O1617" s="820"/>
      <c r="P1617" s="820"/>
      <c r="Q1617" s="820"/>
      <c r="R1617" s="820"/>
      <c r="S1617" s="820"/>
      <c r="T1617" s="820"/>
      <c r="U1617" s="820">
        <f>SUM('HL KNIHA VYPOC'!F228)</f>
        <v>0</v>
      </c>
      <c r="V1617" s="820"/>
      <c r="W1617" s="820"/>
      <c r="X1617" s="820"/>
      <c r="Y1617" s="820"/>
      <c r="Z1617" s="820"/>
      <c r="AA1617" s="820"/>
      <c r="AB1617" s="820">
        <f>SUM('HL KNIHA VYPOC'!F228)</f>
        <v>0</v>
      </c>
      <c r="AC1617" s="820"/>
      <c r="AD1617" s="820"/>
      <c r="AE1617" s="820"/>
      <c r="AF1617" s="820"/>
      <c r="AG1617" s="820"/>
      <c r="AH1617" s="820"/>
      <c r="AI1617" s="820"/>
      <c r="AJ1617" s="820"/>
      <c r="AK1617" s="820"/>
      <c r="AL1617" s="820"/>
      <c r="AM1617" s="820"/>
      <c r="AN1617" s="820"/>
      <c r="AO1617" s="820"/>
      <c r="AP1617" s="820">
        <f t="shared" si="1"/>
        <v>0</v>
      </c>
      <c r="AQ1617" s="820"/>
      <c r="AR1617" s="820"/>
      <c r="AS1617" s="820"/>
      <c r="AT1617" s="820"/>
      <c r="AU1617" s="820"/>
      <c r="AV1617" s="820"/>
      <c r="AW1617" s="213"/>
      <c r="AX1617" s="213"/>
      <c r="AY1617" s="213"/>
      <c r="AZ1617" s="213"/>
      <c r="BA1617" s="213"/>
      <c r="BB1617" s="213"/>
    </row>
    <row r="1618" spans="1:54" ht="12.6" customHeight="1" x14ac:dyDescent="0.25">
      <c r="A1618" s="258" t="s">
        <v>2101</v>
      </c>
      <c r="B1618" s="247"/>
      <c r="C1618" s="247"/>
      <c r="D1618" s="247"/>
      <c r="E1618" s="247"/>
      <c r="F1618" s="247"/>
      <c r="G1618" s="247"/>
      <c r="H1618" s="247"/>
      <c r="I1618" s="247"/>
      <c r="J1618" s="247"/>
      <c r="K1618" s="247"/>
      <c r="L1618" s="252"/>
      <c r="M1618" s="820">
        <f>SUM('HL KNIHA VYPOC'!D229)*-1</f>
        <v>93424.19</v>
      </c>
      <c r="N1618" s="820"/>
      <c r="O1618" s="820"/>
      <c r="P1618" s="820"/>
      <c r="Q1618" s="820"/>
      <c r="R1618" s="820"/>
      <c r="S1618" s="820"/>
      <c r="T1618" s="820"/>
      <c r="U1618" s="820">
        <f>SUM('HL KNIHA VYPOC'!F229)</f>
        <v>0</v>
      </c>
      <c r="V1618" s="820"/>
      <c r="W1618" s="820"/>
      <c r="X1618" s="820"/>
      <c r="Y1618" s="820"/>
      <c r="Z1618" s="820"/>
      <c r="AA1618" s="820"/>
      <c r="AB1618" s="820">
        <f>SUM('HL KNIHA VYPOC'!E229)</f>
        <v>0</v>
      </c>
      <c r="AC1618" s="820"/>
      <c r="AD1618" s="820"/>
      <c r="AE1618" s="820"/>
      <c r="AF1618" s="820"/>
      <c r="AG1618" s="820"/>
      <c r="AH1618" s="820"/>
      <c r="AI1618" s="820"/>
      <c r="AJ1618" s="820"/>
      <c r="AK1618" s="820"/>
      <c r="AL1618" s="820"/>
      <c r="AM1618" s="820"/>
      <c r="AN1618" s="820"/>
      <c r="AO1618" s="820"/>
      <c r="AP1618" s="820">
        <f t="shared" si="1"/>
        <v>93424.19</v>
      </c>
      <c r="AQ1618" s="820"/>
      <c r="AR1618" s="820"/>
      <c r="AS1618" s="820"/>
      <c r="AT1618" s="820"/>
      <c r="AU1618" s="820"/>
      <c r="AV1618" s="820"/>
      <c r="AW1618" s="213"/>
      <c r="AX1618" s="213"/>
      <c r="AY1618" s="213"/>
      <c r="AZ1618" s="213"/>
      <c r="BA1618" s="213"/>
      <c r="BB1618" s="213"/>
    </row>
    <row r="1619" spans="1:54" ht="12.6" customHeight="1" x14ac:dyDescent="0.25">
      <c r="A1619" s="257" t="s">
        <v>2102</v>
      </c>
      <c r="B1619" s="249"/>
      <c r="C1619" s="249"/>
      <c r="D1619" s="249"/>
      <c r="E1619" s="249"/>
      <c r="F1619" s="249"/>
      <c r="G1619" s="249"/>
      <c r="H1619" s="249"/>
      <c r="I1619" s="249"/>
      <c r="J1619" s="249"/>
      <c r="K1619" s="249"/>
      <c r="L1619" s="250"/>
      <c r="M1619" s="820">
        <f>SUM('HL KNIHA VYPOC'!D218)*-1</f>
        <v>0</v>
      </c>
      <c r="N1619" s="820"/>
      <c r="O1619" s="820"/>
      <c r="P1619" s="820"/>
      <c r="Q1619" s="820"/>
      <c r="R1619" s="820"/>
      <c r="S1619" s="820"/>
      <c r="T1619" s="820"/>
      <c r="U1619" s="820">
        <f>SUM('HL KNIHA VYPOC'!F218)</f>
        <v>0</v>
      </c>
      <c r="V1619" s="820"/>
      <c r="W1619" s="820"/>
      <c r="X1619" s="820"/>
      <c r="Y1619" s="820"/>
      <c r="Z1619" s="820"/>
      <c r="AA1619" s="820"/>
      <c r="AB1619" s="820">
        <f>SUM('HL KNIHA VYPOC'!E218)</f>
        <v>0</v>
      </c>
      <c r="AC1619" s="820"/>
      <c r="AD1619" s="820"/>
      <c r="AE1619" s="820"/>
      <c r="AF1619" s="820"/>
      <c r="AG1619" s="820"/>
      <c r="AH1619" s="820"/>
      <c r="AI1619" s="820"/>
      <c r="AJ1619" s="820"/>
      <c r="AK1619" s="820"/>
      <c r="AL1619" s="820"/>
      <c r="AM1619" s="820"/>
      <c r="AN1619" s="820"/>
      <c r="AO1619" s="820"/>
      <c r="AP1619" s="820">
        <f t="shared" si="1"/>
        <v>0</v>
      </c>
      <c r="AQ1619" s="820"/>
      <c r="AR1619" s="820"/>
      <c r="AS1619" s="820"/>
      <c r="AT1619" s="820"/>
      <c r="AU1619" s="820"/>
      <c r="AV1619" s="820"/>
      <c r="AW1619" s="213"/>
      <c r="AX1619" s="213"/>
      <c r="AY1619" s="213"/>
      <c r="AZ1619" s="213"/>
      <c r="BA1619" s="213"/>
      <c r="BB1619" s="213"/>
    </row>
    <row r="1620" spans="1:54" ht="12.6" customHeight="1" x14ac:dyDescent="0.25">
      <c r="A1620" s="281" t="s">
        <v>2103</v>
      </c>
      <c r="B1620" s="208"/>
      <c r="C1620" s="208"/>
      <c r="D1620" s="208"/>
      <c r="E1620" s="208"/>
      <c r="F1620" s="208"/>
      <c r="G1620" s="208"/>
      <c r="H1620" s="208"/>
      <c r="I1620" s="208"/>
      <c r="J1620" s="208"/>
      <c r="K1620" s="208"/>
      <c r="L1620" s="245"/>
      <c r="M1620" s="820"/>
      <c r="N1620" s="820"/>
      <c r="O1620" s="820"/>
      <c r="P1620" s="820"/>
      <c r="Q1620" s="820"/>
      <c r="R1620" s="820"/>
      <c r="S1620" s="820"/>
      <c r="T1620" s="820"/>
      <c r="U1620" s="820"/>
      <c r="V1620" s="820"/>
      <c r="W1620" s="820"/>
      <c r="X1620" s="820"/>
      <c r="Y1620" s="820"/>
      <c r="Z1620" s="820"/>
      <c r="AA1620" s="820"/>
      <c r="AB1620" s="820"/>
      <c r="AC1620" s="820"/>
      <c r="AD1620" s="820"/>
      <c r="AE1620" s="820"/>
      <c r="AF1620" s="820"/>
      <c r="AG1620" s="820"/>
      <c r="AH1620" s="820"/>
      <c r="AI1620" s="820"/>
      <c r="AJ1620" s="820"/>
      <c r="AK1620" s="820"/>
      <c r="AL1620" s="820"/>
      <c r="AM1620" s="820"/>
      <c r="AN1620" s="820"/>
      <c r="AO1620" s="820"/>
      <c r="AP1620" s="820"/>
      <c r="AQ1620" s="820"/>
      <c r="AR1620" s="820"/>
      <c r="AS1620" s="820"/>
      <c r="AT1620" s="820"/>
      <c r="AU1620" s="820"/>
      <c r="AV1620" s="820"/>
      <c r="AW1620" s="213"/>
      <c r="AX1620" s="213"/>
      <c r="AY1620" s="213"/>
      <c r="AZ1620" s="213"/>
      <c r="BA1620" s="213"/>
      <c r="BB1620" s="213"/>
    </row>
    <row r="1621" spans="1:54" ht="12.6" customHeight="1" x14ac:dyDescent="0.25">
      <c r="A1621" s="258" t="s">
        <v>2104</v>
      </c>
      <c r="B1621" s="247"/>
      <c r="C1621" s="247"/>
      <c r="D1621" s="247"/>
      <c r="E1621" s="247"/>
      <c r="F1621" s="247"/>
      <c r="G1621" s="247"/>
      <c r="H1621" s="247"/>
      <c r="I1621" s="247"/>
      <c r="J1621" s="247"/>
      <c r="K1621" s="247"/>
      <c r="L1621" s="252"/>
      <c r="M1621" s="820"/>
      <c r="N1621" s="820"/>
      <c r="O1621" s="820"/>
      <c r="P1621" s="820"/>
      <c r="Q1621" s="820"/>
      <c r="R1621" s="820"/>
      <c r="S1621" s="820"/>
      <c r="T1621" s="820"/>
      <c r="U1621" s="820"/>
      <c r="V1621" s="820"/>
      <c r="W1621" s="820"/>
      <c r="X1621" s="820"/>
      <c r="Y1621" s="820"/>
      <c r="Z1621" s="820"/>
      <c r="AA1621" s="820"/>
      <c r="AB1621" s="820"/>
      <c r="AC1621" s="820"/>
      <c r="AD1621" s="820"/>
      <c r="AE1621" s="820"/>
      <c r="AF1621" s="820"/>
      <c r="AG1621" s="820"/>
      <c r="AH1621" s="820"/>
      <c r="AI1621" s="820"/>
      <c r="AJ1621" s="820"/>
      <c r="AK1621" s="820"/>
      <c r="AL1621" s="820"/>
      <c r="AM1621" s="820"/>
      <c r="AN1621" s="820"/>
      <c r="AO1621" s="820"/>
      <c r="AP1621" s="820"/>
      <c r="AQ1621" s="820"/>
      <c r="AR1621" s="820"/>
      <c r="AS1621" s="820"/>
      <c r="AT1621" s="820"/>
      <c r="AU1621" s="820"/>
      <c r="AV1621" s="820"/>
      <c r="AW1621" s="213"/>
      <c r="AX1621" s="213"/>
      <c r="AY1621" s="213"/>
      <c r="AZ1621" s="213"/>
      <c r="BA1621" s="213"/>
      <c r="BB1621" s="213"/>
    </row>
    <row r="1622" spans="1:54" ht="12.6" customHeight="1" x14ac:dyDescent="0.25">
      <c r="A1622" s="257" t="s">
        <v>2102</v>
      </c>
      <c r="B1622" s="249"/>
      <c r="C1622" s="249"/>
      <c r="D1622" s="249"/>
      <c r="E1622" s="249"/>
      <c r="F1622" s="249"/>
      <c r="G1622" s="249"/>
      <c r="H1622" s="249"/>
      <c r="I1622" s="249"/>
      <c r="J1622" s="249"/>
      <c r="K1622" s="249"/>
      <c r="L1622" s="250"/>
      <c r="M1622" s="820">
        <f>SUM('HL KNIHA VYPOC'!D219)*-1</f>
        <v>0</v>
      </c>
      <c r="N1622" s="820"/>
      <c r="O1622" s="820"/>
      <c r="P1622" s="820"/>
      <c r="Q1622" s="820"/>
      <c r="R1622" s="820"/>
      <c r="S1622" s="820"/>
      <c r="T1622" s="820"/>
      <c r="U1622" s="820">
        <f>SUM('HL KNIHA VYPOC'!F219)</f>
        <v>0</v>
      </c>
      <c r="V1622" s="820"/>
      <c r="W1622" s="820"/>
      <c r="X1622" s="820"/>
      <c r="Y1622" s="820"/>
      <c r="Z1622" s="820"/>
      <c r="AA1622" s="820"/>
      <c r="AB1622" s="820">
        <f>SUM('HL KNIHA VYPOC'!E219)</f>
        <v>0</v>
      </c>
      <c r="AC1622" s="820"/>
      <c r="AD1622" s="820"/>
      <c r="AE1622" s="820"/>
      <c r="AF1622" s="820"/>
      <c r="AG1622" s="820"/>
      <c r="AH1622" s="820"/>
      <c r="AI1622" s="820"/>
      <c r="AJ1622" s="820"/>
      <c r="AK1622" s="820"/>
      <c r="AL1622" s="820"/>
      <c r="AM1622" s="820"/>
      <c r="AN1622" s="820"/>
      <c r="AO1622" s="820"/>
      <c r="AP1622" s="820">
        <f>SUM(M1622+U1622-AB1622+AI1622)</f>
        <v>0</v>
      </c>
      <c r="AQ1622" s="820"/>
      <c r="AR1622" s="820"/>
      <c r="AS1622" s="820"/>
      <c r="AT1622" s="820"/>
      <c r="AU1622" s="820"/>
      <c r="AV1622" s="820"/>
      <c r="AW1622" s="213"/>
      <c r="AX1622" s="213"/>
      <c r="AY1622" s="213"/>
      <c r="AZ1622" s="213"/>
      <c r="BA1622" s="213"/>
      <c r="BB1622" s="213"/>
    </row>
    <row r="1623" spans="1:54" ht="12.6" customHeight="1" x14ac:dyDescent="0.25">
      <c r="A1623" s="258" t="s">
        <v>2105</v>
      </c>
      <c r="B1623" s="247"/>
      <c r="C1623" s="247"/>
      <c r="D1623" s="247"/>
      <c r="E1623" s="247"/>
      <c r="F1623" s="247"/>
      <c r="G1623" s="247"/>
      <c r="H1623" s="247"/>
      <c r="I1623" s="247"/>
      <c r="J1623" s="247"/>
      <c r="K1623" s="247"/>
      <c r="L1623" s="252"/>
      <c r="M1623" s="820"/>
      <c r="N1623" s="820"/>
      <c r="O1623" s="820"/>
      <c r="P1623" s="820"/>
      <c r="Q1623" s="820"/>
      <c r="R1623" s="820"/>
      <c r="S1623" s="820"/>
      <c r="T1623" s="820"/>
      <c r="U1623" s="820"/>
      <c r="V1623" s="820"/>
      <c r="W1623" s="820"/>
      <c r="X1623" s="820"/>
      <c r="Y1623" s="820"/>
      <c r="Z1623" s="820"/>
      <c r="AA1623" s="820"/>
      <c r="AB1623" s="820"/>
      <c r="AC1623" s="820"/>
      <c r="AD1623" s="820"/>
      <c r="AE1623" s="820"/>
      <c r="AF1623" s="820"/>
      <c r="AG1623" s="820"/>
      <c r="AH1623" s="820"/>
      <c r="AI1623" s="820"/>
      <c r="AJ1623" s="820"/>
      <c r="AK1623" s="820"/>
      <c r="AL1623" s="820"/>
      <c r="AM1623" s="820"/>
      <c r="AN1623" s="820"/>
      <c r="AO1623" s="820"/>
      <c r="AP1623" s="820"/>
      <c r="AQ1623" s="820"/>
      <c r="AR1623" s="820"/>
      <c r="AS1623" s="820"/>
      <c r="AT1623" s="820"/>
      <c r="AU1623" s="820"/>
      <c r="AV1623" s="820"/>
      <c r="AW1623" s="213"/>
      <c r="AX1623" s="213"/>
      <c r="AY1623" s="213"/>
      <c r="AZ1623" s="213"/>
      <c r="BA1623" s="213"/>
      <c r="BB1623" s="213"/>
    </row>
    <row r="1624" spans="1:54" ht="12.6" customHeight="1" x14ac:dyDescent="0.25">
      <c r="A1624" s="257" t="s">
        <v>2102</v>
      </c>
      <c r="B1624" s="249"/>
      <c r="C1624" s="249"/>
      <c r="D1624" s="249"/>
      <c r="E1624" s="249"/>
      <c r="F1624" s="249"/>
      <c r="G1624" s="249"/>
      <c r="H1624" s="249"/>
      <c r="I1624" s="249"/>
      <c r="J1624" s="249"/>
      <c r="K1624" s="249"/>
      <c r="L1624" s="250"/>
      <c r="M1624" s="820">
        <f>SUM('HL KNIHA VYPOC'!D220)*-1</f>
        <v>0</v>
      </c>
      <c r="N1624" s="820"/>
      <c r="O1624" s="820"/>
      <c r="P1624" s="820"/>
      <c r="Q1624" s="820"/>
      <c r="R1624" s="820"/>
      <c r="S1624" s="820"/>
      <c r="T1624" s="820"/>
      <c r="U1624" s="820">
        <f>SUM('HL KNIHA VYPOC'!F220)</f>
        <v>0</v>
      </c>
      <c r="V1624" s="820"/>
      <c r="W1624" s="820"/>
      <c r="X1624" s="820"/>
      <c r="Y1624" s="820"/>
      <c r="Z1624" s="820"/>
      <c r="AA1624" s="820"/>
      <c r="AB1624" s="820">
        <f>SUM('HL KNIHA VYPOC'!E220)</f>
        <v>0</v>
      </c>
      <c r="AC1624" s="820"/>
      <c r="AD1624" s="820"/>
      <c r="AE1624" s="820"/>
      <c r="AF1624" s="820"/>
      <c r="AG1624" s="820"/>
      <c r="AH1624" s="820"/>
      <c r="AI1624" s="820"/>
      <c r="AJ1624" s="820"/>
      <c r="AK1624" s="820"/>
      <c r="AL1624" s="820"/>
      <c r="AM1624" s="820"/>
      <c r="AN1624" s="820"/>
      <c r="AO1624" s="820"/>
      <c r="AP1624" s="820">
        <f>SUM(M1624+U1624-AB1624+AI1624)</f>
        <v>0</v>
      </c>
      <c r="AQ1624" s="820"/>
      <c r="AR1624" s="820"/>
      <c r="AS1624" s="820"/>
      <c r="AT1624" s="820"/>
      <c r="AU1624" s="820"/>
      <c r="AV1624" s="820"/>
      <c r="AW1624" s="213"/>
      <c r="AX1624" s="213"/>
      <c r="AY1624" s="213"/>
      <c r="AZ1624" s="213"/>
      <c r="BA1624" s="213"/>
      <c r="BB1624" s="213"/>
    </row>
    <row r="1625" spans="1:54" ht="12.6" customHeight="1" x14ac:dyDescent="0.25">
      <c r="A1625" s="281" t="s">
        <v>2106</v>
      </c>
      <c r="B1625" s="208"/>
      <c r="C1625" s="208"/>
      <c r="D1625" s="208"/>
      <c r="E1625" s="208"/>
      <c r="F1625" s="208"/>
      <c r="G1625" s="208"/>
      <c r="H1625" s="208"/>
      <c r="I1625" s="208"/>
      <c r="J1625" s="208"/>
      <c r="K1625" s="208"/>
      <c r="L1625" s="245"/>
      <c r="M1625" s="820"/>
      <c r="N1625" s="820"/>
      <c r="O1625" s="820"/>
      <c r="P1625" s="820"/>
      <c r="Q1625" s="820"/>
      <c r="R1625" s="820"/>
      <c r="S1625" s="820"/>
      <c r="T1625" s="820"/>
      <c r="U1625" s="820"/>
      <c r="V1625" s="820"/>
      <c r="W1625" s="820"/>
      <c r="X1625" s="820"/>
      <c r="Y1625" s="820"/>
      <c r="Z1625" s="820"/>
      <c r="AA1625" s="820"/>
      <c r="AB1625" s="820"/>
      <c r="AC1625" s="820"/>
      <c r="AD1625" s="820"/>
      <c r="AE1625" s="820"/>
      <c r="AF1625" s="820"/>
      <c r="AG1625" s="820"/>
      <c r="AH1625" s="820"/>
      <c r="AI1625" s="820"/>
      <c r="AJ1625" s="820"/>
      <c r="AK1625" s="820"/>
      <c r="AL1625" s="820"/>
      <c r="AM1625" s="820"/>
      <c r="AN1625" s="820"/>
      <c r="AO1625" s="820"/>
      <c r="AP1625" s="820"/>
      <c r="AQ1625" s="820"/>
      <c r="AR1625" s="820"/>
      <c r="AS1625" s="820"/>
      <c r="AT1625" s="820"/>
      <c r="AU1625" s="820"/>
      <c r="AV1625" s="820"/>
      <c r="AW1625" s="213"/>
      <c r="AX1625" s="213"/>
      <c r="AY1625" s="213"/>
      <c r="AZ1625" s="213"/>
      <c r="BA1625" s="213"/>
      <c r="BB1625" s="213"/>
    </row>
    <row r="1626" spans="1:54" ht="12.6" customHeight="1" x14ac:dyDescent="0.25">
      <c r="A1626" s="281" t="s">
        <v>2107</v>
      </c>
      <c r="B1626" s="208"/>
      <c r="C1626" s="208"/>
      <c r="D1626" s="208"/>
      <c r="E1626" s="208"/>
      <c r="F1626" s="208"/>
      <c r="G1626" s="208"/>
      <c r="H1626" s="208"/>
      <c r="I1626" s="208"/>
      <c r="J1626" s="208"/>
      <c r="K1626" s="208"/>
      <c r="L1626" s="245"/>
      <c r="M1626" s="820"/>
      <c r="N1626" s="820"/>
      <c r="O1626" s="820"/>
      <c r="P1626" s="820"/>
      <c r="Q1626" s="820"/>
      <c r="R1626" s="820"/>
      <c r="S1626" s="820"/>
      <c r="T1626" s="820"/>
      <c r="U1626" s="820"/>
      <c r="V1626" s="820"/>
      <c r="W1626" s="820"/>
      <c r="X1626" s="820"/>
      <c r="Y1626" s="820"/>
      <c r="Z1626" s="820"/>
      <c r="AA1626" s="820"/>
      <c r="AB1626" s="820"/>
      <c r="AC1626" s="820"/>
      <c r="AD1626" s="820"/>
      <c r="AE1626" s="820"/>
      <c r="AF1626" s="820"/>
      <c r="AG1626" s="820"/>
      <c r="AH1626" s="820"/>
      <c r="AI1626" s="820"/>
      <c r="AJ1626" s="820"/>
      <c r="AK1626" s="820"/>
      <c r="AL1626" s="820"/>
      <c r="AM1626" s="820"/>
      <c r="AN1626" s="820"/>
      <c r="AO1626" s="820"/>
      <c r="AP1626" s="820"/>
      <c r="AQ1626" s="820"/>
      <c r="AR1626" s="820"/>
      <c r="AS1626" s="820"/>
      <c r="AT1626" s="820"/>
      <c r="AU1626" s="820"/>
      <c r="AV1626" s="820"/>
      <c r="AW1626" s="213"/>
      <c r="AX1626" s="213"/>
      <c r="AY1626" s="213"/>
      <c r="AZ1626" s="213"/>
      <c r="BA1626" s="213"/>
      <c r="BB1626" s="213"/>
    </row>
    <row r="1627" spans="1:54" ht="12.6" customHeight="1" x14ac:dyDescent="0.25">
      <c r="A1627" s="258" t="s">
        <v>2108</v>
      </c>
      <c r="B1627" s="247"/>
      <c r="C1627" s="247"/>
      <c r="D1627" s="247"/>
      <c r="E1627" s="247"/>
      <c r="F1627" s="247"/>
      <c r="G1627" s="247"/>
      <c r="H1627" s="247"/>
      <c r="I1627" s="247"/>
      <c r="J1627" s="247"/>
      <c r="K1627" s="247"/>
      <c r="L1627" s="252"/>
      <c r="M1627" s="820"/>
      <c r="N1627" s="820"/>
      <c r="O1627" s="820"/>
      <c r="P1627" s="820"/>
      <c r="Q1627" s="820"/>
      <c r="R1627" s="820"/>
      <c r="S1627" s="820"/>
      <c r="T1627" s="820"/>
      <c r="U1627" s="820"/>
      <c r="V1627" s="820"/>
      <c r="W1627" s="820"/>
      <c r="X1627" s="820"/>
      <c r="Y1627" s="820"/>
      <c r="Z1627" s="820"/>
      <c r="AA1627" s="820"/>
      <c r="AB1627" s="820"/>
      <c r="AC1627" s="820"/>
      <c r="AD1627" s="820"/>
      <c r="AE1627" s="820"/>
      <c r="AF1627" s="820"/>
      <c r="AG1627" s="820"/>
      <c r="AH1627" s="820"/>
      <c r="AI1627" s="820"/>
      <c r="AJ1627" s="820"/>
      <c r="AK1627" s="820"/>
      <c r="AL1627" s="820"/>
      <c r="AM1627" s="820"/>
      <c r="AN1627" s="820"/>
      <c r="AO1627" s="820"/>
      <c r="AP1627" s="820"/>
      <c r="AQ1627" s="820"/>
      <c r="AR1627" s="820"/>
      <c r="AS1627" s="820"/>
      <c r="AT1627" s="820"/>
      <c r="AU1627" s="820"/>
      <c r="AV1627" s="820"/>
      <c r="AW1627" s="213"/>
      <c r="AX1627" s="213"/>
      <c r="AY1627" s="213"/>
      <c r="AZ1627" s="213"/>
      <c r="BA1627" s="213"/>
      <c r="BB1627" s="213"/>
    </row>
    <row r="1628" spans="1:54" ht="12.6" customHeight="1" x14ac:dyDescent="0.25">
      <c r="A1628" s="257" t="s">
        <v>2109</v>
      </c>
      <c r="B1628" s="249"/>
      <c r="C1628" s="249"/>
      <c r="D1628" s="249"/>
      <c r="E1628" s="249"/>
      <c r="F1628" s="249"/>
      <c r="G1628" s="249"/>
      <c r="H1628" s="249"/>
      <c r="I1628" s="249"/>
      <c r="J1628" s="249"/>
      <c r="K1628" s="249"/>
      <c r="L1628" s="250"/>
      <c r="M1628" s="820">
        <f>SUM('HL KNIHA VYPOC'!D230)*-1</f>
        <v>0</v>
      </c>
      <c r="N1628" s="820"/>
      <c r="O1628" s="820"/>
      <c r="P1628" s="820"/>
      <c r="Q1628" s="820"/>
      <c r="R1628" s="820"/>
      <c r="S1628" s="820"/>
      <c r="T1628" s="820"/>
      <c r="U1628" s="820">
        <f>SUM('HL KNIHA VYPOC'!F230)</f>
        <v>0</v>
      </c>
      <c r="V1628" s="820"/>
      <c r="W1628" s="820"/>
      <c r="X1628" s="820"/>
      <c r="Y1628" s="820"/>
      <c r="Z1628" s="820"/>
      <c r="AA1628" s="820"/>
      <c r="AB1628" s="820">
        <f>SUM('HL KNIHA VYPOC'!E230)</f>
        <v>0</v>
      </c>
      <c r="AC1628" s="820"/>
      <c r="AD1628" s="820"/>
      <c r="AE1628" s="820"/>
      <c r="AF1628" s="820"/>
      <c r="AG1628" s="820"/>
      <c r="AH1628" s="820"/>
      <c r="AI1628" s="820"/>
      <c r="AJ1628" s="820"/>
      <c r="AK1628" s="820"/>
      <c r="AL1628" s="820"/>
      <c r="AM1628" s="820"/>
      <c r="AN1628" s="820"/>
      <c r="AO1628" s="820"/>
      <c r="AP1628" s="820">
        <f>SUM(M1628+U1628-AB1628+AI1628)</f>
        <v>0</v>
      </c>
      <c r="AQ1628" s="820"/>
      <c r="AR1628" s="820"/>
      <c r="AS1628" s="820"/>
      <c r="AT1628" s="820"/>
      <c r="AU1628" s="820"/>
      <c r="AV1628" s="820"/>
      <c r="AW1628" s="213"/>
      <c r="AX1628" s="213"/>
      <c r="AY1628" s="213"/>
      <c r="AZ1628" s="213"/>
      <c r="BA1628" s="213"/>
      <c r="BB1628" s="213"/>
    </row>
    <row r="1629" spans="1:54" ht="12.6" customHeight="1" x14ac:dyDescent="0.25">
      <c r="A1629" s="258" t="s">
        <v>2110</v>
      </c>
      <c r="B1629" s="247"/>
      <c r="C1629" s="247"/>
      <c r="D1629" s="247"/>
      <c r="E1629" s="247"/>
      <c r="F1629" s="247"/>
      <c r="G1629" s="247"/>
      <c r="H1629" s="247"/>
      <c r="I1629" s="247"/>
      <c r="J1629" s="247"/>
      <c r="K1629" s="247"/>
      <c r="L1629" s="252"/>
      <c r="M1629" s="820"/>
      <c r="N1629" s="820"/>
      <c r="O1629" s="820"/>
      <c r="P1629" s="820"/>
      <c r="Q1629" s="820"/>
      <c r="R1629" s="820"/>
      <c r="S1629" s="820"/>
      <c r="T1629" s="820"/>
      <c r="U1629" s="820"/>
      <c r="V1629" s="820"/>
      <c r="W1629" s="820"/>
      <c r="X1629" s="820"/>
      <c r="Y1629" s="820"/>
      <c r="Z1629" s="820"/>
      <c r="AA1629" s="820"/>
      <c r="AB1629" s="820"/>
      <c r="AC1629" s="820"/>
      <c r="AD1629" s="820"/>
      <c r="AE1629" s="820"/>
      <c r="AF1629" s="820"/>
      <c r="AG1629" s="820"/>
      <c r="AH1629" s="820"/>
      <c r="AI1629" s="820"/>
      <c r="AJ1629" s="820"/>
      <c r="AK1629" s="820"/>
      <c r="AL1629" s="820"/>
      <c r="AM1629" s="820"/>
      <c r="AN1629" s="820"/>
      <c r="AO1629" s="820"/>
      <c r="AP1629" s="820"/>
      <c r="AQ1629" s="820"/>
      <c r="AR1629" s="820"/>
      <c r="AS1629" s="820"/>
      <c r="AT1629" s="820"/>
      <c r="AU1629" s="820"/>
      <c r="AV1629" s="820"/>
      <c r="AW1629" s="213"/>
      <c r="AX1629" s="213"/>
      <c r="AY1629" s="213"/>
      <c r="AZ1629" s="213"/>
      <c r="BA1629" s="213"/>
      <c r="BB1629" s="213"/>
    </row>
    <row r="1630" spans="1:54" ht="12.6" customHeight="1" x14ac:dyDescent="0.25">
      <c r="A1630" s="257" t="s">
        <v>2111</v>
      </c>
      <c r="B1630" s="249"/>
      <c r="C1630" s="249"/>
      <c r="D1630" s="249"/>
      <c r="E1630" s="249"/>
      <c r="F1630" s="249"/>
      <c r="G1630" s="249"/>
      <c r="H1630" s="249"/>
      <c r="I1630" s="249"/>
      <c r="J1630" s="249"/>
      <c r="K1630" s="249"/>
      <c r="L1630" s="250"/>
      <c r="M1630" s="820">
        <f>SUM('HL KNIHA VYPOC'!D231)*-1</f>
        <v>-224383.92</v>
      </c>
      <c r="N1630" s="820"/>
      <c r="O1630" s="820"/>
      <c r="P1630" s="820"/>
      <c r="Q1630" s="820"/>
      <c r="R1630" s="820"/>
      <c r="S1630" s="820"/>
      <c r="T1630" s="820"/>
      <c r="U1630" s="820">
        <f>SUM('HL KNIHA VYPOC'!F231)</f>
        <v>15943.14</v>
      </c>
      <c r="V1630" s="820"/>
      <c r="W1630" s="820"/>
      <c r="X1630" s="820"/>
      <c r="Y1630" s="820"/>
      <c r="Z1630" s="820"/>
      <c r="AA1630" s="820"/>
      <c r="AB1630" s="820">
        <f>SUM('HL KNIHA VYPOC'!E231)</f>
        <v>0</v>
      </c>
      <c r="AC1630" s="820"/>
      <c r="AD1630" s="820"/>
      <c r="AE1630" s="820"/>
      <c r="AF1630" s="820"/>
      <c r="AG1630" s="820"/>
      <c r="AH1630" s="820"/>
      <c r="AI1630" s="820"/>
      <c r="AJ1630" s="820"/>
      <c r="AK1630" s="820"/>
      <c r="AL1630" s="820"/>
      <c r="AM1630" s="820"/>
      <c r="AN1630" s="820"/>
      <c r="AO1630" s="820"/>
      <c r="AP1630" s="820">
        <f>SUM(M1630+U1630-AB1630+AI1630)</f>
        <v>-208440.78000000003</v>
      </c>
      <c r="AQ1630" s="820"/>
      <c r="AR1630" s="820"/>
      <c r="AS1630" s="820"/>
      <c r="AT1630" s="820"/>
      <c r="AU1630" s="820"/>
      <c r="AV1630" s="820"/>
      <c r="AW1630" s="213"/>
      <c r="AX1630" s="213"/>
      <c r="AY1630" s="213"/>
      <c r="AZ1630" s="213"/>
      <c r="BA1630" s="213"/>
      <c r="BB1630" s="213"/>
    </row>
    <row r="1631" spans="1:54" ht="12.6" customHeight="1" x14ac:dyDescent="0.25">
      <c r="A1631" s="258" t="s">
        <v>2112</v>
      </c>
      <c r="B1631" s="247"/>
      <c r="C1631" s="247"/>
      <c r="D1631" s="247"/>
      <c r="E1631" s="247"/>
      <c r="F1631" s="247"/>
      <c r="G1631" s="247"/>
      <c r="H1631" s="247"/>
      <c r="I1631" s="247"/>
      <c r="J1631" s="247"/>
      <c r="K1631" s="247"/>
      <c r="L1631" s="252"/>
      <c r="M1631" s="820"/>
      <c r="N1631" s="820"/>
      <c r="O1631" s="820"/>
      <c r="P1631" s="820"/>
      <c r="Q1631" s="820"/>
      <c r="R1631" s="820"/>
      <c r="S1631" s="820"/>
      <c r="T1631" s="820"/>
      <c r="U1631" s="820"/>
      <c r="V1631" s="820"/>
      <c r="W1631" s="820"/>
      <c r="X1631" s="820"/>
      <c r="Y1631" s="820"/>
      <c r="Z1631" s="820"/>
      <c r="AA1631" s="820"/>
      <c r="AB1631" s="820"/>
      <c r="AC1631" s="820"/>
      <c r="AD1631" s="820"/>
      <c r="AE1631" s="820"/>
      <c r="AF1631" s="820"/>
      <c r="AG1631" s="820"/>
      <c r="AH1631" s="820"/>
      <c r="AI1631" s="820"/>
      <c r="AJ1631" s="820"/>
      <c r="AK1631" s="820"/>
      <c r="AL1631" s="820"/>
      <c r="AM1631" s="820"/>
      <c r="AN1631" s="820"/>
      <c r="AO1631" s="820"/>
      <c r="AP1631" s="820"/>
      <c r="AQ1631" s="820"/>
      <c r="AR1631" s="820"/>
      <c r="AS1631" s="820"/>
      <c r="AT1631" s="820"/>
      <c r="AU1631" s="820"/>
      <c r="AV1631" s="820"/>
      <c r="AW1631" s="213"/>
      <c r="AX1631" s="213"/>
      <c r="AY1631" s="213"/>
      <c r="AZ1631" s="213"/>
      <c r="BA1631" s="213"/>
      <c r="BB1631" s="213"/>
    </row>
    <row r="1632" spans="1:54" ht="12.6" customHeight="1" x14ac:dyDescent="0.25">
      <c r="A1632" s="257" t="s">
        <v>1565</v>
      </c>
      <c r="B1632" s="249"/>
      <c r="C1632" s="249"/>
      <c r="D1632" s="249"/>
      <c r="E1632" s="249"/>
      <c r="F1632" s="249"/>
      <c r="G1632" s="249"/>
      <c r="H1632" s="249"/>
      <c r="I1632" s="249"/>
      <c r="J1632" s="249"/>
      <c r="K1632" s="249"/>
      <c r="L1632" s="250"/>
      <c r="M1632" s="820">
        <f>SUVAHAVUJ!$X$102</f>
        <v>172989</v>
      </c>
      <c r="N1632" s="820"/>
      <c r="O1632" s="820"/>
      <c r="P1632" s="820"/>
      <c r="Q1632" s="820"/>
      <c r="R1632" s="820"/>
      <c r="S1632" s="820"/>
      <c r="T1632" s="820"/>
      <c r="U1632" s="820"/>
      <c r="V1632" s="820"/>
      <c r="W1632" s="820"/>
      <c r="X1632" s="820"/>
      <c r="Y1632" s="820"/>
      <c r="Z1632" s="820"/>
      <c r="AA1632" s="820"/>
      <c r="AB1632" s="820"/>
      <c r="AC1632" s="820"/>
      <c r="AD1632" s="820"/>
      <c r="AE1632" s="820"/>
      <c r="AF1632" s="820"/>
      <c r="AG1632" s="820"/>
      <c r="AH1632" s="820"/>
      <c r="AI1632" s="820"/>
      <c r="AJ1632" s="820"/>
      <c r="AK1632" s="820"/>
      <c r="AL1632" s="820"/>
      <c r="AM1632" s="820"/>
      <c r="AN1632" s="820"/>
      <c r="AO1632" s="820"/>
      <c r="AP1632" s="820">
        <f>SUVAHAVUJ!$N$102</f>
        <v>155402</v>
      </c>
      <c r="AQ1632" s="820"/>
      <c r="AR1632" s="820"/>
      <c r="AS1632" s="820"/>
      <c r="AT1632" s="820"/>
      <c r="AU1632" s="820"/>
      <c r="AV1632" s="820"/>
      <c r="AW1632" s="213"/>
      <c r="AX1632" s="213"/>
      <c r="AY1632" s="213"/>
      <c r="AZ1632" s="213"/>
      <c r="BA1632" s="213"/>
      <c r="BB1632" s="213"/>
    </row>
    <row r="1633" spans="1:54" ht="12.6" customHeight="1" x14ac:dyDescent="0.25">
      <c r="A1633" s="281" t="s">
        <v>2113</v>
      </c>
      <c r="B1633" s="208"/>
      <c r="C1633" s="208"/>
      <c r="D1633" s="208"/>
      <c r="E1633" s="208"/>
      <c r="F1633" s="208"/>
      <c r="G1633" s="208"/>
      <c r="H1633" s="208"/>
      <c r="I1633" s="208"/>
      <c r="J1633" s="208"/>
      <c r="K1633" s="208"/>
      <c r="L1633" s="245"/>
      <c r="M1633" s="820"/>
      <c r="N1633" s="820"/>
      <c r="O1633" s="820"/>
      <c r="P1633" s="820"/>
      <c r="Q1633" s="820"/>
      <c r="R1633" s="820"/>
      <c r="S1633" s="820"/>
      <c r="T1633" s="820"/>
      <c r="U1633" s="820"/>
      <c r="V1633" s="820"/>
      <c r="W1633" s="820"/>
      <c r="X1633" s="820"/>
      <c r="Y1633" s="820"/>
      <c r="Z1633" s="820"/>
      <c r="AA1633" s="820"/>
      <c r="AB1633" s="820"/>
      <c r="AC1633" s="820"/>
      <c r="AD1633" s="820"/>
      <c r="AE1633" s="820"/>
      <c r="AF1633" s="820"/>
      <c r="AG1633" s="820"/>
      <c r="AH1633" s="820"/>
      <c r="AI1633" s="820"/>
      <c r="AJ1633" s="820"/>
      <c r="AK1633" s="820"/>
      <c r="AL1633" s="820"/>
      <c r="AM1633" s="820"/>
      <c r="AN1633" s="820"/>
      <c r="AO1633" s="820"/>
      <c r="AP1633" s="820"/>
      <c r="AQ1633" s="820"/>
      <c r="AR1633" s="820"/>
      <c r="AS1633" s="820"/>
      <c r="AT1633" s="820"/>
      <c r="AU1633" s="820"/>
      <c r="AV1633" s="820"/>
      <c r="AW1633" s="213"/>
      <c r="AX1633" s="213"/>
      <c r="AY1633" s="213"/>
      <c r="AZ1633" s="213"/>
      <c r="BA1633" s="213"/>
      <c r="BB1633" s="213"/>
    </row>
    <row r="1634" spans="1:54" ht="12.6" customHeight="1" x14ac:dyDescent="0.25">
      <c r="A1634" s="258" t="s">
        <v>1473</v>
      </c>
      <c r="B1634" s="247"/>
      <c r="C1634" s="247"/>
      <c r="D1634" s="247"/>
      <c r="E1634" s="247"/>
      <c r="F1634" s="247"/>
      <c r="G1634" s="247"/>
      <c r="H1634" s="247"/>
      <c r="I1634" s="247"/>
      <c r="J1634" s="247"/>
      <c r="K1634" s="247"/>
      <c r="L1634" s="252"/>
      <c r="M1634" s="820"/>
      <c r="N1634" s="820"/>
      <c r="O1634" s="820"/>
      <c r="P1634" s="820"/>
      <c r="Q1634" s="820"/>
      <c r="R1634" s="820"/>
      <c r="S1634" s="820"/>
      <c r="T1634" s="820"/>
      <c r="U1634" s="820"/>
      <c r="V1634" s="820"/>
      <c r="W1634" s="820"/>
      <c r="X1634" s="820"/>
      <c r="Y1634" s="820"/>
      <c r="Z1634" s="820"/>
      <c r="AA1634" s="820"/>
      <c r="AB1634" s="820"/>
      <c r="AC1634" s="820"/>
      <c r="AD1634" s="820"/>
      <c r="AE1634" s="820"/>
      <c r="AF1634" s="820"/>
      <c r="AG1634" s="820"/>
      <c r="AH1634" s="820"/>
      <c r="AI1634" s="820"/>
      <c r="AJ1634" s="820"/>
      <c r="AK1634" s="820"/>
      <c r="AL1634" s="820"/>
      <c r="AM1634" s="820"/>
      <c r="AN1634" s="820"/>
      <c r="AO1634" s="820"/>
      <c r="AP1634" s="820"/>
      <c r="AQ1634" s="820"/>
      <c r="AR1634" s="820"/>
      <c r="AS1634" s="820"/>
      <c r="AT1634" s="820"/>
      <c r="AU1634" s="820"/>
      <c r="AV1634" s="820"/>
      <c r="AW1634" s="213"/>
      <c r="AX1634" s="213"/>
      <c r="AY1634" s="213"/>
      <c r="AZ1634" s="213"/>
      <c r="BA1634" s="213"/>
      <c r="BB1634" s="213"/>
    </row>
    <row r="1635" spans="1:54" ht="12.6" customHeight="1" x14ac:dyDescent="0.25">
      <c r="A1635" s="257" t="s">
        <v>2114</v>
      </c>
      <c r="B1635" s="249"/>
      <c r="C1635" s="249"/>
      <c r="D1635" s="249"/>
      <c r="E1635" s="249"/>
      <c r="F1635" s="249"/>
      <c r="G1635" s="249"/>
      <c r="H1635" s="249"/>
      <c r="I1635" s="249"/>
      <c r="J1635" s="249"/>
      <c r="K1635" s="249"/>
      <c r="L1635" s="250"/>
      <c r="M1635" s="820"/>
      <c r="N1635" s="820"/>
      <c r="O1635" s="820"/>
      <c r="P1635" s="820"/>
      <c r="Q1635" s="820"/>
      <c r="R1635" s="820"/>
      <c r="S1635" s="820"/>
      <c r="T1635" s="820"/>
      <c r="U1635" s="820"/>
      <c r="V1635" s="820"/>
      <c r="W1635" s="820"/>
      <c r="X1635" s="820"/>
      <c r="Y1635" s="820"/>
      <c r="Z1635" s="820"/>
      <c r="AA1635" s="820"/>
      <c r="AB1635" s="820"/>
      <c r="AC1635" s="820"/>
      <c r="AD1635" s="820"/>
      <c r="AE1635" s="820"/>
      <c r="AF1635" s="820"/>
      <c r="AG1635" s="820"/>
      <c r="AH1635" s="820"/>
      <c r="AI1635" s="820"/>
      <c r="AJ1635" s="820"/>
      <c r="AK1635" s="820"/>
      <c r="AL1635" s="820"/>
      <c r="AM1635" s="820"/>
      <c r="AN1635" s="820"/>
      <c r="AO1635" s="820"/>
      <c r="AP1635" s="820">
        <f>SUM(M1635+U1635-AB1635+AI1635)</f>
        <v>0</v>
      </c>
      <c r="AQ1635" s="820"/>
      <c r="AR1635" s="820"/>
      <c r="AS1635" s="820"/>
      <c r="AT1635" s="820"/>
      <c r="AU1635" s="820"/>
      <c r="AV1635" s="820"/>
      <c r="AW1635" s="213"/>
      <c r="AX1635" s="213"/>
      <c r="AY1635" s="213"/>
      <c r="AZ1635" s="213"/>
      <c r="BA1635" s="213"/>
      <c r="BB1635" s="213"/>
    </row>
    <row r="1636" spans="1:54" ht="12.6" customHeight="1" x14ac:dyDescent="0.25">
      <c r="A1636" s="258" t="s">
        <v>2115</v>
      </c>
      <c r="B1636" s="247"/>
      <c r="C1636" s="247"/>
      <c r="D1636" s="247"/>
      <c r="E1636" s="247"/>
      <c r="F1636" s="247"/>
      <c r="G1636" s="247"/>
      <c r="H1636" s="247"/>
      <c r="I1636" s="247"/>
      <c r="J1636" s="247"/>
      <c r="K1636" s="247"/>
      <c r="L1636" s="252"/>
      <c r="M1636" s="820"/>
      <c r="N1636" s="820"/>
      <c r="O1636" s="820"/>
      <c r="P1636" s="820"/>
      <c r="Q1636" s="820"/>
      <c r="R1636" s="820"/>
      <c r="S1636" s="820"/>
      <c r="T1636" s="820"/>
      <c r="U1636" s="820"/>
      <c r="V1636" s="820"/>
      <c r="W1636" s="820"/>
      <c r="X1636" s="820"/>
      <c r="Y1636" s="820"/>
      <c r="Z1636" s="820"/>
      <c r="AA1636" s="820"/>
      <c r="AB1636" s="820"/>
      <c r="AC1636" s="820"/>
      <c r="AD1636" s="820"/>
      <c r="AE1636" s="820"/>
      <c r="AF1636" s="820"/>
      <c r="AG1636" s="820"/>
      <c r="AH1636" s="820"/>
      <c r="AI1636" s="820"/>
      <c r="AJ1636" s="820"/>
      <c r="AK1636" s="820"/>
      <c r="AL1636" s="820"/>
      <c r="AM1636" s="820"/>
      <c r="AN1636" s="820"/>
      <c r="AO1636" s="820"/>
      <c r="AP1636" s="820"/>
      <c r="AQ1636" s="820"/>
      <c r="AR1636" s="820"/>
      <c r="AS1636" s="820"/>
      <c r="AT1636" s="820"/>
      <c r="AU1636" s="820"/>
      <c r="AV1636" s="820"/>
      <c r="AW1636" s="213"/>
      <c r="AX1636" s="213"/>
      <c r="AY1636" s="213"/>
      <c r="AZ1636" s="213"/>
      <c r="BA1636" s="213"/>
      <c r="BB1636" s="213"/>
    </row>
    <row r="1637" spans="1:54" ht="12.6" customHeight="1" x14ac:dyDescent="0.25">
      <c r="A1637" s="257" t="s">
        <v>2116</v>
      </c>
      <c r="B1637" s="249"/>
      <c r="C1637" s="249"/>
      <c r="D1637" s="249"/>
      <c r="E1637" s="249"/>
      <c r="F1637" s="249"/>
      <c r="G1637" s="249"/>
      <c r="H1637" s="249"/>
      <c r="I1637" s="249"/>
      <c r="J1637" s="249"/>
      <c r="K1637" s="249"/>
      <c r="L1637" s="250"/>
      <c r="M1637" s="820"/>
      <c r="N1637" s="820"/>
      <c r="O1637" s="820"/>
      <c r="P1637" s="820"/>
      <c r="Q1637" s="820"/>
      <c r="R1637" s="820"/>
      <c r="S1637" s="820"/>
      <c r="T1637" s="820"/>
      <c r="U1637" s="820"/>
      <c r="V1637" s="820"/>
      <c r="W1637" s="820"/>
      <c r="X1637" s="820"/>
      <c r="Y1637" s="820"/>
      <c r="Z1637" s="820"/>
      <c r="AA1637" s="820"/>
      <c r="AB1637" s="820"/>
      <c r="AC1637" s="820"/>
      <c r="AD1637" s="820"/>
      <c r="AE1637" s="820"/>
      <c r="AF1637" s="820"/>
      <c r="AG1637" s="820"/>
      <c r="AH1637" s="820"/>
      <c r="AI1637" s="820"/>
      <c r="AJ1637" s="820"/>
      <c r="AK1637" s="820"/>
      <c r="AL1637" s="820"/>
      <c r="AM1637" s="820"/>
      <c r="AN1637" s="820"/>
      <c r="AO1637" s="820"/>
      <c r="AP1637" s="820">
        <f>SUM(M1637+U1637-AB1637+AI1637)</f>
        <v>0</v>
      </c>
      <c r="AQ1637" s="820"/>
      <c r="AR1637" s="820"/>
      <c r="AS1637" s="820"/>
      <c r="AT1637" s="820"/>
      <c r="AU1637" s="820"/>
      <c r="AV1637" s="820"/>
      <c r="AW1637" s="213"/>
      <c r="AX1637" s="213"/>
      <c r="AY1637" s="213"/>
      <c r="AZ1637" s="213"/>
      <c r="BA1637" s="213"/>
      <c r="BB1637" s="213"/>
    </row>
    <row r="1638" spans="1:54" ht="12.6" customHeight="1" x14ac:dyDescent="0.25">
      <c r="A1638" s="281" t="s">
        <v>2117</v>
      </c>
      <c r="B1638" s="208"/>
      <c r="C1638" s="208"/>
      <c r="D1638" s="208"/>
      <c r="E1638" s="208"/>
      <c r="F1638" s="208"/>
      <c r="G1638" s="208"/>
      <c r="H1638" s="208"/>
      <c r="I1638" s="208"/>
      <c r="J1638" s="208"/>
      <c r="K1638" s="208"/>
      <c r="L1638" s="245"/>
      <c r="M1638" s="820"/>
      <c r="N1638" s="820"/>
      <c r="O1638" s="820"/>
      <c r="P1638" s="820"/>
      <c r="Q1638" s="820"/>
      <c r="R1638" s="820"/>
      <c r="S1638" s="820"/>
      <c r="T1638" s="820"/>
      <c r="U1638" s="820"/>
      <c r="V1638" s="820"/>
      <c r="W1638" s="820"/>
      <c r="X1638" s="820"/>
      <c r="Y1638" s="820"/>
      <c r="Z1638" s="820"/>
      <c r="AA1638" s="820"/>
      <c r="AB1638" s="820"/>
      <c r="AC1638" s="820"/>
      <c r="AD1638" s="820"/>
      <c r="AE1638" s="820"/>
      <c r="AF1638" s="820"/>
      <c r="AG1638" s="820"/>
      <c r="AH1638" s="820"/>
      <c r="AI1638" s="820"/>
      <c r="AJ1638" s="820"/>
      <c r="AK1638" s="820"/>
      <c r="AL1638" s="820"/>
      <c r="AM1638" s="820"/>
      <c r="AN1638" s="820"/>
      <c r="AO1638" s="820"/>
      <c r="AP1638" s="820"/>
      <c r="AQ1638" s="820"/>
      <c r="AR1638" s="820"/>
      <c r="AS1638" s="820"/>
      <c r="AT1638" s="820"/>
      <c r="AU1638" s="820"/>
      <c r="AV1638" s="820"/>
      <c r="AW1638" s="213"/>
      <c r="AX1638" s="213"/>
      <c r="AY1638" s="213"/>
      <c r="AZ1638" s="213"/>
      <c r="BA1638" s="213"/>
      <c r="BB1638" s="213"/>
    </row>
    <row r="1639" spans="1:54" ht="12.6" customHeight="1" x14ac:dyDescent="0.25">
      <c r="A1639" s="258" t="s">
        <v>2118</v>
      </c>
      <c r="B1639" s="247"/>
      <c r="C1639" s="247"/>
      <c r="D1639" s="247"/>
      <c r="E1639" s="247"/>
      <c r="F1639" s="247"/>
      <c r="G1639" s="247"/>
      <c r="H1639" s="247"/>
      <c r="I1639" s="247"/>
      <c r="J1639" s="247"/>
      <c r="K1639" s="247"/>
      <c r="L1639" s="252"/>
      <c r="M1639" s="820"/>
      <c r="N1639" s="820"/>
      <c r="O1639" s="820"/>
      <c r="P1639" s="820"/>
      <c r="Q1639" s="820"/>
      <c r="R1639" s="820"/>
      <c r="S1639" s="820"/>
      <c r="T1639" s="820"/>
      <c r="U1639" s="820"/>
      <c r="V1639" s="820"/>
      <c r="W1639" s="820"/>
      <c r="X1639" s="820"/>
      <c r="Y1639" s="820"/>
      <c r="Z1639" s="820"/>
      <c r="AA1639" s="820"/>
      <c r="AB1639" s="820"/>
      <c r="AC1639" s="820"/>
      <c r="AD1639" s="820"/>
      <c r="AE1639" s="820"/>
      <c r="AF1639" s="820"/>
      <c r="AG1639" s="820"/>
      <c r="AH1639" s="820"/>
      <c r="AI1639" s="820"/>
      <c r="AJ1639" s="820"/>
      <c r="AK1639" s="820"/>
      <c r="AL1639" s="820"/>
      <c r="AM1639" s="820"/>
      <c r="AN1639" s="820"/>
      <c r="AO1639" s="820"/>
      <c r="AP1639" s="820"/>
      <c r="AQ1639" s="820"/>
      <c r="AR1639" s="820"/>
      <c r="AS1639" s="820"/>
      <c r="AT1639" s="820"/>
      <c r="AU1639" s="820"/>
      <c r="AV1639" s="820"/>
      <c r="AW1639" s="213"/>
      <c r="AX1639" s="213"/>
      <c r="AY1639" s="213"/>
      <c r="AZ1639" s="213"/>
      <c r="BA1639" s="213"/>
      <c r="BB1639" s="213"/>
    </row>
    <row r="1640" spans="1:54" ht="12.6" customHeight="1" x14ac:dyDescent="0.25">
      <c r="A1640" s="227" t="s">
        <v>1482</v>
      </c>
      <c r="B1640" s="208"/>
      <c r="C1640" s="208"/>
      <c r="D1640" s="208"/>
      <c r="E1640" s="208"/>
      <c r="F1640" s="208"/>
      <c r="G1640" s="208"/>
      <c r="H1640" s="208"/>
      <c r="I1640" s="208"/>
      <c r="J1640" s="208"/>
      <c r="K1640" s="208"/>
      <c r="L1640" s="208"/>
      <c r="M1640" s="264"/>
      <c r="N1640" s="264"/>
      <c r="O1640" s="264"/>
      <c r="P1640" s="264"/>
      <c r="Q1640" s="264"/>
      <c r="R1640" s="264"/>
      <c r="S1640" s="264"/>
      <c r="T1640" s="264"/>
      <c r="U1640" s="264"/>
      <c r="V1640" s="264"/>
      <c r="W1640" s="264"/>
      <c r="X1640" s="264"/>
      <c r="Y1640" s="264"/>
      <c r="Z1640" s="264"/>
      <c r="AA1640" s="264"/>
      <c r="AB1640" s="264"/>
      <c r="AC1640" s="264"/>
      <c r="AD1640" s="264"/>
      <c r="AE1640" s="264"/>
      <c r="AF1640" s="264"/>
      <c r="AG1640" s="264"/>
      <c r="AH1640" s="264"/>
      <c r="AI1640" s="264"/>
      <c r="AJ1640" s="264"/>
      <c r="AK1640" s="264"/>
      <c r="AL1640" s="264"/>
      <c r="AM1640" s="264"/>
      <c r="AN1640" s="264"/>
      <c r="AO1640" s="264"/>
      <c r="AP1640" s="264"/>
      <c r="AQ1640" s="264"/>
      <c r="AR1640" s="264"/>
      <c r="AS1640" s="264"/>
      <c r="AT1640" s="264"/>
      <c r="AU1640" s="264"/>
      <c r="AV1640" s="264"/>
      <c r="AW1640" s="264"/>
      <c r="AX1640" s="264"/>
      <c r="AY1640" s="264"/>
      <c r="AZ1640" s="264"/>
      <c r="BA1640" s="264"/>
      <c r="BB1640" s="264"/>
    </row>
    <row r="1641" spans="1:54" ht="15" customHeight="1" x14ac:dyDescent="0.25">
      <c r="A1641" s="763"/>
      <c r="B1641" s="763"/>
      <c r="C1641" s="763"/>
      <c r="D1641" s="763"/>
      <c r="E1641" s="763"/>
      <c r="F1641" s="763"/>
      <c r="G1641" s="763"/>
      <c r="H1641" s="763"/>
      <c r="I1641" s="763"/>
      <c r="J1641" s="763"/>
      <c r="K1641" s="763"/>
      <c r="L1641" s="763"/>
      <c r="M1641" s="763"/>
      <c r="N1641" s="763"/>
      <c r="O1641" s="763"/>
      <c r="P1641" s="763"/>
      <c r="Q1641" s="763"/>
      <c r="R1641" s="763"/>
      <c r="S1641" s="763"/>
      <c r="T1641" s="763"/>
      <c r="U1641" s="763"/>
      <c r="V1641" s="763"/>
      <c r="W1641" s="763"/>
      <c r="X1641" s="763"/>
      <c r="Y1641" s="763"/>
      <c r="Z1641" s="763"/>
      <c r="AA1641" s="763"/>
      <c r="AB1641" s="763"/>
      <c r="AC1641" s="763"/>
      <c r="AD1641" s="763"/>
      <c r="AE1641" s="763"/>
      <c r="AF1641" s="763"/>
      <c r="AG1641" s="763"/>
      <c r="AH1641" s="763"/>
      <c r="AI1641" s="763"/>
      <c r="AJ1641" s="763"/>
      <c r="AK1641" s="763"/>
      <c r="AL1641" s="763"/>
      <c r="AM1641" s="763"/>
      <c r="AN1641" s="763"/>
      <c r="AO1641" s="763"/>
      <c r="AP1641" s="763"/>
      <c r="AQ1641" s="763"/>
      <c r="AR1641" s="763"/>
      <c r="AS1641" s="763"/>
      <c r="AT1641" s="763"/>
      <c r="AU1641" s="763"/>
      <c r="AV1641" s="763"/>
      <c r="AW1641" s="763"/>
      <c r="AX1641" s="763"/>
      <c r="AY1641" s="265"/>
      <c r="AZ1641" s="265"/>
      <c r="BA1641" s="265"/>
      <c r="BB1641" s="265"/>
    </row>
    <row r="1642" spans="1:54" ht="15" customHeight="1" x14ac:dyDescent="0.25">
      <c r="A1642" s="763"/>
      <c r="B1642" s="763"/>
      <c r="C1642" s="763"/>
      <c r="D1642" s="763"/>
      <c r="E1642" s="763"/>
      <c r="F1642" s="763"/>
      <c r="G1642" s="763"/>
      <c r="H1642" s="763"/>
      <c r="I1642" s="763"/>
      <c r="J1642" s="763"/>
      <c r="K1642" s="763"/>
      <c r="L1642" s="763"/>
      <c r="M1642" s="763"/>
      <c r="N1642" s="763"/>
      <c r="O1642" s="763"/>
      <c r="P1642" s="763"/>
      <c r="Q1642" s="763"/>
      <c r="R1642" s="763"/>
      <c r="S1642" s="763"/>
      <c r="T1642" s="763"/>
      <c r="U1642" s="763"/>
      <c r="V1642" s="763"/>
      <c r="W1642" s="763"/>
      <c r="X1642" s="763"/>
      <c r="Y1642" s="763"/>
      <c r="Z1642" s="763"/>
      <c r="AA1642" s="763"/>
      <c r="AB1642" s="763"/>
      <c r="AC1642" s="763"/>
      <c r="AD1642" s="763"/>
      <c r="AE1642" s="763"/>
      <c r="AF1642" s="763"/>
      <c r="AG1642" s="763"/>
      <c r="AH1642" s="763"/>
      <c r="AI1642" s="763"/>
      <c r="AJ1642" s="763"/>
      <c r="AK1642" s="763"/>
      <c r="AL1642" s="763"/>
      <c r="AM1642" s="763"/>
      <c r="AN1642" s="763"/>
      <c r="AO1642" s="763"/>
      <c r="AP1642" s="763"/>
      <c r="AQ1642" s="763"/>
      <c r="AR1642" s="763"/>
      <c r="AS1642" s="763"/>
      <c r="AT1642" s="763"/>
      <c r="AU1642" s="763"/>
      <c r="AV1642" s="763"/>
      <c r="AW1642" s="763"/>
      <c r="AX1642" s="763"/>
      <c r="AY1642" s="265"/>
      <c r="AZ1642" s="265"/>
      <c r="BA1642" s="265"/>
      <c r="BB1642" s="265"/>
    </row>
    <row r="1643" spans="1:54" s="208" customFormat="1" ht="12.6" customHeight="1" x14ac:dyDescent="0.25"/>
    <row r="1644" spans="1:54" s="208" customFormat="1" ht="12.6" customHeight="1" x14ac:dyDescent="0.25"/>
    <row r="1645" spans="1:54" s="208" customFormat="1" ht="12.6" customHeight="1" x14ac:dyDescent="0.25"/>
    <row r="1646" spans="1:54" s="208" customFormat="1" ht="12.6" customHeight="1" x14ac:dyDescent="0.25"/>
    <row r="1647" spans="1:54" s="208" customFormat="1" ht="12.6" customHeight="1" x14ac:dyDescent="0.25"/>
    <row r="1648" spans="1:54" s="208" customFormat="1" ht="12.6" customHeight="1" x14ac:dyDescent="0.25"/>
    <row r="1649" spans="1:54" s="208" customFormat="1" ht="12.6" customHeight="1" x14ac:dyDescent="0.25"/>
    <row r="1650" spans="1:54" s="208" customFormat="1" ht="12.6" customHeight="1" x14ac:dyDescent="0.25"/>
    <row r="1651" spans="1:54" s="208" customFormat="1" ht="12.6" customHeight="1" x14ac:dyDescent="0.25"/>
    <row r="1652" spans="1:54" s="208" customFormat="1" ht="12.6" customHeight="1" x14ac:dyDescent="0.25"/>
    <row r="1653" spans="1:54" s="208" customFormat="1" ht="12.6" customHeight="1" x14ac:dyDescent="0.25"/>
    <row r="1654" spans="1:54" s="208" customFormat="1" ht="12.6" customHeight="1" x14ac:dyDescent="0.25"/>
    <row r="1655" spans="1:54" s="208" customFormat="1" ht="12.6" customHeight="1" x14ac:dyDescent="0.25"/>
    <row r="1656" spans="1:54" s="208" customFormat="1" ht="12.6" customHeight="1" x14ac:dyDescent="0.25"/>
    <row r="1657" spans="1:54" s="208" customFormat="1" ht="12.6" customHeight="1" x14ac:dyDescent="0.25"/>
    <row r="1658" spans="1:54" s="208" customFormat="1" ht="12.6" customHeight="1" x14ac:dyDescent="0.25"/>
    <row r="1659" spans="1:54" s="208" customFormat="1" ht="12.6" customHeight="1" x14ac:dyDescent="0.25"/>
    <row r="1660" spans="1:54" s="208" customFormat="1" ht="12.6" customHeight="1" x14ac:dyDescent="0.25"/>
    <row r="1661" spans="1:54" s="208" customFormat="1" ht="12.6" customHeight="1" x14ac:dyDescent="0.25"/>
    <row r="1662" spans="1:54" ht="12.6" customHeight="1" x14ac:dyDescent="0.25">
      <c r="A1662" s="29" t="s">
        <v>1329</v>
      </c>
    </row>
    <row r="1663" spans="1:54" ht="12.6" customHeight="1" x14ac:dyDescent="0.25">
      <c r="A1663" s="241"/>
      <c r="B1663" s="242"/>
      <c r="C1663" s="242"/>
      <c r="D1663" s="242"/>
      <c r="E1663" s="242"/>
      <c r="F1663" s="242"/>
      <c r="G1663" s="242"/>
      <c r="H1663" s="242"/>
      <c r="I1663" s="242"/>
      <c r="J1663" s="242"/>
      <c r="K1663" s="242"/>
      <c r="L1663" s="268"/>
      <c r="M1663" s="347" t="s">
        <v>1306</v>
      </c>
      <c r="N1663" s="327"/>
      <c r="O1663" s="327"/>
      <c r="P1663" s="327"/>
      <c r="Q1663" s="327"/>
      <c r="R1663" s="327"/>
      <c r="S1663" s="327"/>
      <c r="T1663" s="327"/>
      <c r="U1663" s="327"/>
      <c r="V1663" s="327"/>
      <c r="W1663" s="327"/>
      <c r="X1663" s="327"/>
      <c r="Y1663" s="327"/>
      <c r="Z1663" s="327"/>
      <c r="AA1663" s="327"/>
      <c r="AB1663" s="327"/>
      <c r="AC1663" s="327"/>
      <c r="AD1663" s="327"/>
      <c r="AE1663" s="327"/>
      <c r="AF1663" s="327"/>
      <c r="AG1663" s="327"/>
      <c r="AH1663" s="327"/>
      <c r="AI1663" s="327"/>
      <c r="AJ1663" s="327"/>
      <c r="AK1663" s="327"/>
      <c r="AL1663" s="327"/>
      <c r="AM1663" s="327"/>
      <c r="AN1663" s="327"/>
      <c r="AO1663" s="327"/>
      <c r="AP1663" s="327"/>
      <c r="AQ1663" s="327"/>
      <c r="AR1663" s="327"/>
      <c r="AS1663" s="327"/>
      <c r="AT1663" s="327"/>
      <c r="AU1663" s="327"/>
      <c r="AV1663" s="348"/>
      <c r="AW1663" s="918"/>
      <c r="AX1663" s="918"/>
      <c r="AY1663" s="918"/>
      <c r="AZ1663" s="918"/>
      <c r="BA1663" s="918"/>
      <c r="BB1663" s="211"/>
    </row>
    <row r="1664" spans="1:54" ht="12.6" customHeight="1" x14ac:dyDescent="0.25">
      <c r="A1664" s="243"/>
      <c r="B1664" s="244"/>
      <c r="C1664" s="244"/>
      <c r="D1664" s="244"/>
      <c r="E1664" s="244"/>
      <c r="F1664" s="244"/>
      <c r="G1664" s="244"/>
      <c r="H1664" s="244"/>
      <c r="I1664" s="244"/>
      <c r="J1664" s="244"/>
      <c r="K1664" s="244"/>
      <c r="L1664" s="269"/>
      <c r="M1664" s="241"/>
      <c r="N1664" s="242"/>
      <c r="O1664" s="242"/>
      <c r="P1664" s="242"/>
      <c r="Q1664" s="242"/>
      <c r="R1664" s="242"/>
      <c r="S1664" s="242"/>
      <c r="T1664" s="268"/>
      <c r="U1664" s="241"/>
      <c r="V1664" s="242"/>
      <c r="W1664" s="242"/>
      <c r="X1664" s="242"/>
      <c r="Y1664" s="242"/>
      <c r="Z1664" s="242"/>
      <c r="AA1664" s="268"/>
      <c r="AB1664" s="241"/>
      <c r="AC1664" s="242"/>
      <c r="AD1664" s="242"/>
      <c r="AE1664" s="242"/>
      <c r="AF1664" s="242"/>
      <c r="AG1664" s="242"/>
      <c r="AH1664" s="268"/>
      <c r="AI1664" s="241"/>
      <c r="AJ1664" s="242"/>
      <c r="AK1664" s="242"/>
      <c r="AL1664" s="242"/>
      <c r="AM1664" s="242"/>
      <c r="AN1664" s="242"/>
      <c r="AO1664" s="268"/>
      <c r="AP1664" s="298" t="s">
        <v>1522</v>
      </c>
      <c r="AQ1664" s="299"/>
      <c r="AR1664" s="299"/>
      <c r="AS1664" s="299"/>
      <c r="AT1664" s="299"/>
      <c r="AU1664" s="299"/>
      <c r="AV1664" s="300"/>
      <c r="AW1664" s="210"/>
      <c r="AX1664" s="211"/>
      <c r="AY1664" s="211"/>
      <c r="AZ1664" s="211"/>
      <c r="BA1664" s="211"/>
      <c r="BB1664" s="211"/>
    </row>
    <row r="1665" spans="1:54" ht="12.6" customHeight="1" x14ac:dyDescent="0.25">
      <c r="A1665" s="745" t="s">
        <v>2088</v>
      </c>
      <c r="B1665" s="745"/>
      <c r="C1665" s="745"/>
      <c r="D1665" s="745"/>
      <c r="E1665" s="745"/>
      <c r="F1665" s="745"/>
      <c r="G1665" s="745"/>
      <c r="H1665" s="745"/>
      <c r="I1665" s="745"/>
      <c r="J1665" s="745"/>
      <c r="K1665" s="745"/>
      <c r="L1665" s="745"/>
      <c r="M1665" s="745" t="s">
        <v>1472</v>
      </c>
      <c r="N1665" s="745"/>
      <c r="O1665" s="745"/>
      <c r="P1665" s="745"/>
      <c r="Q1665" s="745"/>
      <c r="R1665" s="745"/>
      <c r="S1665" s="745"/>
      <c r="T1665" s="745"/>
      <c r="U1665" s="745" t="s">
        <v>1474</v>
      </c>
      <c r="V1665" s="745"/>
      <c r="W1665" s="745"/>
      <c r="X1665" s="745"/>
      <c r="Y1665" s="745"/>
      <c r="Z1665" s="745"/>
      <c r="AA1665" s="745"/>
      <c r="AB1665" s="745" t="s">
        <v>1475</v>
      </c>
      <c r="AC1665" s="745"/>
      <c r="AD1665" s="745"/>
      <c r="AE1665" s="745"/>
      <c r="AF1665" s="745"/>
      <c r="AG1665" s="745"/>
      <c r="AH1665" s="745"/>
      <c r="AI1665" s="745" t="s">
        <v>1476</v>
      </c>
      <c r="AJ1665" s="745"/>
      <c r="AK1665" s="745"/>
      <c r="AL1665" s="745"/>
      <c r="AM1665" s="745"/>
      <c r="AN1665" s="745"/>
      <c r="AO1665" s="745"/>
      <c r="AP1665" s="210" t="s">
        <v>1587</v>
      </c>
      <c r="AQ1665" s="211"/>
      <c r="AR1665" s="211"/>
      <c r="AS1665" s="211"/>
      <c r="AT1665" s="211"/>
      <c r="AU1665" s="211"/>
      <c r="AV1665" s="317"/>
      <c r="AW1665" s="210"/>
      <c r="AX1665" s="211"/>
      <c r="AY1665" s="211"/>
      <c r="AZ1665" s="211"/>
      <c r="BA1665" s="211"/>
      <c r="BB1665" s="211"/>
    </row>
    <row r="1666" spans="1:54" ht="12.6" customHeight="1" x14ac:dyDescent="0.25">
      <c r="A1666" s="745" t="s">
        <v>2089</v>
      </c>
      <c r="B1666" s="745"/>
      <c r="C1666" s="745"/>
      <c r="D1666" s="745"/>
      <c r="E1666" s="745"/>
      <c r="F1666" s="745"/>
      <c r="G1666" s="745"/>
      <c r="H1666" s="745"/>
      <c r="I1666" s="745"/>
      <c r="J1666" s="745"/>
      <c r="K1666" s="745"/>
      <c r="L1666" s="745"/>
      <c r="M1666" s="745" t="s">
        <v>1473</v>
      </c>
      <c r="N1666" s="745"/>
      <c r="O1666" s="745"/>
      <c r="P1666" s="745"/>
      <c r="Q1666" s="745"/>
      <c r="R1666" s="745"/>
      <c r="S1666" s="745"/>
      <c r="T1666" s="745"/>
      <c r="U1666" s="243"/>
      <c r="V1666" s="244"/>
      <c r="W1666" s="244"/>
      <c r="X1666" s="244"/>
      <c r="Y1666" s="244"/>
      <c r="Z1666" s="244"/>
      <c r="AA1666" s="269"/>
      <c r="AB1666" s="243"/>
      <c r="AC1666" s="244"/>
      <c r="AD1666" s="244"/>
      <c r="AE1666" s="244"/>
      <c r="AF1666" s="244"/>
      <c r="AG1666" s="244"/>
      <c r="AH1666" s="269"/>
      <c r="AI1666" s="243"/>
      <c r="AJ1666" s="244"/>
      <c r="AK1666" s="244"/>
      <c r="AL1666" s="244"/>
      <c r="AM1666" s="244"/>
      <c r="AN1666" s="244"/>
      <c r="AO1666" s="269"/>
      <c r="AP1666" s="210" t="s">
        <v>1524</v>
      </c>
      <c r="AQ1666" s="211"/>
      <c r="AR1666" s="211"/>
      <c r="AS1666" s="211"/>
      <c r="AT1666" s="211"/>
      <c r="AU1666" s="211"/>
      <c r="AV1666" s="317"/>
      <c r="AW1666" s="210"/>
      <c r="AX1666" s="211"/>
      <c r="AY1666" s="211"/>
      <c r="AZ1666" s="211"/>
      <c r="BA1666" s="211"/>
      <c r="BB1666" s="211"/>
    </row>
    <row r="1667" spans="1:54" ht="12.6" customHeight="1" x14ac:dyDescent="0.25">
      <c r="A1667" s="243"/>
      <c r="B1667" s="244"/>
      <c r="C1667" s="244"/>
      <c r="D1667" s="244"/>
      <c r="E1667" s="244"/>
      <c r="F1667" s="244"/>
      <c r="G1667" s="244"/>
      <c r="H1667" s="244"/>
      <c r="I1667" s="244"/>
      <c r="J1667" s="244"/>
      <c r="K1667" s="244"/>
      <c r="L1667" s="269"/>
      <c r="M1667" s="243"/>
      <c r="N1667" s="244"/>
      <c r="O1667" s="244"/>
      <c r="P1667" s="244"/>
      <c r="Q1667" s="244"/>
      <c r="R1667" s="244"/>
      <c r="S1667" s="244"/>
      <c r="T1667" s="269"/>
      <c r="U1667" s="243"/>
      <c r="V1667" s="244"/>
      <c r="W1667" s="244"/>
      <c r="X1667" s="244"/>
      <c r="Y1667" s="244"/>
      <c r="Z1667" s="244"/>
      <c r="AA1667" s="269"/>
      <c r="AB1667" s="243"/>
      <c r="AC1667" s="244"/>
      <c r="AD1667" s="244"/>
      <c r="AE1667" s="244"/>
      <c r="AF1667" s="244"/>
      <c r="AG1667" s="244"/>
      <c r="AH1667" s="269"/>
      <c r="AI1667" s="243"/>
      <c r="AJ1667" s="244"/>
      <c r="AK1667" s="244"/>
      <c r="AL1667" s="244"/>
      <c r="AM1667" s="244"/>
      <c r="AN1667" s="244"/>
      <c r="AO1667" s="269"/>
      <c r="AP1667" s="210" t="s">
        <v>1525</v>
      </c>
      <c r="AQ1667" s="211"/>
      <c r="AR1667" s="211"/>
      <c r="AS1667" s="211"/>
      <c r="AT1667" s="211"/>
      <c r="AU1667" s="211"/>
      <c r="AV1667" s="317"/>
      <c r="AW1667" s="210"/>
      <c r="AX1667" s="211"/>
      <c r="AY1667" s="211"/>
      <c r="AZ1667" s="211"/>
      <c r="BA1667" s="211"/>
      <c r="BB1667" s="211"/>
    </row>
    <row r="1668" spans="1:54" ht="12.6" customHeight="1" x14ac:dyDescent="0.25">
      <c r="A1668" s="750" t="s">
        <v>1323</v>
      </c>
      <c r="B1668" s="750"/>
      <c r="C1668" s="750"/>
      <c r="D1668" s="750"/>
      <c r="E1668" s="750"/>
      <c r="F1668" s="750"/>
      <c r="G1668" s="750"/>
      <c r="H1668" s="750"/>
      <c r="I1668" s="750"/>
      <c r="J1668" s="750"/>
      <c r="K1668" s="750"/>
      <c r="L1668" s="750"/>
      <c r="M1668" s="750" t="s">
        <v>1324</v>
      </c>
      <c r="N1668" s="750"/>
      <c r="O1668" s="750"/>
      <c r="P1668" s="750"/>
      <c r="Q1668" s="750"/>
      <c r="R1668" s="750"/>
      <c r="S1668" s="750"/>
      <c r="T1668" s="750"/>
      <c r="U1668" s="750" t="s">
        <v>1325</v>
      </c>
      <c r="V1668" s="750"/>
      <c r="W1668" s="750"/>
      <c r="X1668" s="750"/>
      <c r="Y1668" s="750"/>
      <c r="Z1668" s="750"/>
      <c r="AA1668" s="750"/>
      <c r="AB1668" s="750" t="s">
        <v>1326</v>
      </c>
      <c r="AC1668" s="750"/>
      <c r="AD1668" s="750"/>
      <c r="AE1668" s="750"/>
      <c r="AF1668" s="750"/>
      <c r="AG1668" s="750"/>
      <c r="AH1668" s="750"/>
      <c r="AI1668" s="750" t="s">
        <v>1327</v>
      </c>
      <c r="AJ1668" s="750"/>
      <c r="AK1668" s="750"/>
      <c r="AL1668" s="750"/>
      <c r="AM1668" s="750"/>
      <c r="AN1668" s="750"/>
      <c r="AO1668" s="750"/>
      <c r="AP1668" s="313" t="s">
        <v>1333</v>
      </c>
      <c r="AQ1668" s="314"/>
      <c r="AR1668" s="314"/>
      <c r="AS1668" s="314"/>
      <c r="AT1668" s="314"/>
      <c r="AU1668" s="314"/>
      <c r="AV1668" s="315"/>
      <c r="AW1668" s="210"/>
      <c r="AX1668" s="211"/>
      <c r="AY1668" s="211"/>
      <c r="AZ1668" s="211"/>
      <c r="BA1668" s="211"/>
      <c r="BB1668" s="211"/>
    </row>
    <row r="1669" spans="1:54" ht="12.6" customHeight="1" x14ac:dyDescent="0.25">
      <c r="A1669" s="253" t="s">
        <v>2090</v>
      </c>
      <c r="B1669" s="246"/>
      <c r="C1669" s="246"/>
      <c r="D1669" s="246"/>
      <c r="E1669" s="246"/>
      <c r="F1669" s="246"/>
      <c r="G1669" s="246"/>
      <c r="H1669" s="246"/>
      <c r="I1669" s="246"/>
      <c r="J1669" s="246"/>
      <c r="K1669" s="246"/>
      <c r="L1669" s="248"/>
      <c r="M1669" s="919">
        <f>'HL KNIHA VYPOC'!$H$215*-1</f>
        <v>92666.77</v>
      </c>
      <c r="N1669" s="919"/>
      <c r="O1669" s="919"/>
      <c r="P1669" s="919"/>
      <c r="Q1669" s="919"/>
      <c r="R1669" s="919"/>
      <c r="S1669" s="919"/>
      <c r="T1669" s="919"/>
      <c r="U1669" s="919">
        <f>'HL KNIHA VYPOC'!$J$215</f>
        <v>0</v>
      </c>
      <c r="V1669" s="919"/>
      <c r="W1669" s="919"/>
      <c r="X1669" s="919"/>
      <c r="Y1669" s="919"/>
      <c r="Z1669" s="919"/>
      <c r="AA1669" s="919"/>
      <c r="AB1669" s="919">
        <f>'HL KNIHA VYPOC'!$I$215</f>
        <v>0</v>
      </c>
      <c r="AC1669" s="919"/>
      <c r="AD1669" s="919"/>
      <c r="AE1669" s="919"/>
      <c r="AF1669" s="919"/>
      <c r="AG1669" s="919"/>
      <c r="AH1669" s="919"/>
      <c r="AI1669" s="919"/>
      <c r="AJ1669" s="919"/>
      <c r="AK1669" s="919"/>
      <c r="AL1669" s="919"/>
      <c r="AM1669" s="919"/>
      <c r="AN1669" s="919"/>
      <c r="AO1669" s="919"/>
      <c r="AP1669" s="919">
        <f>SUM(M1669+U1669-AB1669+AI1669)</f>
        <v>92666.77</v>
      </c>
      <c r="AQ1669" s="919"/>
      <c r="AR1669" s="919"/>
      <c r="AS1669" s="919"/>
      <c r="AT1669" s="919"/>
      <c r="AU1669" s="919"/>
      <c r="AV1669" s="919"/>
      <c r="AW1669" s="212"/>
      <c r="AX1669" s="213"/>
      <c r="AY1669" s="213"/>
      <c r="AZ1669" s="213"/>
      <c r="BA1669" s="213"/>
      <c r="BB1669" s="213"/>
    </row>
    <row r="1670" spans="1:54" ht="12.6" customHeight="1" x14ac:dyDescent="0.25">
      <c r="A1670" s="257" t="s">
        <v>2091</v>
      </c>
      <c r="B1670" s="249"/>
      <c r="C1670" s="249"/>
      <c r="D1670" s="249"/>
      <c r="E1670" s="249"/>
      <c r="F1670" s="249"/>
      <c r="G1670" s="249"/>
      <c r="H1670" s="249"/>
      <c r="I1670" s="249"/>
      <c r="J1670" s="249"/>
      <c r="K1670" s="249"/>
      <c r="L1670" s="250"/>
      <c r="M1670" s="919"/>
      <c r="N1670" s="919"/>
      <c r="O1670" s="919"/>
      <c r="P1670" s="919"/>
      <c r="Q1670" s="919"/>
      <c r="R1670" s="919"/>
      <c r="S1670" s="919"/>
      <c r="T1670" s="919"/>
      <c r="U1670" s="919"/>
      <c r="V1670" s="919"/>
      <c r="W1670" s="919"/>
      <c r="X1670" s="919"/>
      <c r="Y1670" s="919"/>
      <c r="Z1670" s="919"/>
      <c r="AA1670" s="919"/>
      <c r="AB1670" s="919"/>
      <c r="AC1670" s="919"/>
      <c r="AD1670" s="919"/>
      <c r="AE1670" s="919"/>
      <c r="AF1670" s="919"/>
      <c r="AG1670" s="919"/>
      <c r="AH1670" s="919"/>
      <c r="AI1670" s="919"/>
      <c r="AJ1670" s="919"/>
      <c r="AK1670" s="919"/>
      <c r="AL1670" s="919"/>
      <c r="AM1670" s="919"/>
      <c r="AN1670" s="919"/>
      <c r="AO1670" s="919"/>
      <c r="AP1670" s="919">
        <f>SUM(M1670+U1670-AB1670+AI1670)</f>
        <v>0</v>
      </c>
      <c r="AQ1670" s="919"/>
      <c r="AR1670" s="919"/>
      <c r="AS1670" s="919"/>
      <c r="AT1670" s="919"/>
      <c r="AU1670" s="919"/>
      <c r="AV1670" s="919"/>
      <c r="AW1670" s="212"/>
      <c r="AX1670" s="213"/>
      <c r="AY1670" s="213"/>
      <c r="AZ1670" s="213"/>
      <c r="BA1670" s="213"/>
      <c r="BB1670" s="213"/>
    </row>
    <row r="1671" spans="1:54" ht="12.6" customHeight="1" x14ac:dyDescent="0.25">
      <c r="A1671" s="258" t="s">
        <v>2092</v>
      </c>
      <c r="B1671" s="247"/>
      <c r="C1671" s="247"/>
      <c r="D1671" s="247"/>
      <c r="E1671" s="247"/>
      <c r="F1671" s="247"/>
      <c r="G1671" s="247"/>
      <c r="H1671" s="247"/>
      <c r="I1671" s="247"/>
      <c r="J1671" s="247"/>
      <c r="K1671" s="247"/>
      <c r="L1671" s="252"/>
      <c r="M1671" s="919"/>
      <c r="N1671" s="919"/>
      <c r="O1671" s="919"/>
      <c r="P1671" s="919"/>
      <c r="Q1671" s="919"/>
      <c r="R1671" s="919"/>
      <c r="S1671" s="919"/>
      <c r="T1671" s="919"/>
      <c r="U1671" s="919"/>
      <c r="V1671" s="919"/>
      <c r="W1671" s="919"/>
      <c r="X1671" s="919"/>
      <c r="Y1671" s="919"/>
      <c r="Z1671" s="919"/>
      <c r="AA1671" s="919"/>
      <c r="AB1671" s="919"/>
      <c r="AC1671" s="919"/>
      <c r="AD1671" s="919"/>
      <c r="AE1671" s="919"/>
      <c r="AF1671" s="919"/>
      <c r="AG1671" s="919"/>
      <c r="AH1671" s="919"/>
      <c r="AI1671" s="919"/>
      <c r="AJ1671" s="919"/>
      <c r="AK1671" s="919"/>
      <c r="AL1671" s="919"/>
      <c r="AM1671" s="919"/>
      <c r="AN1671" s="919"/>
      <c r="AO1671" s="919"/>
      <c r="AP1671" s="919"/>
      <c r="AQ1671" s="919"/>
      <c r="AR1671" s="919"/>
      <c r="AS1671" s="919"/>
      <c r="AT1671" s="919"/>
      <c r="AU1671" s="919"/>
      <c r="AV1671" s="919"/>
      <c r="AW1671" s="212"/>
      <c r="AX1671" s="213"/>
      <c r="AY1671" s="213"/>
      <c r="AZ1671" s="213"/>
      <c r="BA1671" s="213"/>
      <c r="BB1671" s="213"/>
    </row>
    <row r="1672" spans="1:54" ht="12.6" customHeight="1" x14ac:dyDescent="0.25">
      <c r="A1672" s="257" t="s">
        <v>2093</v>
      </c>
      <c r="B1672" s="249"/>
      <c r="C1672" s="249"/>
      <c r="D1672" s="249"/>
      <c r="E1672" s="249"/>
      <c r="F1672" s="249"/>
      <c r="G1672" s="249"/>
      <c r="H1672" s="249"/>
      <c r="I1672" s="249"/>
      <c r="J1672" s="249"/>
      <c r="K1672" s="249"/>
      <c r="L1672" s="250"/>
      <c r="M1672" s="919">
        <f>SUM('HL KNIHA VYPOC'!H223)*-1</f>
        <v>0</v>
      </c>
      <c r="N1672" s="919"/>
      <c r="O1672" s="919"/>
      <c r="P1672" s="919"/>
      <c r="Q1672" s="919"/>
      <c r="R1672" s="919"/>
      <c r="S1672" s="919"/>
      <c r="T1672" s="919"/>
      <c r="U1672" s="919">
        <f>SUM('HL KNIHA VYPOC'!J223)</f>
        <v>0</v>
      </c>
      <c r="V1672" s="919"/>
      <c r="W1672" s="919"/>
      <c r="X1672" s="919"/>
      <c r="Y1672" s="919"/>
      <c r="Z1672" s="919"/>
      <c r="AA1672" s="919"/>
      <c r="AB1672" s="919">
        <f>SUM('HL KNIHA VYPOC'!I223)</f>
        <v>0</v>
      </c>
      <c r="AC1672" s="919"/>
      <c r="AD1672" s="919"/>
      <c r="AE1672" s="919"/>
      <c r="AF1672" s="919"/>
      <c r="AG1672" s="919"/>
      <c r="AH1672" s="919"/>
      <c r="AI1672" s="919"/>
      <c r="AJ1672" s="919"/>
      <c r="AK1672" s="919"/>
      <c r="AL1672" s="919"/>
      <c r="AM1672" s="919"/>
      <c r="AN1672" s="919"/>
      <c r="AO1672" s="919"/>
      <c r="AP1672" s="919">
        <f>SUM(M1672+U1672-AB1672+AI1672)</f>
        <v>0</v>
      </c>
      <c r="AQ1672" s="919"/>
      <c r="AR1672" s="919"/>
      <c r="AS1672" s="919"/>
      <c r="AT1672" s="919"/>
      <c r="AU1672" s="919"/>
      <c r="AV1672" s="919"/>
      <c r="AW1672" s="212"/>
      <c r="AX1672" s="213"/>
      <c r="AY1672" s="213"/>
      <c r="AZ1672" s="213"/>
      <c r="BA1672" s="213"/>
      <c r="BB1672" s="213"/>
    </row>
    <row r="1673" spans="1:54" ht="12.6" customHeight="1" x14ac:dyDescent="0.25">
      <c r="A1673" s="257" t="s">
        <v>2094</v>
      </c>
      <c r="B1673" s="249"/>
      <c r="C1673" s="249"/>
      <c r="D1673" s="249"/>
      <c r="E1673" s="249"/>
      <c r="F1673" s="249"/>
      <c r="G1673" s="249"/>
      <c r="H1673" s="249"/>
      <c r="I1673" s="249"/>
      <c r="J1673" s="249"/>
      <c r="K1673" s="249"/>
      <c r="L1673" s="250"/>
      <c r="M1673" s="919">
        <f>SUM('HL KNIHA VYPOC'!H172)</f>
        <v>0</v>
      </c>
      <c r="N1673" s="919"/>
      <c r="O1673" s="919"/>
      <c r="P1673" s="919"/>
      <c r="Q1673" s="919"/>
      <c r="R1673" s="919"/>
      <c r="S1673" s="919"/>
      <c r="T1673" s="919"/>
      <c r="U1673" s="919">
        <f>SUM('HL KNIHA VYPOC'!J172)</f>
        <v>0</v>
      </c>
      <c r="V1673" s="919"/>
      <c r="W1673" s="919"/>
      <c r="X1673" s="919"/>
      <c r="Y1673" s="919"/>
      <c r="Z1673" s="919"/>
      <c r="AA1673" s="919"/>
      <c r="AB1673" s="919">
        <f>SUM('HL KNIHA VYPOC'!I172)</f>
        <v>0</v>
      </c>
      <c r="AC1673" s="919"/>
      <c r="AD1673" s="919"/>
      <c r="AE1673" s="919"/>
      <c r="AF1673" s="919"/>
      <c r="AG1673" s="919"/>
      <c r="AH1673" s="919"/>
      <c r="AI1673" s="919"/>
      <c r="AJ1673" s="919"/>
      <c r="AK1673" s="919"/>
      <c r="AL1673" s="919"/>
      <c r="AM1673" s="919"/>
      <c r="AN1673" s="919"/>
      <c r="AO1673" s="919"/>
      <c r="AP1673" s="919">
        <f>SUM('HL KNIHA VYPOC'!K172)</f>
        <v>0</v>
      </c>
      <c r="AQ1673" s="919"/>
      <c r="AR1673" s="919"/>
      <c r="AS1673" s="919"/>
      <c r="AT1673" s="919"/>
      <c r="AU1673" s="919"/>
      <c r="AV1673" s="919"/>
      <c r="AW1673" s="212"/>
      <c r="AX1673" s="213"/>
      <c r="AY1673" s="213"/>
      <c r="AZ1673" s="213"/>
      <c r="BA1673" s="213"/>
      <c r="BB1673" s="213"/>
    </row>
    <row r="1674" spans="1:54" ht="12.6" customHeight="1" x14ac:dyDescent="0.25">
      <c r="A1674" s="258" t="s">
        <v>2095</v>
      </c>
      <c r="B1674" s="247"/>
      <c r="C1674" s="247"/>
      <c r="D1674" s="247"/>
      <c r="E1674" s="247"/>
      <c r="F1674" s="247"/>
      <c r="G1674" s="247"/>
      <c r="H1674" s="247"/>
      <c r="I1674" s="247"/>
      <c r="J1674" s="247"/>
      <c r="K1674" s="247"/>
      <c r="L1674" s="252"/>
      <c r="M1674" s="919"/>
      <c r="N1674" s="919"/>
      <c r="O1674" s="919"/>
      <c r="P1674" s="919"/>
      <c r="Q1674" s="919"/>
      <c r="R1674" s="919"/>
      <c r="S1674" s="919"/>
      <c r="T1674" s="919"/>
      <c r="U1674" s="919"/>
      <c r="V1674" s="919"/>
      <c r="W1674" s="919"/>
      <c r="X1674" s="919"/>
      <c r="Y1674" s="919"/>
      <c r="Z1674" s="919"/>
      <c r="AA1674" s="919"/>
      <c r="AB1674" s="919"/>
      <c r="AC1674" s="919"/>
      <c r="AD1674" s="919"/>
      <c r="AE1674" s="919"/>
      <c r="AF1674" s="919"/>
      <c r="AG1674" s="919"/>
      <c r="AH1674" s="919"/>
      <c r="AI1674" s="919"/>
      <c r="AJ1674" s="919"/>
      <c r="AK1674" s="919"/>
      <c r="AL1674" s="919"/>
      <c r="AM1674" s="919"/>
      <c r="AN1674" s="919"/>
      <c r="AO1674" s="919"/>
      <c r="AP1674" s="919"/>
      <c r="AQ1674" s="919"/>
      <c r="AR1674" s="919"/>
      <c r="AS1674" s="919"/>
      <c r="AT1674" s="919"/>
      <c r="AU1674" s="919"/>
      <c r="AV1674" s="919"/>
      <c r="AW1674" s="212"/>
      <c r="AX1674" s="213"/>
      <c r="AY1674" s="213"/>
      <c r="AZ1674" s="213"/>
      <c r="BA1674" s="213"/>
      <c r="BB1674" s="213"/>
    </row>
    <row r="1675" spans="1:54" ht="12.6" customHeight="1" x14ac:dyDescent="0.25">
      <c r="A1675" s="253" t="s">
        <v>2096</v>
      </c>
      <c r="B1675" s="246"/>
      <c r="C1675" s="246"/>
      <c r="D1675" s="246"/>
      <c r="E1675" s="246"/>
      <c r="F1675" s="246"/>
      <c r="G1675" s="246"/>
      <c r="H1675" s="246"/>
      <c r="I1675" s="246"/>
      <c r="J1675" s="246"/>
      <c r="K1675" s="246"/>
      <c r="L1675" s="248"/>
      <c r="M1675" s="919">
        <f>SUM('HL KNIHA VYPOC'!H216)*-1</f>
        <v>0</v>
      </c>
      <c r="N1675" s="919"/>
      <c r="O1675" s="919"/>
      <c r="P1675" s="919"/>
      <c r="Q1675" s="919"/>
      <c r="R1675" s="919"/>
      <c r="S1675" s="919"/>
      <c r="T1675" s="919"/>
      <c r="U1675" s="919">
        <f>SUM('HL KNIHA VYPOC'!J216)</f>
        <v>0</v>
      </c>
      <c r="V1675" s="919"/>
      <c r="W1675" s="919"/>
      <c r="X1675" s="919"/>
      <c r="Y1675" s="919"/>
      <c r="Z1675" s="919"/>
      <c r="AA1675" s="919"/>
      <c r="AB1675" s="919">
        <f>SUM('HL KNIHA VYPOC'!I216)</f>
        <v>0</v>
      </c>
      <c r="AC1675" s="919"/>
      <c r="AD1675" s="919"/>
      <c r="AE1675" s="919"/>
      <c r="AF1675" s="919"/>
      <c r="AG1675" s="919"/>
      <c r="AH1675" s="919"/>
      <c r="AI1675" s="919"/>
      <c r="AJ1675" s="919"/>
      <c r="AK1675" s="919"/>
      <c r="AL1675" s="919"/>
      <c r="AM1675" s="919"/>
      <c r="AN1675" s="919"/>
      <c r="AO1675" s="919"/>
      <c r="AP1675" s="919">
        <f t="shared" ref="AP1675:AP1681" si="2">SUM(M1675+U1675-AB1675+AI1675)</f>
        <v>0</v>
      </c>
      <c r="AQ1675" s="919"/>
      <c r="AR1675" s="919"/>
      <c r="AS1675" s="919"/>
      <c r="AT1675" s="919"/>
      <c r="AU1675" s="919"/>
      <c r="AV1675" s="919"/>
      <c r="AW1675" s="212"/>
      <c r="AX1675" s="213"/>
      <c r="AY1675" s="213"/>
      <c r="AZ1675" s="213"/>
      <c r="BA1675" s="213"/>
      <c r="BB1675" s="213"/>
    </row>
    <row r="1676" spans="1:54" ht="12.6" customHeight="1" x14ac:dyDescent="0.25">
      <c r="A1676" s="253" t="s">
        <v>2097</v>
      </c>
      <c r="B1676" s="246"/>
      <c r="C1676" s="246"/>
      <c r="D1676" s="246"/>
      <c r="E1676" s="246"/>
      <c r="F1676" s="246"/>
      <c r="G1676" s="246"/>
      <c r="H1676" s="246"/>
      <c r="I1676" s="246"/>
      <c r="J1676" s="246"/>
      <c r="K1676" s="246"/>
      <c r="L1676" s="248"/>
      <c r="M1676" s="920">
        <f>SUM('HL KNIHA VYPOC'!H217)*-1</f>
        <v>100010.42</v>
      </c>
      <c r="N1676" s="920"/>
      <c r="O1676" s="920"/>
      <c r="P1676" s="920"/>
      <c r="Q1676" s="920"/>
      <c r="R1676" s="920"/>
      <c r="S1676" s="920"/>
      <c r="T1676" s="920"/>
      <c r="U1676" s="920">
        <f>SUM('HL KNIHA VYPOC'!J217)</f>
        <v>0</v>
      </c>
      <c r="V1676" s="920"/>
      <c r="W1676" s="920"/>
      <c r="X1676" s="920"/>
      <c r="Y1676" s="920"/>
      <c r="Z1676" s="920"/>
      <c r="AA1676" s="920"/>
      <c r="AB1676" s="920">
        <f>SUM('HL KNIHA VYPOC'!I217)</f>
        <v>0</v>
      </c>
      <c r="AC1676" s="920"/>
      <c r="AD1676" s="920"/>
      <c r="AE1676" s="920"/>
      <c r="AF1676" s="920"/>
      <c r="AG1676" s="920"/>
      <c r="AH1676" s="920"/>
      <c r="AI1676" s="920"/>
      <c r="AJ1676" s="920"/>
      <c r="AK1676" s="920"/>
      <c r="AL1676" s="920"/>
      <c r="AM1676" s="920"/>
      <c r="AN1676" s="920"/>
      <c r="AO1676" s="920"/>
      <c r="AP1676" s="919">
        <f t="shared" si="2"/>
        <v>100010.42</v>
      </c>
      <c r="AQ1676" s="919"/>
      <c r="AR1676" s="919"/>
      <c r="AS1676" s="919"/>
      <c r="AT1676" s="919"/>
      <c r="AU1676" s="919"/>
      <c r="AV1676" s="919"/>
      <c r="AW1676" s="212"/>
      <c r="AX1676" s="213"/>
      <c r="AY1676" s="213"/>
      <c r="AZ1676" s="213"/>
      <c r="BA1676" s="213"/>
      <c r="BB1676" s="213"/>
    </row>
    <row r="1677" spans="1:54" ht="27" customHeight="1" x14ac:dyDescent="0.25">
      <c r="A1677" s="835" t="s">
        <v>2098</v>
      </c>
      <c r="B1677" s="835"/>
      <c r="C1677" s="835"/>
      <c r="D1677" s="835"/>
      <c r="E1677" s="835"/>
      <c r="F1677" s="835"/>
      <c r="G1677" s="835"/>
      <c r="H1677" s="835"/>
      <c r="I1677" s="835"/>
      <c r="J1677" s="835"/>
      <c r="K1677" s="835"/>
      <c r="L1677" s="835"/>
      <c r="M1677" s="920">
        <f>SUM('HL KNIHA VYPOC'!H222+'HL KNIHA VYPOC'!H227)*-1</f>
        <v>19085.28</v>
      </c>
      <c r="N1677" s="920"/>
      <c r="O1677" s="920"/>
      <c r="P1677" s="920"/>
      <c r="Q1677" s="920"/>
      <c r="R1677" s="920"/>
      <c r="S1677" s="920"/>
      <c r="T1677" s="920"/>
      <c r="U1677" s="920">
        <f>SUM('HL KNIHA VYPOC'!J222+'HL KNIHA VYPOC'!J227)</f>
        <v>0</v>
      </c>
      <c r="V1677" s="920"/>
      <c r="W1677" s="920"/>
      <c r="X1677" s="920"/>
      <c r="Y1677" s="920"/>
      <c r="Z1677" s="920"/>
      <c r="AA1677" s="920"/>
      <c r="AB1677" s="920">
        <f>SUM('HL KNIHA VYPOC'!I222+'HL KNIHA VYPOC'!I227)</f>
        <v>0</v>
      </c>
      <c r="AC1677" s="920"/>
      <c r="AD1677" s="920"/>
      <c r="AE1677" s="920"/>
      <c r="AF1677" s="920"/>
      <c r="AG1677" s="920"/>
      <c r="AH1677" s="920"/>
      <c r="AI1677" s="920"/>
      <c r="AJ1677" s="920"/>
      <c r="AK1677" s="920"/>
      <c r="AL1677" s="920"/>
      <c r="AM1677" s="920"/>
      <c r="AN1677" s="920"/>
      <c r="AO1677" s="920"/>
      <c r="AP1677" s="919">
        <f t="shared" si="2"/>
        <v>19085.28</v>
      </c>
      <c r="AQ1677" s="919"/>
      <c r="AR1677" s="919"/>
      <c r="AS1677" s="919"/>
      <c r="AT1677" s="919"/>
      <c r="AU1677" s="919"/>
      <c r="AV1677" s="919"/>
      <c r="AW1677" s="212"/>
      <c r="AX1677" s="213"/>
      <c r="AY1677" s="213"/>
      <c r="AZ1677" s="213"/>
      <c r="BA1677" s="213"/>
      <c r="BB1677" s="213"/>
    </row>
    <row r="1678" spans="1:54" ht="27" customHeight="1" x14ac:dyDescent="0.25">
      <c r="A1678" s="835" t="s">
        <v>2099</v>
      </c>
      <c r="B1678" s="835"/>
      <c r="C1678" s="835"/>
      <c r="D1678" s="835"/>
      <c r="E1678" s="835"/>
      <c r="F1678" s="835"/>
      <c r="G1678" s="835"/>
      <c r="H1678" s="835"/>
      <c r="I1678" s="835"/>
      <c r="J1678" s="835"/>
      <c r="K1678" s="835"/>
      <c r="L1678" s="835"/>
      <c r="M1678" s="919">
        <f>SUM('HL KNIHA VYPOC'!H221+'HL KNIHA VYPOC'!H226)*-1</f>
        <v>15612.46</v>
      </c>
      <c r="N1678" s="919"/>
      <c r="O1678" s="919"/>
      <c r="P1678" s="919"/>
      <c r="Q1678" s="919"/>
      <c r="R1678" s="919"/>
      <c r="S1678" s="919"/>
      <c r="T1678" s="919"/>
      <c r="U1678" s="919">
        <f>SUM('HL KNIHA VYPOC'!J221+'HL KNIHA VYPOC'!J226)</f>
        <v>0</v>
      </c>
      <c r="V1678" s="919"/>
      <c r="W1678" s="919"/>
      <c r="X1678" s="919"/>
      <c r="Y1678" s="919"/>
      <c r="Z1678" s="919"/>
      <c r="AA1678" s="919"/>
      <c r="AB1678" s="919">
        <f>SUM('HL KNIHA VYPOC'!I221+'HL KNIHA VYPOC'!I226)</f>
        <v>0</v>
      </c>
      <c r="AC1678" s="919"/>
      <c r="AD1678" s="919"/>
      <c r="AE1678" s="919"/>
      <c r="AF1678" s="919"/>
      <c r="AG1678" s="919"/>
      <c r="AH1678" s="919"/>
      <c r="AI1678" s="919"/>
      <c r="AJ1678" s="919"/>
      <c r="AK1678" s="919"/>
      <c r="AL1678" s="919"/>
      <c r="AM1678" s="919"/>
      <c r="AN1678" s="919"/>
      <c r="AO1678" s="919"/>
      <c r="AP1678" s="919">
        <f t="shared" si="2"/>
        <v>15612.46</v>
      </c>
      <c r="AQ1678" s="919"/>
      <c r="AR1678" s="919"/>
      <c r="AS1678" s="919"/>
      <c r="AT1678" s="919"/>
      <c r="AU1678" s="919"/>
      <c r="AV1678" s="919"/>
      <c r="AW1678" s="212"/>
      <c r="AX1678" s="213"/>
      <c r="AY1678" s="213"/>
      <c r="AZ1678" s="213"/>
      <c r="BA1678" s="213"/>
      <c r="BB1678" s="213"/>
    </row>
    <row r="1679" spans="1:54" ht="12.6" customHeight="1" x14ac:dyDescent="0.25">
      <c r="A1679" s="253" t="s">
        <v>2100</v>
      </c>
      <c r="B1679" s="246"/>
      <c r="C1679" s="246"/>
      <c r="D1679" s="246"/>
      <c r="E1679" s="246"/>
      <c r="F1679" s="246"/>
      <c r="G1679" s="246"/>
      <c r="H1679" s="246"/>
      <c r="I1679" s="246"/>
      <c r="J1679" s="246"/>
      <c r="K1679" s="246"/>
      <c r="L1679" s="248"/>
      <c r="M1679" s="920">
        <f>SUM('HL KNIHA VYPOC'!H228)*-1</f>
        <v>0</v>
      </c>
      <c r="N1679" s="920"/>
      <c r="O1679" s="920"/>
      <c r="P1679" s="920"/>
      <c r="Q1679" s="920"/>
      <c r="R1679" s="920"/>
      <c r="S1679" s="920"/>
      <c r="T1679" s="920"/>
      <c r="U1679" s="920">
        <f>SUM('HL KNIHA VYPOC'!J228)</f>
        <v>0</v>
      </c>
      <c r="V1679" s="920"/>
      <c r="W1679" s="920"/>
      <c r="X1679" s="920"/>
      <c r="Y1679" s="920"/>
      <c r="Z1679" s="920"/>
      <c r="AA1679" s="920"/>
      <c r="AB1679" s="920">
        <f>SUM('HL KNIHA VYPOC'!I228)</f>
        <v>0</v>
      </c>
      <c r="AC1679" s="920"/>
      <c r="AD1679" s="920"/>
      <c r="AE1679" s="920"/>
      <c r="AF1679" s="920"/>
      <c r="AG1679" s="920"/>
      <c r="AH1679" s="920"/>
      <c r="AI1679" s="920"/>
      <c r="AJ1679" s="920"/>
      <c r="AK1679" s="920"/>
      <c r="AL1679" s="920"/>
      <c r="AM1679" s="920"/>
      <c r="AN1679" s="920"/>
      <c r="AO1679" s="920"/>
      <c r="AP1679" s="919">
        <f t="shared" si="2"/>
        <v>0</v>
      </c>
      <c r="AQ1679" s="919"/>
      <c r="AR1679" s="919"/>
      <c r="AS1679" s="919"/>
      <c r="AT1679" s="919"/>
      <c r="AU1679" s="919"/>
      <c r="AV1679" s="919"/>
      <c r="AW1679" s="212"/>
      <c r="AX1679" s="213"/>
      <c r="AY1679" s="213"/>
      <c r="AZ1679" s="213"/>
      <c r="BA1679" s="213"/>
      <c r="BB1679" s="213"/>
    </row>
    <row r="1680" spans="1:54" ht="12.6" customHeight="1" x14ac:dyDescent="0.25">
      <c r="A1680" s="258" t="s">
        <v>2101</v>
      </c>
      <c r="B1680" s="247"/>
      <c r="C1680" s="247"/>
      <c r="D1680" s="247"/>
      <c r="E1680" s="247"/>
      <c r="F1680" s="247"/>
      <c r="G1680" s="247"/>
      <c r="H1680" s="247"/>
      <c r="I1680" s="247"/>
      <c r="J1680" s="247"/>
      <c r="K1680" s="247"/>
      <c r="L1680" s="252"/>
      <c r="M1680" s="920">
        <f>SUM('HL KNIHA VYPOC'!H229)*-1</f>
        <v>93424.19</v>
      </c>
      <c r="N1680" s="920"/>
      <c r="O1680" s="920"/>
      <c r="P1680" s="920"/>
      <c r="Q1680" s="920"/>
      <c r="R1680" s="920"/>
      <c r="S1680" s="920"/>
      <c r="T1680" s="920"/>
      <c r="U1680" s="920">
        <f>SUM('HL KNIHA VYPOC'!J229)</f>
        <v>0</v>
      </c>
      <c r="V1680" s="920"/>
      <c r="W1680" s="920"/>
      <c r="X1680" s="920"/>
      <c r="Y1680" s="920"/>
      <c r="Z1680" s="920"/>
      <c r="AA1680" s="920"/>
      <c r="AB1680" s="920">
        <f>SUM('HL KNIHA VYPOC'!I229)</f>
        <v>0</v>
      </c>
      <c r="AC1680" s="920"/>
      <c r="AD1680" s="920"/>
      <c r="AE1680" s="920"/>
      <c r="AF1680" s="920"/>
      <c r="AG1680" s="920"/>
      <c r="AH1680" s="920"/>
      <c r="AI1680" s="920"/>
      <c r="AJ1680" s="920"/>
      <c r="AK1680" s="920"/>
      <c r="AL1680" s="920"/>
      <c r="AM1680" s="920"/>
      <c r="AN1680" s="920"/>
      <c r="AO1680" s="920"/>
      <c r="AP1680" s="919">
        <f t="shared" si="2"/>
        <v>93424.19</v>
      </c>
      <c r="AQ1680" s="919"/>
      <c r="AR1680" s="919"/>
      <c r="AS1680" s="919"/>
      <c r="AT1680" s="919"/>
      <c r="AU1680" s="919"/>
      <c r="AV1680" s="919"/>
      <c r="AW1680" s="212"/>
      <c r="AX1680" s="213"/>
      <c r="AY1680" s="213"/>
      <c r="AZ1680" s="213"/>
      <c r="BA1680" s="213"/>
      <c r="BB1680" s="213"/>
    </row>
    <row r="1681" spans="1:54" ht="12.6" customHeight="1" x14ac:dyDescent="0.25">
      <c r="A1681" s="257" t="s">
        <v>2102</v>
      </c>
      <c r="B1681" s="249"/>
      <c r="C1681" s="249"/>
      <c r="D1681" s="249"/>
      <c r="E1681" s="249"/>
      <c r="F1681" s="249"/>
      <c r="G1681" s="249"/>
      <c r="H1681" s="249"/>
      <c r="I1681" s="249"/>
      <c r="J1681" s="249"/>
      <c r="K1681" s="249"/>
      <c r="L1681" s="250"/>
      <c r="M1681" s="919">
        <f>SUM('HL KNIHA VYPOC'!H218)*-1</f>
        <v>0</v>
      </c>
      <c r="N1681" s="919"/>
      <c r="O1681" s="919"/>
      <c r="P1681" s="919"/>
      <c r="Q1681" s="919"/>
      <c r="R1681" s="919"/>
      <c r="S1681" s="919"/>
      <c r="T1681" s="919"/>
      <c r="U1681" s="919">
        <f>SUM('HL KNIHA VYPOC'!J218)</f>
        <v>0</v>
      </c>
      <c r="V1681" s="919"/>
      <c r="W1681" s="919"/>
      <c r="X1681" s="919"/>
      <c r="Y1681" s="919"/>
      <c r="Z1681" s="919"/>
      <c r="AA1681" s="919"/>
      <c r="AB1681" s="919">
        <f>SUM('HL KNIHA VYPOC'!I218)</f>
        <v>0</v>
      </c>
      <c r="AC1681" s="919"/>
      <c r="AD1681" s="919"/>
      <c r="AE1681" s="919"/>
      <c r="AF1681" s="919"/>
      <c r="AG1681" s="919"/>
      <c r="AH1681" s="919"/>
      <c r="AI1681" s="919"/>
      <c r="AJ1681" s="919"/>
      <c r="AK1681" s="919"/>
      <c r="AL1681" s="919"/>
      <c r="AM1681" s="919"/>
      <c r="AN1681" s="919"/>
      <c r="AO1681" s="919"/>
      <c r="AP1681" s="919">
        <f t="shared" si="2"/>
        <v>0</v>
      </c>
      <c r="AQ1681" s="919"/>
      <c r="AR1681" s="919"/>
      <c r="AS1681" s="919"/>
      <c r="AT1681" s="919"/>
      <c r="AU1681" s="919"/>
      <c r="AV1681" s="919"/>
      <c r="AW1681" s="212"/>
      <c r="AX1681" s="213"/>
      <c r="AY1681" s="213"/>
      <c r="AZ1681" s="213"/>
      <c r="BA1681" s="213"/>
      <c r="BB1681" s="213"/>
    </row>
    <row r="1682" spans="1:54" ht="12.6" customHeight="1" x14ac:dyDescent="0.25">
      <c r="A1682" s="281" t="s">
        <v>2103</v>
      </c>
      <c r="B1682" s="208"/>
      <c r="C1682" s="208"/>
      <c r="D1682" s="208"/>
      <c r="E1682" s="208"/>
      <c r="F1682" s="208"/>
      <c r="G1682" s="208"/>
      <c r="H1682" s="208"/>
      <c r="I1682" s="208"/>
      <c r="J1682" s="208"/>
      <c r="K1682" s="208"/>
      <c r="L1682" s="245"/>
      <c r="M1682" s="919"/>
      <c r="N1682" s="919"/>
      <c r="O1682" s="919"/>
      <c r="P1682" s="919"/>
      <c r="Q1682" s="919"/>
      <c r="R1682" s="919"/>
      <c r="S1682" s="919"/>
      <c r="T1682" s="919"/>
      <c r="U1682" s="919"/>
      <c r="V1682" s="919"/>
      <c r="W1682" s="919"/>
      <c r="X1682" s="919"/>
      <c r="Y1682" s="919"/>
      <c r="Z1682" s="919"/>
      <c r="AA1682" s="919"/>
      <c r="AB1682" s="919"/>
      <c r="AC1682" s="919"/>
      <c r="AD1682" s="919"/>
      <c r="AE1682" s="919"/>
      <c r="AF1682" s="919"/>
      <c r="AG1682" s="919"/>
      <c r="AH1682" s="919"/>
      <c r="AI1682" s="919"/>
      <c r="AJ1682" s="919"/>
      <c r="AK1682" s="919"/>
      <c r="AL1682" s="919"/>
      <c r="AM1682" s="919"/>
      <c r="AN1682" s="919"/>
      <c r="AO1682" s="919"/>
      <c r="AP1682" s="919"/>
      <c r="AQ1682" s="919"/>
      <c r="AR1682" s="919"/>
      <c r="AS1682" s="919"/>
      <c r="AT1682" s="919"/>
      <c r="AU1682" s="919"/>
      <c r="AV1682" s="919"/>
      <c r="AW1682" s="212"/>
      <c r="AX1682" s="213"/>
      <c r="AY1682" s="213"/>
      <c r="AZ1682" s="213"/>
      <c r="BA1682" s="213"/>
      <c r="BB1682" s="213"/>
    </row>
    <row r="1683" spans="1:54" ht="12.6" customHeight="1" x14ac:dyDescent="0.25">
      <c r="A1683" s="258" t="s">
        <v>2104</v>
      </c>
      <c r="B1683" s="247"/>
      <c r="C1683" s="247"/>
      <c r="D1683" s="247"/>
      <c r="E1683" s="247"/>
      <c r="F1683" s="247"/>
      <c r="G1683" s="247"/>
      <c r="H1683" s="247"/>
      <c r="I1683" s="247"/>
      <c r="J1683" s="247"/>
      <c r="K1683" s="247"/>
      <c r="L1683" s="252"/>
      <c r="M1683" s="919"/>
      <c r="N1683" s="919"/>
      <c r="O1683" s="919"/>
      <c r="P1683" s="919"/>
      <c r="Q1683" s="919"/>
      <c r="R1683" s="919"/>
      <c r="S1683" s="919"/>
      <c r="T1683" s="919"/>
      <c r="U1683" s="919"/>
      <c r="V1683" s="919"/>
      <c r="W1683" s="919"/>
      <c r="X1683" s="919"/>
      <c r="Y1683" s="919"/>
      <c r="Z1683" s="919"/>
      <c r="AA1683" s="919"/>
      <c r="AB1683" s="919"/>
      <c r="AC1683" s="919"/>
      <c r="AD1683" s="919"/>
      <c r="AE1683" s="919"/>
      <c r="AF1683" s="919"/>
      <c r="AG1683" s="919"/>
      <c r="AH1683" s="919"/>
      <c r="AI1683" s="919"/>
      <c r="AJ1683" s="919"/>
      <c r="AK1683" s="919"/>
      <c r="AL1683" s="919"/>
      <c r="AM1683" s="919"/>
      <c r="AN1683" s="919"/>
      <c r="AO1683" s="919"/>
      <c r="AP1683" s="919"/>
      <c r="AQ1683" s="919"/>
      <c r="AR1683" s="919"/>
      <c r="AS1683" s="919"/>
      <c r="AT1683" s="919"/>
      <c r="AU1683" s="919"/>
      <c r="AV1683" s="919"/>
      <c r="AW1683" s="212"/>
      <c r="AX1683" s="213"/>
      <c r="AY1683" s="213"/>
      <c r="AZ1683" s="213"/>
      <c r="BA1683" s="213"/>
      <c r="BB1683" s="213"/>
    </row>
    <row r="1684" spans="1:54" ht="12.6" customHeight="1" x14ac:dyDescent="0.25">
      <c r="A1684" s="257" t="s">
        <v>2102</v>
      </c>
      <c r="B1684" s="249"/>
      <c r="C1684" s="249"/>
      <c r="D1684" s="249"/>
      <c r="E1684" s="249"/>
      <c r="F1684" s="249"/>
      <c r="G1684" s="249"/>
      <c r="H1684" s="249"/>
      <c r="I1684" s="249"/>
      <c r="J1684" s="249"/>
      <c r="K1684" s="249"/>
      <c r="L1684" s="250"/>
      <c r="M1684" s="919">
        <f>SUM('HL KNIHA VYPOC'!H219)*-1</f>
        <v>0</v>
      </c>
      <c r="N1684" s="919"/>
      <c r="O1684" s="919"/>
      <c r="P1684" s="919"/>
      <c r="Q1684" s="919"/>
      <c r="R1684" s="919"/>
      <c r="S1684" s="919"/>
      <c r="T1684" s="919"/>
      <c r="U1684" s="919">
        <f>SUM('HL KNIHA VYPOC'!J219)</f>
        <v>0</v>
      </c>
      <c r="V1684" s="919"/>
      <c r="W1684" s="919"/>
      <c r="X1684" s="919"/>
      <c r="Y1684" s="919"/>
      <c r="Z1684" s="919"/>
      <c r="AA1684" s="919"/>
      <c r="AB1684" s="919">
        <f>SUM('HL KNIHA VYPOC'!I219)</f>
        <v>0</v>
      </c>
      <c r="AC1684" s="919"/>
      <c r="AD1684" s="919"/>
      <c r="AE1684" s="919"/>
      <c r="AF1684" s="919"/>
      <c r="AG1684" s="919"/>
      <c r="AH1684" s="919"/>
      <c r="AI1684" s="919"/>
      <c r="AJ1684" s="919"/>
      <c r="AK1684" s="919"/>
      <c r="AL1684" s="919"/>
      <c r="AM1684" s="919"/>
      <c r="AN1684" s="919"/>
      <c r="AO1684" s="919"/>
      <c r="AP1684" s="919">
        <f>SUM(M1684+U1684-AB1684+AI1684)</f>
        <v>0</v>
      </c>
      <c r="AQ1684" s="919"/>
      <c r="AR1684" s="919"/>
      <c r="AS1684" s="919"/>
      <c r="AT1684" s="919"/>
      <c r="AU1684" s="919"/>
      <c r="AV1684" s="919"/>
      <c r="AW1684" s="212"/>
      <c r="AX1684" s="213"/>
      <c r="AY1684" s="213"/>
      <c r="AZ1684" s="213"/>
      <c r="BA1684" s="213"/>
      <c r="BB1684" s="213"/>
    </row>
    <row r="1685" spans="1:54" ht="12.6" customHeight="1" x14ac:dyDescent="0.25">
      <c r="A1685" s="258" t="s">
        <v>2105</v>
      </c>
      <c r="B1685" s="247"/>
      <c r="C1685" s="247"/>
      <c r="D1685" s="247"/>
      <c r="E1685" s="247"/>
      <c r="F1685" s="247"/>
      <c r="G1685" s="247"/>
      <c r="H1685" s="247"/>
      <c r="I1685" s="247"/>
      <c r="J1685" s="247"/>
      <c r="K1685" s="247"/>
      <c r="L1685" s="252"/>
      <c r="M1685" s="919"/>
      <c r="N1685" s="919"/>
      <c r="O1685" s="919"/>
      <c r="P1685" s="919"/>
      <c r="Q1685" s="919"/>
      <c r="R1685" s="919"/>
      <c r="S1685" s="919"/>
      <c r="T1685" s="919"/>
      <c r="U1685" s="919"/>
      <c r="V1685" s="919"/>
      <c r="W1685" s="919"/>
      <c r="X1685" s="919"/>
      <c r="Y1685" s="919"/>
      <c r="Z1685" s="919"/>
      <c r="AA1685" s="919"/>
      <c r="AB1685" s="919"/>
      <c r="AC1685" s="919"/>
      <c r="AD1685" s="919"/>
      <c r="AE1685" s="919"/>
      <c r="AF1685" s="919"/>
      <c r="AG1685" s="919"/>
      <c r="AH1685" s="919"/>
      <c r="AI1685" s="919"/>
      <c r="AJ1685" s="919"/>
      <c r="AK1685" s="919"/>
      <c r="AL1685" s="919"/>
      <c r="AM1685" s="919"/>
      <c r="AN1685" s="919"/>
      <c r="AO1685" s="919"/>
      <c r="AP1685" s="919"/>
      <c r="AQ1685" s="919"/>
      <c r="AR1685" s="919"/>
      <c r="AS1685" s="919"/>
      <c r="AT1685" s="919"/>
      <c r="AU1685" s="919"/>
      <c r="AV1685" s="919"/>
      <c r="AW1685" s="212"/>
      <c r="AX1685" s="213"/>
      <c r="AY1685" s="213"/>
      <c r="AZ1685" s="213"/>
      <c r="BA1685" s="213"/>
      <c r="BB1685" s="213"/>
    </row>
    <row r="1686" spans="1:54" ht="12.6" customHeight="1" x14ac:dyDescent="0.25">
      <c r="A1686" s="257" t="s">
        <v>2102</v>
      </c>
      <c r="B1686" s="249"/>
      <c r="C1686" s="249"/>
      <c r="D1686" s="249"/>
      <c r="E1686" s="249"/>
      <c r="F1686" s="249"/>
      <c r="G1686" s="249"/>
      <c r="H1686" s="249"/>
      <c r="I1686" s="249"/>
      <c r="J1686" s="249"/>
      <c r="K1686" s="249"/>
      <c r="L1686" s="250"/>
      <c r="M1686" s="919">
        <f>SUM('HL KNIHA VYPOC'!H220)*-1</f>
        <v>0</v>
      </c>
      <c r="N1686" s="919"/>
      <c r="O1686" s="919"/>
      <c r="P1686" s="919"/>
      <c r="Q1686" s="919"/>
      <c r="R1686" s="919"/>
      <c r="S1686" s="919"/>
      <c r="T1686" s="919"/>
      <c r="U1686" s="919">
        <f>SUM('HL KNIHA VYPOC'!J220)</f>
        <v>0</v>
      </c>
      <c r="V1686" s="919"/>
      <c r="W1686" s="919"/>
      <c r="X1686" s="919"/>
      <c r="Y1686" s="919"/>
      <c r="Z1686" s="919"/>
      <c r="AA1686" s="919"/>
      <c r="AB1686" s="919">
        <f>SUM('HL KNIHA VYPOC'!I220)</f>
        <v>0</v>
      </c>
      <c r="AC1686" s="919"/>
      <c r="AD1686" s="919"/>
      <c r="AE1686" s="919"/>
      <c r="AF1686" s="919"/>
      <c r="AG1686" s="919"/>
      <c r="AH1686" s="919"/>
      <c r="AI1686" s="919"/>
      <c r="AJ1686" s="919"/>
      <c r="AK1686" s="919"/>
      <c r="AL1686" s="919"/>
      <c r="AM1686" s="919"/>
      <c r="AN1686" s="919"/>
      <c r="AO1686" s="919"/>
      <c r="AP1686" s="919">
        <f>SUM(M1686+U1686-AB1686+AI1686)</f>
        <v>0</v>
      </c>
      <c r="AQ1686" s="919"/>
      <c r="AR1686" s="919"/>
      <c r="AS1686" s="919"/>
      <c r="AT1686" s="919"/>
      <c r="AU1686" s="919"/>
      <c r="AV1686" s="919"/>
      <c r="AW1686" s="212"/>
      <c r="AX1686" s="213"/>
      <c r="AY1686" s="213"/>
      <c r="AZ1686" s="213"/>
      <c r="BA1686" s="213"/>
      <c r="BB1686" s="213"/>
    </row>
    <row r="1687" spans="1:54" ht="12.6" customHeight="1" x14ac:dyDescent="0.25">
      <c r="A1687" s="281" t="s">
        <v>2106</v>
      </c>
      <c r="B1687" s="208"/>
      <c r="C1687" s="208"/>
      <c r="D1687" s="208"/>
      <c r="E1687" s="208"/>
      <c r="F1687" s="208"/>
      <c r="G1687" s="208"/>
      <c r="H1687" s="208"/>
      <c r="I1687" s="208"/>
      <c r="J1687" s="208"/>
      <c r="K1687" s="208"/>
      <c r="L1687" s="245"/>
      <c r="M1687" s="919"/>
      <c r="N1687" s="919"/>
      <c r="O1687" s="919"/>
      <c r="P1687" s="919"/>
      <c r="Q1687" s="919"/>
      <c r="R1687" s="919"/>
      <c r="S1687" s="919"/>
      <c r="T1687" s="919"/>
      <c r="U1687" s="919"/>
      <c r="V1687" s="919"/>
      <c r="W1687" s="919"/>
      <c r="X1687" s="919"/>
      <c r="Y1687" s="919"/>
      <c r="Z1687" s="919"/>
      <c r="AA1687" s="919"/>
      <c r="AB1687" s="919"/>
      <c r="AC1687" s="919"/>
      <c r="AD1687" s="919"/>
      <c r="AE1687" s="919"/>
      <c r="AF1687" s="919"/>
      <c r="AG1687" s="919"/>
      <c r="AH1687" s="919"/>
      <c r="AI1687" s="919"/>
      <c r="AJ1687" s="919"/>
      <c r="AK1687" s="919"/>
      <c r="AL1687" s="919"/>
      <c r="AM1687" s="919"/>
      <c r="AN1687" s="919"/>
      <c r="AO1687" s="919"/>
      <c r="AP1687" s="919"/>
      <c r="AQ1687" s="919"/>
      <c r="AR1687" s="919"/>
      <c r="AS1687" s="919"/>
      <c r="AT1687" s="919"/>
      <c r="AU1687" s="919"/>
      <c r="AV1687" s="919"/>
      <c r="AW1687" s="212"/>
      <c r="AX1687" s="213"/>
      <c r="AY1687" s="213"/>
      <c r="AZ1687" s="213"/>
      <c r="BA1687" s="213"/>
      <c r="BB1687" s="213"/>
    </row>
    <row r="1688" spans="1:54" ht="12.6" customHeight="1" x14ac:dyDescent="0.25">
      <c r="A1688" s="281" t="s">
        <v>2107</v>
      </c>
      <c r="B1688" s="208"/>
      <c r="C1688" s="208"/>
      <c r="D1688" s="208"/>
      <c r="E1688" s="208"/>
      <c r="F1688" s="208"/>
      <c r="G1688" s="208"/>
      <c r="H1688" s="208"/>
      <c r="I1688" s="208"/>
      <c r="J1688" s="208"/>
      <c r="K1688" s="208"/>
      <c r="L1688" s="245"/>
      <c r="M1688" s="919"/>
      <c r="N1688" s="919"/>
      <c r="O1688" s="919"/>
      <c r="P1688" s="919"/>
      <c r="Q1688" s="919"/>
      <c r="R1688" s="919"/>
      <c r="S1688" s="919"/>
      <c r="T1688" s="919"/>
      <c r="U1688" s="919"/>
      <c r="V1688" s="919"/>
      <c r="W1688" s="919"/>
      <c r="X1688" s="919"/>
      <c r="Y1688" s="919"/>
      <c r="Z1688" s="919"/>
      <c r="AA1688" s="919"/>
      <c r="AB1688" s="919"/>
      <c r="AC1688" s="919"/>
      <c r="AD1688" s="919"/>
      <c r="AE1688" s="919"/>
      <c r="AF1688" s="919"/>
      <c r="AG1688" s="919"/>
      <c r="AH1688" s="919"/>
      <c r="AI1688" s="919"/>
      <c r="AJ1688" s="919"/>
      <c r="AK1688" s="919"/>
      <c r="AL1688" s="919"/>
      <c r="AM1688" s="919"/>
      <c r="AN1688" s="919"/>
      <c r="AO1688" s="919"/>
      <c r="AP1688" s="919"/>
      <c r="AQ1688" s="919"/>
      <c r="AR1688" s="919"/>
      <c r="AS1688" s="919"/>
      <c r="AT1688" s="919"/>
      <c r="AU1688" s="919"/>
      <c r="AV1688" s="919"/>
      <c r="AW1688" s="212"/>
      <c r="AX1688" s="213"/>
      <c r="AY1688" s="213"/>
      <c r="AZ1688" s="213"/>
      <c r="BA1688" s="213"/>
      <c r="BB1688" s="213"/>
    </row>
    <row r="1689" spans="1:54" ht="12.6" customHeight="1" x14ac:dyDescent="0.25">
      <c r="A1689" s="258" t="s">
        <v>2108</v>
      </c>
      <c r="B1689" s="247"/>
      <c r="C1689" s="247"/>
      <c r="D1689" s="247"/>
      <c r="E1689" s="247"/>
      <c r="F1689" s="247"/>
      <c r="G1689" s="247"/>
      <c r="H1689" s="247"/>
      <c r="I1689" s="247"/>
      <c r="J1689" s="247"/>
      <c r="K1689" s="247"/>
      <c r="L1689" s="252"/>
      <c r="M1689" s="919"/>
      <c r="N1689" s="919"/>
      <c r="O1689" s="919"/>
      <c r="P1689" s="919"/>
      <c r="Q1689" s="919"/>
      <c r="R1689" s="919"/>
      <c r="S1689" s="919"/>
      <c r="T1689" s="919"/>
      <c r="U1689" s="919"/>
      <c r="V1689" s="919"/>
      <c r="W1689" s="919"/>
      <c r="X1689" s="919"/>
      <c r="Y1689" s="919"/>
      <c r="Z1689" s="919"/>
      <c r="AA1689" s="919"/>
      <c r="AB1689" s="919"/>
      <c r="AC1689" s="919"/>
      <c r="AD1689" s="919"/>
      <c r="AE1689" s="919"/>
      <c r="AF1689" s="919"/>
      <c r="AG1689" s="919"/>
      <c r="AH1689" s="919"/>
      <c r="AI1689" s="919"/>
      <c r="AJ1689" s="919"/>
      <c r="AK1689" s="919"/>
      <c r="AL1689" s="919"/>
      <c r="AM1689" s="919"/>
      <c r="AN1689" s="919"/>
      <c r="AO1689" s="919"/>
      <c r="AP1689" s="919"/>
      <c r="AQ1689" s="919"/>
      <c r="AR1689" s="919"/>
      <c r="AS1689" s="919"/>
      <c r="AT1689" s="919"/>
      <c r="AU1689" s="919"/>
      <c r="AV1689" s="919"/>
      <c r="AW1689" s="212"/>
      <c r="AX1689" s="213"/>
      <c r="AY1689" s="213"/>
      <c r="AZ1689" s="213"/>
      <c r="BA1689" s="213"/>
      <c r="BB1689" s="213"/>
    </row>
    <row r="1690" spans="1:54" ht="12.6" customHeight="1" x14ac:dyDescent="0.25">
      <c r="A1690" s="257" t="s">
        <v>2109</v>
      </c>
      <c r="B1690" s="249"/>
      <c r="C1690" s="249"/>
      <c r="D1690" s="249"/>
      <c r="E1690" s="249"/>
      <c r="F1690" s="249"/>
      <c r="G1690" s="249"/>
      <c r="H1690" s="249"/>
      <c r="I1690" s="249"/>
      <c r="J1690" s="249"/>
      <c r="K1690" s="249"/>
      <c r="L1690" s="250"/>
      <c r="M1690" s="919">
        <f>SUM('HL KNIHA VYPOC'!H230)*-1</f>
        <v>0</v>
      </c>
      <c r="N1690" s="919"/>
      <c r="O1690" s="919"/>
      <c r="P1690" s="919"/>
      <c r="Q1690" s="919"/>
      <c r="R1690" s="919"/>
      <c r="S1690" s="919"/>
      <c r="T1690" s="919"/>
      <c r="U1690" s="919">
        <f>SUM('HL KNIHA VYPOC'!J230)</f>
        <v>0</v>
      </c>
      <c r="V1690" s="919"/>
      <c r="W1690" s="919"/>
      <c r="X1690" s="919"/>
      <c r="Y1690" s="919"/>
      <c r="Z1690" s="919"/>
      <c r="AA1690" s="919"/>
      <c r="AB1690" s="919">
        <f>SUM('HL KNIHA VYPOC'!I230)</f>
        <v>0</v>
      </c>
      <c r="AC1690" s="919"/>
      <c r="AD1690" s="919"/>
      <c r="AE1690" s="919"/>
      <c r="AF1690" s="919"/>
      <c r="AG1690" s="919"/>
      <c r="AH1690" s="919"/>
      <c r="AI1690" s="919"/>
      <c r="AJ1690" s="919"/>
      <c r="AK1690" s="919"/>
      <c r="AL1690" s="919"/>
      <c r="AM1690" s="919"/>
      <c r="AN1690" s="919"/>
      <c r="AO1690" s="919"/>
      <c r="AP1690" s="919">
        <f>SUM(M1690+U1690-AB1690+AI1690)</f>
        <v>0</v>
      </c>
      <c r="AQ1690" s="919"/>
      <c r="AR1690" s="919"/>
      <c r="AS1690" s="919"/>
      <c r="AT1690" s="919"/>
      <c r="AU1690" s="919"/>
      <c r="AV1690" s="919"/>
      <c r="AW1690" s="212"/>
      <c r="AX1690" s="213"/>
      <c r="AY1690" s="213"/>
      <c r="AZ1690" s="213"/>
      <c r="BA1690" s="213"/>
      <c r="BB1690" s="213"/>
    </row>
    <row r="1691" spans="1:54" ht="12.6" customHeight="1" x14ac:dyDescent="0.25">
      <c r="A1691" s="258" t="s">
        <v>2110</v>
      </c>
      <c r="B1691" s="247"/>
      <c r="C1691" s="247"/>
      <c r="D1691" s="247"/>
      <c r="E1691" s="247"/>
      <c r="F1691" s="247"/>
      <c r="G1691" s="247"/>
      <c r="H1691" s="247"/>
      <c r="I1691" s="247"/>
      <c r="J1691" s="247"/>
      <c r="K1691" s="247"/>
      <c r="L1691" s="252"/>
      <c r="M1691" s="919"/>
      <c r="N1691" s="919"/>
      <c r="O1691" s="919"/>
      <c r="P1691" s="919"/>
      <c r="Q1691" s="919"/>
      <c r="R1691" s="919"/>
      <c r="S1691" s="919"/>
      <c r="T1691" s="919"/>
      <c r="U1691" s="919"/>
      <c r="V1691" s="919"/>
      <c r="W1691" s="919"/>
      <c r="X1691" s="919"/>
      <c r="Y1691" s="919"/>
      <c r="Z1691" s="919"/>
      <c r="AA1691" s="919"/>
      <c r="AB1691" s="919"/>
      <c r="AC1691" s="919"/>
      <c r="AD1691" s="919"/>
      <c r="AE1691" s="919"/>
      <c r="AF1691" s="919"/>
      <c r="AG1691" s="919"/>
      <c r="AH1691" s="919"/>
      <c r="AI1691" s="919"/>
      <c r="AJ1691" s="919"/>
      <c r="AK1691" s="919"/>
      <c r="AL1691" s="919"/>
      <c r="AM1691" s="919"/>
      <c r="AN1691" s="919"/>
      <c r="AO1691" s="919"/>
      <c r="AP1691" s="919"/>
      <c r="AQ1691" s="919"/>
      <c r="AR1691" s="919"/>
      <c r="AS1691" s="919"/>
      <c r="AT1691" s="919"/>
      <c r="AU1691" s="919"/>
      <c r="AV1691" s="919"/>
      <c r="AW1691" s="212"/>
      <c r="AX1691" s="213"/>
      <c r="AY1691" s="213"/>
      <c r="AZ1691" s="213"/>
      <c r="BA1691" s="213"/>
      <c r="BB1691" s="213"/>
    </row>
    <row r="1692" spans="1:54" ht="12.6" customHeight="1" x14ac:dyDescent="0.25">
      <c r="A1692" s="257" t="s">
        <v>2111</v>
      </c>
      <c r="B1692" s="249"/>
      <c r="C1692" s="249"/>
      <c r="D1692" s="249"/>
      <c r="E1692" s="249"/>
      <c r="F1692" s="249"/>
      <c r="G1692" s="249"/>
      <c r="H1692" s="249"/>
      <c r="I1692" s="249"/>
      <c r="J1692" s="249"/>
      <c r="K1692" s="249"/>
      <c r="L1692" s="250"/>
      <c r="M1692" s="919">
        <f>SUM('HL KNIHA VYPOC'!H231)*-1</f>
        <v>-225645.5</v>
      </c>
      <c r="N1692" s="919"/>
      <c r="O1692" s="919"/>
      <c r="P1692" s="919"/>
      <c r="Q1692" s="919"/>
      <c r="R1692" s="919"/>
      <c r="S1692" s="919"/>
      <c r="T1692" s="919"/>
      <c r="U1692" s="919">
        <f>SUM('HL KNIHA VYPOC'!J231)</f>
        <v>1261.58</v>
      </c>
      <c r="V1692" s="919"/>
      <c r="W1692" s="919"/>
      <c r="X1692" s="919"/>
      <c r="Y1692" s="919"/>
      <c r="Z1692" s="919"/>
      <c r="AA1692" s="919"/>
      <c r="AB1692" s="919">
        <f>SUM('HL KNIHA VYPOC'!I231)</f>
        <v>0</v>
      </c>
      <c r="AC1692" s="919"/>
      <c r="AD1692" s="919"/>
      <c r="AE1692" s="919"/>
      <c r="AF1692" s="919"/>
      <c r="AG1692" s="919"/>
      <c r="AH1692" s="919"/>
      <c r="AI1692" s="919"/>
      <c r="AJ1692" s="919"/>
      <c r="AK1692" s="919"/>
      <c r="AL1692" s="919"/>
      <c r="AM1692" s="919"/>
      <c r="AN1692" s="919"/>
      <c r="AO1692" s="919"/>
      <c r="AP1692" s="919">
        <f>SUM(M1692+U1692-AB1692+AI1692)</f>
        <v>-224383.92</v>
      </c>
      <c r="AQ1692" s="919"/>
      <c r="AR1692" s="919"/>
      <c r="AS1692" s="919"/>
      <c r="AT1692" s="919"/>
      <c r="AU1692" s="919"/>
      <c r="AV1692" s="919"/>
      <c r="AW1692" s="212"/>
      <c r="AX1692" s="213"/>
      <c r="AY1692" s="213"/>
      <c r="AZ1692" s="213"/>
      <c r="BA1692" s="213"/>
      <c r="BB1692" s="213"/>
    </row>
    <row r="1693" spans="1:54" ht="12.6" customHeight="1" x14ac:dyDescent="0.25">
      <c r="A1693" s="258" t="s">
        <v>2112</v>
      </c>
      <c r="B1693" s="247"/>
      <c r="C1693" s="247"/>
      <c r="D1693" s="247"/>
      <c r="E1693" s="247"/>
      <c r="F1693" s="247"/>
      <c r="G1693" s="247"/>
      <c r="H1693" s="247"/>
      <c r="I1693" s="247"/>
      <c r="J1693" s="247"/>
      <c r="K1693" s="247"/>
      <c r="L1693" s="252"/>
      <c r="M1693" s="919"/>
      <c r="N1693" s="919"/>
      <c r="O1693" s="919"/>
      <c r="P1693" s="919"/>
      <c r="Q1693" s="919"/>
      <c r="R1693" s="919"/>
      <c r="S1693" s="919"/>
      <c r="T1693" s="919"/>
      <c r="U1693" s="919"/>
      <c r="V1693" s="919"/>
      <c r="W1693" s="919"/>
      <c r="X1693" s="919"/>
      <c r="Y1693" s="919"/>
      <c r="Z1693" s="919"/>
      <c r="AA1693" s="919"/>
      <c r="AB1693" s="919"/>
      <c r="AC1693" s="919"/>
      <c r="AD1693" s="919"/>
      <c r="AE1693" s="919"/>
      <c r="AF1693" s="919"/>
      <c r="AG1693" s="919"/>
      <c r="AH1693" s="919"/>
      <c r="AI1693" s="919"/>
      <c r="AJ1693" s="919"/>
      <c r="AK1693" s="919"/>
      <c r="AL1693" s="919"/>
      <c r="AM1693" s="919"/>
      <c r="AN1693" s="919"/>
      <c r="AO1693" s="919"/>
      <c r="AP1693" s="919"/>
      <c r="AQ1693" s="919"/>
      <c r="AR1693" s="919"/>
      <c r="AS1693" s="919"/>
      <c r="AT1693" s="919"/>
      <c r="AU1693" s="919"/>
      <c r="AV1693" s="919"/>
      <c r="AW1693" s="212"/>
      <c r="AX1693" s="213"/>
      <c r="AY1693" s="213"/>
      <c r="AZ1693" s="213"/>
      <c r="BA1693" s="213"/>
      <c r="BB1693" s="213"/>
    </row>
    <row r="1694" spans="1:54" ht="12.6" customHeight="1" x14ac:dyDescent="0.25">
      <c r="A1694" s="257" t="s">
        <v>1565</v>
      </c>
      <c r="B1694" s="249"/>
      <c r="C1694" s="249"/>
      <c r="D1694" s="249"/>
      <c r="E1694" s="249"/>
      <c r="F1694" s="249"/>
      <c r="G1694" s="249"/>
      <c r="H1694" s="249"/>
      <c r="I1694" s="249"/>
      <c r="J1694" s="249"/>
      <c r="K1694" s="249"/>
      <c r="L1694" s="250"/>
      <c r="M1694" s="919"/>
      <c r="N1694" s="919"/>
      <c r="O1694" s="919"/>
      <c r="P1694" s="919"/>
      <c r="Q1694" s="919"/>
      <c r="R1694" s="919"/>
      <c r="S1694" s="919"/>
      <c r="T1694" s="919"/>
      <c r="U1694" s="919"/>
      <c r="V1694" s="919"/>
      <c r="W1694" s="919"/>
      <c r="X1694" s="919"/>
      <c r="Y1694" s="919"/>
      <c r="Z1694" s="919"/>
      <c r="AA1694" s="919"/>
      <c r="AB1694" s="919"/>
      <c r="AC1694" s="919"/>
      <c r="AD1694" s="919"/>
      <c r="AE1694" s="919"/>
      <c r="AF1694" s="919"/>
      <c r="AG1694" s="919"/>
      <c r="AH1694" s="919"/>
      <c r="AI1694" s="919"/>
      <c r="AJ1694" s="919"/>
      <c r="AK1694" s="919"/>
      <c r="AL1694" s="919"/>
      <c r="AM1694" s="919"/>
      <c r="AN1694" s="919"/>
      <c r="AO1694" s="919"/>
      <c r="AP1694" s="919">
        <f>SUVAHAVUJ!$X$102</f>
        <v>172989</v>
      </c>
      <c r="AQ1694" s="919"/>
      <c r="AR1694" s="919"/>
      <c r="AS1694" s="919"/>
      <c r="AT1694" s="919"/>
      <c r="AU1694" s="919"/>
      <c r="AV1694" s="919"/>
      <c r="AW1694" s="212"/>
      <c r="AX1694" s="213"/>
      <c r="AY1694" s="213"/>
      <c r="AZ1694" s="213"/>
      <c r="BA1694" s="213"/>
      <c r="BB1694" s="213"/>
    </row>
    <row r="1695" spans="1:54" ht="12.6" customHeight="1" x14ac:dyDescent="0.25">
      <c r="A1695" s="281" t="s">
        <v>2113</v>
      </c>
      <c r="B1695" s="208"/>
      <c r="C1695" s="208"/>
      <c r="D1695" s="208"/>
      <c r="E1695" s="208"/>
      <c r="F1695" s="208"/>
      <c r="G1695" s="208"/>
      <c r="H1695" s="208"/>
      <c r="I1695" s="208"/>
      <c r="J1695" s="208"/>
      <c r="K1695" s="208"/>
      <c r="L1695" s="245"/>
      <c r="M1695" s="919"/>
      <c r="N1695" s="919"/>
      <c r="O1695" s="919"/>
      <c r="P1695" s="919"/>
      <c r="Q1695" s="919"/>
      <c r="R1695" s="919"/>
      <c r="S1695" s="919"/>
      <c r="T1695" s="919"/>
      <c r="U1695" s="919"/>
      <c r="V1695" s="919"/>
      <c r="W1695" s="919"/>
      <c r="X1695" s="919"/>
      <c r="Y1695" s="919"/>
      <c r="Z1695" s="919"/>
      <c r="AA1695" s="919"/>
      <c r="AB1695" s="919"/>
      <c r="AC1695" s="919"/>
      <c r="AD1695" s="919"/>
      <c r="AE1695" s="919"/>
      <c r="AF1695" s="919"/>
      <c r="AG1695" s="919"/>
      <c r="AH1695" s="919"/>
      <c r="AI1695" s="919"/>
      <c r="AJ1695" s="919"/>
      <c r="AK1695" s="919"/>
      <c r="AL1695" s="919"/>
      <c r="AM1695" s="919"/>
      <c r="AN1695" s="919"/>
      <c r="AO1695" s="919"/>
      <c r="AP1695" s="919"/>
      <c r="AQ1695" s="919"/>
      <c r="AR1695" s="919"/>
      <c r="AS1695" s="919"/>
      <c r="AT1695" s="919"/>
      <c r="AU1695" s="919"/>
      <c r="AV1695" s="919"/>
      <c r="AW1695" s="212"/>
      <c r="AX1695" s="213"/>
      <c r="AY1695" s="213"/>
      <c r="AZ1695" s="213"/>
      <c r="BA1695" s="213"/>
      <c r="BB1695" s="213"/>
    </row>
    <row r="1696" spans="1:54" ht="12.6" customHeight="1" x14ac:dyDescent="0.25">
      <c r="A1696" s="258" t="s">
        <v>2119</v>
      </c>
      <c r="B1696" s="247"/>
      <c r="C1696" s="247"/>
      <c r="D1696" s="247"/>
      <c r="E1696" s="247"/>
      <c r="F1696" s="247"/>
      <c r="G1696" s="247"/>
      <c r="H1696" s="247" t="s">
        <v>2120</v>
      </c>
      <c r="I1696" s="247"/>
      <c r="J1696" s="247"/>
      <c r="K1696" s="247"/>
      <c r="L1696" s="252"/>
      <c r="M1696" s="919"/>
      <c r="N1696" s="919"/>
      <c r="O1696" s="919"/>
      <c r="P1696" s="919"/>
      <c r="Q1696" s="919"/>
      <c r="R1696" s="919"/>
      <c r="S1696" s="919"/>
      <c r="T1696" s="919"/>
      <c r="U1696" s="919"/>
      <c r="V1696" s="919"/>
      <c r="W1696" s="919"/>
      <c r="X1696" s="919"/>
      <c r="Y1696" s="919"/>
      <c r="Z1696" s="919"/>
      <c r="AA1696" s="919"/>
      <c r="AB1696" s="919"/>
      <c r="AC1696" s="919"/>
      <c r="AD1696" s="919"/>
      <c r="AE1696" s="919"/>
      <c r="AF1696" s="919"/>
      <c r="AG1696" s="919"/>
      <c r="AH1696" s="919"/>
      <c r="AI1696" s="919"/>
      <c r="AJ1696" s="919"/>
      <c r="AK1696" s="919"/>
      <c r="AL1696" s="919"/>
      <c r="AM1696" s="919"/>
      <c r="AN1696" s="919"/>
      <c r="AO1696" s="919"/>
      <c r="AP1696" s="919"/>
      <c r="AQ1696" s="919"/>
      <c r="AR1696" s="919"/>
      <c r="AS1696" s="919"/>
      <c r="AT1696" s="919"/>
      <c r="AU1696" s="919"/>
      <c r="AV1696" s="919"/>
      <c r="AW1696" s="212"/>
      <c r="AX1696" s="213"/>
      <c r="AY1696" s="213"/>
      <c r="AZ1696" s="213"/>
      <c r="BA1696" s="213"/>
      <c r="BB1696" s="213"/>
    </row>
    <row r="1697" spans="1:54" ht="12.6" customHeight="1" x14ac:dyDescent="0.25">
      <c r="A1697" s="257" t="s">
        <v>2114</v>
      </c>
      <c r="B1697" s="249"/>
      <c r="C1697" s="249"/>
      <c r="D1697" s="249"/>
      <c r="E1697" s="249"/>
      <c r="F1697" s="249"/>
      <c r="G1697" s="249"/>
      <c r="H1697" s="249"/>
      <c r="I1697" s="249"/>
      <c r="J1697" s="249"/>
      <c r="K1697" s="249"/>
      <c r="L1697" s="250"/>
      <c r="M1697" s="919"/>
      <c r="N1697" s="919"/>
      <c r="O1697" s="919"/>
      <c r="P1697" s="919"/>
      <c r="Q1697" s="919"/>
      <c r="R1697" s="919"/>
      <c r="S1697" s="919"/>
      <c r="T1697" s="919"/>
      <c r="U1697" s="919"/>
      <c r="V1697" s="919"/>
      <c r="W1697" s="919"/>
      <c r="X1697" s="919"/>
      <c r="Y1697" s="919"/>
      <c r="Z1697" s="919"/>
      <c r="AA1697" s="919"/>
      <c r="AB1697" s="919"/>
      <c r="AC1697" s="919"/>
      <c r="AD1697" s="919"/>
      <c r="AE1697" s="919"/>
      <c r="AF1697" s="919"/>
      <c r="AG1697" s="919"/>
      <c r="AH1697" s="919"/>
      <c r="AI1697" s="919"/>
      <c r="AJ1697" s="919"/>
      <c r="AK1697" s="919"/>
      <c r="AL1697" s="919"/>
      <c r="AM1697" s="919"/>
      <c r="AN1697" s="919"/>
      <c r="AO1697" s="919"/>
      <c r="AP1697" s="919">
        <f>SUM(M1697+U1697-AB1697+AI1697)</f>
        <v>0</v>
      </c>
      <c r="AQ1697" s="919"/>
      <c r="AR1697" s="919"/>
      <c r="AS1697" s="919"/>
      <c r="AT1697" s="919"/>
      <c r="AU1697" s="919"/>
      <c r="AV1697" s="919"/>
      <c r="AW1697" s="212"/>
      <c r="AX1697" s="213"/>
      <c r="AY1697" s="213"/>
      <c r="AZ1697" s="213"/>
      <c r="BA1697" s="213"/>
      <c r="BB1697" s="213"/>
    </row>
    <row r="1698" spans="1:54" ht="12.6" customHeight="1" x14ac:dyDescent="0.25">
      <c r="A1698" s="258" t="s">
        <v>2115</v>
      </c>
      <c r="B1698" s="247"/>
      <c r="C1698" s="247"/>
      <c r="D1698" s="247"/>
      <c r="E1698" s="247"/>
      <c r="F1698" s="247"/>
      <c r="G1698" s="247"/>
      <c r="H1698" s="247"/>
      <c r="I1698" s="247"/>
      <c r="J1698" s="247"/>
      <c r="K1698" s="247"/>
      <c r="L1698" s="252"/>
      <c r="M1698" s="919"/>
      <c r="N1698" s="919"/>
      <c r="O1698" s="919"/>
      <c r="P1698" s="919"/>
      <c r="Q1698" s="919"/>
      <c r="R1698" s="919"/>
      <c r="S1698" s="919"/>
      <c r="T1698" s="919"/>
      <c r="U1698" s="919"/>
      <c r="V1698" s="919"/>
      <c r="W1698" s="919"/>
      <c r="X1698" s="919"/>
      <c r="Y1698" s="919"/>
      <c r="Z1698" s="919"/>
      <c r="AA1698" s="919"/>
      <c r="AB1698" s="919"/>
      <c r="AC1698" s="919"/>
      <c r="AD1698" s="919"/>
      <c r="AE1698" s="919"/>
      <c r="AF1698" s="919"/>
      <c r="AG1698" s="919"/>
      <c r="AH1698" s="919"/>
      <c r="AI1698" s="919"/>
      <c r="AJ1698" s="919"/>
      <c r="AK1698" s="919"/>
      <c r="AL1698" s="919"/>
      <c r="AM1698" s="919"/>
      <c r="AN1698" s="919"/>
      <c r="AO1698" s="919"/>
      <c r="AP1698" s="919"/>
      <c r="AQ1698" s="919"/>
      <c r="AR1698" s="919"/>
      <c r="AS1698" s="919"/>
      <c r="AT1698" s="919"/>
      <c r="AU1698" s="919"/>
      <c r="AV1698" s="919"/>
      <c r="AW1698" s="212"/>
      <c r="AX1698" s="213"/>
      <c r="AY1698" s="213"/>
      <c r="AZ1698" s="213"/>
      <c r="BA1698" s="213"/>
      <c r="BB1698" s="213"/>
    </row>
    <row r="1699" spans="1:54" ht="12.6" customHeight="1" x14ac:dyDescent="0.25">
      <c r="A1699" s="257" t="s">
        <v>2116</v>
      </c>
      <c r="B1699" s="249"/>
      <c r="C1699" s="249"/>
      <c r="D1699" s="249"/>
      <c r="E1699" s="249"/>
      <c r="F1699" s="249"/>
      <c r="G1699" s="249"/>
      <c r="H1699" s="249"/>
      <c r="I1699" s="249"/>
      <c r="J1699" s="249"/>
      <c r="K1699" s="249"/>
      <c r="L1699" s="250"/>
      <c r="M1699" s="919"/>
      <c r="N1699" s="919"/>
      <c r="O1699" s="919"/>
      <c r="P1699" s="919"/>
      <c r="Q1699" s="919"/>
      <c r="R1699" s="919"/>
      <c r="S1699" s="919"/>
      <c r="T1699" s="919"/>
      <c r="U1699" s="919"/>
      <c r="V1699" s="919"/>
      <c r="W1699" s="919"/>
      <c r="X1699" s="919"/>
      <c r="Y1699" s="919"/>
      <c r="Z1699" s="919"/>
      <c r="AA1699" s="919"/>
      <c r="AB1699" s="919"/>
      <c r="AC1699" s="919"/>
      <c r="AD1699" s="919"/>
      <c r="AE1699" s="919"/>
      <c r="AF1699" s="919"/>
      <c r="AG1699" s="919"/>
      <c r="AH1699" s="919"/>
      <c r="AI1699" s="919"/>
      <c r="AJ1699" s="919"/>
      <c r="AK1699" s="919"/>
      <c r="AL1699" s="919"/>
      <c r="AM1699" s="919"/>
      <c r="AN1699" s="919"/>
      <c r="AO1699" s="919"/>
      <c r="AP1699" s="919">
        <f>SUM(M1699+U1699-AB1699+AI1699)</f>
        <v>0</v>
      </c>
      <c r="AQ1699" s="919"/>
      <c r="AR1699" s="919"/>
      <c r="AS1699" s="919"/>
      <c r="AT1699" s="919"/>
      <c r="AU1699" s="919"/>
      <c r="AV1699" s="919"/>
      <c r="AW1699" s="212"/>
      <c r="AX1699" s="213"/>
      <c r="AY1699" s="213"/>
      <c r="AZ1699" s="213"/>
      <c r="BA1699" s="213"/>
      <c r="BB1699" s="213"/>
    </row>
    <row r="1700" spans="1:54" ht="12.6" customHeight="1" x14ac:dyDescent="0.25">
      <c r="A1700" s="281" t="s">
        <v>2117</v>
      </c>
      <c r="B1700" s="208"/>
      <c r="C1700" s="208"/>
      <c r="D1700" s="208"/>
      <c r="E1700" s="208"/>
      <c r="F1700" s="208"/>
      <c r="G1700" s="208"/>
      <c r="H1700" s="208"/>
      <c r="I1700" s="208"/>
      <c r="J1700" s="208"/>
      <c r="K1700" s="208"/>
      <c r="L1700" s="245"/>
      <c r="M1700" s="919"/>
      <c r="N1700" s="919"/>
      <c r="O1700" s="919"/>
      <c r="P1700" s="919"/>
      <c r="Q1700" s="919"/>
      <c r="R1700" s="919"/>
      <c r="S1700" s="919"/>
      <c r="T1700" s="919"/>
      <c r="U1700" s="919"/>
      <c r="V1700" s="919"/>
      <c r="W1700" s="919"/>
      <c r="X1700" s="919"/>
      <c r="Y1700" s="919"/>
      <c r="Z1700" s="919"/>
      <c r="AA1700" s="919"/>
      <c r="AB1700" s="919"/>
      <c r="AC1700" s="919"/>
      <c r="AD1700" s="919"/>
      <c r="AE1700" s="919"/>
      <c r="AF1700" s="919"/>
      <c r="AG1700" s="919"/>
      <c r="AH1700" s="919"/>
      <c r="AI1700" s="919"/>
      <c r="AJ1700" s="919"/>
      <c r="AK1700" s="919"/>
      <c r="AL1700" s="919"/>
      <c r="AM1700" s="919"/>
      <c r="AN1700" s="919"/>
      <c r="AO1700" s="919"/>
      <c r="AP1700" s="919"/>
      <c r="AQ1700" s="919"/>
      <c r="AR1700" s="919"/>
      <c r="AS1700" s="919"/>
      <c r="AT1700" s="919"/>
      <c r="AU1700" s="919"/>
      <c r="AV1700" s="919"/>
      <c r="AW1700" s="212"/>
      <c r="AX1700" s="213"/>
      <c r="AY1700" s="213"/>
      <c r="AZ1700" s="213"/>
      <c r="BA1700" s="213"/>
      <c r="BB1700" s="213"/>
    </row>
    <row r="1701" spans="1:54" ht="12.6" customHeight="1" x14ac:dyDescent="0.25">
      <c r="A1701" s="258" t="s">
        <v>2118</v>
      </c>
      <c r="B1701" s="247"/>
      <c r="C1701" s="247"/>
      <c r="D1701" s="247"/>
      <c r="E1701" s="247"/>
      <c r="F1701" s="247"/>
      <c r="G1701" s="247"/>
      <c r="H1701" s="247"/>
      <c r="I1701" s="247"/>
      <c r="J1701" s="247"/>
      <c r="K1701" s="247"/>
      <c r="L1701" s="252"/>
      <c r="M1701" s="919"/>
      <c r="N1701" s="919"/>
      <c r="O1701" s="919"/>
      <c r="P1701" s="919"/>
      <c r="Q1701" s="919"/>
      <c r="R1701" s="919"/>
      <c r="S1701" s="919"/>
      <c r="T1701" s="919"/>
      <c r="U1701" s="919"/>
      <c r="V1701" s="919"/>
      <c r="W1701" s="919"/>
      <c r="X1701" s="919"/>
      <c r="Y1701" s="919"/>
      <c r="Z1701" s="919"/>
      <c r="AA1701" s="919"/>
      <c r="AB1701" s="919"/>
      <c r="AC1701" s="919"/>
      <c r="AD1701" s="919"/>
      <c r="AE1701" s="919"/>
      <c r="AF1701" s="919"/>
      <c r="AG1701" s="919"/>
      <c r="AH1701" s="919"/>
      <c r="AI1701" s="919"/>
      <c r="AJ1701" s="919"/>
      <c r="AK1701" s="919"/>
      <c r="AL1701" s="919"/>
      <c r="AM1701" s="919"/>
      <c r="AN1701" s="919"/>
      <c r="AO1701" s="919"/>
      <c r="AP1701" s="919"/>
      <c r="AQ1701" s="919"/>
      <c r="AR1701" s="919"/>
      <c r="AS1701" s="919"/>
      <c r="AT1701" s="919"/>
      <c r="AU1701" s="919"/>
      <c r="AV1701" s="919"/>
      <c r="AW1701" s="212"/>
      <c r="AX1701" s="213"/>
      <c r="AY1701" s="213"/>
      <c r="AZ1701" s="213"/>
      <c r="BA1701" s="213"/>
      <c r="BB1701" s="213"/>
    </row>
    <row r="1702" spans="1:54" ht="12.6" customHeight="1" x14ac:dyDescent="0.25">
      <c r="A1702" s="227" t="s">
        <v>2121</v>
      </c>
      <c r="B1702" s="227"/>
    </row>
    <row r="1703" spans="1:54" ht="15" customHeight="1" x14ac:dyDescent="0.25">
      <c r="A1703" s="763"/>
      <c r="B1703" s="763"/>
      <c r="C1703" s="763"/>
      <c r="D1703" s="763"/>
      <c r="E1703" s="763"/>
      <c r="F1703" s="763"/>
      <c r="G1703" s="763"/>
      <c r="H1703" s="763"/>
      <c r="I1703" s="763"/>
      <c r="J1703" s="763"/>
      <c r="K1703" s="763"/>
      <c r="L1703" s="763"/>
      <c r="M1703" s="763"/>
      <c r="N1703" s="763"/>
      <c r="O1703" s="763"/>
      <c r="P1703" s="763"/>
      <c r="Q1703" s="763"/>
      <c r="R1703" s="763"/>
      <c r="S1703" s="763"/>
      <c r="T1703" s="763"/>
      <c r="U1703" s="763"/>
      <c r="V1703" s="763"/>
      <c r="W1703" s="763"/>
      <c r="X1703" s="763"/>
      <c r="Y1703" s="763"/>
      <c r="Z1703" s="763"/>
      <c r="AA1703" s="763"/>
      <c r="AB1703" s="763"/>
      <c r="AC1703" s="763"/>
      <c r="AD1703" s="763"/>
      <c r="AE1703" s="763"/>
      <c r="AF1703" s="763"/>
      <c r="AG1703" s="763"/>
      <c r="AH1703" s="763"/>
      <c r="AI1703" s="763"/>
      <c r="AJ1703" s="763"/>
      <c r="AK1703" s="763"/>
      <c r="AL1703" s="763"/>
      <c r="AM1703" s="763"/>
      <c r="AN1703" s="763"/>
      <c r="AO1703" s="763"/>
      <c r="AP1703" s="763"/>
      <c r="AQ1703" s="763"/>
      <c r="AR1703" s="763"/>
      <c r="AS1703" s="763"/>
      <c r="AT1703" s="763"/>
      <c r="AU1703" s="763"/>
      <c r="AV1703" s="763"/>
      <c r="AW1703" s="763"/>
      <c r="AX1703" s="763"/>
      <c r="AY1703" s="265"/>
      <c r="AZ1703" s="265"/>
      <c r="BA1703" s="265"/>
      <c r="BB1703" s="265"/>
    </row>
    <row r="1704" spans="1:54" ht="15" customHeight="1" x14ac:dyDescent="0.25">
      <c r="A1704" s="763"/>
      <c r="B1704" s="763"/>
      <c r="C1704" s="763"/>
      <c r="D1704" s="763"/>
      <c r="E1704" s="763"/>
      <c r="F1704" s="763"/>
      <c r="G1704" s="763"/>
      <c r="H1704" s="763"/>
      <c r="I1704" s="763"/>
      <c r="J1704" s="763"/>
      <c r="K1704" s="763"/>
      <c r="L1704" s="763"/>
      <c r="M1704" s="763"/>
      <c r="N1704" s="763"/>
      <c r="O1704" s="763"/>
      <c r="P1704" s="763"/>
      <c r="Q1704" s="763"/>
      <c r="R1704" s="763"/>
      <c r="S1704" s="763"/>
      <c r="T1704" s="763"/>
      <c r="U1704" s="763"/>
      <c r="V1704" s="763"/>
      <c r="W1704" s="763"/>
      <c r="X1704" s="763"/>
      <c r="Y1704" s="763"/>
      <c r="Z1704" s="763"/>
      <c r="AA1704" s="763"/>
      <c r="AB1704" s="763"/>
      <c r="AC1704" s="763"/>
      <c r="AD1704" s="763"/>
      <c r="AE1704" s="763"/>
      <c r="AF1704" s="763"/>
      <c r="AG1704" s="763"/>
      <c r="AH1704" s="763"/>
      <c r="AI1704" s="763"/>
      <c r="AJ1704" s="763"/>
      <c r="AK1704" s="763"/>
      <c r="AL1704" s="763"/>
      <c r="AM1704" s="763"/>
      <c r="AN1704" s="763"/>
      <c r="AO1704" s="763"/>
      <c r="AP1704" s="763"/>
      <c r="AQ1704" s="763"/>
      <c r="AR1704" s="763"/>
      <c r="AS1704" s="763"/>
      <c r="AT1704" s="763"/>
      <c r="AU1704" s="763"/>
      <c r="AV1704" s="763"/>
      <c r="AW1704" s="763"/>
      <c r="AX1704" s="763"/>
      <c r="AY1704" s="265"/>
      <c r="AZ1704" s="265"/>
      <c r="BA1704" s="265"/>
      <c r="BB1704" s="265"/>
    </row>
    <row r="1705" spans="1:54" s="29" customFormat="1" ht="15" customHeight="1" x14ac:dyDescent="0.25">
      <c r="A1705" s="198"/>
      <c r="B1705" s="198"/>
      <c r="C1705" s="198"/>
      <c r="D1705" s="198"/>
      <c r="E1705" s="198"/>
      <c r="F1705" s="198"/>
      <c r="G1705" s="198"/>
      <c r="H1705" s="198"/>
      <c r="I1705" s="198"/>
      <c r="J1705" s="198"/>
      <c r="K1705" s="198"/>
      <c r="L1705" s="198"/>
      <c r="M1705" s="198"/>
      <c r="N1705" s="198"/>
      <c r="O1705" s="198"/>
      <c r="P1705" s="198"/>
      <c r="Q1705" s="198"/>
      <c r="R1705" s="198"/>
      <c r="S1705" s="198"/>
      <c r="T1705" s="198"/>
      <c r="U1705" s="198"/>
      <c r="V1705" s="198"/>
      <c r="W1705" s="198"/>
      <c r="X1705" s="198"/>
      <c r="Y1705" s="198"/>
      <c r="Z1705" s="198"/>
      <c r="AA1705" s="198"/>
      <c r="AB1705" s="198"/>
      <c r="AC1705" s="198"/>
      <c r="AD1705" s="198"/>
      <c r="AE1705" s="198"/>
      <c r="AF1705" s="198"/>
      <c r="AG1705" s="198"/>
      <c r="AH1705" s="198"/>
      <c r="AI1705" s="198"/>
      <c r="AJ1705" s="198"/>
      <c r="AK1705" s="198"/>
      <c r="AL1705" s="198"/>
      <c r="AM1705" s="198"/>
      <c r="AN1705" s="198"/>
      <c r="AO1705" s="198"/>
      <c r="AP1705" s="198"/>
      <c r="AQ1705" s="198"/>
      <c r="AR1705" s="198"/>
      <c r="AS1705" s="198"/>
      <c r="AT1705" s="198"/>
      <c r="AU1705" s="198"/>
      <c r="AV1705" s="198"/>
      <c r="AW1705" s="198"/>
      <c r="AX1705" s="198"/>
      <c r="AY1705" s="265"/>
      <c r="AZ1705" s="265"/>
      <c r="BA1705" s="265"/>
      <c r="BB1705" s="265"/>
    </row>
    <row r="1706" spans="1:54" s="29" customFormat="1" ht="15" customHeight="1" x14ac:dyDescent="0.25">
      <c r="A1706" s="198"/>
      <c r="B1706" s="198"/>
      <c r="C1706" s="198"/>
      <c r="D1706" s="198"/>
      <c r="E1706" s="198"/>
      <c r="F1706" s="198"/>
      <c r="G1706" s="198"/>
      <c r="H1706" s="198"/>
      <c r="I1706" s="198"/>
      <c r="J1706" s="198"/>
      <c r="K1706" s="198"/>
      <c r="L1706" s="198"/>
      <c r="M1706" s="198"/>
      <c r="N1706" s="198"/>
      <c r="O1706" s="198"/>
      <c r="P1706" s="198"/>
      <c r="Q1706" s="198"/>
      <c r="R1706" s="198"/>
      <c r="S1706" s="198"/>
      <c r="T1706" s="198"/>
      <c r="U1706" s="198"/>
      <c r="V1706" s="198"/>
      <c r="W1706" s="198"/>
      <c r="X1706" s="198"/>
      <c r="Y1706" s="198"/>
      <c r="Z1706" s="198"/>
      <c r="AA1706" s="198"/>
      <c r="AB1706" s="198"/>
      <c r="AC1706" s="198"/>
      <c r="AD1706" s="198"/>
      <c r="AE1706" s="198"/>
      <c r="AF1706" s="198"/>
      <c r="AG1706" s="198"/>
      <c r="AH1706" s="198"/>
      <c r="AI1706" s="198"/>
      <c r="AJ1706" s="198"/>
      <c r="AK1706" s="198"/>
      <c r="AL1706" s="198"/>
      <c r="AM1706" s="198"/>
      <c r="AN1706" s="198"/>
      <c r="AO1706" s="198"/>
      <c r="AP1706" s="198"/>
      <c r="AQ1706" s="198"/>
      <c r="AR1706" s="198"/>
      <c r="AS1706" s="198"/>
      <c r="AT1706" s="198"/>
      <c r="AU1706" s="198"/>
      <c r="AV1706" s="198"/>
      <c r="AW1706" s="198"/>
      <c r="AX1706" s="198"/>
      <c r="AY1706" s="265"/>
      <c r="AZ1706" s="265"/>
      <c r="BA1706" s="265"/>
      <c r="BB1706" s="265"/>
    </row>
    <row r="1707" spans="1:54" s="29" customFormat="1" ht="15" customHeight="1" x14ac:dyDescent="0.25">
      <c r="A1707" s="198"/>
      <c r="B1707" s="198"/>
      <c r="C1707" s="198"/>
      <c r="D1707" s="198"/>
      <c r="E1707" s="198"/>
      <c r="F1707" s="198"/>
      <c r="G1707" s="198"/>
      <c r="H1707" s="198"/>
      <c r="I1707" s="198"/>
      <c r="J1707" s="198"/>
      <c r="K1707" s="198"/>
      <c r="L1707" s="198"/>
      <c r="M1707" s="198"/>
      <c r="N1707" s="198"/>
      <c r="O1707" s="198"/>
      <c r="P1707" s="198"/>
      <c r="Q1707" s="198"/>
      <c r="R1707" s="198"/>
      <c r="S1707" s="198"/>
      <c r="T1707" s="198"/>
      <c r="U1707" s="198"/>
      <c r="V1707" s="198"/>
      <c r="W1707" s="198"/>
      <c r="X1707" s="198"/>
      <c r="Y1707" s="198"/>
      <c r="Z1707" s="198"/>
      <c r="AA1707" s="198"/>
      <c r="AB1707" s="198"/>
      <c r="AC1707" s="198"/>
      <c r="AD1707" s="198"/>
      <c r="AE1707" s="198"/>
      <c r="AF1707" s="198"/>
      <c r="AG1707" s="198"/>
      <c r="AH1707" s="198"/>
      <c r="AI1707" s="198"/>
      <c r="AJ1707" s="198"/>
      <c r="AK1707" s="198"/>
      <c r="AL1707" s="198"/>
      <c r="AM1707" s="198"/>
      <c r="AN1707" s="198"/>
      <c r="AO1707" s="198"/>
      <c r="AP1707" s="198"/>
      <c r="AQ1707" s="198"/>
      <c r="AR1707" s="198"/>
      <c r="AS1707" s="198"/>
      <c r="AT1707" s="198"/>
      <c r="AU1707" s="198"/>
      <c r="AV1707" s="198"/>
      <c r="AW1707" s="198"/>
      <c r="AX1707" s="198"/>
      <c r="AY1707" s="265"/>
      <c r="AZ1707" s="265"/>
      <c r="BA1707" s="265"/>
      <c r="BB1707" s="265"/>
    </row>
    <row r="1708" spans="1:54" s="29" customFormat="1" ht="15" customHeight="1" x14ac:dyDescent="0.25">
      <c r="A1708" s="198"/>
      <c r="B1708" s="198"/>
      <c r="C1708" s="198"/>
      <c r="D1708" s="198"/>
      <c r="E1708" s="198"/>
      <c r="F1708" s="198"/>
      <c r="G1708" s="198"/>
      <c r="H1708" s="198"/>
      <c r="I1708" s="198"/>
      <c r="J1708" s="198"/>
      <c r="K1708" s="198"/>
      <c r="L1708" s="198"/>
      <c r="M1708" s="198"/>
      <c r="N1708" s="198"/>
      <c r="O1708" s="198"/>
      <c r="P1708" s="198"/>
      <c r="Q1708" s="198"/>
      <c r="R1708" s="198"/>
      <c r="S1708" s="198"/>
      <c r="T1708" s="198"/>
      <c r="U1708" s="198"/>
      <c r="V1708" s="198"/>
      <c r="W1708" s="198"/>
      <c r="X1708" s="198"/>
      <c r="Y1708" s="198"/>
      <c r="Z1708" s="198"/>
      <c r="AA1708" s="198"/>
      <c r="AB1708" s="198"/>
      <c r="AC1708" s="198"/>
      <c r="AD1708" s="198"/>
      <c r="AE1708" s="198"/>
      <c r="AF1708" s="198"/>
      <c r="AG1708" s="198"/>
      <c r="AH1708" s="198"/>
      <c r="AI1708" s="198"/>
      <c r="AJ1708" s="198"/>
      <c r="AK1708" s="198"/>
      <c r="AL1708" s="198"/>
      <c r="AM1708" s="198"/>
      <c r="AN1708" s="198"/>
      <c r="AO1708" s="198"/>
      <c r="AP1708" s="198"/>
      <c r="AQ1708" s="198"/>
      <c r="AR1708" s="198"/>
      <c r="AS1708" s="198"/>
      <c r="AT1708" s="198"/>
      <c r="AU1708" s="198"/>
      <c r="AV1708" s="198"/>
      <c r="AW1708" s="198"/>
      <c r="AX1708" s="198"/>
      <c r="AY1708" s="265"/>
      <c r="AZ1708" s="265"/>
      <c r="BA1708" s="265"/>
      <c r="BB1708" s="265"/>
    </row>
    <row r="1709" spans="1:54" s="29" customFormat="1" ht="15" customHeight="1" x14ac:dyDescent="0.25">
      <c r="A1709" s="198"/>
      <c r="B1709" s="198"/>
      <c r="C1709" s="198"/>
      <c r="D1709" s="198"/>
      <c r="E1709" s="198"/>
      <c r="F1709" s="198"/>
      <c r="G1709" s="198"/>
      <c r="H1709" s="198"/>
      <c r="I1709" s="198"/>
      <c r="J1709" s="198"/>
      <c r="K1709" s="198"/>
      <c r="L1709" s="198"/>
      <c r="M1709" s="198"/>
      <c r="N1709" s="198"/>
      <c r="O1709" s="198"/>
      <c r="P1709" s="198"/>
      <c r="Q1709" s="198"/>
      <c r="R1709" s="198"/>
      <c r="S1709" s="198"/>
      <c r="T1709" s="198"/>
      <c r="U1709" s="198"/>
      <c r="V1709" s="198"/>
      <c r="W1709" s="198"/>
      <c r="X1709" s="198"/>
      <c r="Y1709" s="198"/>
      <c r="Z1709" s="198"/>
      <c r="AA1709" s="198"/>
      <c r="AB1709" s="198"/>
      <c r="AC1709" s="198"/>
      <c r="AD1709" s="198"/>
      <c r="AE1709" s="198"/>
      <c r="AF1709" s="198"/>
      <c r="AG1709" s="198"/>
      <c r="AH1709" s="198"/>
      <c r="AI1709" s="198"/>
      <c r="AJ1709" s="198"/>
      <c r="AK1709" s="198"/>
      <c r="AL1709" s="198"/>
      <c r="AM1709" s="198"/>
      <c r="AN1709" s="198"/>
      <c r="AO1709" s="198"/>
      <c r="AP1709" s="198"/>
      <c r="AQ1709" s="198"/>
      <c r="AR1709" s="198"/>
      <c r="AS1709" s="198"/>
      <c r="AT1709" s="198"/>
      <c r="AU1709" s="198"/>
      <c r="AV1709" s="198"/>
      <c r="AW1709" s="198"/>
      <c r="AX1709" s="198"/>
      <c r="AY1709" s="265"/>
      <c r="AZ1709" s="265"/>
      <c r="BA1709" s="265"/>
      <c r="BB1709" s="265"/>
    </row>
    <row r="1710" spans="1:54" s="29" customFormat="1" ht="15" customHeight="1" x14ac:dyDescent="0.25">
      <c r="A1710" s="198"/>
      <c r="B1710" s="198"/>
      <c r="C1710" s="198"/>
      <c r="D1710" s="198"/>
      <c r="E1710" s="198"/>
      <c r="F1710" s="198"/>
      <c r="G1710" s="198"/>
      <c r="H1710" s="198"/>
      <c r="I1710" s="198"/>
      <c r="J1710" s="198"/>
      <c r="K1710" s="198"/>
      <c r="L1710" s="198"/>
      <c r="M1710" s="198"/>
      <c r="N1710" s="198"/>
      <c r="O1710" s="198"/>
      <c r="P1710" s="198"/>
      <c r="Q1710" s="198"/>
      <c r="R1710" s="198"/>
      <c r="S1710" s="198"/>
      <c r="T1710" s="198"/>
      <c r="U1710" s="198"/>
      <c r="V1710" s="198"/>
      <c r="W1710" s="198"/>
      <c r="X1710" s="198"/>
      <c r="Y1710" s="198"/>
      <c r="Z1710" s="198"/>
      <c r="AA1710" s="198"/>
      <c r="AB1710" s="198"/>
      <c r="AC1710" s="198"/>
      <c r="AD1710" s="198"/>
      <c r="AE1710" s="198"/>
      <c r="AF1710" s="198"/>
      <c r="AG1710" s="198"/>
      <c r="AH1710" s="198"/>
      <c r="AI1710" s="198"/>
      <c r="AJ1710" s="198"/>
      <c r="AK1710" s="198"/>
      <c r="AL1710" s="198"/>
      <c r="AM1710" s="198"/>
      <c r="AN1710" s="198"/>
      <c r="AO1710" s="198"/>
      <c r="AP1710" s="198"/>
      <c r="AQ1710" s="198"/>
      <c r="AR1710" s="198"/>
      <c r="AS1710" s="198"/>
      <c r="AT1710" s="198"/>
      <c r="AU1710" s="198"/>
      <c r="AV1710" s="198"/>
      <c r="AW1710" s="198"/>
      <c r="AX1710" s="198"/>
      <c r="AY1710" s="265"/>
      <c r="AZ1710" s="265"/>
      <c r="BA1710" s="265"/>
      <c r="BB1710" s="265"/>
    </row>
    <row r="1711" spans="1:54" s="29" customFormat="1" ht="15" customHeight="1" x14ac:dyDescent="0.25">
      <c r="A1711" s="198"/>
      <c r="B1711" s="198"/>
      <c r="C1711" s="198"/>
      <c r="D1711" s="198"/>
      <c r="E1711" s="198"/>
      <c r="F1711" s="198"/>
      <c r="G1711" s="198"/>
      <c r="H1711" s="198"/>
      <c r="I1711" s="198"/>
      <c r="J1711" s="198"/>
      <c r="K1711" s="198"/>
      <c r="L1711" s="198"/>
      <c r="M1711" s="198"/>
      <c r="N1711" s="198"/>
      <c r="O1711" s="198"/>
      <c r="P1711" s="198"/>
      <c r="Q1711" s="198"/>
      <c r="R1711" s="198"/>
      <c r="S1711" s="198"/>
      <c r="T1711" s="198"/>
      <c r="U1711" s="198"/>
      <c r="V1711" s="198"/>
      <c r="W1711" s="198"/>
      <c r="X1711" s="198"/>
      <c r="Y1711" s="198"/>
      <c r="Z1711" s="198"/>
      <c r="AA1711" s="198"/>
      <c r="AB1711" s="198"/>
      <c r="AC1711" s="198"/>
      <c r="AD1711" s="198"/>
      <c r="AE1711" s="198"/>
      <c r="AF1711" s="198"/>
      <c r="AG1711" s="198"/>
      <c r="AH1711" s="198"/>
      <c r="AI1711" s="198"/>
      <c r="AJ1711" s="198"/>
      <c r="AK1711" s="198"/>
      <c r="AL1711" s="198"/>
      <c r="AM1711" s="198"/>
      <c r="AN1711" s="198"/>
      <c r="AO1711" s="198"/>
      <c r="AP1711" s="198"/>
      <c r="AQ1711" s="198"/>
      <c r="AR1711" s="198"/>
      <c r="AS1711" s="198"/>
      <c r="AT1711" s="198"/>
      <c r="AU1711" s="198"/>
      <c r="AV1711" s="198"/>
      <c r="AW1711" s="198"/>
      <c r="AX1711" s="198"/>
      <c r="AY1711" s="265"/>
      <c r="AZ1711" s="265"/>
      <c r="BA1711" s="265"/>
      <c r="BB1711" s="265"/>
    </row>
    <row r="1712" spans="1:54" s="29" customFormat="1" ht="15" customHeight="1" x14ac:dyDescent="0.25">
      <c r="A1712" s="198"/>
      <c r="B1712" s="198"/>
      <c r="C1712" s="198"/>
      <c r="D1712" s="198"/>
      <c r="E1712" s="198"/>
      <c r="F1712" s="198"/>
      <c r="G1712" s="198"/>
      <c r="H1712" s="198"/>
      <c r="I1712" s="198"/>
      <c r="J1712" s="198"/>
      <c r="K1712" s="198"/>
      <c r="L1712" s="198"/>
      <c r="M1712" s="198"/>
      <c r="N1712" s="198"/>
      <c r="O1712" s="198"/>
      <c r="P1712" s="198"/>
      <c r="Q1712" s="198"/>
      <c r="R1712" s="198"/>
      <c r="S1712" s="198"/>
      <c r="T1712" s="198"/>
      <c r="U1712" s="198"/>
      <c r="V1712" s="198"/>
      <c r="W1712" s="198"/>
      <c r="X1712" s="198"/>
      <c r="Y1712" s="198"/>
      <c r="Z1712" s="198"/>
      <c r="AA1712" s="198"/>
      <c r="AB1712" s="198"/>
      <c r="AC1712" s="198"/>
      <c r="AD1712" s="198"/>
      <c r="AE1712" s="198"/>
      <c r="AF1712" s="198"/>
      <c r="AG1712" s="198"/>
      <c r="AH1712" s="198"/>
      <c r="AI1712" s="198"/>
      <c r="AJ1712" s="198"/>
      <c r="AK1712" s="198"/>
      <c r="AL1712" s="198"/>
      <c r="AM1712" s="198"/>
      <c r="AN1712" s="198"/>
      <c r="AO1712" s="198"/>
      <c r="AP1712" s="198"/>
      <c r="AQ1712" s="198"/>
      <c r="AR1712" s="198"/>
      <c r="AS1712" s="198"/>
      <c r="AT1712" s="198"/>
      <c r="AU1712" s="198"/>
      <c r="AV1712" s="198"/>
      <c r="AW1712" s="198"/>
      <c r="AX1712" s="198"/>
      <c r="AY1712" s="265"/>
      <c r="AZ1712" s="265"/>
      <c r="BA1712" s="265"/>
      <c r="BB1712" s="265"/>
    </row>
    <row r="1713" spans="1:54" s="29" customFormat="1" ht="15" customHeight="1" x14ac:dyDescent="0.25">
      <c r="A1713" s="198"/>
      <c r="B1713" s="198"/>
      <c r="C1713" s="198"/>
      <c r="D1713" s="198"/>
      <c r="E1713" s="198"/>
      <c r="F1713" s="198"/>
      <c r="G1713" s="198"/>
      <c r="H1713" s="198"/>
      <c r="I1713" s="198"/>
      <c r="J1713" s="198"/>
      <c r="K1713" s="198"/>
      <c r="L1713" s="198"/>
      <c r="M1713" s="198"/>
      <c r="N1713" s="198"/>
      <c r="O1713" s="198"/>
      <c r="P1713" s="198"/>
      <c r="Q1713" s="198"/>
      <c r="R1713" s="198"/>
      <c r="S1713" s="198"/>
      <c r="T1713" s="198"/>
      <c r="U1713" s="198"/>
      <c r="V1713" s="198"/>
      <c r="W1713" s="198"/>
      <c r="X1713" s="198"/>
      <c r="Y1713" s="198"/>
      <c r="Z1713" s="198"/>
      <c r="AA1713" s="198"/>
      <c r="AB1713" s="198"/>
      <c r="AC1713" s="198"/>
      <c r="AD1713" s="198"/>
      <c r="AE1713" s="198"/>
      <c r="AF1713" s="198"/>
      <c r="AG1713" s="198"/>
      <c r="AH1713" s="198"/>
      <c r="AI1713" s="198"/>
      <c r="AJ1713" s="198"/>
      <c r="AK1713" s="198"/>
      <c r="AL1713" s="198"/>
      <c r="AM1713" s="198"/>
      <c r="AN1713" s="198"/>
      <c r="AO1713" s="198"/>
      <c r="AP1713" s="198"/>
      <c r="AQ1713" s="198"/>
      <c r="AR1713" s="198"/>
      <c r="AS1713" s="198"/>
      <c r="AT1713" s="198"/>
      <c r="AU1713" s="198"/>
      <c r="AV1713" s="198"/>
      <c r="AW1713" s="198"/>
      <c r="AX1713" s="198"/>
      <c r="AY1713" s="265"/>
      <c r="AZ1713" s="265"/>
      <c r="BA1713" s="265"/>
      <c r="BB1713" s="265"/>
    </row>
    <row r="1714" spans="1:54" s="29" customFormat="1" ht="15" customHeight="1" x14ac:dyDescent="0.25">
      <c r="A1714" s="198"/>
      <c r="B1714" s="198"/>
      <c r="C1714" s="198"/>
      <c r="D1714" s="198"/>
      <c r="E1714" s="198"/>
      <c r="F1714" s="198"/>
      <c r="G1714" s="198"/>
      <c r="H1714" s="198"/>
      <c r="I1714" s="198"/>
      <c r="J1714" s="198"/>
      <c r="K1714" s="198"/>
      <c r="L1714" s="198"/>
      <c r="M1714" s="198"/>
      <c r="N1714" s="198"/>
      <c r="O1714" s="198"/>
      <c r="P1714" s="198"/>
      <c r="Q1714" s="198"/>
      <c r="R1714" s="198"/>
      <c r="S1714" s="198"/>
      <c r="T1714" s="198"/>
      <c r="U1714" s="198"/>
      <c r="V1714" s="198"/>
      <c r="W1714" s="198"/>
      <c r="X1714" s="198"/>
      <c r="Y1714" s="198"/>
      <c r="Z1714" s="198"/>
      <c r="AA1714" s="198"/>
      <c r="AB1714" s="198"/>
      <c r="AC1714" s="198"/>
      <c r="AD1714" s="198"/>
      <c r="AE1714" s="198"/>
      <c r="AF1714" s="198"/>
      <c r="AG1714" s="198"/>
      <c r="AH1714" s="198"/>
      <c r="AI1714" s="198"/>
      <c r="AJ1714" s="198"/>
      <c r="AK1714" s="198"/>
      <c r="AL1714" s="198"/>
      <c r="AM1714" s="198"/>
      <c r="AN1714" s="198"/>
      <c r="AO1714" s="198"/>
      <c r="AP1714" s="198"/>
      <c r="AQ1714" s="198"/>
      <c r="AR1714" s="198"/>
      <c r="AS1714" s="198"/>
      <c r="AT1714" s="198"/>
      <c r="AU1714" s="198"/>
      <c r="AV1714" s="198"/>
      <c r="AW1714" s="198"/>
      <c r="AX1714" s="198"/>
      <c r="AY1714" s="265"/>
      <c r="AZ1714" s="265"/>
      <c r="BA1714" s="265"/>
      <c r="BB1714" s="265"/>
    </row>
    <row r="1715" spans="1:54" s="29" customFormat="1" ht="15" customHeight="1" x14ac:dyDescent="0.25">
      <c r="A1715" s="198"/>
      <c r="B1715" s="198"/>
      <c r="C1715" s="198"/>
      <c r="D1715" s="198"/>
      <c r="E1715" s="198"/>
      <c r="F1715" s="198"/>
      <c r="G1715" s="198"/>
      <c r="H1715" s="198"/>
      <c r="I1715" s="198"/>
      <c r="J1715" s="198"/>
      <c r="K1715" s="198"/>
      <c r="L1715" s="198"/>
      <c r="M1715" s="198"/>
      <c r="N1715" s="198"/>
      <c r="O1715" s="198"/>
      <c r="P1715" s="198"/>
      <c r="Q1715" s="198"/>
      <c r="R1715" s="198"/>
      <c r="S1715" s="198"/>
      <c r="T1715" s="198"/>
      <c r="U1715" s="198"/>
      <c r="V1715" s="198"/>
      <c r="W1715" s="198"/>
      <c r="X1715" s="198"/>
      <c r="Y1715" s="198"/>
      <c r="Z1715" s="198"/>
      <c r="AA1715" s="198"/>
      <c r="AB1715" s="198"/>
      <c r="AC1715" s="198"/>
      <c r="AD1715" s="198"/>
      <c r="AE1715" s="198"/>
      <c r="AF1715" s="198"/>
      <c r="AG1715" s="198"/>
      <c r="AH1715" s="198"/>
      <c r="AI1715" s="198"/>
      <c r="AJ1715" s="198"/>
      <c r="AK1715" s="198"/>
      <c r="AL1715" s="198"/>
      <c r="AM1715" s="198"/>
      <c r="AN1715" s="198"/>
      <c r="AO1715" s="198"/>
      <c r="AP1715" s="198"/>
      <c r="AQ1715" s="198"/>
      <c r="AR1715" s="198"/>
      <c r="AS1715" s="198"/>
      <c r="AT1715" s="198"/>
      <c r="AU1715" s="198"/>
      <c r="AV1715" s="198"/>
      <c r="AW1715" s="198"/>
      <c r="AX1715" s="198"/>
      <c r="AY1715" s="265"/>
      <c r="AZ1715" s="265"/>
      <c r="BA1715" s="265"/>
      <c r="BB1715" s="265"/>
    </row>
    <row r="1716" spans="1:54" s="29" customFormat="1" ht="15" customHeight="1" x14ac:dyDescent="0.25">
      <c r="A1716" s="198"/>
      <c r="B1716" s="198"/>
      <c r="C1716" s="198"/>
      <c r="D1716" s="198"/>
      <c r="E1716" s="198"/>
      <c r="F1716" s="198"/>
      <c r="G1716" s="198"/>
      <c r="H1716" s="198"/>
      <c r="I1716" s="198"/>
      <c r="J1716" s="198"/>
      <c r="K1716" s="198"/>
      <c r="L1716" s="198"/>
      <c r="M1716" s="198"/>
      <c r="N1716" s="198"/>
      <c r="O1716" s="198"/>
      <c r="P1716" s="198"/>
      <c r="Q1716" s="198"/>
      <c r="R1716" s="198"/>
      <c r="S1716" s="198"/>
      <c r="T1716" s="198"/>
      <c r="U1716" s="198"/>
      <c r="V1716" s="198"/>
      <c r="W1716" s="198"/>
      <c r="X1716" s="198"/>
      <c r="Y1716" s="198"/>
      <c r="Z1716" s="198"/>
      <c r="AA1716" s="198"/>
      <c r="AB1716" s="198"/>
      <c r="AC1716" s="198"/>
      <c r="AD1716" s="198"/>
      <c r="AE1716" s="198"/>
      <c r="AF1716" s="198"/>
      <c r="AG1716" s="198"/>
      <c r="AH1716" s="198"/>
      <c r="AI1716" s="198"/>
      <c r="AJ1716" s="198"/>
      <c r="AK1716" s="198"/>
      <c r="AL1716" s="198"/>
      <c r="AM1716" s="198"/>
      <c r="AN1716" s="198"/>
      <c r="AO1716" s="198"/>
      <c r="AP1716" s="198"/>
      <c r="AQ1716" s="198"/>
      <c r="AR1716" s="198"/>
      <c r="AS1716" s="198"/>
      <c r="AT1716" s="198"/>
      <c r="AU1716" s="198"/>
      <c r="AV1716" s="198"/>
      <c r="AW1716" s="198"/>
      <c r="AX1716" s="198"/>
      <c r="AY1716" s="265"/>
      <c r="AZ1716" s="265"/>
      <c r="BA1716" s="265"/>
      <c r="BB1716" s="265"/>
    </row>
    <row r="1717" spans="1:54" s="29" customFormat="1" ht="15" customHeight="1" x14ac:dyDescent="0.25">
      <c r="A1717" s="198"/>
      <c r="B1717" s="198"/>
      <c r="C1717" s="198"/>
      <c r="D1717" s="198"/>
      <c r="E1717" s="198"/>
      <c r="F1717" s="198"/>
      <c r="G1717" s="198"/>
      <c r="H1717" s="198"/>
      <c r="I1717" s="198"/>
      <c r="J1717" s="198"/>
      <c r="K1717" s="198"/>
      <c r="L1717" s="198"/>
      <c r="M1717" s="198"/>
      <c r="N1717" s="198"/>
      <c r="O1717" s="198"/>
      <c r="P1717" s="198"/>
      <c r="Q1717" s="198"/>
      <c r="R1717" s="198"/>
      <c r="S1717" s="198"/>
      <c r="T1717" s="198"/>
      <c r="U1717" s="198"/>
      <c r="V1717" s="198"/>
      <c r="W1717" s="198"/>
      <c r="X1717" s="198"/>
      <c r="Y1717" s="198"/>
      <c r="Z1717" s="198"/>
      <c r="AA1717" s="198"/>
      <c r="AB1717" s="198"/>
      <c r="AC1717" s="198"/>
      <c r="AD1717" s="198"/>
      <c r="AE1717" s="198"/>
      <c r="AF1717" s="198"/>
      <c r="AG1717" s="198"/>
      <c r="AH1717" s="198"/>
      <c r="AI1717" s="198"/>
      <c r="AJ1717" s="198"/>
      <c r="AK1717" s="198"/>
      <c r="AL1717" s="198"/>
      <c r="AM1717" s="198"/>
      <c r="AN1717" s="198"/>
      <c r="AO1717" s="198"/>
      <c r="AP1717" s="198"/>
      <c r="AQ1717" s="198"/>
      <c r="AR1717" s="198"/>
      <c r="AS1717" s="198"/>
      <c r="AT1717" s="198"/>
      <c r="AU1717" s="198"/>
      <c r="AV1717" s="198"/>
      <c r="AW1717" s="198"/>
      <c r="AX1717" s="198"/>
      <c r="AY1717" s="265"/>
      <c r="AZ1717" s="265"/>
      <c r="BA1717" s="265"/>
      <c r="BB1717" s="265"/>
    </row>
    <row r="1718" spans="1:54" s="29" customFormat="1" ht="15" customHeight="1" x14ac:dyDescent="0.25">
      <c r="A1718" s="198"/>
      <c r="B1718" s="198"/>
      <c r="C1718" s="198"/>
      <c r="D1718" s="198"/>
      <c r="E1718" s="198"/>
      <c r="F1718" s="198"/>
      <c r="G1718" s="198"/>
      <c r="H1718" s="198"/>
      <c r="I1718" s="198"/>
      <c r="J1718" s="198"/>
      <c r="K1718" s="198"/>
      <c r="L1718" s="198"/>
      <c r="M1718" s="198"/>
      <c r="N1718" s="198"/>
      <c r="O1718" s="198"/>
      <c r="P1718" s="198"/>
      <c r="Q1718" s="198"/>
      <c r="R1718" s="198"/>
      <c r="S1718" s="198"/>
      <c r="T1718" s="198"/>
      <c r="U1718" s="198"/>
      <c r="V1718" s="198"/>
      <c r="W1718" s="198"/>
      <c r="X1718" s="198"/>
      <c r="Y1718" s="198"/>
      <c r="Z1718" s="198"/>
      <c r="AA1718" s="198"/>
      <c r="AB1718" s="198"/>
      <c r="AC1718" s="198"/>
      <c r="AD1718" s="198"/>
      <c r="AE1718" s="198"/>
      <c r="AF1718" s="198"/>
      <c r="AG1718" s="198"/>
      <c r="AH1718" s="198"/>
      <c r="AI1718" s="198"/>
      <c r="AJ1718" s="198"/>
      <c r="AK1718" s="198"/>
      <c r="AL1718" s="198"/>
      <c r="AM1718" s="198"/>
      <c r="AN1718" s="198"/>
      <c r="AO1718" s="198"/>
      <c r="AP1718" s="198"/>
      <c r="AQ1718" s="198"/>
      <c r="AR1718" s="198"/>
      <c r="AS1718" s="198"/>
      <c r="AT1718" s="198"/>
      <c r="AU1718" s="198"/>
      <c r="AV1718" s="198"/>
      <c r="AW1718" s="198"/>
      <c r="AX1718" s="198"/>
      <c r="AY1718" s="265"/>
      <c r="AZ1718" s="265"/>
      <c r="BA1718" s="265"/>
      <c r="BB1718" s="265"/>
    </row>
    <row r="1719" spans="1:54" s="29" customFormat="1" ht="15" customHeight="1" x14ac:dyDescent="0.25">
      <c r="A1719" s="198"/>
      <c r="B1719" s="198"/>
      <c r="C1719" s="198"/>
      <c r="D1719" s="198"/>
      <c r="E1719" s="198"/>
      <c r="F1719" s="198"/>
      <c r="G1719" s="198"/>
      <c r="H1719" s="198"/>
      <c r="I1719" s="198"/>
      <c r="J1719" s="198"/>
      <c r="K1719" s="198"/>
      <c r="L1719" s="198"/>
      <c r="M1719" s="198"/>
      <c r="N1719" s="198"/>
      <c r="O1719" s="198"/>
      <c r="P1719" s="198"/>
      <c r="Q1719" s="198"/>
      <c r="R1719" s="198"/>
      <c r="S1719" s="198"/>
      <c r="T1719" s="198"/>
      <c r="U1719" s="198"/>
      <c r="V1719" s="198"/>
      <c r="W1719" s="198"/>
      <c r="X1719" s="198"/>
      <c r="Y1719" s="198"/>
      <c r="Z1719" s="198"/>
      <c r="AA1719" s="198"/>
      <c r="AB1719" s="198"/>
      <c r="AC1719" s="198"/>
      <c r="AD1719" s="198"/>
      <c r="AE1719" s="198"/>
      <c r="AF1719" s="198"/>
      <c r="AG1719" s="198"/>
      <c r="AH1719" s="198"/>
      <c r="AI1719" s="198"/>
      <c r="AJ1719" s="198"/>
      <c r="AK1719" s="198"/>
      <c r="AL1719" s="198"/>
      <c r="AM1719" s="198"/>
      <c r="AN1719" s="198"/>
      <c r="AO1719" s="198"/>
      <c r="AP1719" s="198"/>
      <c r="AQ1719" s="198"/>
      <c r="AR1719" s="198"/>
      <c r="AS1719" s="198"/>
      <c r="AT1719" s="198"/>
      <c r="AU1719" s="198"/>
      <c r="AV1719" s="198"/>
      <c r="AW1719" s="198"/>
      <c r="AX1719" s="198"/>
      <c r="AY1719" s="265"/>
      <c r="AZ1719" s="265"/>
      <c r="BA1719" s="265"/>
      <c r="BB1719" s="265"/>
    </row>
    <row r="1720" spans="1:54" s="208" customFormat="1" ht="12.6" customHeight="1" x14ac:dyDescent="0.25"/>
    <row r="1721" spans="1:54" s="208" customFormat="1" ht="12.6" customHeight="1" x14ac:dyDescent="0.25"/>
    <row r="1722" spans="1:54" s="225" customFormat="1" ht="12.6" customHeight="1" x14ac:dyDescent="0.25">
      <c r="A1722" s="220" t="s">
        <v>2122</v>
      </c>
      <c r="B1722" s="224"/>
      <c r="C1722" s="224"/>
      <c r="D1722" s="224"/>
      <c r="E1722" s="224"/>
      <c r="F1722" s="224"/>
      <c r="G1722" s="224"/>
      <c r="H1722" s="224"/>
      <c r="I1722" s="224"/>
      <c r="J1722" s="224"/>
      <c r="K1722" s="224"/>
      <c r="L1722" s="224"/>
      <c r="M1722" s="224"/>
      <c r="N1722" s="224"/>
      <c r="O1722" s="224"/>
      <c r="P1722" s="224"/>
      <c r="Q1722" s="224"/>
      <c r="R1722" s="224"/>
      <c r="S1722" s="224"/>
      <c r="T1722" s="224"/>
      <c r="U1722" s="224"/>
      <c r="V1722" s="224"/>
      <c r="W1722" s="224"/>
      <c r="X1722" s="224"/>
      <c r="Y1722" s="224"/>
      <c r="Z1722" s="224"/>
      <c r="AA1722" s="224"/>
      <c r="AB1722" s="224"/>
      <c r="AC1722" s="224"/>
      <c r="AD1722" s="224"/>
      <c r="AE1722" s="224"/>
      <c r="AF1722" s="224"/>
      <c r="AG1722" s="224"/>
      <c r="AH1722" s="224"/>
      <c r="AI1722" s="224"/>
      <c r="AJ1722" s="224"/>
      <c r="AK1722" s="224"/>
      <c r="AL1722" s="224"/>
      <c r="AM1722" s="224"/>
      <c r="AN1722" s="224"/>
      <c r="AO1722" s="224"/>
      <c r="AP1722" s="224"/>
      <c r="AQ1722" s="224"/>
      <c r="AR1722" s="224"/>
      <c r="AS1722" s="224"/>
      <c r="AT1722" s="224"/>
      <c r="AU1722" s="224"/>
      <c r="AV1722" s="224"/>
      <c r="AW1722" s="224"/>
      <c r="AX1722" s="224"/>
      <c r="AY1722" s="224"/>
      <c r="AZ1722" s="224"/>
      <c r="BA1722" s="224"/>
      <c r="BB1722" s="224"/>
    </row>
    <row r="1723" spans="1:54" ht="24.75" customHeight="1" x14ac:dyDescent="0.25">
      <c r="A1723" s="921" t="s">
        <v>2123</v>
      </c>
      <c r="B1723" s="921"/>
      <c r="C1723" s="921"/>
      <c r="D1723" s="921"/>
      <c r="E1723" s="921"/>
      <c r="F1723" s="921"/>
      <c r="G1723" s="921"/>
      <c r="H1723" s="921"/>
      <c r="I1723" s="921"/>
      <c r="J1723" s="921"/>
      <c r="K1723" s="921"/>
      <c r="L1723" s="921"/>
      <c r="M1723" s="921"/>
      <c r="N1723" s="921"/>
      <c r="O1723" s="921"/>
      <c r="P1723" s="921"/>
      <c r="Q1723" s="921"/>
      <c r="R1723" s="921"/>
      <c r="S1723" s="921"/>
      <c r="T1723" s="921"/>
      <c r="U1723" s="921"/>
      <c r="V1723" s="921"/>
      <c r="W1723" s="921"/>
      <c r="X1723" s="921"/>
      <c r="Y1723" s="921"/>
      <c r="Z1723" s="921"/>
      <c r="AA1723" s="921"/>
      <c r="AB1723" s="921"/>
      <c r="AC1723" s="921"/>
      <c r="AD1723" s="921"/>
      <c r="AE1723" s="921"/>
      <c r="AF1723" s="921"/>
      <c r="AG1723" s="921"/>
      <c r="AH1723" s="921"/>
      <c r="AI1723" s="921"/>
      <c r="AJ1723" s="921"/>
      <c r="AK1723" s="921"/>
      <c r="AL1723" s="921"/>
      <c r="AM1723" s="921"/>
      <c r="AN1723" s="921"/>
      <c r="AO1723" s="921"/>
      <c r="AP1723" s="921"/>
      <c r="AQ1723" s="921"/>
      <c r="AR1723" s="921"/>
      <c r="AS1723" s="921"/>
      <c r="AT1723" s="921"/>
      <c r="AU1723" s="921"/>
      <c r="AV1723" s="921"/>
      <c r="AW1723" s="921"/>
      <c r="AX1723" s="921"/>
      <c r="AY1723" s="921"/>
      <c r="AZ1723" s="921"/>
      <c r="BA1723" s="921"/>
      <c r="BB1723" s="921"/>
    </row>
    <row r="1724" spans="1:54" s="349" customFormat="1" ht="27" customHeight="1" x14ac:dyDescent="0.25">
      <c r="A1724" s="703" t="s">
        <v>2124</v>
      </c>
      <c r="B1724" s="703"/>
      <c r="C1724" s="703"/>
      <c r="D1724" s="703"/>
      <c r="E1724" s="703"/>
      <c r="F1724" s="703"/>
      <c r="G1724" s="703"/>
      <c r="H1724" s="703"/>
      <c r="I1724" s="703"/>
      <c r="J1724" s="703"/>
      <c r="K1724" s="703"/>
      <c r="L1724" s="703"/>
      <c r="M1724" s="703"/>
      <c r="N1724" s="703"/>
      <c r="O1724" s="703"/>
      <c r="P1724" s="703"/>
      <c r="Q1724" s="703"/>
      <c r="R1724" s="703"/>
      <c r="S1724" s="703"/>
      <c r="T1724" s="703"/>
      <c r="U1724" s="703"/>
      <c r="V1724" s="703"/>
      <c r="W1724" s="703"/>
      <c r="X1724" s="703"/>
      <c r="Y1724" s="703"/>
      <c r="Z1724" s="703"/>
      <c r="AA1724" s="703"/>
      <c r="AB1724" s="703"/>
      <c r="AC1724" s="703"/>
      <c r="AD1724" s="703"/>
      <c r="AE1724" s="703"/>
      <c r="AF1724" s="703"/>
      <c r="AG1724" s="703"/>
      <c r="AH1724" s="703"/>
      <c r="AI1724" s="703"/>
      <c r="AJ1724" s="703"/>
      <c r="AK1724" s="703"/>
      <c r="AL1724" s="703"/>
      <c r="AM1724" s="703"/>
      <c r="AN1724" s="703"/>
      <c r="AO1724" s="703"/>
      <c r="AP1724" s="703"/>
      <c r="AQ1724" s="703"/>
      <c r="AR1724" s="703"/>
      <c r="AS1724" s="703"/>
      <c r="AT1724" s="703"/>
      <c r="AU1724" s="703"/>
      <c r="AV1724" s="703"/>
      <c r="AW1724" s="703"/>
      <c r="AX1724" s="703"/>
      <c r="AY1724" s="703"/>
      <c r="AZ1724" s="703"/>
      <c r="BA1724" s="703"/>
      <c r="BB1724" s="703"/>
    </row>
    <row r="1725" spans="1:54" ht="12.6" customHeight="1" x14ac:dyDescent="0.25">
      <c r="A1725" s="350" t="s">
        <v>2125</v>
      </c>
    </row>
    <row r="1726" spans="1:54" s="352" customFormat="1" ht="45" customHeight="1" x14ac:dyDescent="0.25">
      <c r="A1726" s="922"/>
      <c r="B1726" s="922"/>
      <c r="C1726" s="922"/>
      <c r="D1726" s="922"/>
      <c r="E1726" s="922"/>
      <c r="F1726" s="922"/>
      <c r="G1726" s="922"/>
      <c r="H1726" s="922"/>
      <c r="I1726" s="922"/>
      <c r="J1726" s="922"/>
      <c r="K1726" s="922"/>
      <c r="L1726" s="922"/>
      <c r="M1726" s="922"/>
      <c r="N1726" s="922"/>
      <c r="O1726" s="922"/>
      <c r="P1726" s="922"/>
      <c r="Q1726" s="922"/>
      <c r="R1726" s="922"/>
      <c r="S1726" s="922"/>
      <c r="T1726" s="922"/>
      <c r="U1726" s="922"/>
      <c r="V1726" s="922"/>
      <c r="W1726" s="922"/>
      <c r="X1726" s="922"/>
      <c r="Y1726" s="922"/>
      <c r="Z1726" s="922"/>
      <c r="AA1726" s="922"/>
      <c r="AB1726" s="922"/>
      <c r="AC1726" s="922"/>
      <c r="AD1726" s="922"/>
      <c r="AE1726" s="922"/>
      <c r="AF1726" s="922"/>
      <c r="AG1726" s="922"/>
      <c r="AH1726" s="922"/>
      <c r="AI1726" s="922"/>
      <c r="AJ1726" s="922"/>
      <c r="AK1726" s="922"/>
      <c r="AL1726" s="922"/>
      <c r="AM1726" s="922"/>
      <c r="AN1726" s="922"/>
      <c r="AO1726" s="922"/>
      <c r="AP1726" s="922"/>
      <c r="AQ1726" s="922"/>
      <c r="AR1726" s="922"/>
      <c r="AS1726" s="922"/>
      <c r="AT1726" s="922"/>
      <c r="AU1726" s="922"/>
      <c r="AV1726" s="922"/>
      <c r="AW1726" s="922"/>
      <c r="AX1726" s="922"/>
      <c r="AY1726" s="922"/>
      <c r="AZ1726" s="922"/>
      <c r="BA1726" s="922"/>
      <c r="BB1726" s="922"/>
    </row>
    <row r="1727" spans="1:54" s="349" customFormat="1" ht="12.75" customHeight="1" x14ac:dyDescent="0.25">
      <c r="A1727" s="703" t="s">
        <v>2126</v>
      </c>
      <c r="B1727" s="703"/>
      <c r="C1727" s="703"/>
      <c r="D1727" s="703"/>
      <c r="E1727" s="703"/>
      <c r="F1727" s="703"/>
      <c r="G1727" s="703"/>
      <c r="H1727" s="703"/>
      <c r="I1727" s="703"/>
      <c r="J1727" s="703"/>
      <c r="K1727" s="703"/>
      <c r="L1727" s="703"/>
      <c r="M1727" s="703"/>
      <c r="N1727" s="703"/>
      <c r="O1727" s="703"/>
      <c r="P1727" s="703"/>
      <c r="Q1727" s="703"/>
      <c r="R1727" s="703"/>
      <c r="S1727" s="703"/>
      <c r="T1727" s="703"/>
      <c r="U1727" s="703"/>
      <c r="V1727" s="703"/>
      <c r="W1727" s="703"/>
      <c r="X1727" s="703"/>
      <c r="Y1727" s="703"/>
      <c r="Z1727" s="703"/>
      <c r="AA1727" s="703"/>
      <c r="AB1727" s="703"/>
      <c r="AC1727" s="703"/>
      <c r="AD1727" s="703"/>
      <c r="AE1727" s="703"/>
      <c r="AF1727" s="703"/>
      <c r="AG1727" s="703"/>
      <c r="AH1727" s="703"/>
      <c r="AI1727" s="703"/>
      <c r="AJ1727" s="703"/>
      <c r="AK1727" s="703"/>
      <c r="AL1727" s="703"/>
      <c r="AM1727" s="703"/>
      <c r="AN1727" s="703"/>
      <c r="AO1727" s="703"/>
      <c r="AP1727" s="703"/>
      <c r="AQ1727" s="703"/>
      <c r="AR1727" s="703"/>
      <c r="AS1727" s="703"/>
      <c r="AT1727" s="703"/>
      <c r="AU1727" s="703"/>
      <c r="AV1727" s="703"/>
      <c r="AW1727" s="703"/>
      <c r="AX1727" s="703"/>
      <c r="AY1727" s="703"/>
      <c r="AZ1727" s="703"/>
      <c r="BA1727" s="703"/>
      <c r="BB1727" s="703"/>
    </row>
    <row r="1728" spans="1:54" ht="12.6" customHeight="1" x14ac:dyDescent="0.25">
      <c r="A1728" s="350" t="s">
        <v>2125</v>
      </c>
    </row>
    <row r="1729" spans="1:54" s="352" customFormat="1" ht="45" customHeight="1" x14ac:dyDescent="0.25">
      <c r="A1729" s="922"/>
      <c r="B1729" s="922"/>
      <c r="C1729" s="922"/>
      <c r="D1729" s="922"/>
      <c r="E1729" s="922"/>
      <c r="F1729" s="922"/>
      <c r="G1729" s="922"/>
      <c r="H1729" s="922"/>
      <c r="I1729" s="922"/>
      <c r="J1729" s="922"/>
      <c r="K1729" s="922"/>
      <c r="L1729" s="922"/>
      <c r="M1729" s="922"/>
      <c r="N1729" s="922"/>
      <c r="O1729" s="922"/>
      <c r="P1729" s="922"/>
      <c r="Q1729" s="922"/>
      <c r="R1729" s="922"/>
      <c r="S1729" s="922"/>
      <c r="T1729" s="922"/>
      <c r="U1729" s="922"/>
      <c r="V1729" s="922"/>
      <c r="W1729" s="922"/>
      <c r="X1729" s="922"/>
      <c r="Y1729" s="922"/>
      <c r="Z1729" s="922"/>
      <c r="AA1729" s="922"/>
      <c r="AB1729" s="922"/>
      <c r="AC1729" s="922"/>
      <c r="AD1729" s="922"/>
      <c r="AE1729" s="922"/>
      <c r="AF1729" s="922"/>
      <c r="AG1729" s="922"/>
      <c r="AH1729" s="922"/>
      <c r="AI1729" s="922"/>
      <c r="AJ1729" s="922"/>
      <c r="AK1729" s="922"/>
      <c r="AL1729" s="922"/>
      <c r="AM1729" s="922"/>
      <c r="AN1729" s="922"/>
      <c r="AO1729" s="922"/>
      <c r="AP1729" s="922"/>
      <c r="AQ1729" s="922"/>
      <c r="AR1729" s="922"/>
      <c r="AS1729" s="922"/>
      <c r="AT1729" s="922"/>
      <c r="AU1729" s="922"/>
      <c r="AV1729" s="922"/>
      <c r="AW1729" s="922"/>
      <c r="AX1729" s="922"/>
      <c r="AY1729" s="922"/>
      <c r="AZ1729" s="922"/>
      <c r="BA1729" s="922"/>
      <c r="BB1729" s="922"/>
    </row>
    <row r="1730" spans="1:54" s="349" customFormat="1" ht="12.6" customHeight="1" x14ac:dyDescent="0.25">
      <c r="A1730" s="349" t="s">
        <v>2127</v>
      </c>
    </row>
    <row r="1731" spans="1:54" ht="12.6" customHeight="1" x14ac:dyDescent="0.25">
      <c r="A1731" s="350" t="s">
        <v>2125</v>
      </c>
    </row>
    <row r="1732" spans="1:54" s="352" customFormat="1" ht="45" customHeight="1" x14ac:dyDescent="0.25">
      <c r="A1732" s="922"/>
      <c r="B1732" s="922"/>
      <c r="C1732" s="922"/>
      <c r="D1732" s="922"/>
      <c r="E1732" s="922"/>
      <c r="F1732" s="922"/>
      <c r="G1732" s="922"/>
      <c r="H1732" s="922"/>
      <c r="I1732" s="922"/>
      <c r="J1732" s="922"/>
      <c r="K1732" s="922"/>
      <c r="L1732" s="922"/>
      <c r="M1732" s="922"/>
      <c r="N1732" s="922"/>
      <c r="O1732" s="922"/>
      <c r="P1732" s="922"/>
      <c r="Q1732" s="922"/>
      <c r="R1732" s="922"/>
      <c r="S1732" s="922"/>
      <c r="T1732" s="922"/>
      <c r="U1732" s="922"/>
      <c r="V1732" s="922"/>
      <c r="W1732" s="922"/>
      <c r="X1732" s="922"/>
      <c r="Y1732" s="922"/>
      <c r="Z1732" s="922"/>
      <c r="AA1732" s="922"/>
      <c r="AB1732" s="922"/>
      <c r="AC1732" s="922"/>
      <c r="AD1732" s="922"/>
      <c r="AE1732" s="922"/>
      <c r="AF1732" s="922"/>
      <c r="AG1732" s="922"/>
      <c r="AH1732" s="922"/>
      <c r="AI1732" s="922"/>
      <c r="AJ1732" s="922"/>
      <c r="AK1732" s="922"/>
      <c r="AL1732" s="922"/>
      <c r="AM1732" s="922"/>
      <c r="AN1732" s="922"/>
      <c r="AO1732" s="922"/>
      <c r="AP1732" s="922"/>
      <c r="AQ1732" s="922"/>
      <c r="AR1732" s="922"/>
      <c r="AS1732" s="922"/>
      <c r="AT1732" s="922"/>
      <c r="AU1732" s="922"/>
      <c r="AV1732" s="922"/>
      <c r="AW1732" s="922"/>
      <c r="AX1732" s="922"/>
      <c r="AY1732" s="922"/>
      <c r="AZ1732" s="922"/>
      <c r="BA1732" s="922"/>
      <c r="BB1732" s="922"/>
    </row>
    <row r="1733" spans="1:54" s="349" customFormat="1" ht="12.6" customHeight="1" x14ac:dyDescent="0.25">
      <c r="A1733" s="349" t="s">
        <v>2128</v>
      </c>
    </row>
    <row r="1734" spans="1:54" ht="12.6" customHeight="1" x14ac:dyDescent="0.25">
      <c r="A1734" s="350" t="s">
        <v>2125</v>
      </c>
    </row>
    <row r="1735" spans="1:54" s="352" customFormat="1" ht="45" customHeight="1" x14ac:dyDescent="0.25">
      <c r="A1735" s="922"/>
      <c r="B1735" s="922"/>
      <c r="C1735" s="922"/>
      <c r="D1735" s="922"/>
      <c r="E1735" s="922"/>
      <c r="F1735" s="922"/>
      <c r="G1735" s="922"/>
      <c r="H1735" s="922"/>
      <c r="I1735" s="922"/>
      <c r="J1735" s="922"/>
      <c r="K1735" s="922"/>
      <c r="L1735" s="922"/>
      <c r="M1735" s="922"/>
      <c r="N1735" s="922"/>
      <c r="O1735" s="922"/>
      <c r="P1735" s="922"/>
      <c r="Q1735" s="922"/>
      <c r="R1735" s="922"/>
      <c r="S1735" s="922"/>
      <c r="T1735" s="922"/>
      <c r="U1735" s="922"/>
      <c r="V1735" s="922"/>
      <c r="W1735" s="922"/>
      <c r="X1735" s="922"/>
      <c r="Y1735" s="922"/>
      <c r="Z1735" s="922"/>
      <c r="AA1735" s="922"/>
      <c r="AB1735" s="922"/>
      <c r="AC1735" s="922"/>
      <c r="AD1735" s="922"/>
      <c r="AE1735" s="922"/>
      <c r="AF1735" s="922"/>
      <c r="AG1735" s="922"/>
      <c r="AH1735" s="922"/>
      <c r="AI1735" s="922"/>
      <c r="AJ1735" s="922"/>
      <c r="AK1735" s="922"/>
      <c r="AL1735" s="922"/>
      <c r="AM1735" s="922"/>
      <c r="AN1735" s="922"/>
      <c r="AO1735" s="922"/>
      <c r="AP1735" s="922"/>
      <c r="AQ1735" s="922"/>
      <c r="AR1735" s="922"/>
      <c r="AS1735" s="922"/>
      <c r="AT1735" s="922"/>
      <c r="AU1735" s="922"/>
      <c r="AV1735" s="922"/>
      <c r="AW1735" s="922"/>
      <c r="AX1735" s="922"/>
      <c r="AY1735" s="922"/>
      <c r="AZ1735" s="922"/>
      <c r="BA1735" s="922"/>
      <c r="BB1735" s="922"/>
    </row>
    <row r="1736" spans="1:54" s="349" customFormat="1" ht="12.6" customHeight="1" x14ac:dyDescent="0.25">
      <c r="A1736" s="349" t="s">
        <v>2129</v>
      </c>
    </row>
    <row r="1737" spans="1:54" ht="12.6" customHeight="1" x14ac:dyDescent="0.25">
      <c r="A1737" s="350" t="s">
        <v>2125</v>
      </c>
    </row>
    <row r="1738" spans="1:54" s="352" customFormat="1" ht="45" customHeight="1" x14ac:dyDescent="0.25">
      <c r="A1738" s="922"/>
      <c r="B1738" s="922"/>
      <c r="C1738" s="922"/>
      <c r="D1738" s="922"/>
      <c r="E1738" s="922"/>
      <c r="F1738" s="922"/>
      <c r="G1738" s="922"/>
      <c r="H1738" s="922"/>
      <c r="I1738" s="922"/>
      <c r="J1738" s="922"/>
      <c r="K1738" s="922"/>
      <c r="L1738" s="922"/>
      <c r="M1738" s="922"/>
      <c r="N1738" s="922"/>
      <c r="O1738" s="922"/>
      <c r="P1738" s="922"/>
      <c r="Q1738" s="922"/>
      <c r="R1738" s="922"/>
      <c r="S1738" s="922"/>
      <c r="T1738" s="922"/>
      <c r="U1738" s="922"/>
      <c r="V1738" s="922"/>
      <c r="W1738" s="922"/>
      <c r="X1738" s="922"/>
      <c r="Y1738" s="922"/>
      <c r="Z1738" s="922"/>
      <c r="AA1738" s="922"/>
      <c r="AB1738" s="922"/>
      <c r="AC1738" s="922"/>
      <c r="AD1738" s="922"/>
      <c r="AE1738" s="922"/>
      <c r="AF1738" s="922"/>
      <c r="AG1738" s="922"/>
      <c r="AH1738" s="922"/>
      <c r="AI1738" s="922"/>
      <c r="AJ1738" s="922"/>
      <c r="AK1738" s="922"/>
      <c r="AL1738" s="922"/>
      <c r="AM1738" s="922"/>
      <c r="AN1738" s="922"/>
      <c r="AO1738" s="922"/>
      <c r="AP1738" s="922"/>
      <c r="AQ1738" s="922"/>
      <c r="AR1738" s="922"/>
      <c r="AS1738" s="922"/>
      <c r="AT1738" s="922"/>
      <c r="AU1738" s="922"/>
      <c r="AV1738" s="922"/>
      <c r="AW1738" s="922"/>
      <c r="AX1738" s="922"/>
      <c r="AY1738" s="922"/>
      <c r="AZ1738" s="922"/>
      <c r="BA1738" s="922"/>
      <c r="BB1738" s="922"/>
    </row>
    <row r="1739" spans="1:54" s="349" customFormat="1" ht="12.6" customHeight="1" x14ac:dyDescent="0.25">
      <c r="A1739" s="349" t="s">
        <v>2130</v>
      </c>
    </row>
    <row r="1740" spans="1:54" ht="12.6" customHeight="1" x14ac:dyDescent="0.25">
      <c r="A1740" s="350" t="s">
        <v>2125</v>
      </c>
    </row>
    <row r="1741" spans="1:54" s="352" customFormat="1" ht="45" customHeight="1" x14ac:dyDescent="0.25">
      <c r="A1741" s="922"/>
      <c r="B1741" s="922"/>
      <c r="C1741" s="922"/>
      <c r="D1741" s="922"/>
      <c r="E1741" s="922"/>
      <c r="F1741" s="922"/>
      <c r="G1741" s="922"/>
      <c r="H1741" s="922"/>
      <c r="I1741" s="922"/>
      <c r="J1741" s="922"/>
      <c r="K1741" s="922"/>
      <c r="L1741" s="922"/>
      <c r="M1741" s="922"/>
      <c r="N1741" s="922"/>
      <c r="O1741" s="922"/>
      <c r="P1741" s="922"/>
      <c r="Q1741" s="922"/>
      <c r="R1741" s="922"/>
      <c r="S1741" s="922"/>
      <c r="T1741" s="922"/>
      <c r="U1741" s="922"/>
      <c r="V1741" s="922"/>
      <c r="W1741" s="922"/>
      <c r="X1741" s="922"/>
      <c r="Y1741" s="922"/>
      <c r="Z1741" s="922"/>
      <c r="AA1741" s="922"/>
      <c r="AB1741" s="922"/>
      <c r="AC1741" s="922"/>
      <c r="AD1741" s="922"/>
      <c r="AE1741" s="922"/>
      <c r="AF1741" s="922"/>
      <c r="AG1741" s="922"/>
      <c r="AH1741" s="922"/>
      <c r="AI1741" s="922"/>
      <c r="AJ1741" s="922"/>
      <c r="AK1741" s="922"/>
      <c r="AL1741" s="922"/>
      <c r="AM1741" s="922"/>
      <c r="AN1741" s="922"/>
      <c r="AO1741" s="922"/>
      <c r="AP1741" s="922"/>
      <c r="AQ1741" s="922"/>
      <c r="AR1741" s="922"/>
      <c r="AS1741" s="922"/>
      <c r="AT1741" s="922"/>
      <c r="AU1741" s="922"/>
      <c r="AV1741" s="922"/>
      <c r="AW1741" s="922"/>
      <c r="AX1741" s="922"/>
      <c r="AY1741" s="922"/>
      <c r="AZ1741" s="922"/>
      <c r="BA1741" s="922"/>
      <c r="BB1741" s="922"/>
    </row>
    <row r="1742" spans="1:54" s="349" customFormat="1" ht="12.6" customHeight="1" x14ac:dyDescent="0.25">
      <c r="A1742" s="349" t="s">
        <v>2131</v>
      </c>
    </row>
    <row r="1743" spans="1:54" ht="12.6" customHeight="1" x14ac:dyDescent="0.25">
      <c r="A1743" s="350" t="s">
        <v>2125</v>
      </c>
    </row>
    <row r="1744" spans="1:54" s="352" customFormat="1" ht="45" customHeight="1" x14ac:dyDescent="0.25">
      <c r="A1744" s="922"/>
      <c r="B1744" s="922"/>
      <c r="C1744" s="922"/>
      <c r="D1744" s="922"/>
      <c r="E1744" s="922"/>
      <c r="F1744" s="922"/>
      <c r="G1744" s="922"/>
      <c r="H1744" s="922"/>
      <c r="I1744" s="922"/>
      <c r="J1744" s="922"/>
      <c r="K1744" s="922"/>
      <c r="L1744" s="922"/>
      <c r="M1744" s="922"/>
      <c r="N1744" s="922"/>
      <c r="O1744" s="922"/>
      <c r="P1744" s="922"/>
      <c r="Q1744" s="922"/>
      <c r="R1744" s="922"/>
      <c r="S1744" s="922"/>
      <c r="T1744" s="922"/>
      <c r="U1744" s="922"/>
      <c r="V1744" s="922"/>
      <c r="W1744" s="922"/>
      <c r="X1744" s="922"/>
      <c r="Y1744" s="922"/>
      <c r="Z1744" s="922"/>
      <c r="AA1744" s="922"/>
      <c r="AB1744" s="922"/>
      <c r="AC1744" s="922"/>
      <c r="AD1744" s="922"/>
      <c r="AE1744" s="922"/>
      <c r="AF1744" s="922"/>
      <c r="AG1744" s="922"/>
      <c r="AH1744" s="922"/>
      <c r="AI1744" s="922"/>
      <c r="AJ1744" s="922"/>
      <c r="AK1744" s="922"/>
      <c r="AL1744" s="922"/>
      <c r="AM1744" s="922"/>
      <c r="AN1744" s="922"/>
      <c r="AO1744" s="922"/>
      <c r="AP1744" s="922"/>
      <c r="AQ1744" s="922"/>
      <c r="AR1744" s="922"/>
      <c r="AS1744" s="922"/>
      <c r="AT1744" s="922"/>
      <c r="AU1744" s="922"/>
      <c r="AV1744" s="922"/>
      <c r="AW1744" s="922"/>
      <c r="AX1744" s="922"/>
      <c r="AY1744" s="922"/>
      <c r="AZ1744" s="922"/>
      <c r="BA1744" s="922"/>
      <c r="BB1744" s="922"/>
    </row>
    <row r="1745" spans="1:54" s="208" customFormat="1" ht="12.6" customHeight="1" x14ac:dyDescent="0.25"/>
    <row r="1746" spans="1:54" s="225" customFormat="1" ht="12.6" customHeight="1" x14ac:dyDescent="0.25">
      <c r="A1746" s="220" t="s">
        <v>2132</v>
      </c>
      <c r="B1746" s="224"/>
      <c r="C1746" s="224"/>
      <c r="D1746" s="224"/>
      <c r="E1746" s="224"/>
      <c r="F1746" s="224"/>
      <c r="G1746" s="224"/>
      <c r="H1746" s="224"/>
      <c r="I1746" s="224"/>
      <c r="J1746" s="224"/>
      <c r="K1746" s="224"/>
      <c r="L1746" s="224"/>
      <c r="M1746" s="224"/>
      <c r="N1746" s="224"/>
      <c r="O1746" s="224"/>
      <c r="P1746" s="224"/>
      <c r="Q1746" s="224"/>
      <c r="R1746" s="224"/>
      <c r="S1746" s="224"/>
      <c r="T1746" s="224"/>
      <c r="U1746" s="224"/>
      <c r="V1746" s="224"/>
      <c r="W1746" s="224"/>
      <c r="X1746" s="224"/>
      <c r="Y1746" s="224"/>
      <c r="Z1746" s="224"/>
      <c r="AA1746" s="224"/>
      <c r="AB1746" s="224"/>
      <c r="AC1746" s="224"/>
      <c r="AD1746" s="224"/>
      <c r="AE1746" s="224"/>
      <c r="AF1746" s="224"/>
      <c r="AG1746" s="224"/>
      <c r="AH1746" s="224"/>
      <c r="AI1746" s="224"/>
      <c r="AJ1746" s="224"/>
      <c r="AK1746" s="224"/>
      <c r="AL1746" s="224"/>
      <c r="AM1746" s="224"/>
      <c r="AN1746" s="224"/>
      <c r="AO1746" s="224"/>
      <c r="AP1746" s="224"/>
      <c r="AQ1746" s="224"/>
      <c r="AR1746" s="224"/>
      <c r="AS1746" s="224"/>
      <c r="AT1746" s="224"/>
      <c r="AU1746" s="224"/>
      <c r="AV1746" s="224"/>
      <c r="AW1746" s="224"/>
      <c r="AX1746" s="224"/>
      <c r="AY1746" s="224"/>
      <c r="AZ1746" s="224"/>
      <c r="BA1746" s="224"/>
      <c r="BB1746" s="224"/>
    </row>
    <row r="1747" spans="1:54" ht="12.6" customHeight="1" x14ac:dyDescent="0.25">
      <c r="A1747" s="29" t="s">
        <v>2133</v>
      </c>
    </row>
    <row r="1748" spans="1:54" ht="12.6" customHeight="1" x14ac:dyDescent="0.25">
      <c r="A1748" s="227" t="s">
        <v>2134</v>
      </c>
      <c r="AF1748" s="29" t="s">
        <v>2135</v>
      </c>
      <c r="AI1748" s="728">
        <v>0</v>
      </c>
      <c r="AJ1748" s="728"/>
      <c r="AK1748" s="728"/>
      <c r="AL1748" s="728"/>
      <c r="AM1748" s="728"/>
      <c r="AN1748" s="728"/>
      <c r="AO1748" s="728"/>
      <c r="AP1748" s="728"/>
      <c r="AQ1748" s="728"/>
      <c r="AR1748" s="728"/>
      <c r="AS1748" s="728"/>
      <c r="AT1748" s="728"/>
      <c r="AU1748" s="728"/>
      <c r="AV1748" s="728"/>
      <c r="AW1748" s="728"/>
    </row>
    <row r="1749" spans="1:54" ht="12.6" customHeight="1" x14ac:dyDescent="0.25">
      <c r="A1749" s="350" t="s">
        <v>2125</v>
      </c>
    </row>
    <row r="1750" spans="1:54" s="352" customFormat="1" ht="45" customHeight="1" x14ac:dyDescent="0.25">
      <c r="A1750" s="922"/>
      <c r="B1750" s="922"/>
      <c r="C1750" s="922"/>
      <c r="D1750" s="922"/>
      <c r="E1750" s="922"/>
      <c r="F1750" s="922"/>
      <c r="G1750" s="922"/>
      <c r="H1750" s="922"/>
      <c r="I1750" s="922"/>
      <c r="J1750" s="922"/>
      <c r="K1750" s="922"/>
      <c r="L1750" s="922"/>
      <c r="M1750" s="922"/>
      <c r="N1750" s="922"/>
      <c r="O1750" s="922"/>
      <c r="P1750" s="922"/>
      <c r="Q1750" s="922"/>
      <c r="R1750" s="922"/>
      <c r="S1750" s="922"/>
      <c r="T1750" s="922"/>
      <c r="U1750" s="922"/>
      <c r="V1750" s="922"/>
      <c r="W1750" s="922"/>
      <c r="X1750" s="922"/>
      <c r="Y1750" s="922"/>
      <c r="Z1750" s="922"/>
      <c r="AA1750" s="922"/>
      <c r="AB1750" s="922"/>
      <c r="AC1750" s="922"/>
      <c r="AD1750" s="922"/>
      <c r="AE1750" s="922"/>
      <c r="AF1750" s="922"/>
      <c r="AG1750" s="922"/>
      <c r="AH1750" s="922"/>
      <c r="AI1750" s="922"/>
      <c r="AJ1750" s="922"/>
      <c r="AK1750" s="922"/>
      <c r="AL1750" s="922"/>
      <c r="AM1750" s="922"/>
      <c r="AN1750" s="922"/>
      <c r="AO1750" s="922"/>
      <c r="AP1750" s="922"/>
      <c r="AQ1750" s="922"/>
      <c r="AR1750" s="922"/>
      <c r="AS1750" s="922"/>
      <c r="AT1750" s="922"/>
      <c r="AU1750" s="922"/>
      <c r="AV1750" s="922"/>
      <c r="AW1750" s="922"/>
      <c r="AX1750" s="922"/>
      <c r="AY1750" s="922"/>
      <c r="AZ1750" s="922"/>
      <c r="BA1750" s="922"/>
      <c r="BB1750" s="922"/>
    </row>
    <row r="1751" spans="1:54" s="349" customFormat="1" ht="12.6" customHeight="1" x14ac:dyDescent="0.25">
      <c r="A1751" s="349" t="s">
        <v>2136</v>
      </c>
      <c r="AF1751" s="29" t="s">
        <v>2135</v>
      </c>
      <c r="AG1751" s="29"/>
      <c r="AH1751" s="29"/>
      <c r="AI1751" s="728">
        <v>0</v>
      </c>
      <c r="AJ1751" s="728"/>
      <c r="AK1751" s="728"/>
      <c r="AL1751" s="728"/>
      <c r="AM1751" s="728"/>
      <c r="AN1751" s="728"/>
      <c r="AO1751" s="728"/>
      <c r="AP1751" s="728"/>
      <c r="AQ1751" s="728"/>
      <c r="AR1751" s="728"/>
      <c r="AS1751" s="728"/>
      <c r="AT1751" s="728"/>
      <c r="AU1751" s="728"/>
      <c r="AV1751" s="728"/>
      <c r="AW1751" s="728"/>
    </row>
    <row r="1752" spans="1:54" ht="12.6" customHeight="1" x14ac:dyDescent="0.25">
      <c r="A1752" s="350" t="s">
        <v>2125</v>
      </c>
    </row>
    <row r="1753" spans="1:54" s="352" customFormat="1" ht="45" customHeight="1" x14ac:dyDescent="0.25">
      <c r="A1753" s="922"/>
      <c r="B1753" s="922"/>
      <c r="C1753" s="922"/>
      <c r="D1753" s="922"/>
      <c r="E1753" s="922"/>
      <c r="F1753" s="922"/>
      <c r="G1753" s="922"/>
      <c r="H1753" s="922"/>
      <c r="I1753" s="922"/>
      <c r="J1753" s="922"/>
      <c r="K1753" s="922"/>
      <c r="L1753" s="922"/>
      <c r="M1753" s="922"/>
      <c r="N1753" s="922"/>
      <c r="O1753" s="922"/>
      <c r="P1753" s="922"/>
      <c r="Q1753" s="922"/>
      <c r="R1753" s="922"/>
      <c r="S1753" s="922"/>
      <c r="T1753" s="922"/>
      <c r="U1753" s="922"/>
      <c r="V1753" s="922"/>
      <c r="W1753" s="922"/>
      <c r="X1753" s="922"/>
      <c r="Y1753" s="922"/>
      <c r="Z1753" s="922"/>
      <c r="AA1753" s="922"/>
      <c r="AB1753" s="922"/>
      <c r="AC1753" s="922"/>
      <c r="AD1753" s="922"/>
      <c r="AE1753" s="922"/>
      <c r="AF1753" s="922"/>
      <c r="AG1753" s="922"/>
      <c r="AH1753" s="922"/>
      <c r="AI1753" s="922"/>
      <c r="AJ1753" s="922"/>
      <c r="AK1753" s="922"/>
      <c r="AL1753" s="922"/>
      <c r="AM1753" s="922"/>
      <c r="AN1753" s="922"/>
      <c r="AO1753" s="922"/>
      <c r="AP1753" s="922"/>
      <c r="AQ1753" s="922"/>
      <c r="AR1753" s="922"/>
      <c r="AS1753" s="922"/>
      <c r="AT1753" s="922"/>
      <c r="AU1753" s="922"/>
      <c r="AV1753" s="922"/>
      <c r="AW1753" s="922"/>
      <c r="AX1753" s="922"/>
      <c r="AY1753" s="922"/>
      <c r="AZ1753" s="922"/>
      <c r="BA1753" s="922"/>
      <c r="BB1753" s="922"/>
    </row>
    <row r="1754" spans="1:54" s="349" customFormat="1" ht="12.6" customHeight="1" x14ac:dyDescent="0.25">
      <c r="A1754" s="349" t="s">
        <v>2137</v>
      </c>
      <c r="AF1754" s="29" t="s">
        <v>2135</v>
      </c>
      <c r="AG1754" s="29"/>
      <c r="AH1754" s="29"/>
      <c r="AI1754" s="728">
        <v>0</v>
      </c>
      <c r="AJ1754" s="728"/>
      <c r="AK1754" s="728"/>
      <c r="AL1754" s="728"/>
      <c r="AM1754" s="728"/>
      <c r="AN1754" s="728"/>
      <c r="AO1754" s="728"/>
      <c r="AP1754" s="728"/>
      <c r="AQ1754" s="728"/>
      <c r="AR1754" s="728"/>
      <c r="AS1754" s="728"/>
      <c r="AT1754" s="728"/>
      <c r="AU1754" s="728"/>
      <c r="AV1754" s="728"/>
      <c r="AW1754" s="728"/>
    </row>
    <row r="1755" spans="1:54" ht="12.6" customHeight="1" x14ac:dyDescent="0.25">
      <c r="A1755" s="350" t="s">
        <v>2125</v>
      </c>
    </row>
    <row r="1756" spans="1:54" s="352" customFormat="1" ht="45" customHeight="1" x14ac:dyDescent="0.25">
      <c r="A1756" s="922"/>
      <c r="B1756" s="922"/>
      <c r="C1756" s="922"/>
      <c r="D1756" s="922"/>
      <c r="E1756" s="922"/>
      <c r="F1756" s="922"/>
      <c r="G1756" s="922"/>
      <c r="H1756" s="922"/>
      <c r="I1756" s="922"/>
      <c r="J1756" s="922"/>
      <c r="K1756" s="922"/>
      <c r="L1756" s="922"/>
      <c r="M1756" s="922"/>
      <c r="N1756" s="922"/>
      <c r="O1756" s="922"/>
      <c r="P1756" s="922"/>
      <c r="Q1756" s="922"/>
      <c r="R1756" s="922"/>
      <c r="S1756" s="922"/>
      <c r="T1756" s="922"/>
      <c r="U1756" s="922"/>
      <c r="V1756" s="922"/>
      <c r="W1756" s="922"/>
      <c r="X1756" s="922"/>
      <c r="Y1756" s="922"/>
      <c r="Z1756" s="922"/>
      <c r="AA1756" s="922"/>
      <c r="AB1756" s="922"/>
      <c r="AC1756" s="922"/>
      <c r="AD1756" s="922"/>
      <c r="AE1756" s="922"/>
      <c r="AF1756" s="922"/>
      <c r="AG1756" s="922"/>
      <c r="AH1756" s="922"/>
      <c r="AI1756" s="922"/>
      <c r="AJ1756" s="922"/>
      <c r="AK1756" s="922"/>
      <c r="AL1756" s="922"/>
      <c r="AM1756" s="922"/>
      <c r="AN1756" s="922"/>
      <c r="AO1756" s="922"/>
      <c r="AP1756" s="922"/>
      <c r="AQ1756" s="922"/>
      <c r="AR1756" s="922"/>
      <c r="AS1756" s="922"/>
      <c r="AT1756" s="922"/>
      <c r="AU1756" s="922"/>
      <c r="AV1756" s="922"/>
      <c r="AW1756" s="922"/>
      <c r="AX1756" s="922"/>
      <c r="AY1756" s="922"/>
      <c r="AZ1756" s="922"/>
      <c r="BA1756" s="922"/>
    </row>
    <row r="1757" spans="1:54" s="349" customFormat="1" ht="12.6" customHeight="1" x14ac:dyDescent="0.25">
      <c r="A1757" s="349" t="s">
        <v>2138</v>
      </c>
      <c r="AF1757" s="29" t="s">
        <v>2135</v>
      </c>
      <c r="AG1757" s="29"/>
      <c r="AH1757" s="29"/>
      <c r="AI1757" s="728">
        <v>0</v>
      </c>
      <c r="AJ1757" s="728"/>
      <c r="AK1757" s="728"/>
      <c r="AL1757" s="728"/>
      <c r="AM1757" s="728"/>
      <c r="AN1757" s="728"/>
      <c r="AO1757" s="728"/>
      <c r="AP1757" s="728"/>
      <c r="AQ1757" s="728"/>
      <c r="AR1757" s="728"/>
      <c r="AS1757" s="728"/>
      <c r="AT1757" s="728"/>
      <c r="AU1757" s="728"/>
      <c r="AV1757" s="728"/>
      <c r="AW1757" s="728"/>
    </row>
    <row r="1758" spans="1:54" ht="12.6" customHeight="1" x14ac:dyDescent="0.25">
      <c r="A1758" s="350" t="s">
        <v>2125</v>
      </c>
    </row>
    <row r="1759" spans="1:54" s="352" customFormat="1" ht="45" customHeight="1" x14ac:dyDescent="0.25">
      <c r="A1759" s="922"/>
      <c r="B1759" s="922"/>
      <c r="C1759" s="922"/>
      <c r="D1759" s="922"/>
      <c r="E1759" s="922"/>
      <c r="F1759" s="922"/>
      <c r="G1759" s="922"/>
      <c r="H1759" s="922"/>
      <c r="I1759" s="922"/>
      <c r="J1759" s="922"/>
      <c r="K1759" s="922"/>
      <c r="L1759" s="922"/>
      <c r="M1759" s="922"/>
      <c r="N1759" s="922"/>
      <c r="O1759" s="922"/>
      <c r="P1759" s="922"/>
      <c r="Q1759" s="922"/>
      <c r="R1759" s="922"/>
      <c r="S1759" s="922"/>
      <c r="T1759" s="922"/>
      <c r="U1759" s="922"/>
      <c r="V1759" s="922"/>
      <c r="W1759" s="922"/>
      <c r="X1759" s="922"/>
      <c r="Y1759" s="922"/>
      <c r="Z1759" s="922"/>
      <c r="AA1759" s="922"/>
      <c r="AB1759" s="922"/>
      <c r="AC1759" s="922"/>
      <c r="AD1759" s="922"/>
      <c r="AE1759" s="922"/>
      <c r="AF1759" s="922"/>
      <c r="AG1759" s="922"/>
      <c r="AH1759" s="922"/>
      <c r="AI1759" s="922"/>
      <c r="AJ1759" s="922"/>
      <c r="AK1759" s="922"/>
      <c r="AL1759" s="922"/>
      <c r="AM1759" s="922"/>
      <c r="AN1759" s="922"/>
      <c r="AO1759" s="922"/>
      <c r="AP1759" s="922"/>
      <c r="AQ1759" s="922"/>
      <c r="AR1759" s="922"/>
      <c r="AS1759" s="922"/>
      <c r="AT1759" s="922"/>
      <c r="AU1759" s="922"/>
      <c r="AV1759" s="922"/>
      <c r="AW1759" s="922"/>
      <c r="AX1759" s="922"/>
      <c r="AY1759" s="922"/>
      <c r="AZ1759" s="922"/>
      <c r="BA1759" s="922"/>
      <c r="BB1759" s="922"/>
    </row>
    <row r="1760" spans="1:54" s="349" customFormat="1" ht="12.6" customHeight="1" x14ac:dyDescent="0.25">
      <c r="A1760" s="349" t="s">
        <v>2139</v>
      </c>
      <c r="AF1760" s="29" t="s">
        <v>2135</v>
      </c>
      <c r="AG1760" s="29"/>
      <c r="AH1760" s="29"/>
      <c r="AI1760" s="728">
        <v>0</v>
      </c>
      <c r="AJ1760" s="728"/>
      <c r="AK1760" s="728"/>
      <c r="AL1760" s="728"/>
      <c r="AM1760" s="728"/>
      <c r="AN1760" s="728"/>
      <c r="AO1760" s="728"/>
      <c r="AP1760" s="728"/>
      <c r="AQ1760" s="728"/>
      <c r="AR1760" s="728"/>
      <c r="AS1760" s="728"/>
      <c r="AT1760" s="728"/>
      <c r="AU1760" s="728"/>
      <c r="AV1760" s="728"/>
      <c r="AW1760" s="728"/>
    </row>
    <row r="1761" spans="1:54" ht="13.15" customHeight="1" x14ac:dyDescent="0.25">
      <c r="A1761" s="350" t="s">
        <v>2125</v>
      </c>
    </row>
    <row r="1762" spans="1:54" s="352" customFormat="1" ht="45" customHeight="1" x14ac:dyDescent="0.25">
      <c r="A1762" s="922"/>
      <c r="B1762" s="922"/>
      <c r="C1762" s="922"/>
      <c r="D1762" s="922"/>
      <c r="E1762" s="922"/>
      <c r="F1762" s="922"/>
      <c r="G1762" s="922"/>
      <c r="H1762" s="922"/>
      <c r="I1762" s="922"/>
      <c r="J1762" s="922"/>
      <c r="K1762" s="922"/>
      <c r="L1762" s="922"/>
      <c r="M1762" s="922"/>
      <c r="N1762" s="922"/>
      <c r="O1762" s="922"/>
      <c r="P1762" s="922"/>
      <c r="Q1762" s="922"/>
      <c r="R1762" s="922"/>
      <c r="S1762" s="922"/>
      <c r="T1762" s="922"/>
      <c r="U1762" s="922"/>
      <c r="V1762" s="922"/>
      <c r="W1762" s="922"/>
      <c r="X1762" s="922"/>
      <c r="Y1762" s="922"/>
      <c r="Z1762" s="922"/>
      <c r="AA1762" s="922"/>
      <c r="AB1762" s="922"/>
      <c r="AC1762" s="922"/>
      <c r="AD1762" s="922"/>
      <c r="AE1762" s="922"/>
      <c r="AF1762" s="922"/>
      <c r="AG1762" s="922"/>
      <c r="AH1762" s="922"/>
      <c r="AI1762" s="922"/>
      <c r="AJ1762" s="922"/>
      <c r="AK1762" s="922"/>
      <c r="AL1762" s="922"/>
      <c r="AM1762" s="922"/>
      <c r="AN1762" s="922"/>
      <c r="AO1762" s="922"/>
      <c r="AP1762" s="922"/>
      <c r="AQ1762" s="922"/>
      <c r="AR1762" s="922"/>
      <c r="AS1762" s="922"/>
      <c r="AT1762" s="922"/>
      <c r="AU1762" s="922"/>
      <c r="AV1762" s="922"/>
      <c r="AW1762" s="922"/>
      <c r="AX1762" s="922"/>
      <c r="AY1762" s="922"/>
      <c r="AZ1762" s="922"/>
      <c r="BA1762" s="922"/>
      <c r="BB1762" s="922"/>
    </row>
    <row r="1763" spans="1:54" s="349" customFormat="1" ht="12.6" customHeight="1" x14ac:dyDescent="0.25">
      <c r="A1763" s="349" t="s">
        <v>2140</v>
      </c>
      <c r="AF1763" s="29" t="s">
        <v>2135</v>
      </c>
      <c r="AG1763" s="29"/>
      <c r="AH1763" s="29"/>
      <c r="AI1763" s="728">
        <v>0</v>
      </c>
      <c r="AJ1763" s="728"/>
      <c r="AK1763" s="728"/>
      <c r="AL1763" s="728"/>
      <c r="AM1763" s="728"/>
      <c r="AN1763" s="728"/>
      <c r="AO1763" s="728"/>
      <c r="AP1763" s="728"/>
      <c r="AQ1763" s="728"/>
      <c r="AR1763" s="728"/>
      <c r="AS1763" s="728"/>
      <c r="AT1763" s="728"/>
      <c r="AU1763" s="728"/>
      <c r="AV1763" s="728"/>
      <c r="AW1763" s="728"/>
    </row>
    <row r="1764" spans="1:54" ht="12.6" customHeight="1" x14ac:dyDescent="0.25">
      <c r="A1764" s="350" t="s">
        <v>2125</v>
      </c>
    </row>
    <row r="1765" spans="1:54" s="349" customFormat="1" ht="12.6" customHeight="1" x14ac:dyDescent="0.25">
      <c r="AF1765" s="29"/>
      <c r="AG1765" s="29"/>
      <c r="AH1765" s="29"/>
      <c r="AI1765" s="728"/>
      <c r="AJ1765" s="728"/>
      <c r="AK1765" s="728"/>
      <c r="AL1765" s="728"/>
      <c r="AM1765" s="728"/>
      <c r="AN1765" s="728"/>
      <c r="AO1765" s="728"/>
      <c r="AP1765" s="728"/>
      <c r="AQ1765" s="728"/>
      <c r="AR1765" s="728"/>
      <c r="AS1765" s="728"/>
      <c r="AT1765" s="728"/>
      <c r="AU1765" s="728"/>
      <c r="AV1765" s="728"/>
      <c r="AW1765" s="728"/>
    </row>
    <row r="1766" spans="1:54" ht="12.75" customHeight="1" x14ac:dyDescent="0.25">
      <c r="A1766" s="923" t="s">
        <v>2141</v>
      </c>
      <c r="B1766" s="923"/>
      <c r="C1766" s="923"/>
      <c r="D1766" s="923"/>
      <c r="E1766" s="923"/>
      <c r="F1766" s="923"/>
      <c r="G1766" s="923"/>
      <c r="H1766" s="923"/>
      <c r="I1766" s="923"/>
      <c r="J1766" s="923"/>
      <c r="K1766" s="923"/>
      <c r="L1766" s="923"/>
      <c r="M1766" s="923"/>
      <c r="N1766" s="923"/>
      <c r="O1766" s="923"/>
      <c r="P1766" s="923"/>
      <c r="Q1766" s="923"/>
      <c r="R1766" s="923"/>
      <c r="S1766" s="923"/>
      <c r="T1766" s="923"/>
      <c r="U1766" s="923"/>
      <c r="V1766" s="923"/>
      <c r="W1766" s="923"/>
      <c r="X1766" s="923"/>
      <c r="Y1766" s="923"/>
      <c r="Z1766" s="923"/>
      <c r="AA1766" s="923"/>
      <c r="AB1766" s="923"/>
      <c r="AC1766" s="923"/>
      <c r="AD1766" s="923"/>
      <c r="AE1766" s="923"/>
      <c r="AF1766" s="923"/>
      <c r="AG1766" s="923"/>
      <c r="AH1766" s="923"/>
      <c r="AI1766" s="923"/>
      <c r="AJ1766" s="923"/>
      <c r="AK1766" s="923"/>
      <c r="AL1766" s="923"/>
      <c r="AM1766" s="923"/>
      <c r="AN1766" s="923"/>
      <c r="AO1766" s="923"/>
      <c r="AP1766" s="923"/>
      <c r="AQ1766" s="923"/>
      <c r="AR1766" s="923"/>
      <c r="AS1766" s="923"/>
      <c r="AT1766" s="923"/>
      <c r="AU1766" s="923"/>
      <c r="AV1766" s="923"/>
      <c r="AW1766" s="923"/>
      <c r="AX1766" s="923"/>
      <c r="AY1766" s="923"/>
      <c r="AZ1766" s="923"/>
    </row>
    <row r="1767" spans="1:54" ht="12.6" customHeight="1" x14ac:dyDescent="0.25">
      <c r="A1767" s="221" t="s">
        <v>2142</v>
      </c>
    </row>
    <row r="1768" spans="1:54" ht="12.6" customHeight="1" x14ac:dyDescent="0.25">
      <c r="A1768" s="350"/>
      <c r="AF1768" s="29" t="s">
        <v>2135</v>
      </c>
      <c r="AI1768" s="728">
        <v>0</v>
      </c>
      <c r="AJ1768" s="728"/>
      <c r="AK1768" s="728"/>
      <c r="AL1768" s="728"/>
      <c r="AM1768" s="728"/>
      <c r="AN1768" s="728"/>
      <c r="AO1768" s="728"/>
      <c r="AP1768" s="728"/>
      <c r="AQ1768" s="728"/>
      <c r="AR1768" s="728"/>
      <c r="AS1768" s="728"/>
      <c r="AT1768" s="728"/>
      <c r="AU1768" s="728"/>
      <c r="AV1768" s="728"/>
      <c r="AW1768" s="728"/>
    </row>
    <row r="1769" spans="1:54" s="349" customFormat="1" ht="12.6" customHeight="1" x14ac:dyDescent="0.25">
      <c r="A1769" s="353" t="s">
        <v>2143</v>
      </c>
      <c r="AF1769" s="29"/>
      <c r="AG1769" s="29"/>
      <c r="AH1769" s="29"/>
      <c r="AI1769" s="728"/>
      <c r="AJ1769" s="728"/>
      <c r="AK1769" s="728"/>
      <c r="AL1769" s="728"/>
      <c r="AM1769" s="728"/>
      <c r="AN1769" s="728"/>
      <c r="AO1769" s="728"/>
      <c r="AP1769" s="728"/>
      <c r="AQ1769" s="728"/>
      <c r="AR1769" s="728"/>
      <c r="AS1769" s="728"/>
      <c r="AT1769" s="728"/>
      <c r="AU1769" s="728"/>
      <c r="AV1769" s="728"/>
      <c r="AW1769" s="728"/>
    </row>
    <row r="1770" spans="1:54" ht="12.6" customHeight="1" x14ac:dyDescent="0.25">
      <c r="A1770" s="350"/>
      <c r="AF1770" s="29" t="s">
        <v>2135</v>
      </c>
      <c r="AI1770" s="728">
        <v>0</v>
      </c>
      <c r="AJ1770" s="728"/>
      <c r="AK1770" s="728"/>
      <c r="AL1770" s="728"/>
      <c r="AM1770" s="728"/>
      <c r="AN1770" s="728"/>
      <c r="AO1770" s="728"/>
      <c r="AP1770" s="728"/>
      <c r="AQ1770" s="728"/>
      <c r="AR1770" s="728"/>
      <c r="AS1770" s="728"/>
      <c r="AT1770" s="728"/>
      <c r="AU1770" s="728"/>
      <c r="AV1770" s="728"/>
      <c r="AW1770" s="728"/>
    </row>
    <row r="1771" spans="1:54" s="349" customFormat="1" ht="12.6" customHeight="1" x14ac:dyDescent="0.25">
      <c r="A1771" s="353" t="s">
        <v>2144</v>
      </c>
      <c r="AF1771" s="29"/>
      <c r="AG1771" s="29"/>
      <c r="AH1771" s="29"/>
      <c r="AI1771" s="354"/>
      <c r="AJ1771" s="354"/>
      <c r="AK1771" s="354"/>
      <c r="AL1771" s="354"/>
      <c r="AM1771" s="354"/>
      <c r="AN1771" s="354"/>
      <c r="AO1771" s="354"/>
      <c r="AP1771" s="354"/>
      <c r="AQ1771" s="354"/>
      <c r="AR1771" s="354"/>
      <c r="AS1771" s="354"/>
      <c r="AT1771" s="354"/>
      <c r="AU1771" s="354"/>
      <c r="AV1771" s="354"/>
      <c r="AW1771" s="354"/>
    </row>
    <row r="1772" spans="1:54" ht="12.6" customHeight="1" x14ac:dyDescent="0.25">
      <c r="A1772" s="350"/>
      <c r="AF1772" s="29" t="s">
        <v>2135</v>
      </c>
      <c r="AI1772" s="728">
        <v>0</v>
      </c>
      <c r="AJ1772" s="728"/>
      <c r="AK1772" s="728"/>
      <c r="AL1772" s="728"/>
      <c r="AM1772" s="728"/>
      <c r="AN1772" s="728"/>
      <c r="AO1772" s="728"/>
      <c r="AP1772" s="728"/>
      <c r="AQ1772" s="728"/>
      <c r="AR1772" s="728"/>
      <c r="AS1772" s="728"/>
      <c r="AT1772" s="728"/>
      <c r="AU1772" s="728"/>
      <c r="AV1772" s="728"/>
      <c r="AW1772" s="728"/>
    </row>
    <row r="1773" spans="1:54" ht="24.75" customHeight="1" x14ac:dyDescent="0.25">
      <c r="A1773" s="924" t="s">
        <v>2145</v>
      </c>
      <c r="B1773" s="924"/>
      <c r="C1773" s="924"/>
      <c r="D1773" s="924"/>
      <c r="E1773" s="924"/>
      <c r="F1773" s="924"/>
      <c r="G1773" s="924"/>
      <c r="H1773" s="924"/>
      <c r="I1773" s="924"/>
      <c r="J1773" s="924"/>
      <c r="K1773" s="924"/>
      <c r="L1773" s="924"/>
      <c r="M1773" s="924"/>
      <c r="N1773" s="924"/>
      <c r="O1773" s="924"/>
      <c r="P1773" s="924"/>
      <c r="Q1773" s="924"/>
      <c r="R1773" s="924"/>
      <c r="S1773" s="924"/>
      <c r="T1773" s="924"/>
      <c r="U1773" s="924"/>
      <c r="V1773" s="924"/>
      <c r="W1773" s="924"/>
      <c r="X1773" s="924"/>
      <c r="Y1773" s="924"/>
      <c r="Z1773" s="924"/>
      <c r="AA1773" s="924"/>
      <c r="AB1773" s="924"/>
      <c r="AC1773" s="924"/>
      <c r="AD1773" s="924"/>
      <c r="AE1773" s="924"/>
      <c r="AF1773" s="924"/>
      <c r="AG1773" s="924"/>
      <c r="AH1773" s="924"/>
      <c r="AI1773" s="924"/>
      <c r="AJ1773" s="924"/>
      <c r="AK1773" s="924"/>
      <c r="AL1773" s="924"/>
      <c r="AM1773" s="924"/>
      <c r="AN1773" s="924"/>
      <c r="AO1773" s="924"/>
      <c r="AP1773" s="924"/>
      <c r="AQ1773" s="924"/>
      <c r="AR1773" s="924"/>
      <c r="AS1773" s="924"/>
      <c r="AT1773" s="924"/>
      <c r="AU1773" s="924"/>
      <c r="AV1773" s="924"/>
      <c r="AW1773" s="924"/>
      <c r="AX1773" s="924"/>
      <c r="AY1773" s="924"/>
      <c r="AZ1773" s="924"/>
    </row>
    <row r="1774" spans="1:54" s="208" customFormat="1" ht="12.6" customHeight="1" x14ac:dyDescent="0.25">
      <c r="AF1774" s="208" t="s">
        <v>2146</v>
      </c>
      <c r="AM1774" s="925">
        <v>0</v>
      </c>
      <c r="AN1774" s="925"/>
      <c r="AO1774" s="925"/>
      <c r="AP1774" s="925"/>
      <c r="AQ1774" s="925"/>
      <c r="AR1774" s="925"/>
      <c r="AS1774" s="925"/>
      <c r="AT1774" s="925"/>
      <c r="AU1774" s="925"/>
      <c r="AV1774" s="925"/>
      <c r="AW1774" s="925"/>
    </row>
    <row r="1775" spans="1:54" ht="25.5" customHeight="1" x14ac:dyDescent="0.25">
      <c r="A1775" s="846" t="s">
        <v>2147</v>
      </c>
      <c r="B1775" s="846"/>
      <c r="C1775" s="846"/>
      <c r="D1775" s="846"/>
      <c r="E1775" s="846"/>
      <c r="F1775" s="846"/>
      <c r="G1775" s="846"/>
      <c r="H1775" s="846"/>
      <c r="I1775" s="846"/>
      <c r="J1775" s="846"/>
      <c r="K1775" s="846"/>
      <c r="L1775" s="846"/>
      <c r="M1775" s="846"/>
      <c r="N1775" s="846"/>
      <c r="O1775" s="846"/>
      <c r="P1775" s="846"/>
      <c r="Q1775" s="846"/>
      <c r="R1775" s="846"/>
      <c r="S1775" s="846"/>
      <c r="T1775" s="846"/>
      <c r="U1775" s="846"/>
      <c r="V1775" s="846"/>
      <c r="W1775" s="846"/>
      <c r="X1775" s="846"/>
      <c r="Y1775" s="846"/>
      <c r="Z1775" s="846"/>
      <c r="AA1775" s="846"/>
      <c r="AB1775" s="846"/>
      <c r="AC1775" s="846"/>
      <c r="AD1775" s="846"/>
      <c r="AE1775" s="846"/>
      <c r="AF1775" s="846"/>
      <c r="AG1775" s="846"/>
      <c r="AH1775" s="846"/>
      <c r="AI1775" s="846"/>
      <c r="AJ1775" s="846"/>
      <c r="AK1775" s="846"/>
      <c r="AL1775" s="846"/>
      <c r="AM1775" s="846"/>
      <c r="AN1775" s="846"/>
      <c r="AO1775" s="846"/>
      <c r="AP1775" s="846"/>
      <c r="AQ1775" s="846"/>
      <c r="AR1775" s="846"/>
      <c r="AS1775" s="846"/>
      <c r="AT1775" s="846"/>
      <c r="AU1775" s="846"/>
      <c r="AV1775" s="846"/>
      <c r="AW1775" s="846"/>
      <c r="AX1775" s="846"/>
      <c r="AY1775" s="846"/>
      <c r="AZ1775" s="846"/>
    </row>
    <row r="1776" spans="1:54" ht="12.6" customHeight="1" x14ac:dyDescent="0.25">
      <c r="AF1776" s="29" t="s">
        <v>2135</v>
      </c>
      <c r="AG1776" s="29"/>
      <c r="AH1776" s="29"/>
      <c r="AI1776" s="728">
        <v>0</v>
      </c>
      <c r="AJ1776" s="728"/>
      <c r="AK1776" s="728"/>
      <c r="AL1776" s="728"/>
      <c r="AM1776" s="728"/>
      <c r="AN1776" s="728"/>
      <c r="AO1776" s="728"/>
      <c r="AP1776" s="728"/>
      <c r="AQ1776" s="728"/>
      <c r="AR1776" s="728"/>
      <c r="AS1776" s="728"/>
      <c r="AT1776" s="728"/>
      <c r="AU1776" s="728"/>
      <c r="AV1776" s="728"/>
      <c r="AW1776" s="728"/>
    </row>
    <row r="1777" spans="1:1024" s="349" customFormat="1" ht="12.6" customHeight="1" x14ac:dyDescent="0.25">
      <c r="A1777" s="350" t="s">
        <v>2125</v>
      </c>
      <c r="AF1777" s="29"/>
      <c r="AG1777" s="29"/>
      <c r="AH1777" s="29"/>
      <c r="AI1777" s="354"/>
      <c r="AJ1777" s="354"/>
      <c r="AK1777" s="354"/>
      <c r="AL1777" s="354"/>
      <c r="AM1777" s="354"/>
      <c r="AN1777" s="354"/>
      <c r="AO1777" s="354"/>
      <c r="AP1777" s="354"/>
      <c r="AQ1777" s="354"/>
      <c r="AR1777" s="354"/>
      <c r="AS1777" s="354"/>
      <c r="AT1777" s="354"/>
      <c r="AU1777" s="354"/>
      <c r="AV1777" s="354"/>
      <c r="AW1777" s="354"/>
    </row>
    <row r="1778" spans="1:1024" ht="45" customHeight="1" x14ac:dyDescent="0.25">
      <c r="A1778" s="922"/>
      <c r="B1778" s="922"/>
      <c r="C1778" s="922"/>
      <c r="D1778" s="922"/>
      <c r="E1778" s="922"/>
      <c r="F1778" s="922"/>
      <c r="G1778" s="922"/>
      <c r="H1778" s="922"/>
      <c r="I1778" s="922"/>
      <c r="J1778" s="922"/>
      <c r="K1778" s="922"/>
      <c r="L1778" s="922"/>
      <c r="M1778" s="922"/>
      <c r="N1778" s="922"/>
      <c r="O1778" s="922"/>
      <c r="P1778" s="922"/>
      <c r="Q1778" s="922"/>
      <c r="R1778" s="922"/>
      <c r="S1778" s="922"/>
      <c r="T1778" s="922"/>
      <c r="U1778" s="922"/>
      <c r="V1778" s="922"/>
      <c r="W1778" s="922"/>
      <c r="X1778" s="922"/>
      <c r="Y1778" s="922"/>
      <c r="Z1778" s="922"/>
      <c r="AA1778" s="922"/>
      <c r="AB1778" s="922"/>
      <c r="AC1778" s="922"/>
      <c r="AD1778" s="922"/>
      <c r="AE1778" s="922"/>
      <c r="AF1778" s="922"/>
      <c r="AG1778" s="922"/>
      <c r="AH1778" s="922"/>
      <c r="AI1778" s="922"/>
      <c r="AJ1778" s="922"/>
      <c r="AK1778" s="922"/>
      <c r="AL1778" s="922"/>
      <c r="AM1778" s="922"/>
      <c r="AN1778" s="922"/>
      <c r="AO1778" s="922"/>
      <c r="AP1778" s="922"/>
      <c r="AQ1778" s="922"/>
      <c r="AR1778" s="922"/>
      <c r="AS1778" s="922"/>
      <c r="AT1778" s="922"/>
      <c r="AU1778" s="922"/>
      <c r="AV1778" s="922"/>
      <c r="AW1778" s="922"/>
      <c r="AX1778" s="922"/>
      <c r="AY1778" s="922"/>
      <c r="AZ1778" s="922"/>
      <c r="BA1778" s="922"/>
      <c r="BB1778" s="922"/>
    </row>
    <row r="1779" spans="1:1024" s="208" customFormat="1" ht="12.6" customHeight="1" x14ac:dyDescent="0.25"/>
    <row r="1780" spans="1:1024" s="225" customFormat="1" ht="13.5" customHeight="1" x14ac:dyDescent="0.25">
      <c r="A1780" s="726" t="s">
        <v>2148</v>
      </c>
      <c r="B1780" s="726"/>
      <c r="C1780" s="726"/>
      <c r="D1780" s="726"/>
      <c r="E1780" s="726"/>
      <c r="F1780" s="726"/>
      <c r="G1780" s="726"/>
      <c r="H1780" s="726"/>
      <c r="I1780" s="726"/>
      <c r="J1780" s="726"/>
      <c r="K1780" s="726"/>
      <c r="L1780" s="726"/>
      <c r="M1780" s="726"/>
      <c r="N1780" s="726"/>
      <c r="O1780" s="726"/>
      <c r="P1780" s="726"/>
      <c r="Q1780" s="726"/>
      <c r="R1780" s="726"/>
      <c r="S1780" s="726"/>
      <c r="T1780" s="726"/>
      <c r="U1780" s="726"/>
      <c r="V1780" s="726"/>
      <c r="W1780" s="726"/>
      <c r="X1780" s="726"/>
      <c r="Y1780" s="726"/>
      <c r="Z1780" s="726"/>
      <c r="AA1780" s="726"/>
      <c r="AB1780" s="726"/>
      <c r="AC1780" s="726"/>
      <c r="AD1780" s="726"/>
      <c r="AE1780" s="726"/>
      <c r="AF1780" s="726"/>
      <c r="AG1780" s="726"/>
      <c r="AH1780" s="726"/>
      <c r="AI1780" s="726"/>
      <c r="AJ1780" s="726"/>
      <c r="AK1780" s="726"/>
      <c r="AL1780" s="726"/>
      <c r="AM1780" s="726"/>
      <c r="AN1780" s="726"/>
      <c r="AO1780" s="726"/>
      <c r="AP1780" s="726"/>
      <c r="AQ1780" s="726"/>
      <c r="AR1780" s="726"/>
      <c r="AS1780" s="726"/>
      <c r="AT1780" s="726"/>
      <c r="AU1780" s="726"/>
      <c r="AV1780" s="726"/>
      <c r="AW1780" s="726"/>
      <c r="AX1780" s="726"/>
      <c r="AY1780" s="726"/>
      <c r="AZ1780" s="726"/>
      <c r="BA1780" s="224"/>
      <c r="BB1780" s="224"/>
    </row>
    <row r="1781" spans="1:1024" s="227" customFormat="1" ht="57.75" customHeight="1" x14ac:dyDescent="0.25">
      <c r="A1781" s="846" t="s">
        <v>2149</v>
      </c>
      <c r="B1781" s="846"/>
      <c r="C1781" s="846"/>
      <c r="D1781" s="846"/>
      <c r="E1781" s="846"/>
      <c r="F1781" s="846"/>
      <c r="G1781" s="846"/>
      <c r="H1781" s="846"/>
      <c r="I1781" s="846"/>
      <c r="J1781" s="846"/>
      <c r="K1781" s="846"/>
      <c r="L1781" s="846"/>
      <c r="M1781" s="846"/>
      <c r="N1781" s="846"/>
      <c r="O1781" s="846"/>
      <c r="P1781" s="846"/>
      <c r="Q1781" s="846"/>
      <c r="R1781" s="846"/>
      <c r="S1781" s="846"/>
      <c r="T1781" s="846"/>
      <c r="U1781" s="846"/>
      <c r="V1781" s="846"/>
      <c r="W1781" s="846"/>
      <c r="X1781" s="846"/>
      <c r="Y1781" s="846"/>
      <c r="Z1781" s="846"/>
      <c r="AA1781" s="846"/>
      <c r="AB1781" s="846"/>
      <c r="AC1781" s="846"/>
      <c r="AD1781" s="846"/>
      <c r="AE1781" s="846"/>
      <c r="AF1781" s="846"/>
      <c r="AG1781" s="846"/>
      <c r="AH1781" s="846"/>
      <c r="AI1781" s="846"/>
      <c r="AJ1781" s="846"/>
      <c r="AK1781" s="846"/>
      <c r="AL1781" s="846"/>
      <c r="AM1781" s="846"/>
      <c r="AN1781" s="846"/>
      <c r="AO1781" s="846"/>
      <c r="AP1781" s="846"/>
      <c r="AQ1781" s="846"/>
      <c r="AR1781" s="846"/>
      <c r="AS1781" s="846"/>
      <c r="AT1781" s="846"/>
      <c r="AU1781" s="846"/>
      <c r="AV1781" s="846"/>
      <c r="AW1781" s="846"/>
      <c r="AX1781" s="846"/>
      <c r="AY1781" s="846"/>
      <c r="AZ1781" s="846"/>
    </row>
    <row r="1782" spans="1:1024" ht="12.6" customHeight="1" x14ac:dyDescent="0.25">
      <c r="A1782" s="350" t="s">
        <v>2125</v>
      </c>
      <c r="AB1782" s="29" t="s">
        <v>2150</v>
      </c>
      <c r="AI1782" s="926">
        <v>0</v>
      </c>
      <c r="AJ1782" s="926"/>
      <c r="AK1782" s="926"/>
      <c r="AL1782" s="926"/>
      <c r="AM1782" s="926"/>
      <c r="AN1782" s="926"/>
      <c r="AO1782" s="926"/>
      <c r="AP1782" s="926"/>
      <c r="AQ1782" s="926"/>
      <c r="AR1782" s="926"/>
      <c r="AS1782" s="926"/>
      <c r="AT1782" s="926"/>
      <c r="AU1782" s="926"/>
      <c r="AV1782" s="926"/>
      <c r="AW1782" s="926"/>
    </row>
    <row r="1783" spans="1:1024" ht="45" customHeight="1" x14ac:dyDescent="0.25">
      <c r="A1783" s="922"/>
      <c r="B1783" s="922"/>
      <c r="C1783" s="922"/>
      <c r="D1783" s="922"/>
      <c r="E1783" s="922"/>
      <c r="F1783" s="922"/>
      <c r="G1783" s="922"/>
      <c r="H1783" s="922"/>
      <c r="I1783" s="922"/>
      <c r="J1783" s="922"/>
      <c r="K1783" s="922"/>
      <c r="L1783" s="922"/>
      <c r="M1783" s="922"/>
      <c r="N1783" s="922"/>
      <c r="O1783" s="922"/>
      <c r="P1783" s="922"/>
      <c r="Q1783" s="922"/>
      <c r="R1783" s="922"/>
      <c r="S1783" s="922"/>
      <c r="T1783" s="922"/>
      <c r="U1783" s="922"/>
      <c r="V1783" s="922"/>
      <c r="W1783" s="922"/>
      <c r="X1783" s="922"/>
      <c r="Y1783" s="922"/>
      <c r="Z1783" s="922"/>
      <c r="AA1783" s="922"/>
      <c r="AB1783" s="922"/>
      <c r="AC1783" s="922"/>
      <c r="AD1783" s="922"/>
      <c r="AE1783" s="922"/>
      <c r="AF1783" s="922"/>
      <c r="AG1783" s="922"/>
      <c r="AH1783" s="922"/>
      <c r="AI1783" s="922"/>
      <c r="AJ1783" s="922"/>
      <c r="AK1783" s="922"/>
      <c r="AL1783" s="922"/>
      <c r="AM1783" s="922"/>
      <c r="AN1783" s="922"/>
      <c r="AO1783" s="922"/>
      <c r="AP1783" s="922"/>
      <c r="AQ1783" s="922"/>
      <c r="AR1783" s="922"/>
      <c r="AS1783" s="922"/>
      <c r="AT1783" s="922"/>
      <c r="AU1783" s="922"/>
      <c r="AV1783" s="922"/>
      <c r="AW1783" s="922"/>
      <c r="AX1783" s="922"/>
      <c r="AY1783" s="922"/>
      <c r="AZ1783" s="922"/>
      <c r="BA1783" s="922"/>
      <c r="BB1783" s="922"/>
    </row>
    <row r="1784" spans="1:1024" s="227" customFormat="1" ht="12.6" customHeight="1" x14ac:dyDescent="0.25">
      <c r="A1784" s="221" t="s">
        <v>2151</v>
      </c>
      <c r="AI1784" s="927">
        <v>0</v>
      </c>
      <c r="AJ1784" s="927"/>
      <c r="AK1784" s="927"/>
      <c r="AL1784" s="927"/>
      <c r="AM1784" s="927"/>
      <c r="AN1784" s="927"/>
      <c r="AO1784" s="927"/>
      <c r="AP1784" s="927"/>
      <c r="AQ1784" s="927"/>
      <c r="AR1784" s="927"/>
      <c r="AS1784" s="927"/>
      <c r="AT1784" s="927"/>
      <c r="AU1784" s="927"/>
      <c r="AV1784" s="927"/>
      <c r="AW1784" s="927"/>
    </row>
    <row r="1785" spans="1:1024" ht="28.5" customHeight="1" x14ac:dyDescent="0.25">
      <c r="A1785" s="846" t="s">
        <v>2152</v>
      </c>
      <c r="B1785" s="846"/>
      <c r="C1785" s="846"/>
      <c r="D1785" s="846"/>
      <c r="E1785" s="846"/>
      <c r="F1785" s="846"/>
      <c r="G1785" s="846"/>
      <c r="H1785" s="846"/>
      <c r="I1785" s="846"/>
      <c r="J1785" s="846"/>
      <c r="K1785" s="846"/>
      <c r="L1785" s="846"/>
      <c r="M1785" s="846"/>
      <c r="N1785" s="846"/>
      <c r="O1785" s="846"/>
      <c r="P1785" s="846"/>
      <c r="Q1785" s="846"/>
      <c r="R1785" s="846"/>
      <c r="S1785" s="846"/>
      <c r="T1785" s="846"/>
      <c r="U1785" s="846"/>
      <c r="V1785" s="846"/>
      <c r="W1785" s="846"/>
      <c r="X1785" s="846"/>
      <c r="Y1785" s="846"/>
      <c r="Z1785" s="846"/>
      <c r="AA1785" s="846"/>
      <c r="AB1785" s="846"/>
      <c r="AC1785" s="846"/>
      <c r="AD1785" s="846"/>
      <c r="AE1785" s="846"/>
      <c r="AF1785" s="846"/>
      <c r="AG1785" s="846"/>
      <c r="AH1785" s="846"/>
      <c r="AI1785" s="846"/>
      <c r="AJ1785" s="846"/>
      <c r="AK1785" s="846"/>
      <c r="AL1785" s="846"/>
      <c r="AM1785" s="846"/>
      <c r="AN1785" s="846"/>
      <c r="AO1785" s="846"/>
      <c r="AP1785" s="846"/>
      <c r="AQ1785" s="846"/>
      <c r="AR1785" s="846"/>
      <c r="AS1785" s="846"/>
      <c r="AT1785" s="846"/>
      <c r="AU1785" s="846"/>
      <c r="AV1785" s="846"/>
      <c r="AW1785" s="846"/>
      <c r="AX1785" s="846"/>
      <c r="AY1785" s="846"/>
      <c r="AZ1785" s="846"/>
    </row>
    <row r="1786" spans="1:1024" ht="12.6" customHeight="1" x14ac:dyDescent="0.25">
      <c r="A1786" s="350" t="s">
        <v>2125</v>
      </c>
    </row>
    <row r="1787" spans="1:1024" s="351" customFormat="1" ht="32.25" customHeight="1" x14ac:dyDescent="0.25">
      <c r="A1787" s="922"/>
      <c r="B1787" s="922"/>
      <c r="C1787" s="922"/>
      <c r="D1787" s="922"/>
      <c r="E1787" s="922"/>
      <c r="F1787" s="922"/>
      <c r="G1787" s="922"/>
      <c r="H1787" s="922"/>
      <c r="I1787" s="922"/>
      <c r="J1787" s="922"/>
      <c r="K1787" s="922"/>
      <c r="L1787" s="922"/>
      <c r="M1787" s="922"/>
      <c r="N1787" s="922"/>
      <c r="O1787" s="922"/>
      <c r="P1787" s="922"/>
      <c r="Q1787" s="922"/>
      <c r="R1787" s="922"/>
      <c r="S1787" s="922"/>
      <c r="T1787" s="922"/>
      <c r="U1787" s="922"/>
      <c r="V1787" s="922"/>
      <c r="W1787" s="922"/>
      <c r="X1787" s="922"/>
      <c r="Y1787" s="922"/>
      <c r="Z1787" s="922"/>
      <c r="AA1787" s="922"/>
      <c r="AB1787" s="922"/>
      <c r="AC1787" s="922"/>
      <c r="AD1787" s="922"/>
      <c r="AE1787" s="922"/>
      <c r="AF1787" s="922"/>
      <c r="AG1787" s="922"/>
      <c r="AH1787" s="922"/>
      <c r="AI1787" s="922"/>
      <c r="AJ1787" s="922"/>
      <c r="AK1787" s="922"/>
      <c r="AL1787" s="922"/>
      <c r="AM1787" s="922"/>
      <c r="AN1787" s="922"/>
      <c r="AO1787" s="922"/>
      <c r="AP1787" s="922"/>
      <c r="AQ1787" s="922"/>
      <c r="AR1787" s="922"/>
      <c r="AS1787" s="922"/>
      <c r="AT1787" s="922"/>
      <c r="AU1787" s="922"/>
      <c r="AV1787" s="922"/>
      <c r="AW1787" s="922"/>
      <c r="AX1787" s="922"/>
      <c r="AY1787" s="922"/>
      <c r="AZ1787" s="922"/>
      <c r="BA1787" s="922"/>
      <c r="BB1787" s="922"/>
      <c r="BC1787" s="922"/>
      <c r="BD1787" s="922"/>
      <c r="BE1787" s="922"/>
      <c r="BF1787" s="922"/>
      <c r="BG1787" s="922"/>
      <c r="BH1787" s="922"/>
      <c r="BI1787" s="922"/>
      <c r="BJ1787" s="922"/>
      <c r="BK1787" s="922"/>
      <c r="BL1787" s="922"/>
      <c r="BM1787" s="922"/>
      <c r="BN1787" s="922"/>
      <c r="BO1787" s="922"/>
      <c r="BP1787" s="922"/>
      <c r="BQ1787" s="922"/>
      <c r="BR1787" s="922"/>
      <c r="BS1787" s="922"/>
      <c r="BT1787" s="922"/>
      <c r="BU1787" s="922"/>
      <c r="BV1787" s="922"/>
      <c r="BW1787" s="922"/>
      <c r="BX1787" s="922"/>
      <c r="BY1787" s="922"/>
      <c r="BZ1787" s="922"/>
      <c r="CA1787" s="922"/>
      <c r="CB1787" s="922"/>
      <c r="CC1787" s="922"/>
      <c r="CD1787" s="922"/>
      <c r="CE1787" s="922"/>
      <c r="CF1787" s="922"/>
      <c r="CG1787" s="922"/>
      <c r="CH1787" s="922"/>
      <c r="CI1787" s="922"/>
      <c r="CJ1787" s="922"/>
      <c r="CK1787" s="922"/>
      <c r="CL1787" s="922"/>
      <c r="CM1787" s="922"/>
      <c r="CN1787" s="922"/>
      <c r="CO1787" s="922"/>
      <c r="CP1787" s="922"/>
      <c r="CQ1787" s="922"/>
      <c r="CR1787" s="922"/>
      <c r="CS1787" s="922"/>
      <c r="CT1787" s="922"/>
      <c r="CU1787" s="922"/>
      <c r="CV1787" s="922"/>
      <c r="CW1787" s="922"/>
      <c r="CX1787" s="922"/>
      <c r="CY1787" s="922"/>
      <c r="CZ1787" s="922"/>
      <c r="DA1787" s="922"/>
      <c r="DB1787" s="922"/>
      <c r="DC1787" s="922"/>
      <c r="DD1787" s="922"/>
      <c r="DE1787" s="922"/>
      <c r="DF1787" s="922"/>
      <c r="DG1787" s="922"/>
      <c r="DH1787" s="922"/>
      <c r="DI1787" s="922"/>
      <c r="DJ1787" s="922"/>
      <c r="DK1787" s="922"/>
      <c r="DL1787" s="922"/>
      <c r="DM1787" s="922"/>
      <c r="DN1787" s="922"/>
      <c r="DO1787" s="922"/>
      <c r="DP1787" s="922"/>
      <c r="DQ1787" s="922"/>
      <c r="DR1787" s="922"/>
      <c r="DS1787" s="922"/>
      <c r="DT1787" s="922"/>
      <c r="DU1787" s="922"/>
      <c r="DV1787" s="922"/>
      <c r="DW1787" s="922"/>
      <c r="DX1787" s="922"/>
      <c r="DY1787" s="922"/>
      <c r="DZ1787" s="922"/>
      <c r="EA1787" s="922"/>
      <c r="EB1787" s="922"/>
      <c r="EC1787" s="922"/>
      <c r="ED1787" s="922"/>
      <c r="EE1787" s="922"/>
      <c r="EF1787" s="922"/>
      <c r="EG1787" s="922"/>
      <c r="EH1787" s="922"/>
      <c r="EI1787" s="922"/>
      <c r="EJ1787" s="922"/>
      <c r="EK1787" s="922"/>
      <c r="EL1787" s="922"/>
      <c r="EM1787" s="922"/>
      <c r="EN1787" s="922"/>
      <c r="EO1787" s="922"/>
      <c r="EP1787" s="922"/>
      <c r="EQ1787" s="922"/>
      <c r="ER1787" s="922"/>
      <c r="ES1787" s="922"/>
      <c r="ET1787" s="922"/>
      <c r="EU1787" s="922"/>
      <c r="EV1787" s="922"/>
      <c r="EW1787" s="922"/>
      <c r="EX1787" s="922"/>
      <c r="EY1787" s="922"/>
      <c r="EZ1787" s="922"/>
      <c r="FA1787" s="922"/>
      <c r="FB1787" s="922"/>
      <c r="FC1787" s="922"/>
      <c r="FD1787" s="922"/>
      <c r="FE1787" s="922"/>
      <c r="FF1787" s="922"/>
      <c r="FG1787" s="922"/>
      <c r="FH1787" s="922"/>
      <c r="FI1787" s="922"/>
      <c r="FJ1787" s="922"/>
      <c r="FK1787" s="922"/>
      <c r="FL1787" s="922"/>
      <c r="FM1787" s="922"/>
      <c r="FN1787" s="922"/>
      <c r="FO1787" s="922"/>
      <c r="FP1787" s="922"/>
      <c r="FQ1787" s="922"/>
      <c r="FR1787" s="922"/>
      <c r="FS1787" s="922"/>
      <c r="FT1787" s="922"/>
      <c r="FU1787" s="922"/>
      <c r="FV1787" s="922"/>
      <c r="FW1787" s="922"/>
      <c r="FX1787" s="922"/>
      <c r="FY1787" s="922"/>
      <c r="FZ1787" s="922"/>
      <c r="GA1787" s="922"/>
      <c r="GB1787" s="922"/>
      <c r="GC1787" s="922"/>
      <c r="GD1787" s="922"/>
      <c r="GE1787" s="922"/>
      <c r="GF1787" s="922"/>
      <c r="GG1787" s="922"/>
      <c r="GH1787" s="922"/>
      <c r="GI1787" s="922"/>
      <c r="GJ1787" s="922"/>
      <c r="GK1787" s="922"/>
      <c r="GL1787" s="922"/>
      <c r="GM1787" s="922"/>
      <c r="GN1787" s="922"/>
      <c r="GO1787" s="922"/>
      <c r="GP1787" s="922"/>
      <c r="GQ1787" s="922"/>
      <c r="GR1787" s="922"/>
      <c r="GS1787" s="922"/>
      <c r="GT1787" s="922"/>
      <c r="GU1787" s="922"/>
      <c r="GV1787" s="922"/>
      <c r="GW1787" s="922"/>
      <c r="GX1787" s="922"/>
      <c r="GY1787" s="922"/>
      <c r="GZ1787" s="922"/>
      <c r="HA1787" s="922"/>
      <c r="HB1787" s="922"/>
      <c r="HC1787" s="922"/>
      <c r="HD1787" s="922"/>
      <c r="HE1787" s="922"/>
      <c r="HF1787" s="922"/>
      <c r="HG1787" s="922"/>
      <c r="HH1787" s="922"/>
      <c r="HI1787" s="922"/>
      <c r="HJ1787" s="922"/>
      <c r="HK1787" s="922"/>
      <c r="HL1787" s="922"/>
      <c r="HM1787" s="922"/>
      <c r="HN1787" s="922"/>
      <c r="HO1787" s="922"/>
      <c r="HP1787" s="922"/>
      <c r="HQ1787" s="922"/>
      <c r="HR1787" s="922"/>
      <c r="HS1787" s="922"/>
      <c r="HT1787" s="922"/>
      <c r="HU1787" s="922"/>
      <c r="HV1787" s="922"/>
      <c r="HW1787" s="922"/>
      <c r="HX1787" s="922"/>
      <c r="HY1787" s="922"/>
      <c r="HZ1787" s="922"/>
      <c r="IA1787" s="922"/>
      <c r="IB1787" s="922"/>
      <c r="IC1787" s="922"/>
      <c r="ID1787" s="922"/>
      <c r="IE1787" s="922"/>
      <c r="IF1787" s="922"/>
      <c r="IG1787" s="922"/>
      <c r="IH1787" s="922"/>
      <c r="II1787" s="922"/>
      <c r="IJ1787" s="922"/>
      <c r="IK1787" s="922"/>
      <c r="IL1787" s="922"/>
      <c r="IM1787" s="922"/>
      <c r="IN1787" s="922"/>
      <c r="IO1787" s="922"/>
      <c r="IP1787" s="922"/>
      <c r="IQ1787" s="922"/>
      <c r="IR1787" s="922"/>
      <c r="IS1787" s="922"/>
      <c r="IT1787" s="922"/>
      <c r="IU1787" s="922"/>
      <c r="IV1787" s="922"/>
      <c r="IW1787" s="922"/>
      <c r="IX1787" s="922"/>
      <c r="IY1787" s="922"/>
      <c r="IZ1787" s="922"/>
      <c r="JA1787" s="922"/>
      <c r="JB1787" s="922"/>
      <c r="JC1787" s="922"/>
      <c r="JD1787" s="922"/>
      <c r="JE1787" s="922"/>
      <c r="JF1787" s="922"/>
      <c r="JG1787" s="922"/>
      <c r="JH1787" s="922"/>
      <c r="JI1787" s="922"/>
      <c r="JJ1787" s="922"/>
      <c r="JK1787" s="922"/>
      <c r="JL1787" s="922"/>
      <c r="JM1787" s="922"/>
      <c r="JN1787" s="922"/>
      <c r="JO1787" s="922"/>
      <c r="JP1787" s="922"/>
      <c r="JQ1787" s="922"/>
      <c r="JR1787" s="922"/>
      <c r="JS1787" s="922"/>
      <c r="JT1787" s="922"/>
      <c r="JU1787" s="922"/>
      <c r="JV1787" s="922"/>
      <c r="JW1787" s="922"/>
      <c r="JX1787" s="922"/>
      <c r="JY1787" s="922"/>
      <c r="JZ1787" s="922"/>
      <c r="KA1787" s="922"/>
      <c r="KB1787" s="922"/>
      <c r="KC1787" s="922"/>
      <c r="KD1787" s="922"/>
      <c r="KE1787" s="922"/>
      <c r="KF1787" s="922"/>
      <c r="KG1787" s="922"/>
      <c r="KH1787" s="922"/>
      <c r="KI1787" s="922"/>
      <c r="KJ1787" s="922"/>
      <c r="KK1787" s="922"/>
      <c r="KL1787" s="922"/>
      <c r="KM1787" s="922"/>
      <c r="KN1787" s="922"/>
      <c r="KO1787" s="922"/>
      <c r="KP1787" s="922"/>
      <c r="KQ1787" s="922"/>
      <c r="KR1787" s="922"/>
      <c r="KS1787" s="922"/>
      <c r="KT1787" s="922"/>
      <c r="KU1787" s="922"/>
      <c r="KV1787" s="922"/>
      <c r="KW1787" s="922"/>
      <c r="KX1787" s="922"/>
      <c r="KY1787" s="922"/>
      <c r="KZ1787" s="922"/>
      <c r="LA1787" s="922"/>
      <c r="LB1787" s="922"/>
      <c r="LC1787" s="922"/>
      <c r="LD1787" s="922"/>
      <c r="LE1787" s="922"/>
      <c r="LF1787" s="922"/>
      <c r="LG1787" s="922"/>
      <c r="LH1787" s="922"/>
      <c r="LI1787" s="922"/>
      <c r="LJ1787" s="922"/>
      <c r="LK1787" s="922"/>
      <c r="LL1787" s="922"/>
      <c r="LM1787" s="922"/>
      <c r="LN1787" s="922"/>
      <c r="LO1787" s="922"/>
      <c r="LP1787" s="922"/>
      <c r="LQ1787" s="922"/>
      <c r="LR1787" s="922"/>
      <c r="LS1787" s="922"/>
      <c r="LT1787" s="922"/>
      <c r="LU1787" s="922"/>
      <c r="LV1787" s="922"/>
      <c r="LW1787" s="922"/>
      <c r="LX1787" s="922"/>
      <c r="LY1787" s="922"/>
      <c r="LZ1787" s="922"/>
      <c r="MA1787" s="922"/>
      <c r="MB1787" s="922"/>
      <c r="MC1787" s="922"/>
      <c r="MD1787" s="922"/>
      <c r="ME1787" s="922"/>
      <c r="MF1787" s="922"/>
      <c r="MG1787" s="922"/>
      <c r="MH1787" s="922"/>
      <c r="MI1787" s="922"/>
      <c r="MJ1787" s="922"/>
      <c r="MK1787" s="922"/>
      <c r="ML1787" s="922"/>
      <c r="MM1787" s="922"/>
      <c r="MN1787" s="922"/>
      <c r="MO1787" s="922"/>
      <c r="MP1787" s="922"/>
      <c r="MQ1787" s="922"/>
      <c r="MR1787" s="922"/>
      <c r="MS1787" s="922"/>
      <c r="MT1787" s="922"/>
      <c r="MU1787" s="922"/>
      <c r="MV1787" s="922"/>
      <c r="MW1787" s="922"/>
      <c r="MX1787" s="922"/>
      <c r="MY1787" s="922"/>
      <c r="MZ1787" s="922"/>
      <c r="NA1787" s="922"/>
      <c r="NB1787" s="922"/>
      <c r="NC1787" s="922"/>
      <c r="ND1787" s="922"/>
      <c r="NE1787" s="922"/>
      <c r="NF1787" s="922"/>
      <c r="NG1787" s="922"/>
      <c r="NH1787" s="922"/>
      <c r="NI1787" s="922"/>
      <c r="NJ1787" s="922"/>
      <c r="NK1787" s="922"/>
      <c r="NL1787" s="922"/>
      <c r="NM1787" s="922"/>
      <c r="NN1787" s="922"/>
      <c r="NO1787" s="922"/>
      <c r="NP1787" s="922"/>
      <c r="NQ1787" s="922"/>
      <c r="NR1787" s="922"/>
      <c r="NS1787" s="922"/>
      <c r="NT1787" s="922"/>
      <c r="NU1787" s="922"/>
      <c r="NV1787" s="922"/>
      <c r="NW1787" s="922"/>
      <c r="NX1787" s="922"/>
      <c r="NY1787" s="922"/>
      <c r="NZ1787" s="922"/>
      <c r="OA1787" s="922"/>
      <c r="OB1787" s="922"/>
      <c r="OC1787" s="922"/>
      <c r="OD1787" s="922"/>
      <c r="OE1787" s="922"/>
      <c r="OF1787" s="922"/>
      <c r="OG1787" s="922"/>
      <c r="OH1787" s="922"/>
      <c r="OI1787" s="922"/>
      <c r="OJ1787" s="922"/>
      <c r="OK1787" s="922"/>
      <c r="OL1787" s="922"/>
      <c r="OM1787" s="922"/>
      <c r="ON1787" s="922"/>
      <c r="OO1787" s="922"/>
      <c r="OP1787" s="922"/>
      <c r="OQ1787" s="922"/>
      <c r="OR1787" s="922"/>
      <c r="OS1787" s="922"/>
      <c r="OT1787" s="922"/>
      <c r="OU1787" s="922"/>
      <c r="OV1787" s="922"/>
      <c r="OW1787" s="922"/>
      <c r="OX1787" s="922"/>
      <c r="OY1787" s="922"/>
      <c r="OZ1787" s="922"/>
      <c r="PA1787" s="922"/>
      <c r="PB1787" s="922"/>
      <c r="PC1787" s="922"/>
      <c r="PD1787" s="922"/>
      <c r="PE1787" s="922"/>
      <c r="PF1787" s="922"/>
      <c r="PG1787" s="922"/>
      <c r="PH1787" s="922"/>
      <c r="PI1787" s="922"/>
      <c r="PJ1787" s="922"/>
      <c r="PK1787" s="922"/>
      <c r="PL1787" s="922"/>
      <c r="PM1787" s="922"/>
      <c r="PN1787" s="922"/>
      <c r="PO1787" s="922"/>
      <c r="PP1787" s="922"/>
      <c r="PQ1787" s="922"/>
      <c r="PR1787" s="922"/>
      <c r="PS1787" s="922"/>
      <c r="PT1787" s="922"/>
      <c r="PU1787" s="922"/>
      <c r="PV1787" s="922"/>
      <c r="PW1787" s="922"/>
      <c r="PX1787" s="922"/>
      <c r="PY1787" s="922"/>
      <c r="PZ1787" s="922"/>
      <c r="QA1787" s="922"/>
      <c r="QB1787" s="922"/>
      <c r="QC1787" s="922"/>
      <c r="QD1787" s="922"/>
      <c r="QE1787" s="922"/>
      <c r="QF1787" s="922"/>
      <c r="QG1787" s="922"/>
      <c r="QH1787" s="922"/>
      <c r="QI1787" s="922"/>
      <c r="QJ1787" s="922"/>
      <c r="QK1787" s="922"/>
      <c r="QL1787" s="922"/>
      <c r="QM1787" s="922"/>
      <c r="QN1787" s="922"/>
      <c r="QO1787" s="922"/>
      <c r="QP1787" s="922"/>
      <c r="QQ1787" s="922"/>
      <c r="QR1787" s="922"/>
      <c r="QS1787" s="922"/>
      <c r="QT1787" s="922"/>
      <c r="QU1787" s="922"/>
      <c r="QV1787" s="922"/>
      <c r="QW1787" s="922"/>
      <c r="QX1787" s="922"/>
      <c r="QY1787" s="922"/>
      <c r="QZ1787" s="922"/>
      <c r="RA1787" s="922"/>
      <c r="RB1787" s="922"/>
      <c r="RC1787" s="922"/>
      <c r="RD1787" s="922"/>
      <c r="RE1787" s="922"/>
      <c r="RF1787" s="922"/>
      <c r="RG1787" s="922"/>
      <c r="RH1787" s="922"/>
      <c r="RI1787" s="922"/>
      <c r="RJ1787" s="922"/>
      <c r="RK1787" s="922"/>
      <c r="RL1787" s="922"/>
      <c r="RM1787" s="922"/>
      <c r="RN1787" s="922"/>
      <c r="RO1787" s="922"/>
      <c r="RP1787" s="922"/>
      <c r="RQ1787" s="922"/>
      <c r="RR1787" s="922"/>
      <c r="RS1787" s="922"/>
      <c r="RT1787" s="922"/>
      <c r="RU1787" s="922"/>
      <c r="RV1787" s="922"/>
      <c r="RW1787" s="922"/>
      <c r="RX1787" s="922"/>
      <c r="RY1787" s="922"/>
      <c r="RZ1787" s="922"/>
      <c r="SA1787" s="922"/>
      <c r="SB1787" s="922"/>
      <c r="SC1787" s="922"/>
      <c r="SD1787" s="922"/>
      <c r="SE1787" s="922"/>
      <c r="SF1787" s="922"/>
      <c r="SG1787" s="922"/>
      <c r="SH1787" s="922"/>
      <c r="SI1787" s="922"/>
      <c r="SJ1787" s="922"/>
      <c r="SK1787" s="922"/>
      <c r="SL1787" s="922"/>
      <c r="SM1787" s="922"/>
      <c r="SN1787" s="922"/>
      <c r="SO1787" s="922"/>
      <c r="SP1787" s="922"/>
      <c r="SQ1787" s="922"/>
      <c r="SR1787" s="922"/>
      <c r="SS1787" s="922"/>
      <c r="ST1787" s="922"/>
      <c r="SU1787" s="922"/>
      <c r="SV1787" s="922"/>
      <c r="SW1787" s="922"/>
      <c r="SX1787" s="922"/>
      <c r="SY1787" s="922"/>
      <c r="SZ1787" s="922"/>
      <c r="TA1787" s="922"/>
      <c r="TB1787" s="922"/>
      <c r="TC1787" s="922"/>
      <c r="TD1787" s="922"/>
      <c r="TE1787" s="922"/>
      <c r="TF1787" s="922"/>
      <c r="TG1787" s="922"/>
      <c r="TH1787" s="922"/>
      <c r="TI1787" s="922"/>
      <c r="TJ1787" s="922"/>
      <c r="TK1787" s="922"/>
      <c r="TL1787" s="922"/>
      <c r="TM1787" s="922"/>
      <c r="TN1787" s="922"/>
      <c r="TO1787" s="922"/>
      <c r="TP1787" s="922"/>
      <c r="TQ1787" s="922"/>
      <c r="TR1787" s="922"/>
      <c r="TS1787" s="922"/>
      <c r="TT1787" s="922"/>
      <c r="TU1787" s="922"/>
      <c r="TV1787" s="922"/>
      <c r="TW1787" s="922"/>
      <c r="TX1787" s="922"/>
      <c r="TY1787" s="922"/>
      <c r="TZ1787" s="922"/>
      <c r="UA1787" s="922"/>
      <c r="UB1787" s="922"/>
      <c r="UC1787" s="922"/>
      <c r="UD1787" s="922"/>
      <c r="UE1787" s="922"/>
      <c r="UF1787" s="922"/>
      <c r="UG1787" s="922"/>
      <c r="UH1787" s="922"/>
      <c r="UI1787" s="922"/>
      <c r="UJ1787" s="922"/>
      <c r="UK1787" s="922"/>
      <c r="UL1787" s="922"/>
      <c r="UM1787" s="922"/>
      <c r="UN1787" s="922"/>
      <c r="UO1787" s="922"/>
      <c r="UP1787" s="922"/>
      <c r="UQ1787" s="922"/>
      <c r="UR1787" s="922"/>
      <c r="US1787" s="922"/>
      <c r="UT1787" s="922"/>
      <c r="UU1787" s="922"/>
      <c r="UV1787" s="922"/>
      <c r="UW1787" s="922"/>
      <c r="UX1787" s="922"/>
      <c r="UY1787" s="922"/>
      <c r="UZ1787" s="922"/>
      <c r="VA1787" s="922"/>
      <c r="VB1787" s="922"/>
      <c r="VC1787" s="922"/>
      <c r="VD1787" s="922"/>
      <c r="VE1787" s="922"/>
      <c r="VF1787" s="922"/>
      <c r="VG1787" s="922"/>
      <c r="VH1787" s="922"/>
      <c r="VI1787" s="922"/>
      <c r="VJ1787" s="922"/>
      <c r="VK1787" s="922"/>
      <c r="VL1787" s="922"/>
      <c r="VM1787" s="922"/>
      <c r="VN1787" s="922"/>
      <c r="VO1787" s="922"/>
      <c r="VP1787" s="922"/>
      <c r="VQ1787" s="922"/>
      <c r="VR1787" s="922"/>
      <c r="VS1787" s="922"/>
      <c r="VT1787" s="922"/>
      <c r="VU1787" s="922"/>
      <c r="VV1787" s="922"/>
      <c r="VW1787" s="922"/>
      <c r="VX1787" s="922"/>
      <c r="VY1787" s="922"/>
      <c r="VZ1787" s="922"/>
      <c r="WA1787" s="922"/>
      <c r="WB1787" s="922"/>
      <c r="WC1787" s="922"/>
      <c r="WD1787" s="922"/>
      <c r="WE1787" s="922"/>
      <c r="WF1787" s="922"/>
      <c r="WG1787" s="922"/>
      <c r="WH1787" s="922"/>
      <c r="WI1787" s="922"/>
      <c r="WJ1787" s="922"/>
      <c r="WK1787" s="922"/>
      <c r="WL1787" s="922"/>
      <c r="WM1787" s="922"/>
      <c r="WN1787" s="922"/>
      <c r="WO1787" s="922"/>
      <c r="WP1787" s="922"/>
      <c r="WQ1787" s="922"/>
      <c r="WR1787" s="922"/>
      <c r="WS1787" s="922"/>
      <c r="WT1787" s="922"/>
      <c r="WU1787" s="922"/>
      <c r="WV1787" s="922"/>
      <c r="WW1787" s="922"/>
      <c r="WX1787" s="922"/>
      <c r="WY1787" s="922"/>
      <c r="WZ1787" s="922"/>
      <c r="XA1787" s="922"/>
      <c r="XB1787" s="922"/>
      <c r="XC1787" s="922"/>
      <c r="XD1787" s="922"/>
      <c r="XE1787" s="922"/>
      <c r="XF1787" s="922"/>
      <c r="XG1787" s="922"/>
      <c r="XH1787" s="922"/>
      <c r="XI1787" s="922"/>
      <c r="XJ1787" s="922"/>
      <c r="XK1787" s="922"/>
      <c r="XL1787" s="922"/>
      <c r="XM1787" s="922"/>
      <c r="XN1787" s="922"/>
      <c r="XO1787" s="922"/>
      <c r="XP1787" s="922"/>
      <c r="XQ1787" s="922"/>
      <c r="XR1787" s="922"/>
      <c r="XS1787" s="922"/>
      <c r="XT1787" s="922"/>
      <c r="XU1787" s="922"/>
      <c r="XV1787" s="922"/>
      <c r="XW1787" s="922"/>
      <c r="XX1787" s="922"/>
      <c r="XY1787" s="922"/>
      <c r="XZ1787" s="922"/>
      <c r="YA1787" s="922"/>
      <c r="YB1787" s="922"/>
      <c r="YC1787" s="922"/>
      <c r="YD1787" s="922"/>
      <c r="YE1787" s="922"/>
      <c r="YF1787" s="922"/>
      <c r="YG1787" s="922"/>
      <c r="YH1787" s="922"/>
      <c r="YI1787" s="922"/>
      <c r="YJ1787" s="922"/>
      <c r="YK1787" s="922"/>
      <c r="YL1787" s="922"/>
      <c r="YM1787" s="922"/>
      <c r="YN1787" s="922"/>
      <c r="YO1787" s="922"/>
      <c r="YP1787" s="922"/>
      <c r="YQ1787" s="922"/>
      <c r="YR1787" s="922"/>
      <c r="YS1787" s="922"/>
      <c r="YT1787" s="922"/>
      <c r="YU1787" s="922"/>
      <c r="YV1787" s="922"/>
      <c r="YW1787" s="922"/>
      <c r="YX1787" s="922"/>
      <c r="YY1787" s="922"/>
      <c r="YZ1787" s="922"/>
      <c r="ZA1787" s="922"/>
      <c r="ZB1787" s="922"/>
      <c r="ZC1787" s="922"/>
      <c r="ZD1787" s="922"/>
      <c r="ZE1787" s="922"/>
      <c r="ZF1787" s="922"/>
      <c r="ZG1787" s="922"/>
      <c r="ZH1787" s="922"/>
      <c r="ZI1787" s="922"/>
      <c r="ZJ1787" s="922"/>
      <c r="ZK1787" s="922"/>
      <c r="ZL1787" s="922"/>
      <c r="ZM1787" s="922"/>
      <c r="ZN1787" s="922"/>
      <c r="ZO1787" s="922"/>
      <c r="ZP1787" s="922"/>
      <c r="ZQ1787" s="922"/>
      <c r="ZR1787" s="922"/>
      <c r="ZS1787" s="922"/>
      <c r="ZT1787" s="922"/>
      <c r="ZU1787" s="922"/>
      <c r="ZV1787" s="922"/>
      <c r="ZW1787" s="922"/>
      <c r="ZX1787" s="922"/>
      <c r="ZY1787" s="922"/>
      <c r="ZZ1787" s="922"/>
      <c r="AAA1787" s="922"/>
      <c r="AAB1787" s="922"/>
      <c r="AAC1787" s="922"/>
      <c r="AAD1787" s="922"/>
      <c r="AAE1787" s="922"/>
      <c r="AAF1787" s="922"/>
      <c r="AAG1787" s="922"/>
      <c r="AAH1787" s="922"/>
      <c r="AAI1787" s="922"/>
      <c r="AAJ1787" s="922"/>
      <c r="AAK1787" s="922"/>
      <c r="AAL1787" s="922"/>
      <c r="AAM1787" s="922"/>
      <c r="AAN1787" s="922"/>
      <c r="AAO1787" s="922"/>
      <c r="AAP1787" s="922"/>
      <c r="AAQ1787" s="922"/>
      <c r="AAR1787" s="922"/>
      <c r="AAS1787" s="922"/>
      <c r="AAT1787" s="922"/>
      <c r="AAU1787" s="922"/>
      <c r="AAV1787" s="922"/>
      <c r="AAW1787" s="922"/>
      <c r="AAX1787" s="922"/>
      <c r="AAY1787" s="922"/>
      <c r="AAZ1787" s="922"/>
      <c r="ABA1787" s="922"/>
      <c r="ABB1787" s="922"/>
      <c r="ABC1787" s="922"/>
      <c r="ABD1787" s="922"/>
      <c r="ABE1787" s="922"/>
      <c r="ABF1787" s="922"/>
      <c r="ABG1787" s="922"/>
      <c r="ABH1787" s="922"/>
      <c r="ABI1787" s="922"/>
      <c r="ABJ1787" s="922"/>
      <c r="ABK1787" s="922"/>
      <c r="ABL1787" s="922"/>
      <c r="ABM1787" s="922"/>
      <c r="ABN1787" s="922"/>
      <c r="ABO1787" s="922"/>
      <c r="ABP1787" s="922"/>
      <c r="ABQ1787" s="922"/>
      <c r="ABR1787" s="922"/>
      <c r="ABS1787" s="922"/>
      <c r="ABT1787" s="922"/>
      <c r="ABU1787" s="922"/>
      <c r="ABV1787" s="922"/>
      <c r="ABW1787" s="922"/>
      <c r="ABX1787" s="922"/>
      <c r="ABY1787" s="922"/>
      <c r="ABZ1787" s="922"/>
      <c r="ACA1787" s="922"/>
      <c r="ACB1787" s="922"/>
      <c r="ACC1787" s="922"/>
      <c r="ACD1787" s="922"/>
      <c r="ACE1787" s="922"/>
      <c r="ACF1787" s="922"/>
      <c r="ACG1787" s="922"/>
      <c r="ACH1787" s="922"/>
      <c r="ACI1787" s="922"/>
      <c r="ACJ1787" s="922"/>
      <c r="ACK1787" s="922"/>
      <c r="ACL1787" s="922"/>
      <c r="ACM1787" s="922"/>
      <c r="ACN1787" s="922"/>
      <c r="ACO1787" s="922"/>
      <c r="ACP1787" s="922"/>
      <c r="ACQ1787" s="922"/>
      <c r="ACR1787" s="922"/>
      <c r="ACS1787" s="922"/>
      <c r="ACT1787" s="922"/>
      <c r="ACU1787" s="922"/>
      <c r="ACV1787" s="922"/>
      <c r="ACW1787" s="922"/>
      <c r="ACX1787" s="922"/>
      <c r="ACY1787" s="922"/>
      <c r="ACZ1787" s="922"/>
      <c r="ADA1787" s="922"/>
      <c r="ADB1787" s="922"/>
      <c r="ADC1787" s="922"/>
      <c r="ADD1787" s="922"/>
      <c r="ADE1787" s="922"/>
      <c r="ADF1787" s="922"/>
      <c r="ADG1787" s="922"/>
      <c r="ADH1787" s="922"/>
      <c r="ADI1787" s="922"/>
      <c r="ADJ1787" s="922"/>
      <c r="ADK1787" s="922"/>
      <c r="ADL1787" s="922"/>
      <c r="ADM1787" s="922"/>
      <c r="ADN1787" s="922"/>
      <c r="ADO1787" s="922"/>
      <c r="ADP1787" s="922"/>
      <c r="ADQ1787" s="922"/>
      <c r="ADR1787" s="922"/>
      <c r="ADS1787" s="922"/>
      <c r="ADT1787" s="922"/>
      <c r="ADU1787" s="922"/>
      <c r="ADV1787" s="922"/>
      <c r="ADW1787" s="922"/>
      <c r="ADX1787" s="922"/>
      <c r="ADY1787" s="922"/>
      <c r="ADZ1787" s="922"/>
      <c r="AEA1787" s="922"/>
      <c r="AEB1787" s="922"/>
      <c r="AEC1787" s="922"/>
      <c r="AED1787" s="922"/>
      <c r="AEE1787" s="922"/>
      <c r="AEF1787" s="922"/>
      <c r="AEG1787" s="922"/>
      <c r="AEH1787" s="922"/>
      <c r="AEI1787" s="922"/>
      <c r="AEJ1787" s="922"/>
      <c r="AEK1787" s="922"/>
      <c r="AEL1787" s="922"/>
      <c r="AEM1787" s="922"/>
      <c r="AEN1787" s="922"/>
      <c r="AEO1787" s="922"/>
      <c r="AEP1787" s="922"/>
      <c r="AEQ1787" s="922"/>
      <c r="AER1787" s="922"/>
      <c r="AES1787" s="922"/>
      <c r="AET1787" s="922"/>
      <c r="AEU1787" s="922"/>
      <c r="AEV1787" s="922"/>
      <c r="AEW1787" s="922"/>
      <c r="AEX1787" s="922"/>
      <c r="AEY1787" s="922"/>
      <c r="AEZ1787" s="922"/>
      <c r="AFA1787" s="922"/>
      <c r="AFB1787" s="922"/>
      <c r="AFC1787" s="922"/>
      <c r="AFD1787" s="922"/>
      <c r="AFE1787" s="922"/>
      <c r="AFF1787" s="922"/>
      <c r="AFG1787" s="922"/>
      <c r="AFH1787" s="922"/>
      <c r="AFI1787" s="922"/>
      <c r="AFJ1787" s="922"/>
      <c r="AFK1787" s="922"/>
      <c r="AFL1787" s="922"/>
      <c r="AFM1787" s="922"/>
      <c r="AFN1787" s="922"/>
      <c r="AFO1787" s="922"/>
      <c r="AFP1787" s="922"/>
      <c r="AFQ1787" s="922"/>
      <c r="AFR1787" s="922"/>
      <c r="AFS1787" s="922"/>
      <c r="AFT1787" s="922"/>
      <c r="AFU1787" s="922"/>
      <c r="AFV1787" s="922"/>
      <c r="AFW1787" s="922"/>
      <c r="AFX1787" s="922"/>
      <c r="AFY1787" s="922"/>
      <c r="AFZ1787" s="922"/>
      <c r="AGA1787" s="922"/>
      <c r="AGB1787" s="922"/>
      <c r="AGC1787" s="922"/>
      <c r="AGD1787" s="922"/>
      <c r="AGE1787" s="922"/>
      <c r="AGF1787" s="922"/>
      <c r="AGG1787" s="922"/>
      <c r="AGH1787" s="922"/>
      <c r="AGI1787" s="922"/>
      <c r="AGJ1787" s="922"/>
      <c r="AGK1787" s="922"/>
      <c r="AGL1787" s="922"/>
      <c r="AGM1787" s="922"/>
      <c r="AGN1787" s="922"/>
      <c r="AGO1787" s="922"/>
      <c r="AGP1787" s="922"/>
      <c r="AGQ1787" s="922"/>
      <c r="AGR1787" s="922"/>
      <c r="AGS1787" s="922"/>
      <c r="AGT1787" s="922"/>
      <c r="AGU1787" s="922"/>
      <c r="AGV1787" s="922"/>
      <c r="AGW1787" s="922"/>
      <c r="AGX1787" s="922"/>
      <c r="AGY1787" s="922"/>
      <c r="AGZ1787" s="922"/>
      <c r="AHA1787" s="922"/>
      <c r="AHB1787" s="922"/>
      <c r="AHC1787" s="922"/>
      <c r="AHD1787" s="922"/>
      <c r="AHE1787" s="922"/>
      <c r="AHF1787" s="922"/>
      <c r="AHG1787" s="922"/>
      <c r="AHH1787" s="922"/>
      <c r="AHI1787" s="922"/>
      <c r="AHJ1787" s="922"/>
      <c r="AHK1787" s="922"/>
      <c r="AHL1787" s="922"/>
      <c r="AHM1787" s="922"/>
      <c r="AHN1787" s="922"/>
      <c r="AHO1787" s="922"/>
      <c r="AHP1787" s="922"/>
      <c r="AHQ1787" s="922"/>
      <c r="AHR1787" s="922"/>
      <c r="AHS1787" s="922"/>
      <c r="AHT1787" s="922"/>
      <c r="AHU1787" s="922"/>
      <c r="AHV1787" s="922"/>
      <c r="AHW1787" s="922"/>
      <c r="AHX1787" s="922"/>
      <c r="AHY1787" s="922"/>
      <c r="AHZ1787" s="922"/>
      <c r="AIA1787" s="922"/>
      <c r="AIB1787" s="922"/>
      <c r="AIC1787" s="922"/>
      <c r="AID1787" s="922"/>
      <c r="AIE1787" s="922"/>
      <c r="AIF1787" s="922"/>
      <c r="AIG1787" s="922"/>
      <c r="AIH1787" s="922"/>
      <c r="AII1787" s="922"/>
      <c r="AIJ1787" s="922"/>
      <c r="AIK1787" s="922"/>
      <c r="AIL1787" s="922"/>
      <c r="AIM1787" s="922"/>
      <c r="AIN1787" s="922"/>
      <c r="AIO1787" s="922"/>
      <c r="AIP1787" s="922"/>
      <c r="AIQ1787" s="922"/>
      <c r="AIR1787" s="922"/>
      <c r="AIS1787" s="922"/>
      <c r="AIT1787" s="922"/>
      <c r="AIU1787" s="922"/>
      <c r="AIV1787" s="922"/>
      <c r="AIW1787" s="922"/>
      <c r="AIX1787" s="922"/>
      <c r="AIY1787" s="922"/>
      <c r="AIZ1787" s="922"/>
      <c r="AJA1787" s="922"/>
      <c r="AJB1787" s="922"/>
      <c r="AJC1787" s="922"/>
      <c r="AJD1787" s="922"/>
      <c r="AJE1787" s="922"/>
      <c r="AJF1787" s="922"/>
      <c r="AJG1787" s="922"/>
      <c r="AJH1787" s="922"/>
      <c r="AJI1787" s="922"/>
      <c r="AJJ1787" s="922"/>
      <c r="AJK1787" s="922"/>
      <c r="AJL1787" s="922"/>
      <c r="AJM1787" s="922"/>
      <c r="AJN1787" s="922"/>
      <c r="AJO1787" s="922"/>
      <c r="AJP1787" s="922"/>
      <c r="AJQ1787" s="922"/>
      <c r="AJR1787" s="922"/>
      <c r="AJS1787" s="922"/>
      <c r="AJT1787" s="922"/>
      <c r="AJU1787" s="922"/>
      <c r="AJV1787" s="922"/>
      <c r="AJW1787" s="922"/>
      <c r="AJX1787" s="922"/>
      <c r="AJY1787" s="922"/>
      <c r="AJZ1787" s="922"/>
      <c r="AKA1787" s="922"/>
      <c r="AKB1787" s="922"/>
      <c r="AKC1787" s="922"/>
      <c r="AKD1787" s="922"/>
      <c r="AKE1787" s="922"/>
      <c r="AKF1787" s="922"/>
      <c r="AKG1787" s="922"/>
      <c r="AKH1787" s="922"/>
      <c r="AKI1787" s="922"/>
      <c r="AKJ1787" s="922"/>
      <c r="AKK1787" s="928"/>
      <c r="AKL1787" s="928"/>
      <c r="AKM1787" s="928"/>
      <c r="AKN1787" s="928"/>
      <c r="AKO1787" s="928"/>
      <c r="AKP1787" s="928"/>
      <c r="AKQ1787" s="928"/>
      <c r="AKR1787" s="928"/>
      <c r="AKS1787" s="928"/>
      <c r="AKT1787" s="928"/>
      <c r="AKU1787" s="928"/>
      <c r="AKV1787" s="928"/>
      <c r="AKW1787" s="928"/>
      <c r="AKX1787" s="928"/>
      <c r="AKY1787" s="928"/>
      <c r="AKZ1787" s="928"/>
      <c r="ALA1787" s="928"/>
      <c r="ALB1787" s="928"/>
      <c r="ALC1787" s="928"/>
      <c r="ALD1787" s="928"/>
      <c r="ALE1787" s="928"/>
      <c r="ALF1787" s="928"/>
      <c r="ALG1787" s="928"/>
      <c r="ALH1787" s="928"/>
      <c r="ALI1787" s="928"/>
      <c r="ALJ1787" s="928"/>
      <c r="ALK1787" s="928"/>
      <c r="ALL1787" s="928"/>
      <c r="ALM1787" s="928"/>
      <c r="ALN1787" s="928"/>
      <c r="ALO1787" s="928"/>
      <c r="ALP1787" s="928"/>
      <c r="ALQ1787" s="928"/>
      <c r="ALR1787" s="928"/>
      <c r="ALS1787" s="928"/>
      <c r="ALT1787" s="928"/>
      <c r="ALU1787" s="928"/>
      <c r="ALV1787" s="928"/>
      <c r="ALW1787" s="928"/>
      <c r="ALX1787" s="928"/>
      <c r="ALY1787" s="928"/>
      <c r="ALZ1787" s="928"/>
      <c r="AMA1787" s="928"/>
      <c r="AMB1787" s="928"/>
      <c r="AMC1787" s="928"/>
      <c r="AMD1787" s="928"/>
      <c r="AME1787" s="928"/>
      <c r="AMF1787" s="928"/>
      <c r="AMG1787" s="928"/>
      <c r="AMH1787" s="928"/>
      <c r="AMI1787" s="928"/>
      <c r="AMJ1787" s="928"/>
    </row>
    <row r="1788" spans="1:1024" ht="26.25" customHeight="1" x14ac:dyDescent="0.25">
      <c r="A1788" s="929" t="s">
        <v>2153</v>
      </c>
      <c r="B1788" s="929"/>
      <c r="C1788" s="929"/>
      <c r="D1788" s="929"/>
      <c r="E1788" s="929"/>
      <c r="F1788" s="929"/>
      <c r="G1788" s="929"/>
      <c r="H1788" s="929"/>
      <c r="I1788" s="929"/>
      <c r="J1788" s="929"/>
      <c r="K1788" s="929"/>
      <c r="L1788" s="929"/>
      <c r="M1788" s="929"/>
      <c r="N1788" s="929"/>
      <c r="O1788" s="929"/>
      <c r="P1788" s="929"/>
      <c r="Q1788" s="929"/>
      <c r="R1788" s="929"/>
      <c r="S1788" s="929"/>
      <c r="T1788" s="929"/>
      <c r="U1788" s="929"/>
      <c r="V1788" s="929"/>
      <c r="W1788" s="929"/>
      <c r="X1788" s="929"/>
      <c r="Y1788" s="929"/>
      <c r="Z1788" s="929"/>
      <c r="AA1788" s="929"/>
      <c r="AB1788" s="929"/>
      <c r="AC1788" s="929"/>
      <c r="AD1788" s="929"/>
      <c r="AE1788" s="929"/>
      <c r="AF1788" s="929"/>
      <c r="AG1788" s="929"/>
      <c r="AH1788" s="929"/>
      <c r="AI1788" s="929"/>
      <c r="AJ1788" s="929"/>
      <c r="AK1788" s="929"/>
      <c r="AL1788" s="929"/>
      <c r="AM1788" s="929"/>
      <c r="AN1788" s="929"/>
      <c r="AO1788" s="929"/>
      <c r="AP1788" s="929"/>
      <c r="AQ1788" s="929"/>
      <c r="AR1788" s="929"/>
      <c r="AS1788" s="929"/>
      <c r="AT1788" s="929"/>
      <c r="AU1788" s="929"/>
      <c r="AV1788" s="929"/>
      <c r="AW1788" s="929"/>
      <c r="AX1788" s="929"/>
      <c r="AY1788" s="929"/>
      <c r="AZ1788" s="929"/>
      <c r="BA1788" s="929"/>
    </row>
    <row r="1789" spans="1:1024" ht="12.6" customHeight="1" x14ac:dyDescent="0.25">
      <c r="A1789" s="350" t="s">
        <v>2125</v>
      </c>
      <c r="AI1789" s="355"/>
      <c r="AJ1789" s="355"/>
      <c r="AK1789" s="355"/>
      <c r="AL1789" s="355"/>
      <c r="AM1789" s="355"/>
      <c r="AN1789" s="355"/>
      <c r="AO1789" s="355"/>
      <c r="AP1789" s="355"/>
      <c r="AQ1789" s="355"/>
      <c r="AR1789" s="355"/>
      <c r="AS1789" s="355"/>
      <c r="AT1789" s="355"/>
      <c r="AU1789" s="355"/>
      <c r="AV1789" s="355"/>
      <c r="AW1789" s="355"/>
    </row>
    <row r="1790" spans="1:1024" ht="45" customHeight="1" x14ac:dyDescent="0.25">
      <c r="A1790" s="922"/>
      <c r="B1790" s="922"/>
      <c r="C1790" s="922"/>
      <c r="D1790" s="922"/>
      <c r="E1790" s="922"/>
      <c r="F1790" s="922"/>
      <c r="G1790" s="922"/>
      <c r="H1790" s="922"/>
      <c r="I1790" s="922"/>
      <c r="J1790" s="922"/>
      <c r="K1790" s="922"/>
      <c r="L1790" s="922"/>
      <c r="M1790" s="922"/>
      <c r="N1790" s="922"/>
      <c r="O1790" s="922"/>
      <c r="P1790" s="922"/>
      <c r="Q1790" s="922"/>
      <c r="R1790" s="922"/>
      <c r="S1790" s="922"/>
      <c r="T1790" s="922"/>
      <c r="U1790" s="922"/>
      <c r="V1790" s="922"/>
      <c r="W1790" s="922"/>
      <c r="X1790" s="922"/>
      <c r="Y1790" s="922"/>
      <c r="Z1790" s="922"/>
      <c r="AA1790" s="922"/>
      <c r="AB1790" s="922"/>
      <c r="AC1790" s="922"/>
      <c r="AD1790" s="922"/>
      <c r="AE1790" s="922"/>
      <c r="AF1790" s="922"/>
      <c r="AG1790" s="922"/>
      <c r="AH1790" s="922"/>
      <c r="AI1790" s="922"/>
      <c r="AJ1790" s="922"/>
      <c r="AK1790" s="922"/>
      <c r="AL1790" s="922"/>
      <c r="AM1790" s="922"/>
      <c r="AN1790" s="922"/>
      <c r="AO1790" s="922"/>
      <c r="AP1790" s="922"/>
      <c r="AQ1790" s="922"/>
      <c r="AR1790" s="922"/>
      <c r="AS1790" s="922"/>
      <c r="AT1790" s="922"/>
      <c r="AU1790" s="922"/>
      <c r="AV1790" s="922"/>
      <c r="AW1790" s="922"/>
      <c r="AX1790" s="922"/>
      <c r="AY1790" s="922"/>
      <c r="AZ1790" s="922"/>
      <c r="BA1790" s="922"/>
      <c r="BB1790" s="922"/>
    </row>
    <row r="1791" spans="1:1024" s="227" customFormat="1" ht="13.5" customHeight="1" x14ac:dyDescent="0.25">
      <c r="A1791" s="929" t="s">
        <v>2154</v>
      </c>
      <c r="B1791" s="929"/>
      <c r="C1791" s="929"/>
      <c r="D1791" s="929"/>
      <c r="E1791" s="929"/>
      <c r="F1791" s="929"/>
      <c r="G1791" s="929"/>
      <c r="H1791" s="929"/>
      <c r="I1791" s="929"/>
      <c r="J1791" s="929"/>
      <c r="K1791" s="929"/>
      <c r="L1791" s="929"/>
      <c r="M1791" s="929"/>
      <c r="N1791" s="929"/>
      <c r="O1791" s="929"/>
      <c r="P1791" s="929"/>
      <c r="Q1791" s="929"/>
      <c r="R1791" s="929"/>
      <c r="S1791" s="929"/>
      <c r="T1791" s="929"/>
      <c r="U1791" s="929"/>
      <c r="V1791" s="929"/>
      <c r="W1791" s="929"/>
      <c r="X1791" s="929"/>
      <c r="Y1791" s="929"/>
      <c r="Z1791" s="929"/>
      <c r="AA1791" s="929"/>
      <c r="AB1791" s="929"/>
      <c r="AC1791" s="929"/>
      <c r="AD1791" s="929"/>
      <c r="AE1791" s="929"/>
      <c r="AF1791" s="929"/>
      <c r="AG1791" s="929"/>
      <c r="AH1791" s="929"/>
      <c r="AI1791" s="929"/>
      <c r="AJ1791" s="929"/>
      <c r="AK1791" s="929"/>
      <c r="AL1791" s="929"/>
      <c r="AM1791" s="929"/>
      <c r="AN1791" s="929"/>
      <c r="AO1791" s="929"/>
      <c r="AP1791" s="929"/>
      <c r="AQ1791" s="929"/>
      <c r="AR1791" s="929"/>
      <c r="AS1791" s="929"/>
      <c r="AT1791" s="929"/>
      <c r="AU1791" s="929"/>
      <c r="AV1791" s="929"/>
      <c r="AW1791" s="929"/>
      <c r="AX1791" s="929"/>
      <c r="AY1791" s="929"/>
      <c r="AZ1791" s="929"/>
      <c r="BA1791" s="929"/>
    </row>
    <row r="1792" spans="1:1024" ht="13.5" customHeight="1" x14ac:dyDescent="0.25">
      <c r="A1792" s="899" t="s">
        <v>2125</v>
      </c>
      <c r="B1792" s="899"/>
      <c r="C1792" s="899"/>
      <c r="D1792" s="899"/>
      <c r="E1792" s="899"/>
      <c r="F1792" s="899"/>
      <c r="G1792" s="899"/>
      <c r="H1792" s="899"/>
      <c r="I1792" s="899"/>
      <c r="J1792" s="899"/>
      <c r="K1792" s="899"/>
      <c r="L1792" s="899"/>
      <c r="M1792" s="899"/>
      <c r="N1792" s="899"/>
      <c r="O1792" s="899"/>
      <c r="P1792" s="899"/>
      <c r="Q1792" s="899"/>
      <c r="R1792" s="899"/>
      <c r="S1792" s="899"/>
      <c r="T1792" s="899"/>
      <c r="U1792" s="899"/>
      <c r="V1792" s="899"/>
      <c r="W1792" s="899"/>
      <c r="X1792" s="899"/>
      <c r="Y1792" s="899"/>
      <c r="Z1792" s="899"/>
      <c r="AA1792" s="899"/>
      <c r="AB1792" s="899"/>
      <c r="AC1792" s="899"/>
      <c r="AD1792" s="899"/>
      <c r="AE1792" s="899"/>
      <c r="AF1792" s="899"/>
      <c r="AG1792" s="899"/>
      <c r="AH1792" s="899"/>
      <c r="AI1792" s="899"/>
      <c r="AJ1792" s="899"/>
      <c r="AK1792" s="899"/>
      <c r="AL1792" s="899"/>
      <c r="AM1792" s="899"/>
      <c r="AN1792" s="899"/>
      <c r="AO1792" s="899"/>
      <c r="AP1792" s="899"/>
      <c r="AQ1792" s="899"/>
      <c r="AR1792" s="899"/>
      <c r="AS1792" s="899"/>
      <c r="AT1792" s="899"/>
      <c r="AU1792" s="899"/>
      <c r="AV1792" s="899"/>
      <c r="AW1792" s="899"/>
      <c r="AX1792" s="899"/>
      <c r="AY1792" s="899"/>
      <c r="AZ1792" s="899"/>
      <c r="BA1792" s="899"/>
    </row>
    <row r="1793" spans="1:54" ht="45" customHeight="1" x14ac:dyDescent="0.25">
      <c r="A1793" s="922"/>
      <c r="B1793" s="922"/>
      <c r="C1793" s="922"/>
      <c r="D1793" s="922"/>
      <c r="E1793" s="922"/>
      <c r="F1793" s="922"/>
      <c r="G1793" s="922"/>
      <c r="H1793" s="922"/>
      <c r="I1793" s="922"/>
      <c r="J1793" s="922"/>
      <c r="K1793" s="922"/>
      <c r="L1793" s="922"/>
      <c r="M1793" s="922"/>
      <c r="N1793" s="922"/>
      <c r="O1793" s="922"/>
      <c r="P1793" s="922"/>
      <c r="Q1793" s="922"/>
      <c r="R1793" s="922"/>
      <c r="S1793" s="922"/>
      <c r="T1793" s="922"/>
      <c r="U1793" s="922"/>
      <c r="V1793" s="922"/>
      <c r="W1793" s="922"/>
      <c r="X1793" s="922"/>
      <c r="Y1793" s="922"/>
      <c r="Z1793" s="922"/>
      <c r="AA1793" s="922"/>
      <c r="AB1793" s="922"/>
      <c r="AC1793" s="922"/>
      <c r="AD1793" s="922"/>
      <c r="AE1793" s="922"/>
      <c r="AF1793" s="922"/>
      <c r="AG1793" s="922"/>
      <c r="AH1793" s="922"/>
      <c r="AI1793" s="922"/>
      <c r="AJ1793" s="922"/>
      <c r="AK1793" s="922"/>
      <c r="AL1793" s="922"/>
      <c r="AM1793" s="922"/>
      <c r="AN1793" s="922"/>
      <c r="AO1793" s="922"/>
      <c r="AP1793" s="922"/>
      <c r="AQ1793" s="922"/>
      <c r="AR1793" s="922"/>
      <c r="AS1793" s="922"/>
      <c r="AT1793" s="922"/>
      <c r="AU1793" s="922"/>
      <c r="AV1793" s="922"/>
      <c r="AW1793" s="922"/>
      <c r="AX1793" s="922"/>
      <c r="AY1793" s="922"/>
      <c r="AZ1793" s="922"/>
      <c r="BA1793" s="922"/>
      <c r="BB1793" s="922"/>
    </row>
    <row r="1794" spans="1:54" s="227" customFormat="1" ht="13.5" customHeight="1" x14ac:dyDescent="0.25">
      <c r="A1794" s="929" t="s">
        <v>2155</v>
      </c>
      <c r="B1794" s="929"/>
      <c r="C1794" s="929"/>
      <c r="D1794" s="929"/>
      <c r="E1794" s="929"/>
      <c r="F1794" s="929"/>
      <c r="G1794" s="929"/>
      <c r="H1794" s="929"/>
      <c r="I1794" s="929"/>
      <c r="J1794" s="929"/>
      <c r="K1794" s="929"/>
      <c r="L1794" s="929"/>
      <c r="M1794" s="929"/>
      <c r="N1794" s="929"/>
      <c r="O1794" s="929"/>
      <c r="P1794" s="929"/>
      <c r="Q1794" s="929"/>
      <c r="R1794" s="929"/>
      <c r="S1794" s="929"/>
      <c r="T1794" s="929"/>
      <c r="U1794" s="929"/>
      <c r="V1794" s="929"/>
      <c r="W1794" s="929"/>
      <c r="X1794" s="929"/>
      <c r="Y1794" s="929"/>
      <c r="Z1794" s="929"/>
      <c r="AA1794" s="929"/>
      <c r="AB1794" s="929"/>
      <c r="AC1794" s="929"/>
      <c r="AD1794" s="929"/>
      <c r="AE1794" s="929"/>
      <c r="AF1794" s="929"/>
      <c r="AG1794" s="929"/>
      <c r="AH1794" s="929"/>
      <c r="AI1794" s="929"/>
      <c r="AJ1794" s="929"/>
      <c r="AK1794" s="929"/>
      <c r="AL1794" s="929"/>
      <c r="AM1794" s="929"/>
      <c r="AN1794" s="929"/>
      <c r="AO1794" s="929"/>
      <c r="AP1794" s="929"/>
      <c r="AQ1794" s="929"/>
      <c r="AR1794" s="929"/>
      <c r="AS1794" s="929"/>
      <c r="AT1794" s="929"/>
      <c r="AU1794" s="929"/>
      <c r="AV1794" s="929"/>
      <c r="AW1794" s="929"/>
      <c r="AX1794" s="929"/>
      <c r="AY1794" s="929"/>
      <c r="AZ1794" s="929"/>
      <c r="BA1794" s="929"/>
    </row>
    <row r="1795" spans="1:54" ht="13.5" customHeight="1" x14ac:dyDescent="0.25">
      <c r="A1795" s="899" t="s">
        <v>2125</v>
      </c>
      <c r="B1795" s="899"/>
      <c r="C1795" s="899"/>
      <c r="D1795" s="899"/>
      <c r="E1795" s="899"/>
      <c r="F1795" s="899"/>
      <c r="G1795" s="899"/>
      <c r="H1795" s="899"/>
      <c r="I1795" s="899"/>
      <c r="J1795" s="899"/>
      <c r="K1795" s="899"/>
      <c r="L1795" s="899"/>
      <c r="M1795" s="899"/>
      <c r="N1795" s="899"/>
      <c r="O1795" s="899"/>
      <c r="P1795" s="899"/>
      <c r="Q1795" s="899"/>
      <c r="R1795" s="899"/>
      <c r="S1795" s="899"/>
      <c r="T1795" s="899"/>
      <c r="U1795" s="899"/>
      <c r="V1795" s="899"/>
      <c r="W1795" s="899"/>
      <c r="X1795" s="899"/>
      <c r="Y1795" s="899"/>
      <c r="Z1795" s="899"/>
      <c r="AA1795" s="899"/>
      <c r="AB1795" s="899"/>
      <c r="AC1795" s="899"/>
      <c r="AD1795" s="899"/>
      <c r="AE1795" s="899"/>
      <c r="AF1795" s="899"/>
      <c r="AG1795" s="899"/>
      <c r="AH1795" s="899"/>
      <c r="AI1795" s="899"/>
      <c r="AJ1795" s="899"/>
      <c r="AK1795" s="899"/>
      <c r="AL1795" s="899"/>
      <c r="AM1795" s="899"/>
      <c r="AN1795" s="899"/>
      <c r="AO1795" s="899"/>
      <c r="AP1795" s="899"/>
      <c r="AQ1795" s="899"/>
      <c r="AR1795" s="899"/>
      <c r="AS1795" s="899"/>
      <c r="AT1795" s="899"/>
      <c r="AU1795" s="899"/>
      <c r="AV1795" s="899"/>
      <c r="AW1795" s="899"/>
      <c r="AX1795" s="899"/>
      <c r="AY1795" s="899"/>
      <c r="AZ1795" s="899"/>
      <c r="BA1795" s="899"/>
    </row>
    <row r="1796" spans="1:54" ht="45" customHeight="1" x14ac:dyDescent="0.25">
      <c r="A1796" s="922"/>
      <c r="B1796" s="922"/>
      <c r="C1796" s="922"/>
      <c r="D1796" s="922"/>
      <c r="E1796" s="922"/>
      <c r="F1796" s="922"/>
      <c r="G1796" s="922"/>
      <c r="H1796" s="922"/>
      <c r="I1796" s="922"/>
      <c r="J1796" s="922"/>
      <c r="K1796" s="922"/>
      <c r="L1796" s="922"/>
      <c r="M1796" s="922"/>
      <c r="N1796" s="922"/>
      <c r="O1796" s="922"/>
      <c r="P1796" s="922"/>
      <c r="Q1796" s="922"/>
      <c r="R1796" s="922"/>
      <c r="S1796" s="922"/>
      <c r="T1796" s="922"/>
      <c r="U1796" s="922"/>
      <c r="V1796" s="922"/>
      <c r="W1796" s="922"/>
      <c r="X1796" s="922"/>
      <c r="Y1796" s="922"/>
      <c r="Z1796" s="922"/>
      <c r="AA1796" s="922"/>
      <c r="AB1796" s="922"/>
      <c r="AC1796" s="922"/>
      <c r="AD1796" s="922"/>
      <c r="AE1796" s="922"/>
      <c r="AF1796" s="922"/>
      <c r="AG1796" s="922"/>
      <c r="AH1796" s="922"/>
      <c r="AI1796" s="922"/>
      <c r="AJ1796" s="922"/>
      <c r="AK1796" s="922"/>
      <c r="AL1796" s="922"/>
      <c r="AM1796" s="922"/>
      <c r="AN1796" s="922"/>
      <c r="AO1796" s="922"/>
      <c r="AP1796" s="922"/>
      <c r="AQ1796" s="922"/>
      <c r="AR1796" s="922"/>
      <c r="AS1796" s="922"/>
      <c r="AT1796" s="922"/>
      <c r="AU1796" s="922"/>
      <c r="AV1796" s="922"/>
      <c r="AW1796" s="922"/>
      <c r="AX1796" s="922"/>
      <c r="AY1796" s="922"/>
      <c r="AZ1796" s="922"/>
      <c r="BA1796" s="922"/>
      <c r="BB1796" s="922"/>
    </row>
    <row r="1797" spans="1:54" s="227" customFormat="1" ht="27.75" customHeight="1" x14ac:dyDescent="0.25">
      <c r="A1797" s="929" t="s">
        <v>2156</v>
      </c>
      <c r="B1797" s="929"/>
      <c r="C1797" s="929"/>
      <c r="D1797" s="929"/>
      <c r="E1797" s="929"/>
      <c r="F1797" s="929"/>
      <c r="G1797" s="929"/>
      <c r="H1797" s="929"/>
      <c r="I1797" s="929"/>
      <c r="J1797" s="929"/>
      <c r="K1797" s="929"/>
      <c r="L1797" s="929"/>
      <c r="M1797" s="929"/>
      <c r="N1797" s="929"/>
      <c r="O1797" s="929"/>
      <c r="P1797" s="929"/>
      <c r="Q1797" s="929"/>
      <c r="R1797" s="929"/>
      <c r="S1797" s="929"/>
      <c r="T1797" s="929"/>
      <c r="U1797" s="929"/>
      <c r="V1797" s="929"/>
      <c r="W1797" s="929"/>
      <c r="X1797" s="929"/>
      <c r="Y1797" s="929"/>
      <c r="Z1797" s="929"/>
      <c r="AA1797" s="929"/>
      <c r="AB1797" s="929"/>
      <c r="AC1797" s="929"/>
      <c r="AD1797" s="929"/>
      <c r="AE1797" s="929"/>
      <c r="AF1797" s="929"/>
      <c r="AG1797" s="929"/>
      <c r="AH1797" s="929"/>
      <c r="AI1797" s="929"/>
      <c r="AJ1797" s="929"/>
      <c r="AK1797" s="929"/>
      <c r="AL1797" s="929"/>
      <c r="AM1797" s="929"/>
      <c r="AN1797" s="929"/>
      <c r="AO1797" s="929"/>
      <c r="AP1797" s="929"/>
      <c r="AQ1797" s="929"/>
      <c r="AR1797" s="929"/>
      <c r="AS1797" s="929"/>
      <c r="AT1797" s="929"/>
      <c r="AU1797" s="929"/>
      <c r="AV1797" s="929"/>
      <c r="AW1797" s="929"/>
      <c r="AX1797" s="929"/>
      <c r="AY1797" s="929"/>
      <c r="AZ1797" s="929"/>
      <c r="BA1797" s="929"/>
    </row>
    <row r="1798" spans="1:54" ht="13.5" customHeight="1" x14ac:dyDescent="0.25">
      <c r="A1798" s="899" t="s">
        <v>2125</v>
      </c>
      <c r="B1798" s="899"/>
      <c r="C1798" s="899"/>
      <c r="D1798" s="899"/>
      <c r="E1798" s="899"/>
      <c r="F1798" s="899"/>
      <c r="G1798" s="899"/>
      <c r="H1798" s="899"/>
      <c r="I1798" s="899"/>
      <c r="J1798" s="899"/>
      <c r="K1798" s="899"/>
      <c r="L1798" s="899"/>
      <c r="M1798" s="899"/>
      <c r="N1798" s="899"/>
      <c r="O1798" s="899"/>
      <c r="P1798" s="899"/>
      <c r="Q1798" s="899"/>
      <c r="R1798" s="899"/>
      <c r="S1798" s="899"/>
      <c r="T1798" s="899"/>
      <c r="U1798" s="899"/>
      <c r="V1798" s="899"/>
      <c r="W1798" s="899"/>
      <c r="X1798" s="899"/>
      <c r="Y1798" s="899"/>
      <c r="Z1798" s="899"/>
      <c r="AA1798" s="899"/>
      <c r="AB1798" s="899"/>
      <c r="AC1798" s="899"/>
      <c r="AD1798" s="899"/>
      <c r="AE1798" s="899"/>
      <c r="AF1798" s="899"/>
      <c r="AG1798" s="899"/>
      <c r="AH1798" s="899"/>
      <c r="AI1798" s="899"/>
      <c r="AJ1798" s="899"/>
      <c r="AK1798" s="899"/>
      <c r="AL1798" s="899"/>
      <c r="AM1798" s="899"/>
      <c r="AN1798" s="899"/>
      <c r="AO1798" s="899"/>
      <c r="AP1798" s="899"/>
      <c r="AQ1798" s="899"/>
      <c r="AR1798" s="899"/>
      <c r="AS1798" s="899"/>
      <c r="AT1798" s="899"/>
      <c r="AU1798" s="899"/>
      <c r="AV1798" s="899"/>
      <c r="AW1798" s="899"/>
      <c r="AX1798" s="899"/>
      <c r="AY1798" s="899"/>
      <c r="AZ1798" s="899"/>
      <c r="BA1798" s="899"/>
    </row>
    <row r="1799" spans="1:54" ht="45" customHeight="1" x14ac:dyDescent="0.25">
      <c r="A1799" s="922"/>
      <c r="B1799" s="922"/>
      <c r="C1799" s="922"/>
      <c r="D1799" s="922"/>
      <c r="E1799" s="922"/>
      <c r="F1799" s="922"/>
      <c r="G1799" s="922"/>
      <c r="H1799" s="922"/>
      <c r="I1799" s="922"/>
      <c r="J1799" s="922"/>
      <c r="K1799" s="922"/>
      <c r="L1799" s="922"/>
      <c r="M1799" s="922"/>
      <c r="N1799" s="922"/>
      <c r="O1799" s="922"/>
      <c r="P1799" s="922"/>
      <c r="Q1799" s="922"/>
      <c r="R1799" s="922"/>
      <c r="S1799" s="922"/>
      <c r="T1799" s="922"/>
      <c r="U1799" s="922"/>
      <c r="V1799" s="922"/>
      <c r="W1799" s="922"/>
      <c r="X1799" s="922"/>
      <c r="Y1799" s="922"/>
      <c r="Z1799" s="922"/>
      <c r="AA1799" s="922"/>
      <c r="AB1799" s="922"/>
      <c r="AC1799" s="922"/>
      <c r="AD1799" s="922"/>
      <c r="AE1799" s="922"/>
      <c r="AF1799" s="922"/>
      <c r="AG1799" s="922"/>
      <c r="AH1799" s="922"/>
      <c r="AI1799" s="922"/>
      <c r="AJ1799" s="922"/>
      <c r="AK1799" s="922"/>
      <c r="AL1799" s="922"/>
      <c r="AM1799" s="922"/>
      <c r="AN1799" s="922"/>
      <c r="AO1799" s="922"/>
      <c r="AP1799" s="922"/>
      <c r="AQ1799" s="922"/>
      <c r="AR1799" s="922"/>
      <c r="AS1799" s="922"/>
      <c r="AT1799" s="922"/>
      <c r="AU1799" s="922"/>
      <c r="AV1799" s="922"/>
      <c r="AW1799" s="922"/>
      <c r="AX1799" s="922"/>
      <c r="AY1799" s="922"/>
      <c r="AZ1799" s="922"/>
      <c r="BA1799" s="922"/>
      <c r="BB1799" s="922"/>
    </row>
    <row r="1800" spans="1:54" s="227" customFormat="1" ht="13.5" customHeight="1" x14ac:dyDescent="0.25">
      <c r="A1800" s="929" t="s">
        <v>2157</v>
      </c>
      <c r="B1800" s="929"/>
      <c r="C1800" s="929"/>
      <c r="D1800" s="929"/>
      <c r="E1800" s="929"/>
      <c r="F1800" s="929"/>
      <c r="G1800" s="929"/>
      <c r="H1800" s="929"/>
      <c r="I1800" s="929"/>
      <c r="J1800" s="929"/>
      <c r="K1800" s="929"/>
      <c r="L1800" s="929"/>
      <c r="M1800" s="929"/>
      <c r="N1800" s="929"/>
      <c r="O1800" s="929"/>
      <c r="P1800" s="929"/>
      <c r="Q1800" s="929"/>
      <c r="R1800" s="929"/>
      <c r="S1800" s="929"/>
      <c r="T1800" s="929"/>
      <c r="U1800" s="929"/>
      <c r="V1800" s="929"/>
      <c r="W1800" s="929"/>
      <c r="X1800" s="929"/>
      <c r="Y1800" s="929"/>
      <c r="Z1800" s="929"/>
      <c r="AA1800" s="929"/>
      <c r="AB1800" s="929"/>
      <c r="AC1800" s="929"/>
      <c r="AD1800" s="929"/>
      <c r="AE1800" s="929"/>
      <c r="AF1800" s="929"/>
      <c r="AG1800" s="929"/>
      <c r="AH1800" s="929"/>
      <c r="AI1800" s="929"/>
      <c r="AJ1800" s="929"/>
      <c r="AK1800" s="929"/>
      <c r="AL1800" s="929"/>
      <c r="AM1800" s="929"/>
      <c r="AN1800" s="929"/>
      <c r="AO1800" s="929"/>
      <c r="AP1800" s="929"/>
      <c r="AQ1800" s="929"/>
      <c r="AR1800" s="929"/>
      <c r="AS1800" s="929"/>
      <c r="AT1800" s="929"/>
      <c r="AU1800" s="929"/>
      <c r="AV1800" s="929"/>
      <c r="AW1800" s="929"/>
      <c r="AX1800" s="929"/>
      <c r="AY1800" s="929"/>
      <c r="AZ1800" s="929"/>
      <c r="BA1800" s="929"/>
    </row>
    <row r="1801" spans="1:54" ht="13.5" customHeight="1" x14ac:dyDescent="0.25">
      <c r="A1801" s="899" t="s">
        <v>2125</v>
      </c>
      <c r="B1801" s="899"/>
      <c r="C1801" s="899"/>
      <c r="D1801" s="899"/>
      <c r="E1801" s="899"/>
      <c r="F1801" s="899"/>
      <c r="G1801" s="899"/>
      <c r="H1801" s="899"/>
      <c r="I1801" s="899"/>
      <c r="J1801" s="899"/>
      <c r="K1801" s="899"/>
      <c r="L1801" s="899"/>
      <c r="M1801" s="899"/>
      <c r="N1801" s="899"/>
      <c r="O1801" s="899"/>
      <c r="P1801" s="899"/>
      <c r="Q1801" s="899"/>
      <c r="R1801" s="899"/>
      <c r="S1801" s="899"/>
      <c r="T1801" s="899"/>
      <c r="U1801" s="899"/>
      <c r="V1801" s="899"/>
      <c r="W1801" s="899"/>
      <c r="X1801" s="899"/>
      <c r="Y1801" s="899"/>
      <c r="Z1801" s="899"/>
      <c r="AA1801" s="899"/>
      <c r="AB1801" s="899"/>
      <c r="AC1801" s="899"/>
      <c r="AD1801" s="899"/>
      <c r="AE1801" s="899"/>
      <c r="AF1801" s="899"/>
      <c r="AG1801" s="899"/>
      <c r="AH1801" s="899"/>
      <c r="AI1801" s="899"/>
      <c r="AJ1801" s="899"/>
      <c r="AK1801" s="899"/>
      <c r="AL1801" s="899"/>
      <c r="AM1801" s="899"/>
      <c r="AN1801" s="899"/>
      <c r="AO1801" s="899"/>
      <c r="AP1801" s="899"/>
      <c r="AQ1801" s="899"/>
      <c r="AR1801" s="899"/>
      <c r="AS1801" s="899"/>
      <c r="AT1801" s="899"/>
      <c r="AU1801" s="899"/>
      <c r="AV1801" s="899"/>
      <c r="AW1801" s="899"/>
      <c r="AX1801" s="899"/>
      <c r="AY1801" s="899"/>
      <c r="AZ1801" s="899"/>
      <c r="BA1801" s="899"/>
    </row>
    <row r="1802" spans="1:54" ht="45" customHeight="1" x14ac:dyDescent="0.25">
      <c r="A1802" s="922"/>
      <c r="B1802" s="922"/>
      <c r="C1802" s="922"/>
      <c r="D1802" s="922"/>
      <c r="E1802" s="922"/>
      <c r="F1802" s="922"/>
      <c r="G1802" s="922"/>
      <c r="H1802" s="922"/>
      <c r="I1802" s="922"/>
      <c r="J1802" s="922"/>
      <c r="K1802" s="922"/>
      <c r="L1802" s="922"/>
      <c r="M1802" s="922"/>
      <c r="N1802" s="922"/>
      <c r="O1802" s="922"/>
      <c r="P1802" s="922"/>
      <c r="Q1802" s="922"/>
      <c r="R1802" s="922"/>
      <c r="S1802" s="922"/>
      <c r="T1802" s="922"/>
      <c r="U1802" s="922"/>
      <c r="V1802" s="922"/>
      <c r="W1802" s="922"/>
      <c r="X1802" s="922"/>
      <c r="Y1802" s="922"/>
      <c r="Z1802" s="922"/>
      <c r="AA1802" s="922"/>
      <c r="AB1802" s="922"/>
      <c r="AC1802" s="922"/>
      <c r="AD1802" s="922"/>
      <c r="AE1802" s="922"/>
      <c r="AF1802" s="922"/>
      <c r="AG1802" s="922"/>
      <c r="AH1802" s="922"/>
      <c r="AI1802" s="922"/>
      <c r="AJ1802" s="922"/>
      <c r="AK1802" s="922"/>
      <c r="AL1802" s="922"/>
      <c r="AM1802" s="922"/>
      <c r="AN1802" s="922"/>
      <c r="AO1802" s="922"/>
      <c r="AP1802" s="922"/>
      <c r="AQ1802" s="922"/>
      <c r="AR1802" s="922"/>
      <c r="AS1802" s="922"/>
      <c r="AT1802" s="922"/>
      <c r="AU1802" s="922"/>
      <c r="AV1802" s="922"/>
      <c r="AW1802" s="922"/>
      <c r="AX1802" s="922"/>
      <c r="AY1802" s="922"/>
      <c r="AZ1802" s="922"/>
      <c r="BA1802" s="922"/>
      <c r="BB1802" s="922"/>
    </row>
    <row r="1803" spans="1:54" ht="12.6" customHeight="1" x14ac:dyDescent="0.25">
      <c r="A1803" s="350"/>
    </row>
    <row r="1804" spans="1:54" s="227" customFormat="1" ht="12.6" customHeight="1" x14ac:dyDescent="0.25">
      <c r="A1804" s="227" t="s">
        <v>2158</v>
      </c>
    </row>
    <row r="1805" spans="1:54" ht="12.6" customHeight="1" x14ac:dyDescent="0.25">
      <c r="A1805" s="350" t="s">
        <v>2125</v>
      </c>
    </row>
    <row r="1806" spans="1:54" ht="45" customHeight="1" x14ac:dyDescent="0.25">
      <c r="A1806" s="922"/>
      <c r="B1806" s="922"/>
      <c r="C1806" s="922"/>
      <c r="D1806" s="922"/>
      <c r="E1806" s="922"/>
      <c r="F1806" s="922"/>
      <c r="G1806" s="922"/>
      <c r="H1806" s="922"/>
      <c r="I1806" s="922"/>
      <c r="J1806" s="922"/>
      <c r="K1806" s="922"/>
      <c r="L1806" s="922"/>
      <c r="M1806" s="922"/>
      <c r="N1806" s="922"/>
      <c r="O1806" s="922"/>
      <c r="P1806" s="922"/>
      <c r="Q1806" s="922"/>
      <c r="R1806" s="922"/>
      <c r="S1806" s="922"/>
      <c r="T1806" s="922"/>
      <c r="U1806" s="922"/>
      <c r="V1806" s="922"/>
      <c r="W1806" s="922"/>
      <c r="X1806" s="922"/>
      <c r="Y1806" s="922"/>
      <c r="Z1806" s="922"/>
      <c r="AA1806" s="922"/>
      <c r="AB1806" s="922"/>
      <c r="AC1806" s="922"/>
      <c r="AD1806" s="922"/>
      <c r="AE1806" s="922"/>
      <c r="AF1806" s="922"/>
      <c r="AG1806" s="922"/>
      <c r="AH1806" s="922"/>
      <c r="AI1806" s="922"/>
      <c r="AJ1806" s="922"/>
      <c r="AK1806" s="922"/>
      <c r="AL1806" s="922"/>
      <c r="AM1806" s="922"/>
      <c r="AN1806" s="922"/>
      <c r="AO1806" s="922"/>
      <c r="AP1806" s="922"/>
      <c r="AQ1806" s="922"/>
      <c r="AR1806" s="922"/>
      <c r="AS1806" s="922"/>
      <c r="AT1806" s="922"/>
      <c r="AU1806" s="922"/>
      <c r="AV1806" s="922"/>
      <c r="AW1806" s="922"/>
      <c r="AX1806" s="922"/>
      <c r="AY1806" s="922"/>
      <c r="AZ1806" s="922"/>
      <c r="BA1806" s="922"/>
      <c r="BB1806" s="922"/>
    </row>
    <row r="1807" spans="1:54" s="227" customFormat="1" ht="12.6" customHeight="1" x14ac:dyDescent="0.25">
      <c r="A1807" s="227" t="s">
        <v>2159</v>
      </c>
    </row>
    <row r="1808" spans="1:54" ht="12.6" customHeight="1" x14ac:dyDescent="0.25">
      <c r="A1808" s="350" t="s">
        <v>2125</v>
      </c>
    </row>
    <row r="1809" spans="1:54" ht="45" customHeight="1" x14ac:dyDescent="0.25">
      <c r="A1809" s="922"/>
      <c r="B1809" s="922"/>
      <c r="C1809" s="922"/>
      <c r="D1809" s="922"/>
      <c r="E1809" s="922"/>
      <c r="F1809" s="922"/>
      <c r="G1809" s="922"/>
      <c r="H1809" s="922"/>
      <c r="I1809" s="922"/>
      <c r="J1809" s="922"/>
      <c r="K1809" s="922"/>
      <c r="L1809" s="922"/>
      <c r="M1809" s="922"/>
      <c r="N1809" s="922"/>
      <c r="O1809" s="922"/>
      <c r="P1809" s="922"/>
      <c r="Q1809" s="922"/>
      <c r="R1809" s="922"/>
      <c r="S1809" s="922"/>
      <c r="T1809" s="922"/>
      <c r="U1809" s="922"/>
      <c r="V1809" s="922"/>
      <c r="W1809" s="922"/>
      <c r="X1809" s="922"/>
      <c r="Y1809" s="922"/>
      <c r="Z1809" s="922"/>
      <c r="AA1809" s="922"/>
      <c r="AB1809" s="922"/>
      <c r="AC1809" s="922"/>
      <c r="AD1809" s="922"/>
      <c r="AE1809" s="922"/>
      <c r="AF1809" s="922"/>
      <c r="AG1809" s="922"/>
      <c r="AH1809" s="922"/>
      <c r="AI1809" s="922"/>
      <c r="AJ1809" s="922"/>
      <c r="AK1809" s="922"/>
      <c r="AL1809" s="922"/>
      <c r="AM1809" s="922"/>
      <c r="AN1809" s="922"/>
      <c r="AO1809" s="922"/>
      <c r="AP1809" s="922"/>
      <c r="AQ1809" s="922"/>
      <c r="AR1809" s="922"/>
      <c r="AS1809" s="922"/>
      <c r="AT1809" s="922"/>
      <c r="AU1809" s="922"/>
      <c r="AV1809" s="922"/>
      <c r="AW1809" s="922"/>
      <c r="AX1809" s="922"/>
      <c r="AY1809" s="922"/>
      <c r="AZ1809" s="922"/>
      <c r="BA1809" s="922"/>
      <c r="BB1809" s="922"/>
    </row>
  </sheetData>
  <mergeCells count="4863">
    <mergeCell ref="A1794:BA1794"/>
    <mergeCell ref="A1795:BA1795"/>
    <mergeCell ref="A1796:BB1796"/>
    <mergeCell ref="A1797:BA1797"/>
    <mergeCell ref="A1798:BA1798"/>
    <mergeCell ref="A1799:BB1799"/>
    <mergeCell ref="A1800:BA1800"/>
    <mergeCell ref="A1801:BA1801"/>
    <mergeCell ref="A1802:BB1802"/>
    <mergeCell ref="A1806:BB1806"/>
    <mergeCell ref="A1809:BB1809"/>
    <mergeCell ref="NO1787:PP1787"/>
    <mergeCell ref="PQ1787:RR1787"/>
    <mergeCell ref="RS1787:TT1787"/>
    <mergeCell ref="TU1787:VV1787"/>
    <mergeCell ref="VW1787:XX1787"/>
    <mergeCell ref="XY1787:ZZ1787"/>
    <mergeCell ref="AAA1787:ACB1787"/>
    <mergeCell ref="ACC1787:AED1787"/>
    <mergeCell ref="AEE1787:AGF1787"/>
    <mergeCell ref="AGG1787:AIH1787"/>
    <mergeCell ref="AII1787:AKJ1787"/>
    <mergeCell ref="AKK1787:AMJ1787"/>
    <mergeCell ref="A1788:BA1788"/>
    <mergeCell ref="A1790:BB1790"/>
    <mergeCell ref="A1791:BA1791"/>
    <mergeCell ref="A1792:BA1792"/>
    <mergeCell ref="A1793:BB1793"/>
    <mergeCell ref="AM1774:AW1774"/>
    <mergeCell ref="A1775:AZ1775"/>
    <mergeCell ref="AI1776:AW1776"/>
    <mergeCell ref="A1778:BB1778"/>
    <mergeCell ref="A1780:AZ1780"/>
    <mergeCell ref="A1781:AZ1781"/>
    <mergeCell ref="AI1782:AW1782"/>
    <mergeCell ref="A1783:BB1783"/>
    <mergeCell ref="AI1784:AW1784"/>
    <mergeCell ref="A1785:AZ1785"/>
    <mergeCell ref="A1787:BB1787"/>
    <mergeCell ref="BC1787:DD1787"/>
    <mergeCell ref="DE1787:FF1787"/>
    <mergeCell ref="FG1787:HH1787"/>
    <mergeCell ref="HI1787:JJ1787"/>
    <mergeCell ref="JK1787:LL1787"/>
    <mergeCell ref="LM1787:NN1787"/>
    <mergeCell ref="A1750:BB1750"/>
    <mergeCell ref="AI1751:AW1751"/>
    <mergeCell ref="A1753:BB1753"/>
    <mergeCell ref="AI1754:AW1754"/>
    <mergeCell ref="A1756:BA1756"/>
    <mergeCell ref="AI1757:AW1757"/>
    <mergeCell ref="A1759:BB1759"/>
    <mergeCell ref="AI1760:AW1760"/>
    <mergeCell ref="A1762:BB1762"/>
    <mergeCell ref="AI1763:AW1763"/>
    <mergeCell ref="AI1765:AW1765"/>
    <mergeCell ref="A1766:AZ1766"/>
    <mergeCell ref="AI1768:AW1768"/>
    <mergeCell ref="AI1769:AW1769"/>
    <mergeCell ref="AI1770:AW1770"/>
    <mergeCell ref="AI1772:AW1772"/>
    <mergeCell ref="A1773:AZ1773"/>
    <mergeCell ref="M1699:T1701"/>
    <mergeCell ref="U1699:AA1701"/>
    <mergeCell ref="AB1699:AH1701"/>
    <mergeCell ref="AI1699:AO1701"/>
    <mergeCell ref="AP1699:AV1701"/>
    <mergeCell ref="A1703:AX1704"/>
    <mergeCell ref="A1723:BB1723"/>
    <mergeCell ref="A1724:BB1724"/>
    <mergeCell ref="A1726:BB1726"/>
    <mergeCell ref="A1727:BB1727"/>
    <mergeCell ref="A1729:BB1729"/>
    <mergeCell ref="A1732:BB1732"/>
    <mergeCell ref="A1735:BB1735"/>
    <mergeCell ref="A1738:BB1738"/>
    <mergeCell ref="A1741:BB1741"/>
    <mergeCell ref="A1744:BB1744"/>
    <mergeCell ref="AI1748:AW1748"/>
    <mergeCell ref="M1690:T1691"/>
    <mergeCell ref="U1690:AA1691"/>
    <mergeCell ref="AB1690:AH1691"/>
    <mergeCell ref="AI1690:AO1691"/>
    <mergeCell ref="AP1690:AV1691"/>
    <mergeCell ref="M1692:T1693"/>
    <mergeCell ref="U1692:AA1693"/>
    <mergeCell ref="AB1692:AH1693"/>
    <mergeCell ref="AI1692:AO1693"/>
    <mergeCell ref="AP1692:AV1693"/>
    <mergeCell ref="M1694:T1696"/>
    <mergeCell ref="U1694:AA1696"/>
    <mergeCell ref="AB1694:AH1696"/>
    <mergeCell ref="AI1694:AO1696"/>
    <mergeCell ref="AP1694:AV1696"/>
    <mergeCell ref="M1697:T1698"/>
    <mergeCell ref="U1697:AA1698"/>
    <mergeCell ref="AB1697:AH1698"/>
    <mergeCell ref="AI1697:AO1698"/>
    <mergeCell ref="AP1697:AV1698"/>
    <mergeCell ref="M1680:T1680"/>
    <mergeCell ref="U1680:AA1680"/>
    <mergeCell ref="AB1680:AH1680"/>
    <mergeCell ref="AI1680:AO1680"/>
    <mergeCell ref="AP1680:AV1680"/>
    <mergeCell ref="M1681:T1683"/>
    <mergeCell ref="U1681:AA1683"/>
    <mergeCell ref="AB1681:AH1683"/>
    <mergeCell ref="AI1681:AO1683"/>
    <mergeCell ref="AP1681:AV1683"/>
    <mergeCell ref="M1684:T1685"/>
    <mergeCell ref="U1684:AA1685"/>
    <mergeCell ref="AB1684:AH1685"/>
    <mergeCell ref="AI1684:AO1685"/>
    <mergeCell ref="AP1684:AV1685"/>
    <mergeCell ref="M1686:T1689"/>
    <mergeCell ref="U1686:AA1689"/>
    <mergeCell ref="AB1686:AH1689"/>
    <mergeCell ref="AI1686:AO1689"/>
    <mergeCell ref="AP1686:AV1689"/>
    <mergeCell ref="A1677:L1677"/>
    <mergeCell ref="M1677:T1677"/>
    <mergeCell ref="U1677:AA1677"/>
    <mergeCell ref="AB1677:AH1677"/>
    <mergeCell ref="AI1677:AO1677"/>
    <mergeCell ref="AP1677:AV1677"/>
    <mergeCell ref="A1678:L1678"/>
    <mergeCell ref="M1678:T1678"/>
    <mergeCell ref="U1678:AA1678"/>
    <mergeCell ref="AB1678:AH1678"/>
    <mergeCell ref="AI1678:AO1678"/>
    <mergeCell ref="AP1678:AV1678"/>
    <mergeCell ref="M1679:T1679"/>
    <mergeCell ref="U1679:AA1679"/>
    <mergeCell ref="AB1679:AH1679"/>
    <mergeCell ref="AI1679:AO1679"/>
    <mergeCell ref="AP1679:AV1679"/>
    <mergeCell ref="M1672:T1672"/>
    <mergeCell ref="U1672:AA1672"/>
    <mergeCell ref="AB1672:AH1672"/>
    <mergeCell ref="AI1672:AO1672"/>
    <mergeCell ref="AP1672:AV1672"/>
    <mergeCell ref="M1673:T1674"/>
    <mergeCell ref="U1673:AA1674"/>
    <mergeCell ref="AB1673:AH1674"/>
    <mergeCell ref="AI1673:AO1674"/>
    <mergeCell ref="AP1673:AV1674"/>
    <mergeCell ref="M1675:T1675"/>
    <mergeCell ref="U1675:AA1675"/>
    <mergeCell ref="AB1675:AH1675"/>
    <mergeCell ref="AI1675:AO1675"/>
    <mergeCell ref="AP1675:AV1675"/>
    <mergeCell ref="M1676:T1676"/>
    <mergeCell ref="U1676:AA1676"/>
    <mergeCell ref="AB1676:AH1676"/>
    <mergeCell ref="AI1676:AO1676"/>
    <mergeCell ref="AP1676:AV1676"/>
    <mergeCell ref="A1666:L1666"/>
    <mergeCell ref="M1666:T1666"/>
    <mergeCell ref="A1668:L1668"/>
    <mergeCell ref="M1668:T1668"/>
    <mergeCell ref="U1668:AA1668"/>
    <mergeCell ref="AB1668:AH1668"/>
    <mergeCell ref="AI1668:AO1668"/>
    <mergeCell ref="M1669:T1669"/>
    <mergeCell ref="U1669:AA1669"/>
    <mergeCell ref="AB1669:AH1669"/>
    <mergeCell ref="AI1669:AO1669"/>
    <mergeCell ref="AP1669:AV1669"/>
    <mergeCell ref="M1670:T1671"/>
    <mergeCell ref="U1670:AA1671"/>
    <mergeCell ref="AB1670:AH1671"/>
    <mergeCell ref="AI1670:AO1671"/>
    <mergeCell ref="AP1670:AV1671"/>
    <mergeCell ref="M1635:T1636"/>
    <mergeCell ref="U1635:AA1636"/>
    <mergeCell ref="AB1635:AH1636"/>
    <mergeCell ref="AI1635:AO1636"/>
    <mergeCell ref="AP1635:AV1636"/>
    <mergeCell ref="M1637:T1639"/>
    <mergeCell ref="U1637:AA1639"/>
    <mergeCell ref="AB1637:AH1639"/>
    <mergeCell ref="AI1637:AO1639"/>
    <mergeCell ref="AP1637:AV1639"/>
    <mergeCell ref="A1641:AX1642"/>
    <mergeCell ref="AW1663:BA1663"/>
    <mergeCell ref="A1665:L1665"/>
    <mergeCell ref="M1665:T1665"/>
    <mergeCell ref="U1665:AA1665"/>
    <mergeCell ref="AB1665:AH1665"/>
    <mergeCell ref="AI1665:AO1665"/>
    <mergeCell ref="M1624:T1627"/>
    <mergeCell ref="U1624:AA1627"/>
    <mergeCell ref="AB1624:AH1627"/>
    <mergeCell ref="AI1624:AO1627"/>
    <mergeCell ref="AP1624:AV1627"/>
    <mergeCell ref="M1628:T1629"/>
    <mergeCell ref="U1628:AA1629"/>
    <mergeCell ref="AB1628:AH1629"/>
    <mergeCell ref="AI1628:AO1629"/>
    <mergeCell ref="AP1628:AV1629"/>
    <mergeCell ref="M1630:T1631"/>
    <mergeCell ref="U1630:AA1631"/>
    <mergeCell ref="AB1630:AH1631"/>
    <mergeCell ref="AI1630:AO1631"/>
    <mergeCell ref="AP1630:AV1631"/>
    <mergeCell ref="M1632:T1634"/>
    <mergeCell ref="U1632:AA1634"/>
    <mergeCell ref="AB1632:AH1634"/>
    <mergeCell ref="AI1632:AO1634"/>
    <mergeCell ref="AP1632:AV1634"/>
    <mergeCell ref="M1617:T1617"/>
    <mergeCell ref="U1617:AA1617"/>
    <mergeCell ref="AB1617:AH1617"/>
    <mergeCell ref="AI1617:AO1617"/>
    <mergeCell ref="AP1617:AV1617"/>
    <mergeCell ref="M1618:T1618"/>
    <mergeCell ref="U1618:AA1618"/>
    <mergeCell ref="AB1618:AH1618"/>
    <mergeCell ref="AI1618:AO1618"/>
    <mergeCell ref="AP1618:AV1618"/>
    <mergeCell ref="M1619:T1621"/>
    <mergeCell ref="U1619:AA1621"/>
    <mergeCell ref="AB1619:AH1621"/>
    <mergeCell ref="AI1619:AO1621"/>
    <mergeCell ref="AP1619:AV1621"/>
    <mergeCell ref="M1622:T1623"/>
    <mergeCell ref="U1622:AA1623"/>
    <mergeCell ref="AB1622:AH1623"/>
    <mergeCell ref="AI1622:AO1623"/>
    <mergeCell ref="AP1622:AV1623"/>
    <mergeCell ref="M1613:T1613"/>
    <mergeCell ref="U1613:AA1613"/>
    <mergeCell ref="AB1613:AH1613"/>
    <mergeCell ref="AI1613:AO1613"/>
    <mergeCell ref="AP1613:AV1613"/>
    <mergeCell ref="M1614:T1614"/>
    <mergeCell ref="U1614:AA1614"/>
    <mergeCell ref="AB1614:AH1614"/>
    <mergeCell ref="AI1614:AO1614"/>
    <mergeCell ref="AP1614:AV1614"/>
    <mergeCell ref="A1615:L1615"/>
    <mergeCell ref="M1615:T1615"/>
    <mergeCell ref="U1615:AA1615"/>
    <mergeCell ref="AB1615:AH1615"/>
    <mergeCell ref="AI1615:AO1615"/>
    <mergeCell ref="AP1615:AV1615"/>
    <mergeCell ref="A1616:L1616"/>
    <mergeCell ref="M1616:T1616"/>
    <mergeCell ref="U1616:AA1616"/>
    <mergeCell ref="AB1616:AH1616"/>
    <mergeCell ref="AI1616:AO1616"/>
    <mergeCell ref="AP1616:AV1616"/>
    <mergeCell ref="M1607:T1607"/>
    <mergeCell ref="U1607:AA1607"/>
    <mergeCell ref="AB1607:AH1607"/>
    <mergeCell ref="AI1607:AO1607"/>
    <mergeCell ref="AP1607:AV1607"/>
    <mergeCell ref="M1608:T1609"/>
    <mergeCell ref="U1608:AA1609"/>
    <mergeCell ref="AB1608:AH1609"/>
    <mergeCell ref="AI1608:AO1609"/>
    <mergeCell ref="AP1608:AV1609"/>
    <mergeCell ref="M1610:T1610"/>
    <mergeCell ref="U1610:AA1610"/>
    <mergeCell ref="AB1610:AH1610"/>
    <mergeCell ref="AI1610:AO1610"/>
    <mergeCell ref="AP1610:AV1610"/>
    <mergeCell ref="M1611:T1612"/>
    <mergeCell ref="U1611:AA1612"/>
    <mergeCell ref="AB1611:AH1612"/>
    <mergeCell ref="AI1611:AO1612"/>
    <mergeCell ref="AP1611:AV1612"/>
    <mergeCell ref="A1566:W1566"/>
    <mergeCell ref="X1566:AD1566"/>
    <mergeCell ref="AE1566:AO1566"/>
    <mergeCell ref="AP1566:AZ1566"/>
    <mergeCell ref="A1568:AX1569"/>
    <mergeCell ref="A1603:L1603"/>
    <mergeCell ref="M1603:T1603"/>
    <mergeCell ref="U1603:AA1603"/>
    <mergeCell ref="AB1603:AH1603"/>
    <mergeCell ref="AI1603:AO1603"/>
    <mergeCell ref="A1604:L1604"/>
    <mergeCell ref="M1604:T1604"/>
    <mergeCell ref="A1606:L1606"/>
    <mergeCell ref="M1606:T1606"/>
    <mergeCell ref="U1606:AA1606"/>
    <mergeCell ref="AB1606:AH1606"/>
    <mergeCell ref="AI1606:AO1606"/>
    <mergeCell ref="A1561:W1561"/>
    <mergeCell ref="X1561:AD1561"/>
    <mergeCell ref="AE1561:AO1561"/>
    <mergeCell ref="AP1561:AZ1561"/>
    <mergeCell ref="A1562:W1562"/>
    <mergeCell ref="X1562:AD1562"/>
    <mergeCell ref="AE1562:AO1562"/>
    <mergeCell ref="AP1562:AZ1562"/>
    <mergeCell ref="A1563:W1563"/>
    <mergeCell ref="X1563:AD1563"/>
    <mergeCell ref="AE1563:AO1563"/>
    <mergeCell ref="AP1563:AZ1563"/>
    <mergeCell ref="A1564:W1564"/>
    <mergeCell ref="X1564:AD1564"/>
    <mergeCell ref="AE1564:AO1564"/>
    <mergeCell ref="AP1564:AZ1564"/>
    <mergeCell ref="A1565:W1565"/>
    <mergeCell ref="X1565:AD1565"/>
    <mergeCell ref="AE1565:AO1565"/>
    <mergeCell ref="AP1565:AZ1565"/>
    <mergeCell ref="A1556:W1556"/>
    <mergeCell ref="X1556:AD1556"/>
    <mergeCell ref="AE1556:AO1556"/>
    <mergeCell ref="AP1556:AZ1556"/>
    <mergeCell ref="A1557:W1557"/>
    <mergeCell ref="X1557:AD1557"/>
    <mergeCell ref="AE1557:AO1557"/>
    <mergeCell ref="AP1557:AZ1557"/>
    <mergeCell ref="A1558:W1558"/>
    <mergeCell ref="X1558:AD1558"/>
    <mergeCell ref="AE1558:AO1558"/>
    <mergeCell ref="AP1558:AZ1558"/>
    <mergeCell ref="A1559:W1559"/>
    <mergeCell ref="X1559:AD1559"/>
    <mergeCell ref="AE1559:AO1559"/>
    <mergeCell ref="AP1559:AZ1559"/>
    <mergeCell ref="A1560:W1560"/>
    <mergeCell ref="X1560:AD1560"/>
    <mergeCell ref="AE1560:AO1560"/>
    <mergeCell ref="AP1560:AZ1560"/>
    <mergeCell ref="A1549:W1549"/>
    <mergeCell ref="X1549:AD1549"/>
    <mergeCell ref="AE1549:AO1549"/>
    <mergeCell ref="AP1549:AZ1549"/>
    <mergeCell ref="A1550:W1550"/>
    <mergeCell ref="X1550:AD1550"/>
    <mergeCell ref="AE1550:AO1550"/>
    <mergeCell ref="AP1550:AZ1550"/>
    <mergeCell ref="A1551:W1551"/>
    <mergeCell ref="X1551:AD1551"/>
    <mergeCell ref="AE1551:AO1551"/>
    <mergeCell ref="AP1551:AZ1551"/>
    <mergeCell ref="A1554:W1555"/>
    <mergeCell ref="X1554:AD1555"/>
    <mergeCell ref="AE1554:AZ1554"/>
    <mergeCell ref="AE1555:AO1555"/>
    <mergeCell ref="AP1555:AZ1555"/>
    <mergeCell ref="A1544:W1544"/>
    <mergeCell ref="X1544:AD1544"/>
    <mergeCell ref="AE1544:AO1544"/>
    <mergeCell ref="AP1544:AZ1544"/>
    <mergeCell ref="A1545:W1545"/>
    <mergeCell ref="X1545:AD1545"/>
    <mergeCell ref="AE1545:AO1545"/>
    <mergeCell ref="AP1545:AZ1545"/>
    <mergeCell ref="A1546:W1546"/>
    <mergeCell ref="X1546:AD1546"/>
    <mergeCell ref="AE1546:AO1546"/>
    <mergeCell ref="AP1546:AZ1546"/>
    <mergeCell ref="A1547:W1547"/>
    <mergeCell ref="X1547:AD1547"/>
    <mergeCell ref="AE1547:AO1547"/>
    <mergeCell ref="AP1547:AZ1547"/>
    <mergeCell ref="A1548:W1548"/>
    <mergeCell ref="X1548:AD1548"/>
    <mergeCell ref="AE1548:AO1548"/>
    <mergeCell ref="AP1548:AZ1548"/>
    <mergeCell ref="AKH1535:AMF1535"/>
    <mergeCell ref="AMG1535:AMJ1535"/>
    <mergeCell ref="A1539:W1540"/>
    <mergeCell ref="X1539:AD1540"/>
    <mergeCell ref="AE1539:AZ1539"/>
    <mergeCell ref="AE1540:AO1540"/>
    <mergeCell ref="AP1540:AZ1540"/>
    <mergeCell ref="A1541:W1541"/>
    <mergeCell ref="X1541:AD1541"/>
    <mergeCell ref="AE1541:AO1541"/>
    <mergeCell ref="AP1541:AZ1541"/>
    <mergeCell ref="A1542:W1542"/>
    <mergeCell ref="X1542:AD1542"/>
    <mergeCell ref="AE1542:AO1542"/>
    <mergeCell ref="AP1542:AZ1542"/>
    <mergeCell ref="A1543:W1543"/>
    <mergeCell ref="X1543:AD1543"/>
    <mergeCell ref="AE1543:AO1543"/>
    <mergeCell ref="AP1543:AZ1543"/>
    <mergeCell ref="CY1535:EW1535"/>
    <mergeCell ref="EX1535:GV1535"/>
    <mergeCell ref="GW1535:IU1535"/>
    <mergeCell ref="IV1535:KT1535"/>
    <mergeCell ref="KU1535:MS1535"/>
    <mergeCell ref="MT1535:OR1535"/>
    <mergeCell ref="OS1535:QQ1535"/>
    <mergeCell ref="QR1535:SP1535"/>
    <mergeCell ref="SQ1535:UO1535"/>
    <mergeCell ref="UP1535:WN1535"/>
    <mergeCell ref="WO1535:YM1535"/>
    <mergeCell ref="YN1535:AAL1535"/>
    <mergeCell ref="AAM1535:ACK1535"/>
    <mergeCell ref="ACL1535:AEJ1535"/>
    <mergeCell ref="AEK1535:AGI1535"/>
    <mergeCell ref="AGJ1535:AIH1535"/>
    <mergeCell ref="AII1535:AKG1535"/>
    <mergeCell ref="A1527:H1528"/>
    <mergeCell ref="I1527:N1527"/>
    <mergeCell ref="O1527:V1527"/>
    <mergeCell ref="W1527:AB1527"/>
    <mergeCell ref="AC1527:AH1527"/>
    <mergeCell ref="AI1527:AP1527"/>
    <mergeCell ref="AQ1527:BB1527"/>
    <mergeCell ref="I1528:N1528"/>
    <mergeCell ref="O1528:V1528"/>
    <mergeCell ref="W1528:AB1528"/>
    <mergeCell ref="AC1528:AH1528"/>
    <mergeCell ref="AI1528:AP1528"/>
    <mergeCell ref="AQ1528:BB1528"/>
    <mergeCell ref="A1530:AX1531"/>
    <mergeCell ref="A1533:AY1533"/>
    <mergeCell ref="A1535:AY1535"/>
    <mergeCell ref="AZ1535:CX1535"/>
    <mergeCell ref="A1523:H1524"/>
    <mergeCell ref="I1523:N1523"/>
    <mergeCell ref="O1523:V1523"/>
    <mergeCell ref="W1523:AB1523"/>
    <mergeCell ref="AC1523:AH1523"/>
    <mergeCell ref="AI1523:AP1523"/>
    <mergeCell ref="AQ1523:BB1523"/>
    <mergeCell ref="I1524:N1524"/>
    <mergeCell ref="O1524:V1524"/>
    <mergeCell ref="W1524:AB1524"/>
    <mergeCell ref="AC1524:AH1524"/>
    <mergeCell ref="AI1524:AP1524"/>
    <mergeCell ref="AQ1524:BB1524"/>
    <mergeCell ref="A1525:H1526"/>
    <mergeCell ref="I1525:N1525"/>
    <mergeCell ref="O1525:V1525"/>
    <mergeCell ref="W1525:AB1525"/>
    <mergeCell ref="AC1525:AH1525"/>
    <mergeCell ref="AI1525:AP1525"/>
    <mergeCell ref="AQ1525:BB1525"/>
    <mergeCell ref="I1526:N1526"/>
    <mergeCell ref="O1526:V1526"/>
    <mergeCell ref="W1526:AB1526"/>
    <mergeCell ref="AC1526:AH1526"/>
    <mergeCell ref="AI1526:AP1526"/>
    <mergeCell ref="AQ1526:BB1526"/>
    <mergeCell ref="A1519:H1520"/>
    <mergeCell ref="I1519:N1519"/>
    <mergeCell ref="O1519:V1519"/>
    <mergeCell ref="W1519:AB1519"/>
    <mergeCell ref="AC1519:AH1519"/>
    <mergeCell ref="AI1519:AP1519"/>
    <mergeCell ref="AQ1519:BB1519"/>
    <mergeCell ref="I1520:N1520"/>
    <mergeCell ref="O1520:V1520"/>
    <mergeCell ref="W1520:AB1520"/>
    <mergeCell ref="AC1520:AH1520"/>
    <mergeCell ref="AI1520:AP1520"/>
    <mergeCell ref="AQ1520:BB1520"/>
    <mergeCell ref="A1521:H1522"/>
    <mergeCell ref="I1521:N1521"/>
    <mergeCell ref="O1521:V1521"/>
    <mergeCell ref="W1521:AB1521"/>
    <mergeCell ref="AC1521:AH1521"/>
    <mergeCell ref="AI1521:AP1521"/>
    <mergeCell ref="AQ1521:BB1521"/>
    <mergeCell ref="I1522:N1522"/>
    <mergeCell ref="O1522:V1522"/>
    <mergeCell ref="W1522:AB1522"/>
    <mergeCell ref="AC1522:AH1522"/>
    <mergeCell ref="AI1522:AP1522"/>
    <mergeCell ref="AQ1522:BB1522"/>
    <mergeCell ref="A1515:H1516"/>
    <mergeCell ref="I1515:N1515"/>
    <mergeCell ref="O1515:V1515"/>
    <mergeCell ref="W1515:AB1515"/>
    <mergeCell ref="AC1515:AH1515"/>
    <mergeCell ref="AI1515:AP1515"/>
    <mergeCell ref="AQ1515:BB1515"/>
    <mergeCell ref="I1516:N1516"/>
    <mergeCell ref="O1516:V1516"/>
    <mergeCell ref="W1516:AB1516"/>
    <mergeCell ref="AC1516:AH1516"/>
    <mergeCell ref="AI1516:AP1516"/>
    <mergeCell ref="AQ1516:BB1516"/>
    <mergeCell ref="A1517:H1518"/>
    <mergeCell ref="I1517:N1517"/>
    <mergeCell ref="O1517:V1517"/>
    <mergeCell ref="W1517:AB1517"/>
    <mergeCell ref="AC1517:AH1517"/>
    <mergeCell ref="AI1517:AP1517"/>
    <mergeCell ref="AQ1517:BB1517"/>
    <mergeCell ref="I1518:N1518"/>
    <mergeCell ref="O1518:V1518"/>
    <mergeCell ref="W1518:AB1518"/>
    <mergeCell ref="AC1518:AH1518"/>
    <mergeCell ref="AI1518:AP1518"/>
    <mergeCell ref="AQ1518:BB1518"/>
    <mergeCell ref="A1508:H1513"/>
    <mergeCell ref="I1508:AB1509"/>
    <mergeCell ref="AC1508:BB1509"/>
    <mergeCell ref="I1510:N1510"/>
    <mergeCell ref="O1510:V1510"/>
    <mergeCell ref="W1510:AB1510"/>
    <mergeCell ref="AC1510:AH1510"/>
    <mergeCell ref="AI1510:AP1510"/>
    <mergeCell ref="AQ1510:BB1510"/>
    <mergeCell ref="I1511:AB1512"/>
    <mergeCell ref="AC1511:BB1512"/>
    <mergeCell ref="I1513:AB1513"/>
    <mergeCell ref="AC1513:BB1513"/>
    <mergeCell ref="A1514:H1514"/>
    <mergeCell ref="I1514:N1514"/>
    <mergeCell ref="O1514:V1514"/>
    <mergeCell ref="W1514:AB1514"/>
    <mergeCell ref="AC1514:AH1514"/>
    <mergeCell ref="AI1514:AP1514"/>
    <mergeCell ref="AQ1514:BB1514"/>
    <mergeCell ref="A1497:AE1497"/>
    <mergeCell ref="AF1497:AN1497"/>
    <mergeCell ref="AO1497:BB1497"/>
    <mergeCell ref="A1498:AE1498"/>
    <mergeCell ref="AF1498:AN1498"/>
    <mergeCell ref="AO1498:BB1498"/>
    <mergeCell ref="A1499:AE1499"/>
    <mergeCell ref="AF1499:AN1499"/>
    <mergeCell ref="AO1499:BB1499"/>
    <mergeCell ref="A1500:AE1500"/>
    <mergeCell ref="AF1500:AN1500"/>
    <mergeCell ref="AO1500:BB1500"/>
    <mergeCell ref="A1501:AE1501"/>
    <mergeCell ref="AF1501:AN1501"/>
    <mergeCell ref="AO1501:BB1501"/>
    <mergeCell ref="A1503:AX1504"/>
    <mergeCell ref="A1506:BA1506"/>
    <mergeCell ref="AEK1492:AGI1492"/>
    <mergeCell ref="AGJ1492:AIH1492"/>
    <mergeCell ref="AII1492:AKG1492"/>
    <mergeCell ref="AKH1492:AMF1492"/>
    <mergeCell ref="AMG1492:AMJ1492"/>
    <mergeCell ref="A1493:AE1493"/>
    <mergeCell ref="AF1493:AN1493"/>
    <mergeCell ref="AO1493:BB1493"/>
    <mergeCell ref="A1494:AE1494"/>
    <mergeCell ref="AF1494:AN1494"/>
    <mergeCell ref="AO1494:BB1494"/>
    <mergeCell ref="A1495:AE1495"/>
    <mergeCell ref="AF1495:AN1495"/>
    <mergeCell ref="AO1495:BB1495"/>
    <mergeCell ref="A1496:AE1496"/>
    <mergeCell ref="AF1496:AN1496"/>
    <mergeCell ref="AO1496:BB1496"/>
    <mergeCell ref="A1491:BA1491"/>
    <mergeCell ref="A1492:AY1492"/>
    <mergeCell ref="AZ1492:CX1492"/>
    <mergeCell ref="CY1492:EW1492"/>
    <mergeCell ref="EX1492:GV1492"/>
    <mergeCell ref="GW1492:IU1492"/>
    <mergeCell ref="IV1492:KT1492"/>
    <mergeCell ref="KU1492:MS1492"/>
    <mergeCell ref="MT1492:OR1492"/>
    <mergeCell ref="OS1492:QQ1492"/>
    <mergeCell ref="QR1492:SP1492"/>
    <mergeCell ref="SQ1492:UO1492"/>
    <mergeCell ref="UP1492:WN1492"/>
    <mergeCell ref="WO1492:YM1492"/>
    <mergeCell ref="YN1492:AAL1492"/>
    <mergeCell ref="AAM1492:ACK1492"/>
    <mergeCell ref="ACL1492:AEJ1492"/>
    <mergeCell ref="GW1489:IU1489"/>
    <mergeCell ref="IV1489:KT1489"/>
    <mergeCell ref="KU1489:MS1489"/>
    <mergeCell ref="MT1489:OR1489"/>
    <mergeCell ref="OS1489:QQ1489"/>
    <mergeCell ref="QR1489:SP1489"/>
    <mergeCell ref="SQ1489:UO1489"/>
    <mergeCell ref="UP1489:WN1489"/>
    <mergeCell ref="WO1489:YM1489"/>
    <mergeCell ref="YN1489:AAL1489"/>
    <mergeCell ref="AAM1489:ACK1489"/>
    <mergeCell ref="ACL1489:AEJ1489"/>
    <mergeCell ref="AEK1489:AGI1489"/>
    <mergeCell ref="AGJ1489:AIH1489"/>
    <mergeCell ref="AII1489:AKG1489"/>
    <mergeCell ref="AKH1489:AMF1489"/>
    <mergeCell ref="AMG1489:AMJ1489"/>
    <mergeCell ref="A1480:AE1480"/>
    <mergeCell ref="AF1480:AN1480"/>
    <mergeCell ref="AO1480:BB1480"/>
    <mergeCell ref="A1481:AE1481"/>
    <mergeCell ref="AF1481:AN1481"/>
    <mergeCell ref="AO1481:BB1481"/>
    <mergeCell ref="A1482:AE1482"/>
    <mergeCell ref="AF1482:AN1482"/>
    <mergeCell ref="AO1482:BB1482"/>
    <mergeCell ref="A1483:AE1483"/>
    <mergeCell ref="AF1483:AN1483"/>
    <mergeCell ref="AO1483:BB1483"/>
    <mergeCell ref="A1485:AX1486"/>
    <mergeCell ref="A1489:AY1489"/>
    <mergeCell ref="AZ1489:CX1489"/>
    <mergeCell ref="CY1489:EW1489"/>
    <mergeCell ref="EX1489:GV1489"/>
    <mergeCell ref="A1472:AE1472"/>
    <mergeCell ref="AF1472:AN1472"/>
    <mergeCell ref="AO1472:BB1472"/>
    <mergeCell ref="A1473:AE1473"/>
    <mergeCell ref="AF1473:AN1473"/>
    <mergeCell ref="AO1473:BB1473"/>
    <mergeCell ref="A1474:AE1474"/>
    <mergeCell ref="AF1474:AN1474"/>
    <mergeCell ref="AO1474:BB1474"/>
    <mergeCell ref="A1476:AE1477"/>
    <mergeCell ref="AF1476:BB1476"/>
    <mergeCell ref="AF1477:AN1477"/>
    <mergeCell ref="AO1477:BB1477"/>
    <mergeCell ref="A1478:AE1478"/>
    <mergeCell ref="AF1478:AN1478"/>
    <mergeCell ref="AO1478:BB1478"/>
    <mergeCell ref="A1479:AE1479"/>
    <mergeCell ref="AF1479:AN1479"/>
    <mergeCell ref="AO1479:BB1479"/>
    <mergeCell ref="AEK1465:AGI1465"/>
    <mergeCell ref="AGJ1465:AIH1465"/>
    <mergeCell ref="AII1465:AKG1465"/>
    <mergeCell ref="AKH1465:AMF1465"/>
    <mergeCell ref="AMG1465:AMJ1465"/>
    <mergeCell ref="A1467:AE1468"/>
    <mergeCell ref="AF1467:BB1467"/>
    <mergeCell ref="AF1468:AN1468"/>
    <mergeCell ref="AO1468:BB1468"/>
    <mergeCell ref="A1469:AE1469"/>
    <mergeCell ref="AF1469:AN1469"/>
    <mergeCell ref="AO1469:BB1469"/>
    <mergeCell ref="A1470:AE1470"/>
    <mergeCell ref="AF1470:AN1470"/>
    <mergeCell ref="AO1470:BB1470"/>
    <mergeCell ref="A1471:AE1471"/>
    <mergeCell ref="AF1471:AN1471"/>
    <mergeCell ref="AO1471:BB1471"/>
    <mergeCell ref="A1462:BA1462"/>
    <mergeCell ref="A1465:AY1465"/>
    <mergeCell ref="AZ1465:CX1465"/>
    <mergeCell ref="CY1465:EW1465"/>
    <mergeCell ref="EX1465:GV1465"/>
    <mergeCell ref="GW1465:IU1465"/>
    <mergeCell ref="IV1465:KT1465"/>
    <mergeCell ref="KU1465:MS1465"/>
    <mergeCell ref="MT1465:OR1465"/>
    <mergeCell ref="OS1465:QQ1465"/>
    <mergeCell ref="QR1465:SP1465"/>
    <mergeCell ref="SQ1465:UO1465"/>
    <mergeCell ref="UP1465:WN1465"/>
    <mergeCell ref="WO1465:YM1465"/>
    <mergeCell ref="YN1465:AAL1465"/>
    <mergeCell ref="AAM1465:ACK1465"/>
    <mergeCell ref="ACL1465:AEJ1465"/>
    <mergeCell ref="A1450:AE1450"/>
    <mergeCell ref="AF1450:AN1450"/>
    <mergeCell ref="AO1450:BB1450"/>
    <mergeCell ref="A1451:AE1451"/>
    <mergeCell ref="AF1451:AN1451"/>
    <mergeCell ref="AO1451:BB1451"/>
    <mergeCell ref="A1452:AE1452"/>
    <mergeCell ref="AF1452:AN1452"/>
    <mergeCell ref="AO1452:BB1452"/>
    <mergeCell ref="A1453:AE1453"/>
    <mergeCell ref="AF1453:AN1453"/>
    <mergeCell ref="AO1453:BB1453"/>
    <mergeCell ref="A1454:AE1454"/>
    <mergeCell ref="AF1454:AN1454"/>
    <mergeCell ref="AO1454:BB1454"/>
    <mergeCell ref="A1456:AX1457"/>
    <mergeCell ref="A1460:AY1460"/>
    <mergeCell ref="A1439:AX1440"/>
    <mergeCell ref="A1442:BA1442"/>
    <mergeCell ref="A1445:AE1445"/>
    <mergeCell ref="AF1445:AN1445"/>
    <mergeCell ref="AO1445:BB1445"/>
    <mergeCell ref="A1446:AE1446"/>
    <mergeCell ref="AF1446:AN1446"/>
    <mergeCell ref="AO1446:BB1446"/>
    <mergeCell ref="A1447:AE1447"/>
    <mergeCell ref="AF1447:AN1447"/>
    <mergeCell ref="AO1447:BB1447"/>
    <mergeCell ref="A1448:AE1448"/>
    <mergeCell ref="AF1448:AN1448"/>
    <mergeCell ref="AO1448:BB1448"/>
    <mergeCell ref="A1449:AE1449"/>
    <mergeCell ref="AF1449:AN1449"/>
    <mergeCell ref="AO1449:BB1449"/>
    <mergeCell ref="P1435:X1435"/>
    <mergeCell ref="Y1435:AB1435"/>
    <mergeCell ref="AC1435:AF1435"/>
    <mergeCell ref="AG1435:AO1435"/>
    <mergeCell ref="AP1435:AU1435"/>
    <mergeCell ref="AV1435:BB1435"/>
    <mergeCell ref="P1436:X1436"/>
    <mergeCell ref="Y1436:AB1436"/>
    <mergeCell ref="AC1436:AF1436"/>
    <mergeCell ref="AG1436:AO1436"/>
    <mergeCell ref="AP1436:AU1436"/>
    <mergeCell ref="AV1436:BB1436"/>
    <mergeCell ref="P1437:X1437"/>
    <mergeCell ref="Y1437:AB1437"/>
    <mergeCell ref="AC1437:AF1437"/>
    <mergeCell ref="AG1437:AO1437"/>
    <mergeCell ref="AP1437:AU1437"/>
    <mergeCell ref="AV1437:BB1437"/>
    <mergeCell ref="P1432:X1432"/>
    <mergeCell ref="Y1432:AB1432"/>
    <mergeCell ref="AC1432:AF1432"/>
    <mergeCell ref="AG1432:AO1432"/>
    <mergeCell ref="AP1432:AU1432"/>
    <mergeCell ref="AV1432:BB1432"/>
    <mergeCell ref="P1433:X1433"/>
    <mergeCell ref="Y1433:AB1433"/>
    <mergeCell ref="AC1433:AF1433"/>
    <mergeCell ref="AG1433:AO1433"/>
    <mergeCell ref="AP1433:AU1433"/>
    <mergeCell ref="AV1433:BB1433"/>
    <mergeCell ref="P1434:X1434"/>
    <mergeCell ref="Y1434:AB1434"/>
    <mergeCell ref="AC1434:AF1434"/>
    <mergeCell ref="AG1434:AO1434"/>
    <mergeCell ref="AP1434:AU1434"/>
    <mergeCell ref="AV1434:BB1434"/>
    <mergeCell ref="P1428:X1428"/>
    <mergeCell ref="Y1428:AB1428"/>
    <mergeCell ref="AC1428:AF1428"/>
    <mergeCell ref="AG1428:AO1428"/>
    <mergeCell ref="AP1428:AU1428"/>
    <mergeCell ref="AV1428:BB1428"/>
    <mergeCell ref="P1429:X1430"/>
    <mergeCell ref="Y1429:AB1430"/>
    <mergeCell ref="AC1429:AF1430"/>
    <mergeCell ref="AG1429:AO1430"/>
    <mergeCell ref="AP1429:AU1430"/>
    <mergeCell ref="AV1429:BB1430"/>
    <mergeCell ref="P1431:X1431"/>
    <mergeCell ref="Y1431:AB1431"/>
    <mergeCell ref="AC1431:AF1431"/>
    <mergeCell ref="AG1431:AO1431"/>
    <mergeCell ref="AP1431:AU1431"/>
    <mergeCell ref="AV1431:BB1431"/>
    <mergeCell ref="A1424:O1424"/>
    <mergeCell ref="P1424:X1425"/>
    <mergeCell ref="Y1424:AB1425"/>
    <mergeCell ref="AC1424:AF1425"/>
    <mergeCell ref="AG1424:AO1425"/>
    <mergeCell ref="AP1424:AU1425"/>
    <mergeCell ref="AV1424:BB1425"/>
    <mergeCell ref="P1426:X1426"/>
    <mergeCell ref="Y1426:AB1426"/>
    <mergeCell ref="AC1426:AF1426"/>
    <mergeCell ref="AG1426:AO1426"/>
    <mergeCell ref="AP1426:AU1426"/>
    <mergeCell ref="AV1426:BB1426"/>
    <mergeCell ref="P1427:X1427"/>
    <mergeCell ref="Y1427:AB1427"/>
    <mergeCell ref="AC1427:AF1427"/>
    <mergeCell ref="AG1427:AO1427"/>
    <mergeCell ref="AP1427:AU1427"/>
    <mergeCell ref="AV1427:BB1427"/>
    <mergeCell ref="A1421:M1421"/>
    <mergeCell ref="P1421:X1421"/>
    <mergeCell ref="Y1421:AB1421"/>
    <mergeCell ref="AC1421:AF1421"/>
    <mergeCell ref="AG1421:AO1421"/>
    <mergeCell ref="AP1421:AU1421"/>
    <mergeCell ref="AV1421:BB1421"/>
    <mergeCell ref="AC1422:AF1422"/>
    <mergeCell ref="AP1422:AU1422"/>
    <mergeCell ref="AV1422:BB1422"/>
    <mergeCell ref="A1423:O1423"/>
    <mergeCell ref="P1423:X1423"/>
    <mergeCell ref="Y1423:AB1423"/>
    <mergeCell ref="AC1423:AF1423"/>
    <mergeCell ref="AG1423:AO1423"/>
    <mergeCell ref="AP1423:AU1423"/>
    <mergeCell ref="AV1423:BB1423"/>
    <mergeCell ref="AF1394:AN1394"/>
    <mergeCell ref="AO1394:BB1394"/>
    <mergeCell ref="AF1395:AN1396"/>
    <mergeCell ref="AO1395:BB1396"/>
    <mergeCell ref="AF1397:AN1398"/>
    <mergeCell ref="AO1397:BB1398"/>
    <mergeCell ref="AF1399:AN1403"/>
    <mergeCell ref="AO1399:BB1403"/>
    <mergeCell ref="AF1404:AN1407"/>
    <mergeCell ref="AO1404:BB1407"/>
    <mergeCell ref="AF1408:AN1410"/>
    <mergeCell ref="AO1408:BB1410"/>
    <mergeCell ref="AF1411:AN1413"/>
    <mergeCell ref="AO1411:BB1413"/>
    <mergeCell ref="A1415:AX1416"/>
    <mergeCell ref="AG1419:BB1419"/>
    <mergeCell ref="P1420:AF1420"/>
    <mergeCell ref="AG1420:BB1420"/>
    <mergeCell ref="A1381:AE1381"/>
    <mergeCell ref="AF1381:AN1381"/>
    <mergeCell ref="AO1381:BB1381"/>
    <mergeCell ref="A1382:AE1382"/>
    <mergeCell ref="AF1382:AN1382"/>
    <mergeCell ref="AO1382:BB1382"/>
    <mergeCell ref="A1383:AE1383"/>
    <mergeCell ref="AF1383:AN1383"/>
    <mergeCell ref="AO1383:BB1383"/>
    <mergeCell ref="A1384:AE1384"/>
    <mergeCell ref="AF1384:AN1384"/>
    <mergeCell ref="AO1384:BB1384"/>
    <mergeCell ref="A1386:AX1387"/>
    <mergeCell ref="AO1392:BB1392"/>
    <mergeCell ref="A1393:AE1393"/>
    <mergeCell ref="AF1393:AN1393"/>
    <mergeCell ref="AO1393:BB1393"/>
    <mergeCell ref="A1375:AE1375"/>
    <mergeCell ref="AF1375:AN1375"/>
    <mergeCell ref="AO1375:BB1375"/>
    <mergeCell ref="A1376:AE1376"/>
    <mergeCell ref="AF1376:AN1376"/>
    <mergeCell ref="AO1376:BB1376"/>
    <mergeCell ref="A1377:AE1377"/>
    <mergeCell ref="AF1377:AN1377"/>
    <mergeCell ref="AO1377:BB1377"/>
    <mergeCell ref="A1378:AE1378"/>
    <mergeCell ref="AF1378:AN1378"/>
    <mergeCell ref="AO1378:BB1378"/>
    <mergeCell ref="A1379:AE1379"/>
    <mergeCell ref="AF1379:AN1379"/>
    <mergeCell ref="AO1379:BB1379"/>
    <mergeCell ref="A1380:AE1380"/>
    <mergeCell ref="AF1380:AN1380"/>
    <mergeCell ref="AO1380:BB1380"/>
    <mergeCell ref="A1369:AE1369"/>
    <mergeCell ref="AF1369:AN1369"/>
    <mergeCell ref="AO1369:BB1369"/>
    <mergeCell ref="A1370:AE1370"/>
    <mergeCell ref="AF1370:AN1370"/>
    <mergeCell ref="AO1370:BB1370"/>
    <mergeCell ref="A1371:AE1371"/>
    <mergeCell ref="AF1371:AN1371"/>
    <mergeCell ref="AO1371:BB1371"/>
    <mergeCell ref="A1372:AE1372"/>
    <mergeCell ref="AF1372:AN1372"/>
    <mergeCell ref="AO1372:BB1372"/>
    <mergeCell ref="A1373:AE1373"/>
    <mergeCell ref="AF1373:AN1373"/>
    <mergeCell ref="AO1373:BB1373"/>
    <mergeCell ref="A1374:AE1374"/>
    <mergeCell ref="AF1374:AN1374"/>
    <mergeCell ref="AO1374:BB1374"/>
    <mergeCell ref="A1363:AE1363"/>
    <mergeCell ref="AF1363:AN1363"/>
    <mergeCell ref="AO1363:BB1363"/>
    <mergeCell ref="A1364:AE1364"/>
    <mergeCell ref="AF1364:AN1364"/>
    <mergeCell ref="AO1364:BB1364"/>
    <mergeCell ref="A1365:AE1365"/>
    <mergeCell ref="AF1365:AN1365"/>
    <mergeCell ref="AO1365:BB1365"/>
    <mergeCell ref="A1366:AE1366"/>
    <mergeCell ref="AF1366:AN1366"/>
    <mergeCell ref="AO1366:BB1366"/>
    <mergeCell ref="A1367:AE1367"/>
    <mergeCell ref="AF1367:AN1367"/>
    <mergeCell ref="AO1367:BB1367"/>
    <mergeCell ref="A1368:AE1368"/>
    <mergeCell ref="AF1368:AN1368"/>
    <mergeCell ref="AO1368:BB1368"/>
    <mergeCell ref="A1357:AE1357"/>
    <mergeCell ref="AF1357:AN1357"/>
    <mergeCell ref="AO1357:BB1357"/>
    <mergeCell ref="AF1358:AN1358"/>
    <mergeCell ref="AO1358:BB1358"/>
    <mergeCell ref="A1359:AE1359"/>
    <mergeCell ref="AF1359:AN1359"/>
    <mergeCell ref="AO1359:BB1359"/>
    <mergeCell ref="A1360:AE1360"/>
    <mergeCell ref="AF1360:AN1360"/>
    <mergeCell ref="AO1360:BB1360"/>
    <mergeCell ref="A1361:AE1361"/>
    <mergeCell ref="AF1361:AN1361"/>
    <mergeCell ref="AO1361:BB1361"/>
    <mergeCell ref="A1362:AE1362"/>
    <mergeCell ref="AF1362:AN1362"/>
    <mergeCell ref="AO1362:BB1362"/>
    <mergeCell ref="A1346:AE1346"/>
    <mergeCell ref="AF1346:AN1346"/>
    <mergeCell ref="AO1346:BB1346"/>
    <mergeCell ref="A1347:AE1347"/>
    <mergeCell ref="AF1347:AN1347"/>
    <mergeCell ref="AO1347:BB1347"/>
    <mergeCell ref="BF1347:BN1347"/>
    <mergeCell ref="A1348:AE1348"/>
    <mergeCell ref="AF1348:AN1348"/>
    <mergeCell ref="AO1348:BB1348"/>
    <mergeCell ref="BF1348:BN1348"/>
    <mergeCell ref="A1349:AE1349"/>
    <mergeCell ref="AF1349:AN1349"/>
    <mergeCell ref="AO1349:BB1349"/>
    <mergeCell ref="BF1349:BQ1349"/>
    <mergeCell ref="A1351:AX1352"/>
    <mergeCell ref="AO1356:BB1356"/>
    <mergeCell ref="A1336:AX1337"/>
    <mergeCell ref="AO1339:BB1339"/>
    <mergeCell ref="A1340:AE1340"/>
    <mergeCell ref="AF1340:AN1340"/>
    <mergeCell ref="AO1340:BB1340"/>
    <mergeCell ref="AF1341:AN1341"/>
    <mergeCell ref="AO1341:BB1341"/>
    <mergeCell ref="A1342:AE1342"/>
    <mergeCell ref="AF1342:AN1342"/>
    <mergeCell ref="AO1342:BB1342"/>
    <mergeCell ref="A1343:AE1343"/>
    <mergeCell ref="AF1343:AN1343"/>
    <mergeCell ref="AO1343:BB1343"/>
    <mergeCell ref="A1344:AE1344"/>
    <mergeCell ref="AF1344:AN1344"/>
    <mergeCell ref="AO1344:BB1344"/>
    <mergeCell ref="A1345:AE1345"/>
    <mergeCell ref="AF1345:AN1345"/>
    <mergeCell ref="AO1345:BB1345"/>
    <mergeCell ref="A1329:AE1329"/>
    <mergeCell ref="AF1329:AN1329"/>
    <mergeCell ref="AO1329:BB1329"/>
    <mergeCell ref="A1330:AE1330"/>
    <mergeCell ref="AF1330:AN1330"/>
    <mergeCell ref="AO1330:BB1330"/>
    <mergeCell ref="A1331:AE1331"/>
    <mergeCell ref="AF1331:AN1331"/>
    <mergeCell ref="AO1331:BB1331"/>
    <mergeCell ref="A1332:AE1332"/>
    <mergeCell ref="AF1332:AN1332"/>
    <mergeCell ref="AO1332:BB1332"/>
    <mergeCell ref="A1333:AE1333"/>
    <mergeCell ref="AF1333:AN1333"/>
    <mergeCell ref="AO1333:BB1333"/>
    <mergeCell ref="A1334:AE1334"/>
    <mergeCell ref="AF1334:AN1334"/>
    <mergeCell ref="AO1334:BB1334"/>
    <mergeCell ref="A1323:AE1323"/>
    <mergeCell ref="AF1323:AN1323"/>
    <mergeCell ref="AO1323:BB1323"/>
    <mergeCell ref="A1324:AE1324"/>
    <mergeCell ref="AF1324:AN1324"/>
    <mergeCell ref="AO1324:BB1324"/>
    <mergeCell ref="A1325:AE1325"/>
    <mergeCell ref="AF1325:AN1325"/>
    <mergeCell ref="AO1325:BB1325"/>
    <mergeCell ref="A1326:AE1326"/>
    <mergeCell ref="AF1326:AN1326"/>
    <mergeCell ref="AO1326:BB1326"/>
    <mergeCell ref="A1327:AE1327"/>
    <mergeCell ref="AF1327:AN1327"/>
    <mergeCell ref="AO1327:BB1327"/>
    <mergeCell ref="A1328:AE1328"/>
    <mergeCell ref="AF1328:AN1328"/>
    <mergeCell ref="AO1328:BB1328"/>
    <mergeCell ref="A1317:AE1317"/>
    <mergeCell ref="AF1317:AN1317"/>
    <mergeCell ref="AO1317:BB1317"/>
    <mergeCell ref="A1318:AE1318"/>
    <mergeCell ref="AF1318:AN1318"/>
    <mergeCell ref="AO1318:BB1318"/>
    <mergeCell ref="A1319:AE1319"/>
    <mergeCell ref="AF1319:AN1319"/>
    <mergeCell ref="AO1319:BB1319"/>
    <mergeCell ref="A1320:AE1320"/>
    <mergeCell ref="AF1320:AN1320"/>
    <mergeCell ref="AO1320:BB1320"/>
    <mergeCell ref="A1321:AE1321"/>
    <mergeCell ref="AF1321:AN1321"/>
    <mergeCell ref="AO1321:BB1321"/>
    <mergeCell ref="A1322:AE1322"/>
    <mergeCell ref="AF1322:AN1322"/>
    <mergeCell ref="AO1322:BB1322"/>
    <mergeCell ref="M1307:S1307"/>
    <mergeCell ref="T1307:Z1307"/>
    <mergeCell ref="AA1307:AG1307"/>
    <mergeCell ref="AH1307:AN1307"/>
    <mergeCell ref="AO1307:BB1307"/>
    <mergeCell ref="M1308:S1308"/>
    <mergeCell ref="T1308:Z1308"/>
    <mergeCell ref="AA1308:AG1308"/>
    <mergeCell ref="AH1308:AN1308"/>
    <mergeCell ref="AO1308:BB1308"/>
    <mergeCell ref="M1309:S1312"/>
    <mergeCell ref="T1309:Z1312"/>
    <mergeCell ref="AA1309:AG1312"/>
    <mergeCell ref="AH1309:AN1312"/>
    <mergeCell ref="AO1309:BB1312"/>
    <mergeCell ref="A1314:AX1315"/>
    <mergeCell ref="A1316:BA1316"/>
    <mergeCell ref="M1303:S1303"/>
    <mergeCell ref="T1303:Z1303"/>
    <mergeCell ref="AA1303:AG1303"/>
    <mergeCell ref="AH1303:AN1303"/>
    <mergeCell ref="AO1303:BB1303"/>
    <mergeCell ref="M1304:S1304"/>
    <mergeCell ref="T1304:Z1304"/>
    <mergeCell ref="AA1304:AG1304"/>
    <mergeCell ref="AH1304:AN1304"/>
    <mergeCell ref="AO1304:BB1304"/>
    <mergeCell ref="M1305:S1305"/>
    <mergeCell ref="T1305:Z1305"/>
    <mergeCell ref="AA1305:AG1305"/>
    <mergeCell ref="AH1305:AN1305"/>
    <mergeCell ref="AO1305:BB1305"/>
    <mergeCell ref="M1306:S1306"/>
    <mergeCell ref="T1306:Z1306"/>
    <mergeCell ref="AA1306:AG1306"/>
    <mergeCell ref="AH1306:AN1306"/>
    <mergeCell ref="AO1306:BB1306"/>
    <mergeCell ref="AO1298:BB1298"/>
    <mergeCell ref="A1299:L1299"/>
    <mergeCell ref="M1299:S1299"/>
    <mergeCell ref="T1299:Z1299"/>
    <mergeCell ref="AA1299:AG1299"/>
    <mergeCell ref="AH1299:AN1299"/>
    <mergeCell ref="AO1299:BB1299"/>
    <mergeCell ref="M1300:S1301"/>
    <mergeCell ref="T1300:Z1301"/>
    <mergeCell ref="AA1300:AG1301"/>
    <mergeCell ref="AH1300:AN1301"/>
    <mergeCell ref="AO1300:BB1301"/>
    <mergeCell ref="M1302:S1302"/>
    <mergeCell ref="T1302:Z1302"/>
    <mergeCell ref="AA1302:AG1302"/>
    <mergeCell ref="AH1302:AN1302"/>
    <mergeCell ref="AO1302:BB1302"/>
    <mergeCell ref="A1287:H1287"/>
    <mergeCell ref="I1287:N1287"/>
    <mergeCell ref="O1287:V1287"/>
    <mergeCell ref="W1287:AB1287"/>
    <mergeCell ref="AC1287:AH1287"/>
    <mergeCell ref="AI1287:AP1287"/>
    <mergeCell ref="AQ1287:BB1287"/>
    <mergeCell ref="A1289:AX1290"/>
    <mergeCell ref="A1293:L1298"/>
    <mergeCell ref="M1293:S1293"/>
    <mergeCell ref="T1293:AG1293"/>
    <mergeCell ref="AH1293:BB1293"/>
    <mergeCell ref="M1294:S1294"/>
    <mergeCell ref="T1294:AG1294"/>
    <mergeCell ref="AH1294:BB1294"/>
    <mergeCell ref="M1295:S1295"/>
    <mergeCell ref="T1295:AG1295"/>
    <mergeCell ref="AH1295:BB1295"/>
    <mergeCell ref="M1296:S1296"/>
    <mergeCell ref="T1296:Z1296"/>
    <mergeCell ref="AA1296:AG1296"/>
    <mergeCell ref="AH1296:AN1296"/>
    <mergeCell ref="AO1296:BB1296"/>
    <mergeCell ref="M1297:S1297"/>
    <mergeCell ref="T1297:Z1297"/>
    <mergeCell ref="AA1297:AG1297"/>
    <mergeCell ref="AH1297:AN1297"/>
    <mergeCell ref="AO1297:BB1297"/>
    <mergeCell ref="M1298:S1298"/>
    <mergeCell ref="T1298:Z1298"/>
    <mergeCell ref="AA1298:AG1298"/>
    <mergeCell ref="AH1298:AN1298"/>
    <mergeCell ref="A1284:H1284"/>
    <mergeCell ref="I1284:N1284"/>
    <mergeCell ref="O1284:V1284"/>
    <mergeCell ref="W1284:AB1284"/>
    <mergeCell ref="AC1284:AH1284"/>
    <mergeCell ref="AI1284:AP1284"/>
    <mergeCell ref="AQ1284:BB1284"/>
    <mergeCell ref="A1285:H1285"/>
    <mergeCell ref="I1285:N1285"/>
    <mergeCell ref="O1285:V1285"/>
    <mergeCell ref="W1285:AB1285"/>
    <mergeCell ref="AC1285:AH1285"/>
    <mergeCell ref="AI1285:AP1285"/>
    <mergeCell ref="AQ1285:BB1285"/>
    <mergeCell ref="A1286:H1286"/>
    <mergeCell ref="I1286:N1286"/>
    <mergeCell ref="O1286:V1286"/>
    <mergeCell ref="W1286:AB1286"/>
    <mergeCell ref="AC1286:AH1286"/>
    <mergeCell ref="AI1286:AP1286"/>
    <mergeCell ref="AQ1286:BB1286"/>
    <mergeCell ref="A1281:H1281"/>
    <mergeCell ref="I1281:N1281"/>
    <mergeCell ref="O1281:V1281"/>
    <mergeCell ref="W1281:AB1281"/>
    <mergeCell ref="AC1281:AH1281"/>
    <mergeCell ref="AI1281:AP1281"/>
    <mergeCell ref="AQ1281:BB1281"/>
    <mergeCell ref="A1282:H1282"/>
    <mergeCell ref="I1282:N1282"/>
    <mergeCell ref="O1282:V1282"/>
    <mergeCell ref="W1282:AB1282"/>
    <mergeCell ref="AC1282:AH1282"/>
    <mergeCell ref="AI1282:AP1282"/>
    <mergeCell ref="AQ1282:BB1282"/>
    <mergeCell ref="A1283:H1283"/>
    <mergeCell ref="I1283:N1283"/>
    <mergeCell ref="O1283:V1283"/>
    <mergeCell ref="W1283:AB1283"/>
    <mergeCell ref="AC1283:AH1283"/>
    <mergeCell ref="AI1283:AP1283"/>
    <mergeCell ref="AQ1283:BB1283"/>
    <mergeCell ref="I1270:N1270"/>
    <mergeCell ref="O1270:V1270"/>
    <mergeCell ref="W1270:AB1270"/>
    <mergeCell ref="AC1270:AH1270"/>
    <mergeCell ref="AI1270:AP1270"/>
    <mergeCell ref="AQ1270:BB1270"/>
    <mergeCell ref="A1272:AX1273"/>
    <mergeCell ref="A1276:H1280"/>
    <mergeCell ref="I1276:V1277"/>
    <mergeCell ref="W1276:AH1277"/>
    <mergeCell ref="AI1276:BB1277"/>
    <mergeCell ref="I1278:N1280"/>
    <mergeCell ref="O1278:V1280"/>
    <mergeCell ref="W1278:AB1280"/>
    <mergeCell ref="AC1278:AH1280"/>
    <mergeCell ref="AI1278:AP1280"/>
    <mergeCell ref="AQ1278:BB1280"/>
    <mergeCell ref="A1267:H1267"/>
    <mergeCell ref="I1267:N1267"/>
    <mergeCell ref="O1267:V1267"/>
    <mergeCell ref="W1267:AB1267"/>
    <mergeCell ref="AC1267:AH1267"/>
    <mergeCell ref="AI1267:AP1267"/>
    <mergeCell ref="AQ1267:BB1267"/>
    <mergeCell ref="I1268:N1268"/>
    <mergeCell ref="O1268:V1268"/>
    <mergeCell ref="W1268:AB1268"/>
    <mergeCell ref="AC1268:AH1268"/>
    <mergeCell ref="AI1268:AP1268"/>
    <mergeCell ref="AQ1268:BB1268"/>
    <mergeCell ref="I1269:N1269"/>
    <mergeCell ref="O1269:V1269"/>
    <mergeCell ref="W1269:AB1269"/>
    <mergeCell ref="AC1269:AH1269"/>
    <mergeCell ref="AI1269:AP1269"/>
    <mergeCell ref="AQ1269:BB1269"/>
    <mergeCell ref="A1263:H1263"/>
    <mergeCell ref="I1263:AB1263"/>
    <mergeCell ref="AC1263:BB1263"/>
    <mergeCell ref="A1264:H1264"/>
    <mergeCell ref="I1264:N1264"/>
    <mergeCell ref="O1264:V1264"/>
    <mergeCell ref="W1264:AB1264"/>
    <mergeCell ref="AC1264:AH1264"/>
    <mergeCell ref="AI1264:AP1264"/>
    <mergeCell ref="AQ1264:BB1264"/>
    <mergeCell ref="I1265:N1265"/>
    <mergeCell ref="O1265:V1265"/>
    <mergeCell ref="W1265:AB1265"/>
    <mergeCell ref="AC1265:AH1265"/>
    <mergeCell ref="AI1265:AP1265"/>
    <mergeCell ref="AQ1265:BB1265"/>
    <mergeCell ref="I1266:N1266"/>
    <mergeCell ref="O1266:V1266"/>
    <mergeCell ref="W1266:AB1266"/>
    <mergeCell ref="AC1266:AH1266"/>
    <mergeCell ref="AI1266:AP1266"/>
    <mergeCell ref="AQ1266:BB1266"/>
    <mergeCell ref="A1250:AC1250"/>
    <mergeCell ref="AD1250:AM1250"/>
    <mergeCell ref="AN1250:BB1250"/>
    <mergeCell ref="AD1251:AM1251"/>
    <mergeCell ref="AN1251:BB1251"/>
    <mergeCell ref="AD1252:AM1252"/>
    <mergeCell ref="AN1252:BB1252"/>
    <mergeCell ref="AD1253:AM1253"/>
    <mergeCell ref="AN1253:BB1253"/>
    <mergeCell ref="AD1254:AM1254"/>
    <mergeCell ref="AN1254:BB1254"/>
    <mergeCell ref="AD1255:AM1255"/>
    <mergeCell ref="AN1255:BB1255"/>
    <mergeCell ref="A1257:AX1258"/>
    <mergeCell ref="I1261:AB1261"/>
    <mergeCell ref="AC1261:BB1261"/>
    <mergeCell ref="AC1262:BB1262"/>
    <mergeCell ref="A1240:T1240"/>
    <mergeCell ref="U1240:AC1240"/>
    <mergeCell ref="AD1240:AI1240"/>
    <mergeCell ref="AJ1240:AQ1240"/>
    <mergeCell ref="AR1240:BB1240"/>
    <mergeCell ref="A1241:T1241"/>
    <mergeCell ref="U1241:AC1241"/>
    <mergeCell ref="AD1241:AI1241"/>
    <mergeCell ref="AJ1241:AQ1241"/>
    <mergeCell ref="AR1241:BB1241"/>
    <mergeCell ref="A1243:AX1244"/>
    <mergeCell ref="AD1246:BB1246"/>
    <mergeCell ref="AD1247:AM1247"/>
    <mergeCell ref="AN1247:BB1247"/>
    <mergeCell ref="AD1248:AM1248"/>
    <mergeCell ref="AN1248:BB1248"/>
    <mergeCell ref="AD1249:AM1249"/>
    <mergeCell ref="AN1249:BB1249"/>
    <mergeCell ref="A1236:T1236"/>
    <mergeCell ref="U1236:AC1236"/>
    <mergeCell ref="AD1236:AI1236"/>
    <mergeCell ref="AJ1236:AQ1236"/>
    <mergeCell ref="AR1236:BB1236"/>
    <mergeCell ref="A1237:T1237"/>
    <mergeCell ref="U1237:AC1237"/>
    <mergeCell ref="AD1237:AI1237"/>
    <mergeCell ref="AJ1237:AQ1237"/>
    <mergeCell ref="AR1237:BB1237"/>
    <mergeCell ref="U1238:AC1238"/>
    <mergeCell ref="AD1238:AI1238"/>
    <mergeCell ref="AJ1238:AQ1238"/>
    <mergeCell ref="AR1238:BB1238"/>
    <mergeCell ref="A1239:T1239"/>
    <mergeCell ref="U1239:AC1239"/>
    <mergeCell ref="AD1239:AI1239"/>
    <mergeCell ref="AJ1239:AQ1239"/>
    <mergeCell ref="AR1239:BB1239"/>
    <mergeCell ref="U1232:AC1232"/>
    <mergeCell ref="AD1232:AI1232"/>
    <mergeCell ref="AJ1232:AQ1232"/>
    <mergeCell ref="AR1232:BB1232"/>
    <mergeCell ref="A1233:T1233"/>
    <mergeCell ref="U1233:AC1233"/>
    <mergeCell ref="AD1233:AI1233"/>
    <mergeCell ref="AJ1233:AQ1233"/>
    <mergeCell ref="AR1233:BB1233"/>
    <mergeCell ref="U1234:AC1234"/>
    <mergeCell ref="AD1234:AI1234"/>
    <mergeCell ref="AJ1234:AQ1234"/>
    <mergeCell ref="AR1234:BB1234"/>
    <mergeCell ref="A1235:T1235"/>
    <mergeCell ref="U1235:AC1235"/>
    <mergeCell ref="AD1235:AI1235"/>
    <mergeCell ref="AJ1235:AQ1235"/>
    <mergeCell ref="AR1235:BB1235"/>
    <mergeCell ref="A1222:V1222"/>
    <mergeCell ref="W1222:AD1222"/>
    <mergeCell ref="AE1222:AL1222"/>
    <mergeCell ref="AM1222:BB1222"/>
    <mergeCell ref="U1225:AI1225"/>
    <mergeCell ref="AJ1225:BB1225"/>
    <mergeCell ref="U1226:AI1226"/>
    <mergeCell ref="AJ1226:BB1226"/>
    <mergeCell ref="A1227:T1227"/>
    <mergeCell ref="U1227:AI1227"/>
    <mergeCell ref="AJ1227:BB1227"/>
    <mergeCell ref="U1228:AI1228"/>
    <mergeCell ref="AJ1228:BB1228"/>
    <mergeCell ref="U1229:AI1229"/>
    <mergeCell ref="AJ1229:BB1229"/>
    <mergeCell ref="U1231:AC1231"/>
    <mergeCell ref="AD1231:AI1231"/>
    <mergeCell ref="AJ1231:AQ1231"/>
    <mergeCell ref="AR1231:BB1231"/>
    <mergeCell ref="A1217:V1217"/>
    <mergeCell ref="W1217:AD1217"/>
    <mergeCell ref="AE1217:AL1217"/>
    <mergeCell ref="AM1217:BB1217"/>
    <mergeCell ref="A1218:V1218"/>
    <mergeCell ref="W1218:AD1218"/>
    <mergeCell ref="AE1218:AL1218"/>
    <mergeCell ref="AM1218:BB1218"/>
    <mergeCell ref="A1219:V1219"/>
    <mergeCell ref="W1219:AD1219"/>
    <mergeCell ref="AE1219:AL1219"/>
    <mergeCell ref="AM1219:BB1219"/>
    <mergeCell ref="A1220:V1220"/>
    <mergeCell ref="W1220:AD1220"/>
    <mergeCell ref="AE1220:AL1220"/>
    <mergeCell ref="AM1220:BB1220"/>
    <mergeCell ref="A1221:V1221"/>
    <mergeCell ref="W1221:AD1221"/>
    <mergeCell ref="AE1221:AL1221"/>
    <mergeCell ref="AM1221:BB1221"/>
    <mergeCell ref="A1212:V1212"/>
    <mergeCell ref="W1212:AD1212"/>
    <mergeCell ref="AE1212:AL1212"/>
    <mergeCell ref="AM1212:BB1212"/>
    <mergeCell ref="A1213:V1213"/>
    <mergeCell ref="W1213:AD1213"/>
    <mergeCell ref="AE1213:AL1213"/>
    <mergeCell ref="AM1213:BB1213"/>
    <mergeCell ref="A1214:V1214"/>
    <mergeCell ref="W1214:AD1214"/>
    <mergeCell ref="AE1214:AL1214"/>
    <mergeCell ref="AM1214:BB1214"/>
    <mergeCell ref="A1215:V1215"/>
    <mergeCell ref="W1215:AD1215"/>
    <mergeCell ref="AE1215:AL1215"/>
    <mergeCell ref="AM1215:BB1215"/>
    <mergeCell ref="A1216:V1216"/>
    <mergeCell ref="W1216:AD1216"/>
    <mergeCell ref="AE1216:AL1216"/>
    <mergeCell ref="AM1216:BB1216"/>
    <mergeCell ref="A1199:AE1199"/>
    <mergeCell ref="AF1199:AN1199"/>
    <mergeCell ref="AO1199:BB1199"/>
    <mergeCell ref="A1200:AE1200"/>
    <mergeCell ref="AF1200:AN1200"/>
    <mergeCell ref="AO1200:BB1200"/>
    <mergeCell ref="A1201:AE1201"/>
    <mergeCell ref="AF1201:AN1201"/>
    <mergeCell ref="AO1201:BB1201"/>
    <mergeCell ref="A1202:AE1202"/>
    <mergeCell ref="AF1202:AN1202"/>
    <mergeCell ref="AO1202:BB1202"/>
    <mergeCell ref="A1203:AE1203"/>
    <mergeCell ref="AF1203:AN1203"/>
    <mergeCell ref="AO1203:BB1203"/>
    <mergeCell ref="A1205:AX1206"/>
    <mergeCell ref="A1210:V1211"/>
    <mergeCell ref="W1210:AL1210"/>
    <mergeCell ref="AM1210:BB1210"/>
    <mergeCell ref="W1211:AD1211"/>
    <mergeCell ref="AE1211:AL1211"/>
    <mergeCell ref="AM1211:BB1211"/>
    <mergeCell ref="A1193:AE1193"/>
    <mergeCell ref="AF1193:AN1193"/>
    <mergeCell ref="AO1193:BB1193"/>
    <mergeCell ref="A1194:AE1194"/>
    <mergeCell ref="AF1194:AN1194"/>
    <mergeCell ref="AO1194:BB1194"/>
    <mergeCell ref="A1195:AE1195"/>
    <mergeCell ref="AF1195:AN1195"/>
    <mergeCell ref="AO1195:BB1195"/>
    <mergeCell ref="A1196:AE1196"/>
    <mergeCell ref="AF1196:AN1196"/>
    <mergeCell ref="AO1196:BB1196"/>
    <mergeCell ref="A1197:AE1197"/>
    <mergeCell ref="AF1197:AN1197"/>
    <mergeCell ref="AO1197:BB1197"/>
    <mergeCell ref="A1198:AE1198"/>
    <mergeCell ref="AF1198:AN1198"/>
    <mergeCell ref="AO1198:BB1198"/>
    <mergeCell ref="A1187:AE1187"/>
    <mergeCell ref="AF1187:AN1187"/>
    <mergeCell ref="AO1187:BB1187"/>
    <mergeCell ref="A1188:AE1188"/>
    <mergeCell ref="AF1188:AN1188"/>
    <mergeCell ref="AO1188:BB1188"/>
    <mergeCell ref="A1189:AE1189"/>
    <mergeCell ref="AF1189:AN1189"/>
    <mergeCell ref="AO1189:BB1189"/>
    <mergeCell ref="A1190:AE1190"/>
    <mergeCell ref="AF1190:AN1190"/>
    <mergeCell ref="AO1190:BB1190"/>
    <mergeCell ref="A1191:AE1191"/>
    <mergeCell ref="AF1191:AN1191"/>
    <mergeCell ref="AO1191:BB1191"/>
    <mergeCell ref="A1192:AE1192"/>
    <mergeCell ref="AF1192:AN1192"/>
    <mergeCell ref="AO1192:BB1192"/>
    <mergeCell ref="A1180:M1180"/>
    <mergeCell ref="N1180:Q1180"/>
    <mergeCell ref="R1180:V1180"/>
    <mergeCell ref="W1180:AB1180"/>
    <mergeCell ref="AC1180:AH1180"/>
    <mergeCell ref="AI1180:AP1180"/>
    <mergeCell ref="AQ1180:BB1180"/>
    <mergeCell ref="A1181:M1181"/>
    <mergeCell ref="N1181:Q1181"/>
    <mergeCell ref="R1181:V1181"/>
    <mergeCell ref="W1181:AB1181"/>
    <mergeCell ref="AC1181:AH1181"/>
    <mergeCell ref="AI1181:AP1181"/>
    <mergeCell ref="AQ1181:BB1181"/>
    <mergeCell ref="A1183:AX1184"/>
    <mergeCell ref="A1186:AE1186"/>
    <mergeCell ref="AF1186:AN1186"/>
    <mergeCell ref="AO1186:BB1186"/>
    <mergeCell ref="A1177:M1177"/>
    <mergeCell ref="N1177:Q1177"/>
    <mergeCell ref="R1177:V1177"/>
    <mergeCell ref="W1177:AB1177"/>
    <mergeCell ref="AC1177:AH1177"/>
    <mergeCell ref="AI1177:AP1177"/>
    <mergeCell ref="AQ1177:BB1177"/>
    <mergeCell ref="A1178:M1178"/>
    <mergeCell ref="N1178:Q1178"/>
    <mergeCell ref="R1178:V1178"/>
    <mergeCell ref="W1178:AB1178"/>
    <mergeCell ref="AC1178:AH1178"/>
    <mergeCell ref="AI1178:AP1178"/>
    <mergeCell ref="AQ1178:BB1178"/>
    <mergeCell ref="A1179:M1179"/>
    <mergeCell ref="N1179:Q1179"/>
    <mergeCell ref="R1179:V1179"/>
    <mergeCell ref="W1179:AB1179"/>
    <mergeCell ref="AC1179:AH1179"/>
    <mergeCell ref="AI1179:AP1179"/>
    <mergeCell ref="AQ1179:BB1179"/>
    <mergeCell ref="A1174:M1174"/>
    <mergeCell ref="N1174:Q1174"/>
    <mergeCell ref="R1174:V1174"/>
    <mergeCell ref="W1174:AB1174"/>
    <mergeCell ref="AC1174:AH1174"/>
    <mergeCell ref="AI1174:AP1174"/>
    <mergeCell ref="AQ1174:BB1174"/>
    <mergeCell ref="A1175:M1175"/>
    <mergeCell ref="N1175:Q1175"/>
    <mergeCell ref="R1175:V1175"/>
    <mergeCell ref="W1175:AB1175"/>
    <mergeCell ref="AC1175:AH1175"/>
    <mergeCell ref="AI1175:AP1175"/>
    <mergeCell ref="AQ1175:BB1175"/>
    <mergeCell ref="A1176:M1176"/>
    <mergeCell ref="N1176:Q1176"/>
    <mergeCell ref="R1176:V1176"/>
    <mergeCell ref="W1176:AB1176"/>
    <mergeCell ref="AC1176:AH1176"/>
    <mergeCell ref="AI1176:AP1176"/>
    <mergeCell ref="AQ1176:BB1176"/>
    <mergeCell ref="A1171:M1171"/>
    <mergeCell ref="N1171:Q1171"/>
    <mergeCell ref="R1171:V1171"/>
    <mergeCell ref="W1171:AB1171"/>
    <mergeCell ref="AC1171:AH1171"/>
    <mergeCell ref="AI1171:AP1171"/>
    <mergeCell ref="AQ1171:BB1171"/>
    <mergeCell ref="A1172:M1172"/>
    <mergeCell ref="N1172:Q1172"/>
    <mergeCell ref="R1172:V1172"/>
    <mergeCell ref="W1172:AB1172"/>
    <mergeCell ref="AC1172:AH1172"/>
    <mergeCell ref="AI1172:AP1172"/>
    <mergeCell ref="AQ1172:BB1172"/>
    <mergeCell ref="A1173:M1173"/>
    <mergeCell ref="N1173:Q1173"/>
    <mergeCell ref="R1173:V1173"/>
    <mergeCell ref="W1173:AB1173"/>
    <mergeCell ref="AC1173:AH1173"/>
    <mergeCell ref="AI1173:AP1173"/>
    <mergeCell ref="AQ1173:BB1173"/>
    <mergeCell ref="R1167:V1167"/>
    <mergeCell ref="AC1167:AH1167"/>
    <mergeCell ref="AI1167:AP1167"/>
    <mergeCell ref="AQ1167:BB1167"/>
    <mergeCell ref="AC1168:AH1168"/>
    <mergeCell ref="AI1168:AP1168"/>
    <mergeCell ref="AQ1168:BB1168"/>
    <mergeCell ref="AC1169:AH1169"/>
    <mergeCell ref="AI1169:AP1169"/>
    <mergeCell ref="AQ1169:BB1169"/>
    <mergeCell ref="A1170:M1170"/>
    <mergeCell ref="N1170:Q1170"/>
    <mergeCell ref="R1170:V1170"/>
    <mergeCell ref="W1170:AB1170"/>
    <mergeCell ref="AC1170:AH1170"/>
    <mergeCell ref="AI1170:AP1170"/>
    <mergeCell ref="AQ1170:BB1170"/>
    <mergeCell ref="W1163:AB1163"/>
    <mergeCell ref="AC1163:AH1163"/>
    <mergeCell ref="AI1163:AP1163"/>
    <mergeCell ref="AQ1163:BB1163"/>
    <mergeCell ref="W1164:AB1164"/>
    <mergeCell ref="AC1164:AH1164"/>
    <mergeCell ref="AI1164:AP1164"/>
    <mergeCell ref="AQ1164:BB1164"/>
    <mergeCell ref="A1165:M1165"/>
    <mergeCell ref="N1165:Q1165"/>
    <mergeCell ref="R1165:V1165"/>
    <mergeCell ref="W1165:AB1165"/>
    <mergeCell ref="AC1165:AH1165"/>
    <mergeCell ref="AI1165:AP1165"/>
    <mergeCell ref="AQ1165:BB1165"/>
    <mergeCell ref="R1166:V1166"/>
    <mergeCell ref="W1166:AB1166"/>
    <mergeCell ref="AC1166:AH1166"/>
    <mergeCell ref="AI1166:AP1166"/>
    <mergeCell ref="AQ1166:BB1166"/>
    <mergeCell ref="A1158:M1158"/>
    <mergeCell ref="N1158:Q1158"/>
    <mergeCell ref="R1158:V1158"/>
    <mergeCell ref="W1158:AB1158"/>
    <mergeCell ref="AC1158:AH1158"/>
    <mergeCell ref="AI1158:AP1158"/>
    <mergeCell ref="AQ1158:BB1158"/>
    <mergeCell ref="A1159:M1159"/>
    <mergeCell ref="N1159:Q1159"/>
    <mergeCell ref="R1159:V1159"/>
    <mergeCell ref="W1159:AB1159"/>
    <mergeCell ref="AC1159:AH1159"/>
    <mergeCell ref="AI1159:AP1159"/>
    <mergeCell ref="AQ1159:BB1159"/>
    <mergeCell ref="A1162:H1162"/>
    <mergeCell ref="W1162:AB1162"/>
    <mergeCell ref="AC1162:AH1162"/>
    <mergeCell ref="AI1162:AP1162"/>
    <mergeCell ref="AQ1162:BB1162"/>
    <mergeCell ref="A1155:M1155"/>
    <mergeCell ref="N1155:Q1155"/>
    <mergeCell ref="R1155:V1155"/>
    <mergeCell ref="W1155:AB1155"/>
    <mergeCell ref="AC1155:AH1155"/>
    <mergeCell ref="AI1155:AP1155"/>
    <mergeCell ref="AQ1155:BB1155"/>
    <mergeCell ref="A1156:M1156"/>
    <mergeCell ref="N1156:Q1156"/>
    <mergeCell ref="R1156:V1156"/>
    <mergeCell ref="W1156:AB1156"/>
    <mergeCell ref="AC1156:AH1156"/>
    <mergeCell ref="AI1156:AP1156"/>
    <mergeCell ref="AQ1156:BB1156"/>
    <mergeCell ref="A1157:M1157"/>
    <mergeCell ref="N1157:Q1157"/>
    <mergeCell ref="R1157:V1157"/>
    <mergeCell ref="W1157:AB1157"/>
    <mergeCell ref="AC1157:AH1157"/>
    <mergeCell ref="AI1157:AP1157"/>
    <mergeCell ref="AQ1157:BB1157"/>
    <mergeCell ref="A1152:M1152"/>
    <mergeCell ref="N1152:Q1152"/>
    <mergeCell ref="R1152:V1152"/>
    <mergeCell ref="W1152:AB1152"/>
    <mergeCell ref="AC1152:AH1152"/>
    <mergeCell ref="AI1152:AP1152"/>
    <mergeCell ref="AQ1152:BB1152"/>
    <mergeCell ref="A1153:M1153"/>
    <mergeCell ref="N1153:Q1153"/>
    <mergeCell ref="R1153:V1153"/>
    <mergeCell ref="W1153:AB1153"/>
    <mergeCell ref="AC1153:AH1153"/>
    <mergeCell ref="AI1153:AP1153"/>
    <mergeCell ref="AQ1153:BB1153"/>
    <mergeCell ref="A1154:M1154"/>
    <mergeCell ref="N1154:Q1154"/>
    <mergeCell ref="R1154:V1154"/>
    <mergeCell ref="W1154:AB1154"/>
    <mergeCell ref="AC1154:AH1154"/>
    <mergeCell ref="AI1154:AP1154"/>
    <mergeCell ref="AQ1154:BB1154"/>
    <mergeCell ref="R1147:V1147"/>
    <mergeCell ref="W1147:AB1147"/>
    <mergeCell ref="AC1147:AH1147"/>
    <mergeCell ref="AI1147:AP1147"/>
    <mergeCell ref="AQ1147:BB1147"/>
    <mergeCell ref="R1148:V1148"/>
    <mergeCell ref="AC1148:AH1148"/>
    <mergeCell ref="AI1148:AP1148"/>
    <mergeCell ref="AQ1148:BB1148"/>
    <mergeCell ref="AC1149:AH1149"/>
    <mergeCell ref="AI1149:AP1149"/>
    <mergeCell ref="AQ1149:BB1149"/>
    <mergeCell ref="AC1150:AH1150"/>
    <mergeCell ref="AI1150:AP1150"/>
    <mergeCell ref="AQ1150:BB1150"/>
    <mergeCell ref="A1151:M1151"/>
    <mergeCell ref="N1151:Q1151"/>
    <mergeCell ref="R1151:V1151"/>
    <mergeCell ref="W1151:AB1151"/>
    <mergeCell ref="AC1151:AH1151"/>
    <mergeCell ref="AI1151:AP1151"/>
    <mergeCell ref="AQ1151:BB1151"/>
    <mergeCell ref="A1138:AX1139"/>
    <mergeCell ref="A1143:H1143"/>
    <mergeCell ref="W1143:AB1143"/>
    <mergeCell ref="AC1143:AH1143"/>
    <mergeCell ref="AI1143:AP1143"/>
    <mergeCell ref="AQ1143:BB1143"/>
    <mergeCell ref="W1144:AB1144"/>
    <mergeCell ref="AC1144:AH1144"/>
    <mergeCell ref="AI1144:AP1144"/>
    <mergeCell ref="AQ1144:BB1144"/>
    <mergeCell ref="W1145:AB1145"/>
    <mergeCell ref="AC1145:AH1145"/>
    <mergeCell ref="AI1145:AP1145"/>
    <mergeCell ref="AQ1145:BB1145"/>
    <mergeCell ref="A1146:M1146"/>
    <mergeCell ref="N1146:Q1146"/>
    <mergeCell ref="R1146:V1146"/>
    <mergeCell ref="W1146:AB1146"/>
    <mergeCell ref="AC1146:AH1146"/>
    <mergeCell ref="AI1146:AP1146"/>
    <mergeCell ref="AQ1146:BB1146"/>
    <mergeCell ref="A1134:L1134"/>
    <mergeCell ref="M1134:T1134"/>
    <mergeCell ref="U1134:AA1134"/>
    <mergeCell ref="AB1134:AH1134"/>
    <mergeCell ref="AI1134:AO1134"/>
    <mergeCell ref="AP1134:BB1134"/>
    <mergeCell ref="A1135:L1135"/>
    <mergeCell ref="M1135:T1135"/>
    <mergeCell ref="U1135:AA1135"/>
    <mergeCell ref="AB1135:AH1135"/>
    <mergeCell ref="AI1135:AO1135"/>
    <mergeCell ref="AP1135:BB1135"/>
    <mergeCell ref="A1136:L1136"/>
    <mergeCell ref="M1136:T1136"/>
    <mergeCell ref="U1136:AA1136"/>
    <mergeCell ref="AB1136:AH1136"/>
    <mergeCell ref="AI1136:AO1136"/>
    <mergeCell ref="AP1136:BB1136"/>
    <mergeCell ref="T1125:AF1125"/>
    <mergeCell ref="AG1125:BB1125"/>
    <mergeCell ref="T1126:AF1126"/>
    <mergeCell ref="AG1126:BB1126"/>
    <mergeCell ref="A1128:AX1129"/>
    <mergeCell ref="A1131:L1131"/>
    <mergeCell ref="M1131:T1131"/>
    <mergeCell ref="U1131:AA1132"/>
    <mergeCell ref="AB1131:AH1132"/>
    <mergeCell ref="AI1131:AO1132"/>
    <mergeCell ref="AP1131:BB1132"/>
    <mergeCell ref="A1132:L1132"/>
    <mergeCell ref="M1132:T1132"/>
    <mergeCell ref="A1133:L1133"/>
    <mergeCell ref="M1133:T1133"/>
    <mergeCell ref="U1133:AA1133"/>
    <mergeCell ref="AB1133:AH1133"/>
    <mergeCell ref="AI1133:AO1133"/>
    <mergeCell ref="AP1133:BB1133"/>
    <mergeCell ref="Y1111:AK1111"/>
    <mergeCell ref="AL1111:BB1111"/>
    <mergeCell ref="A1113:AX1114"/>
    <mergeCell ref="AG1117:BB1117"/>
    <mergeCell ref="A1118:S1118"/>
    <mergeCell ref="T1118:AF1118"/>
    <mergeCell ref="AG1118:BB1118"/>
    <mergeCell ref="AG1119:BB1119"/>
    <mergeCell ref="T1120:AF1120"/>
    <mergeCell ref="AG1120:BB1120"/>
    <mergeCell ref="T1121:AF1121"/>
    <mergeCell ref="AG1121:BB1121"/>
    <mergeCell ref="T1122:AF1122"/>
    <mergeCell ref="AG1122:BB1122"/>
    <mergeCell ref="T1123:AF1123"/>
    <mergeCell ref="AG1123:BB1123"/>
    <mergeCell ref="T1124:AF1124"/>
    <mergeCell ref="AG1124:BB1124"/>
    <mergeCell ref="Y1102:AK1102"/>
    <mergeCell ref="AL1102:BB1102"/>
    <mergeCell ref="Y1103:AK1103"/>
    <mergeCell ref="AL1103:BB1103"/>
    <mergeCell ref="Y1104:AK1104"/>
    <mergeCell ref="AL1104:BB1104"/>
    <mergeCell ref="Y1105:AK1105"/>
    <mergeCell ref="AL1105:BB1105"/>
    <mergeCell ref="Y1106:AK1106"/>
    <mergeCell ref="AL1106:BB1106"/>
    <mergeCell ref="Y1107:AK1107"/>
    <mergeCell ref="AL1107:BB1107"/>
    <mergeCell ref="Y1108:AK1108"/>
    <mergeCell ref="AL1108:BB1108"/>
    <mergeCell ref="Y1109:AK1109"/>
    <mergeCell ref="AL1109:BB1109"/>
    <mergeCell ref="Y1110:AK1110"/>
    <mergeCell ref="AL1110:BB1110"/>
    <mergeCell ref="Y1091:AK1091"/>
    <mergeCell ref="AL1091:BB1091"/>
    <mergeCell ref="Y1092:AK1093"/>
    <mergeCell ref="AL1092:BB1093"/>
    <mergeCell ref="Y1094:AK1094"/>
    <mergeCell ref="AL1094:BB1094"/>
    <mergeCell ref="Y1095:AK1095"/>
    <mergeCell ref="AL1095:BB1095"/>
    <mergeCell ref="Y1096:AK1097"/>
    <mergeCell ref="AL1096:BB1097"/>
    <mergeCell ref="Y1098:AK1098"/>
    <mergeCell ref="AL1098:BB1098"/>
    <mergeCell ref="Y1099:AK1099"/>
    <mergeCell ref="AL1099:BB1099"/>
    <mergeCell ref="Y1100:AK1100"/>
    <mergeCell ref="AL1100:BB1100"/>
    <mergeCell ref="Y1101:AK1101"/>
    <mergeCell ref="AL1101:BB1101"/>
    <mergeCell ref="A1074:S1074"/>
    <mergeCell ref="T1074:AF1074"/>
    <mergeCell ref="AG1074:BB1074"/>
    <mergeCell ref="T1075:AF1076"/>
    <mergeCell ref="AG1075:BB1076"/>
    <mergeCell ref="T1077:AF1078"/>
    <mergeCell ref="AG1077:BB1078"/>
    <mergeCell ref="T1079:AF1079"/>
    <mergeCell ref="AG1079:BB1079"/>
    <mergeCell ref="T1080:AF1081"/>
    <mergeCell ref="AG1080:BB1081"/>
    <mergeCell ref="T1082:AF1082"/>
    <mergeCell ref="AG1082:BB1082"/>
    <mergeCell ref="A1084:AX1085"/>
    <mergeCell ref="A1087:BA1087"/>
    <mergeCell ref="AL1089:BB1089"/>
    <mergeCell ref="A1090:X1090"/>
    <mergeCell ref="Y1090:AK1090"/>
    <mergeCell ref="AL1090:BB1090"/>
    <mergeCell ref="A1066:L1066"/>
    <mergeCell ref="M1066:P1066"/>
    <mergeCell ref="Q1066:T1066"/>
    <mergeCell ref="U1066:X1066"/>
    <mergeCell ref="Y1066:AA1066"/>
    <mergeCell ref="AB1066:AE1066"/>
    <mergeCell ref="AF1066:AH1066"/>
    <mergeCell ref="AI1066:AL1066"/>
    <mergeCell ref="AM1066:AO1066"/>
    <mergeCell ref="AP1066:AV1066"/>
    <mergeCell ref="AW1066:BB1066"/>
    <mergeCell ref="A1068:AX1069"/>
    <mergeCell ref="AG1071:BB1071"/>
    <mergeCell ref="A1072:S1072"/>
    <mergeCell ref="T1072:AF1072"/>
    <mergeCell ref="AG1072:BB1072"/>
    <mergeCell ref="AG1073:BB1073"/>
    <mergeCell ref="A1064:L1064"/>
    <mergeCell ref="M1064:P1064"/>
    <mergeCell ref="Q1064:T1064"/>
    <mergeCell ref="U1064:X1064"/>
    <mergeCell ref="Y1064:AA1064"/>
    <mergeCell ref="AB1064:AE1064"/>
    <mergeCell ref="AF1064:AH1064"/>
    <mergeCell ref="AI1064:AL1064"/>
    <mergeCell ref="AM1064:AO1064"/>
    <mergeCell ref="AP1064:AV1064"/>
    <mergeCell ref="AW1064:BB1064"/>
    <mergeCell ref="A1065:L1065"/>
    <mergeCell ref="M1065:P1065"/>
    <mergeCell ref="Q1065:T1065"/>
    <mergeCell ref="U1065:X1065"/>
    <mergeCell ref="Y1065:AA1065"/>
    <mergeCell ref="AB1065:AE1065"/>
    <mergeCell ref="AF1065:AH1065"/>
    <mergeCell ref="AI1065:AL1065"/>
    <mergeCell ref="AM1065:AO1065"/>
    <mergeCell ref="AP1065:AV1065"/>
    <mergeCell ref="AW1065:BB1065"/>
    <mergeCell ref="A1062:L1062"/>
    <mergeCell ref="M1062:P1062"/>
    <mergeCell ref="Q1062:T1062"/>
    <mergeCell ref="U1062:X1062"/>
    <mergeCell ref="Y1062:AA1062"/>
    <mergeCell ref="AB1062:AE1062"/>
    <mergeCell ref="AF1062:AH1062"/>
    <mergeCell ref="AI1062:AL1062"/>
    <mergeCell ref="AM1062:AO1062"/>
    <mergeCell ref="AP1062:AV1062"/>
    <mergeCell ref="AW1062:BB1062"/>
    <mergeCell ref="A1063:L1063"/>
    <mergeCell ref="M1063:P1063"/>
    <mergeCell ref="Q1063:T1063"/>
    <mergeCell ref="U1063:X1063"/>
    <mergeCell ref="Y1063:AA1063"/>
    <mergeCell ref="AB1063:AE1063"/>
    <mergeCell ref="AF1063:AH1063"/>
    <mergeCell ref="AI1063:AL1063"/>
    <mergeCell ref="AM1063:AO1063"/>
    <mergeCell ref="AP1063:AV1063"/>
    <mergeCell ref="AW1063:BB1063"/>
    <mergeCell ref="M1060:P1060"/>
    <mergeCell ref="Q1060:T1060"/>
    <mergeCell ref="U1060:X1060"/>
    <mergeCell ref="Y1060:AA1060"/>
    <mergeCell ref="AB1060:AE1060"/>
    <mergeCell ref="AF1060:AH1060"/>
    <mergeCell ref="AI1060:AL1060"/>
    <mergeCell ref="AM1060:AO1060"/>
    <mergeCell ref="AP1060:AV1060"/>
    <mergeCell ref="AW1060:BB1060"/>
    <mergeCell ref="A1061:L1061"/>
    <mergeCell ref="M1061:P1061"/>
    <mergeCell ref="Q1061:T1061"/>
    <mergeCell ref="U1061:X1061"/>
    <mergeCell ref="Y1061:AA1061"/>
    <mergeCell ref="AB1061:AE1061"/>
    <mergeCell ref="AF1061:AH1061"/>
    <mergeCell ref="AI1061:AL1061"/>
    <mergeCell ref="AM1061:AO1061"/>
    <mergeCell ref="AP1061:AV1061"/>
    <mergeCell ref="AW1061:BB1061"/>
    <mergeCell ref="M1058:P1058"/>
    <mergeCell ref="Q1058:T1058"/>
    <mergeCell ref="U1058:X1058"/>
    <mergeCell ref="Y1058:AA1058"/>
    <mergeCell ref="AB1058:AE1058"/>
    <mergeCell ref="AF1058:AH1058"/>
    <mergeCell ref="AI1058:AL1058"/>
    <mergeCell ref="AM1058:AO1058"/>
    <mergeCell ref="AP1058:AV1058"/>
    <mergeCell ref="AW1058:BB1058"/>
    <mergeCell ref="M1059:P1059"/>
    <mergeCell ref="Q1059:T1059"/>
    <mergeCell ref="U1059:X1059"/>
    <mergeCell ref="Y1059:AA1059"/>
    <mergeCell ref="AB1059:AE1059"/>
    <mergeCell ref="AF1059:AH1059"/>
    <mergeCell ref="AI1059:AL1059"/>
    <mergeCell ref="AM1059:AO1059"/>
    <mergeCell ref="AP1059:AV1059"/>
    <mergeCell ref="AW1059:BB1059"/>
    <mergeCell ref="A1056:L1056"/>
    <mergeCell ref="M1056:P1056"/>
    <mergeCell ref="Q1056:T1056"/>
    <mergeCell ref="U1056:X1056"/>
    <mergeCell ref="Y1056:AA1056"/>
    <mergeCell ref="AB1056:AE1056"/>
    <mergeCell ref="AF1056:AH1056"/>
    <mergeCell ref="AI1056:AL1056"/>
    <mergeCell ref="AM1056:AO1056"/>
    <mergeCell ref="AP1056:AV1056"/>
    <mergeCell ref="AW1056:BB1056"/>
    <mergeCell ref="M1057:P1057"/>
    <mergeCell ref="Q1057:T1057"/>
    <mergeCell ref="U1057:X1057"/>
    <mergeCell ref="Y1057:AA1057"/>
    <mergeCell ref="AB1057:AE1057"/>
    <mergeCell ref="AF1057:AH1057"/>
    <mergeCell ref="AI1057:AL1057"/>
    <mergeCell ref="AM1057:AO1057"/>
    <mergeCell ref="AP1057:AV1057"/>
    <mergeCell ref="AW1057:BB1057"/>
    <mergeCell ref="A1054:L1054"/>
    <mergeCell ref="M1054:P1054"/>
    <mergeCell ref="Q1054:T1054"/>
    <mergeCell ref="U1054:X1054"/>
    <mergeCell ref="Y1054:AA1054"/>
    <mergeCell ref="AB1054:AE1054"/>
    <mergeCell ref="AF1054:AH1054"/>
    <mergeCell ref="AI1054:AL1054"/>
    <mergeCell ref="AM1054:AO1054"/>
    <mergeCell ref="AP1054:AV1054"/>
    <mergeCell ref="AW1054:BB1054"/>
    <mergeCell ref="A1055:L1055"/>
    <mergeCell ref="M1055:P1055"/>
    <mergeCell ref="Q1055:T1055"/>
    <mergeCell ref="U1055:X1055"/>
    <mergeCell ref="Y1055:AA1055"/>
    <mergeCell ref="AB1055:AE1055"/>
    <mergeCell ref="AF1055:AH1055"/>
    <mergeCell ref="AI1055:AL1055"/>
    <mergeCell ref="AM1055:AO1055"/>
    <mergeCell ref="AP1055:AV1055"/>
    <mergeCell ref="AW1055:BB1055"/>
    <mergeCell ref="A1052:L1052"/>
    <mergeCell ref="M1052:P1052"/>
    <mergeCell ref="Q1052:T1052"/>
    <mergeCell ref="U1052:X1052"/>
    <mergeCell ref="Y1052:AA1052"/>
    <mergeCell ref="AB1052:AE1052"/>
    <mergeCell ref="AF1052:AH1052"/>
    <mergeCell ref="AI1052:AL1052"/>
    <mergeCell ref="AM1052:AO1052"/>
    <mergeCell ref="AP1052:AV1052"/>
    <mergeCell ref="AW1052:BB1052"/>
    <mergeCell ref="A1053:L1053"/>
    <mergeCell ref="M1053:P1053"/>
    <mergeCell ref="Q1053:T1053"/>
    <mergeCell ref="U1053:X1053"/>
    <mergeCell ref="Y1053:AA1053"/>
    <mergeCell ref="AB1053:AE1053"/>
    <mergeCell ref="AF1053:AH1053"/>
    <mergeCell ref="AI1053:AL1053"/>
    <mergeCell ref="AM1053:AO1053"/>
    <mergeCell ref="AP1053:AV1053"/>
    <mergeCell ref="AW1053:BB1053"/>
    <mergeCell ref="M1048:T1048"/>
    <mergeCell ref="AP1048:BB1048"/>
    <mergeCell ref="AP1049:BB1049"/>
    <mergeCell ref="A1050:L1050"/>
    <mergeCell ref="M1050:P1050"/>
    <mergeCell ref="Q1050:T1050"/>
    <mergeCell ref="U1050:X1050"/>
    <mergeCell ref="Y1050:AA1050"/>
    <mergeCell ref="AB1050:AE1050"/>
    <mergeCell ref="AF1050:AH1050"/>
    <mergeCell ref="AI1050:AL1050"/>
    <mergeCell ref="AM1050:AO1050"/>
    <mergeCell ref="AP1050:AV1050"/>
    <mergeCell ref="AW1050:BB1050"/>
    <mergeCell ref="A1051:L1051"/>
    <mergeCell ref="M1051:P1051"/>
    <mergeCell ref="Q1051:T1051"/>
    <mergeCell ref="U1051:X1051"/>
    <mergeCell ref="Y1051:AA1051"/>
    <mergeCell ref="AB1051:AE1051"/>
    <mergeCell ref="AF1051:AH1051"/>
    <mergeCell ref="AI1051:AL1051"/>
    <mergeCell ref="AM1051:AO1051"/>
    <mergeCell ref="AP1051:AV1051"/>
    <mergeCell ref="AW1051:BB1051"/>
    <mergeCell ref="A1028:AH1028"/>
    <mergeCell ref="AI1028:BB1028"/>
    <mergeCell ref="AI1029:BB1029"/>
    <mergeCell ref="AI1030:BB1030"/>
    <mergeCell ref="AI1031:BB1031"/>
    <mergeCell ref="AI1032:BB1032"/>
    <mergeCell ref="AI1033:BB1033"/>
    <mergeCell ref="AI1034:BB1034"/>
    <mergeCell ref="AI1035:BB1035"/>
    <mergeCell ref="AI1036:BB1036"/>
    <mergeCell ref="AI1037:BB1037"/>
    <mergeCell ref="A1039:AX1040"/>
    <mergeCell ref="M1045:BB1045"/>
    <mergeCell ref="AP1046:BB1046"/>
    <mergeCell ref="A1047:L1047"/>
    <mergeCell ref="M1047:T1047"/>
    <mergeCell ref="U1047:AA1047"/>
    <mergeCell ref="AB1047:AH1047"/>
    <mergeCell ref="AI1047:AO1047"/>
    <mergeCell ref="AP1047:BB1047"/>
    <mergeCell ref="A1012:AH1012"/>
    <mergeCell ref="AI1012:BB1012"/>
    <mergeCell ref="AI1013:BB1013"/>
    <mergeCell ref="AI1014:BB1014"/>
    <mergeCell ref="AI1015:BB1015"/>
    <mergeCell ref="AI1016:BB1016"/>
    <mergeCell ref="AI1017:BB1017"/>
    <mergeCell ref="AI1018:BB1018"/>
    <mergeCell ref="AI1019:BB1019"/>
    <mergeCell ref="AI1020:BB1020"/>
    <mergeCell ref="AI1021:BB1021"/>
    <mergeCell ref="AI1022:BB1022"/>
    <mergeCell ref="AI1023:BB1023"/>
    <mergeCell ref="A1026:AH1026"/>
    <mergeCell ref="AI1026:BB1026"/>
    <mergeCell ref="A1027:AH1027"/>
    <mergeCell ref="AI1027:BB1027"/>
    <mergeCell ref="I984:N984"/>
    <mergeCell ref="O984:V984"/>
    <mergeCell ref="W984:AB984"/>
    <mergeCell ref="AC984:AH984"/>
    <mergeCell ref="AI984:AP984"/>
    <mergeCell ref="AQ984:BB984"/>
    <mergeCell ref="I985:N985"/>
    <mergeCell ref="O985:V985"/>
    <mergeCell ref="W985:AB985"/>
    <mergeCell ref="AC985:AH985"/>
    <mergeCell ref="AI985:AP985"/>
    <mergeCell ref="AQ985:BB985"/>
    <mergeCell ref="A987:AX988"/>
    <mergeCell ref="A1010:AH1010"/>
    <mergeCell ref="AI1010:BB1010"/>
    <mergeCell ref="BG1010:BK1010"/>
    <mergeCell ref="A1011:AH1011"/>
    <mergeCell ref="AI1011:BB1011"/>
    <mergeCell ref="I981:N981"/>
    <mergeCell ref="O981:V981"/>
    <mergeCell ref="W981:AB981"/>
    <mergeCell ref="AC981:AH981"/>
    <mergeCell ref="AI981:AP981"/>
    <mergeCell ref="AQ981:BB981"/>
    <mergeCell ref="A982:H982"/>
    <mergeCell ref="I982:N982"/>
    <mergeCell ref="O982:V982"/>
    <mergeCell ref="W982:AB982"/>
    <mergeCell ref="AC982:AH982"/>
    <mergeCell ref="AI982:AP982"/>
    <mergeCell ref="AQ982:BB982"/>
    <mergeCell ref="I983:N983"/>
    <mergeCell ref="O983:V983"/>
    <mergeCell ref="W983:AB983"/>
    <mergeCell ref="AC983:AH983"/>
    <mergeCell ref="AI983:AP983"/>
    <mergeCell ref="AQ983:BB983"/>
    <mergeCell ref="A973:AX974"/>
    <mergeCell ref="I976:AB976"/>
    <mergeCell ref="AC976:BB976"/>
    <mergeCell ref="AC977:BB977"/>
    <mergeCell ref="A978:H978"/>
    <mergeCell ref="I978:AB978"/>
    <mergeCell ref="AC978:BB978"/>
    <mergeCell ref="A979:H979"/>
    <mergeCell ref="I979:N979"/>
    <mergeCell ref="O979:V979"/>
    <mergeCell ref="W979:AB979"/>
    <mergeCell ref="AC979:AH979"/>
    <mergeCell ref="AI979:AP979"/>
    <mergeCell ref="AQ979:BB979"/>
    <mergeCell ref="I980:N980"/>
    <mergeCell ref="O980:V980"/>
    <mergeCell ref="W980:AB980"/>
    <mergeCell ref="AC980:AH980"/>
    <mergeCell ref="AI980:AP980"/>
    <mergeCell ref="AQ980:BB980"/>
    <mergeCell ref="A965:AE965"/>
    <mergeCell ref="AF965:AN965"/>
    <mergeCell ref="AO965:BB965"/>
    <mergeCell ref="A966:AE966"/>
    <mergeCell ref="AF966:AN966"/>
    <mergeCell ref="AO966:BB966"/>
    <mergeCell ref="A967:AE967"/>
    <mergeCell ref="AF967:AN967"/>
    <mergeCell ref="AO967:BB967"/>
    <mergeCell ref="A968:AE968"/>
    <mergeCell ref="AF968:AN968"/>
    <mergeCell ref="AO968:BB968"/>
    <mergeCell ref="A969:AE969"/>
    <mergeCell ref="AF969:AN969"/>
    <mergeCell ref="AO969:BB969"/>
    <mergeCell ref="A970:AE970"/>
    <mergeCell ref="AF970:AN970"/>
    <mergeCell ref="AO970:BB970"/>
    <mergeCell ref="A959:AE959"/>
    <mergeCell ref="AF959:AN959"/>
    <mergeCell ref="AO959:BB959"/>
    <mergeCell ref="A960:AE960"/>
    <mergeCell ref="AF960:AN960"/>
    <mergeCell ref="AO960:BB960"/>
    <mergeCell ref="A961:AE961"/>
    <mergeCell ref="AF961:AN961"/>
    <mergeCell ref="AO961:BB961"/>
    <mergeCell ref="A962:AE962"/>
    <mergeCell ref="AF962:AN962"/>
    <mergeCell ref="AO962:BB962"/>
    <mergeCell ref="A963:AE963"/>
    <mergeCell ref="AF963:AN963"/>
    <mergeCell ref="AO963:BB963"/>
    <mergeCell ref="A964:AE964"/>
    <mergeCell ref="AF964:AN964"/>
    <mergeCell ref="AO964:BB964"/>
    <mergeCell ref="A953:S953"/>
    <mergeCell ref="T953:W953"/>
    <mergeCell ref="X953:AD953"/>
    <mergeCell ref="AE953:AH953"/>
    <mergeCell ref="AI953:AO953"/>
    <mergeCell ref="AP953:AX953"/>
    <mergeCell ref="A955:AE955"/>
    <mergeCell ref="AF955:AN955"/>
    <mergeCell ref="AO955:BB955"/>
    <mergeCell ref="A956:AE956"/>
    <mergeCell ref="AF956:AN956"/>
    <mergeCell ref="AO956:BB956"/>
    <mergeCell ref="A957:AE957"/>
    <mergeCell ref="AF957:AN957"/>
    <mergeCell ref="AO957:BB957"/>
    <mergeCell ref="A958:AE958"/>
    <mergeCell ref="AF958:AN958"/>
    <mergeCell ref="AO958:BB958"/>
    <mergeCell ref="A950:S950"/>
    <mergeCell ref="T950:W950"/>
    <mergeCell ref="X950:AD950"/>
    <mergeCell ref="AE950:AH950"/>
    <mergeCell ref="AI950:AO950"/>
    <mergeCell ref="AP950:AX950"/>
    <mergeCell ref="A951:S951"/>
    <mergeCell ref="T951:W951"/>
    <mergeCell ref="X951:AD951"/>
    <mergeCell ref="AE951:AH951"/>
    <mergeCell ref="AI951:AO951"/>
    <mergeCell ref="AP951:AX951"/>
    <mergeCell ref="A952:S952"/>
    <mergeCell ref="T952:W952"/>
    <mergeCell ref="X952:AD952"/>
    <mergeCell ref="AE952:AH952"/>
    <mergeCell ref="AI952:AO952"/>
    <mergeCell ref="AP952:AX952"/>
    <mergeCell ref="A945:S945"/>
    <mergeCell ref="T945:W945"/>
    <mergeCell ref="X945:AD945"/>
    <mergeCell ref="AE945:AH945"/>
    <mergeCell ref="AI945:AO945"/>
    <mergeCell ref="AP945:AX945"/>
    <mergeCell ref="A946:AZ946"/>
    <mergeCell ref="A947:AD947"/>
    <mergeCell ref="AE947:AX947"/>
    <mergeCell ref="A948:S948"/>
    <mergeCell ref="T948:W948"/>
    <mergeCell ref="X948:AD948"/>
    <mergeCell ref="AE948:AH948"/>
    <mergeCell ref="AI948:AO948"/>
    <mergeCell ref="AP948:AX948"/>
    <mergeCell ref="A949:S949"/>
    <mergeCell ref="T949:W949"/>
    <mergeCell ref="X949:AD949"/>
    <mergeCell ref="AE949:AH949"/>
    <mergeCell ref="AI949:AO949"/>
    <mergeCell ref="AP949:AX949"/>
    <mergeCell ref="A942:S942"/>
    <mergeCell ref="T942:W942"/>
    <mergeCell ref="X942:AD942"/>
    <mergeCell ref="AE942:AH942"/>
    <mergeCell ref="AI942:AO942"/>
    <mergeCell ref="AP942:AX942"/>
    <mergeCell ref="A943:S943"/>
    <mergeCell ref="T943:W943"/>
    <mergeCell ref="X943:AD943"/>
    <mergeCell ref="AE943:AH943"/>
    <mergeCell ref="AI943:AO943"/>
    <mergeCell ref="AP943:AX943"/>
    <mergeCell ref="A944:S944"/>
    <mergeCell ref="T944:W944"/>
    <mergeCell ref="X944:AD944"/>
    <mergeCell ref="AE944:AH944"/>
    <mergeCell ref="AI944:AO944"/>
    <mergeCell ref="AP944:AX944"/>
    <mergeCell ref="A937:S937"/>
    <mergeCell ref="T937:W937"/>
    <mergeCell ref="X937:AD937"/>
    <mergeCell ref="AE937:AH937"/>
    <mergeCell ref="AI937:AO937"/>
    <mergeCell ref="AP937:AX937"/>
    <mergeCell ref="A938:AZ938"/>
    <mergeCell ref="A939:AD939"/>
    <mergeCell ref="AE939:AX939"/>
    <mergeCell ref="A940:S940"/>
    <mergeCell ref="T940:W940"/>
    <mergeCell ref="X940:AD940"/>
    <mergeCell ref="AE940:AH940"/>
    <mergeCell ref="AI940:AO940"/>
    <mergeCell ref="AP940:AX940"/>
    <mergeCell ref="A941:S941"/>
    <mergeCell ref="T941:W941"/>
    <mergeCell ref="X941:AD941"/>
    <mergeCell ref="AE941:AH941"/>
    <mergeCell ref="AI941:AO941"/>
    <mergeCell ref="AP941:AX941"/>
    <mergeCell ref="A934:S934"/>
    <mergeCell ref="T934:W934"/>
    <mergeCell ref="X934:AD934"/>
    <mergeCell ref="AE934:AH934"/>
    <mergeCell ref="AI934:AO934"/>
    <mergeCell ref="AP934:AX934"/>
    <mergeCell ref="A935:S935"/>
    <mergeCell ref="T935:W935"/>
    <mergeCell ref="X935:AD935"/>
    <mergeCell ref="AE935:AH935"/>
    <mergeCell ref="AI935:AO935"/>
    <mergeCell ref="AP935:AX935"/>
    <mergeCell ref="A936:S936"/>
    <mergeCell ref="T936:W936"/>
    <mergeCell ref="X936:AD936"/>
    <mergeCell ref="AE936:AH936"/>
    <mergeCell ref="AI936:AO936"/>
    <mergeCell ref="AP936:AX936"/>
    <mergeCell ref="A922:AX923"/>
    <mergeCell ref="A927:AX928"/>
    <mergeCell ref="A930:AZ930"/>
    <mergeCell ref="A931:AD931"/>
    <mergeCell ref="AE931:AX931"/>
    <mergeCell ref="A932:S932"/>
    <mergeCell ref="T932:W932"/>
    <mergeCell ref="X932:AD932"/>
    <mergeCell ref="AE932:AH932"/>
    <mergeCell ref="AI932:AO932"/>
    <mergeCell ref="AP932:AX932"/>
    <mergeCell ref="A933:S933"/>
    <mergeCell ref="T933:W933"/>
    <mergeCell ref="X933:AD933"/>
    <mergeCell ref="AE933:AH933"/>
    <mergeCell ref="AI933:AO933"/>
    <mergeCell ref="AP933:AX933"/>
    <mergeCell ref="A916:S916"/>
    <mergeCell ref="T916:Z916"/>
    <mergeCell ref="AA916:AL916"/>
    <mergeCell ref="AM916:BB916"/>
    <mergeCell ref="A917:S917"/>
    <mergeCell ref="T917:Z917"/>
    <mergeCell ref="AA917:AL917"/>
    <mergeCell ref="AM917:BB917"/>
    <mergeCell ref="A918:S918"/>
    <mergeCell ref="T918:Z918"/>
    <mergeCell ref="AA918:AL918"/>
    <mergeCell ref="AM918:BB918"/>
    <mergeCell ref="A919:S919"/>
    <mergeCell ref="T919:Z919"/>
    <mergeCell ref="AA919:AL919"/>
    <mergeCell ref="AM919:BB919"/>
    <mergeCell ref="A920:S920"/>
    <mergeCell ref="T920:Z920"/>
    <mergeCell ref="AA920:AL920"/>
    <mergeCell ref="AM920:BB920"/>
    <mergeCell ref="A911:S911"/>
    <mergeCell ref="T911:Z911"/>
    <mergeCell ref="AA911:AL911"/>
    <mergeCell ref="AM911:BB911"/>
    <mergeCell ref="A912:S912"/>
    <mergeCell ref="T912:Z912"/>
    <mergeCell ref="AA912:AL912"/>
    <mergeCell ref="AM912:BB912"/>
    <mergeCell ref="A913:S913"/>
    <mergeCell ref="T913:Z913"/>
    <mergeCell ref="AA913:AL913"/>
    <mergeCell ref="AM913:BB913"/>
    <mergeCell ref="A914:S914"/>
    <mergeCell ref="T914:Z914"/>
    <mergeCell ref="AA914:AL914"/>
    <mergeCell ref="AM914:BB914"/>
    <mergeCell ref="A915:S915"/>
    <mergeCell ref="T915:Z915"/>
    <mergeCell ref="AA915:AL915"/>
    <mergeCell ref="AM915:BB915"/>
    <mergeCell ref="A906:S906"/>
    <mergeCell ref="T906:Z906"/>
    <mergeCell ref="AA906:AL906"/>
    <mergeCell ref="AM906:BB906"/>
    <mergeCell ref="T907:Z907"/>
    <mergeCell ref="AA907:AL907"/>
    <mergeCell ref="AM907:BB907"/>
    <mergeCell ref="A908:S908"/>
    <mergeCell ref="T908:Z908"/>
    <mergeCell ref="AA908:AL908"/>
    <mergeCell ref="AM908:BB908"/>
    <mergeCell ref="A909:S909"/>
    <mergeCell ref="T909:Z909"/>
    <mergeCell ref="AA909:AL909"/>
    <mergeCell ref="AM909:BB909"/>
    <mergeCell ref="A910:S910"/>
    <mergeCell ref="T910:Z910"/>
    <mergeCell ref="AA910:AL910"/>
    <mergeCell ref="AM910:BB910"/>
    <mergeCell ref="A878:P878"/>
    <mergeCell ref="Q878:V878"/>
    <mergeCell ref="W878:AB878"/>
    <mergeCell ref="AC878:AI878"/>
    <mergeCell ref="AJ878:AP878"/>
    <mergeCell ref="AQ878:BB878"/>
    <mergeCell ref="A880:AX881"/>
    <mergeCell ref="A893:BA893"/>
    <mergeCell ref="A895:AK896"/>
    <mergeCell ref="AL895:BB895"/>
    <mergeCell ref="AL896:BB896"/>
    <mergeCell ref="A897:AK897"/>
    <mergeCell ref="AL897:BB897"/>
    <mergeCell ref="A898:AK898"/>
    <mergeCell ref="AL898:BB898"/>
    <mergeCell ref="A900:AX901"/>
    <mergeCell ref="T904:Z905"/>
    <mergeCell ref="AA904:AL904"/>
    <mergeCell ref="AM904:BB904"/>
    <mergeCell ref="AA905:AL905"/>
    <mergeCell ref="AM905:BB905"/>
    <mergeCell ref="A875:P875"/>
    <mergeCell ref="Q875:V875"/>
    <mergeCell ref="W875:AB875"/>
    <mergeCell ref="AC875:AI875"/>
    <mergeCell ref="AJ875:AP875"/>
    <mergeCell ref="AQ875:BB875"/>
    <mergeCell ref="A876:P876"/>
    <mergeCell ref="Q876:V876"/>
    <mergeCell ref="W876:AB876"/>
    <mergeCell ref="AC876:AI876"/>
    <mergeCell ref="AJ876:AP876"/>
    <mergeCell ref="AQ876:BB876"/>
    <mergeCell ref="A877:P877"/>
    <mergeCell ref="Q877:V877"/>
    <mergeCell ref="W877:AB877"/>
    <mergeCell ref="AC877:AI877"/>
    <mergeCell ref="AJ877:AP877"/>
    <mergeCell ref="AQ877:BB877"/>
    <mergeCell ref="Q871:V871"/>
    <mergeCell ref="W871:AB871"/>
    <mergeCell ref="AC871:AI871"/>
    <mergeCell ref="AJ871:AP871"/>
    <mergeCell ref="AQ871:BB871"/>
    <mergeCell ref="Q872:V872"/>
    <mergeCell ref="W872:AB872"/>
    <mergeCell ref="AC872:AI872"/>
    <mergeCell ref="AJ872:AP872"/>
    <mergeCell ref="AQ872:BB872"/>
    <mergeCell ref="Q873:V873"/>
    <mergeCell ref="W873:AB873"/>
    <mergeCell ref="AC873:AI873"/>
    <mergeCell ref="AJ873:AP873"/>
    <mergeCell ref="AQ873:BB873"/>
    <mergeCell ref="Q874:V874"/>
    <mergeCell ref="W874:AB874"/>
    <mergeCell ref="AC874:AI874"/>
    <mergeCell ref="AJ874:AP874"/>
    <mergeCell ref="AQ874:BB874"/>
    <mergeCell ref="A863:M863"/>
    <mergeCell ref="N863:S863"/>
    <mergeCell ref="T863:Z863"/>
    <mergeCell ref="AA863:AG863"/>
    <mergeCell ref="AH863:AP863"/>
    <mergeCell ref="AQ863:BB863"/>
    <mergeCell ref="A864:M864"/>
    <mergeCell ref="N864:S864"/>
    <mergeCell ref="T864:Z864"/>
    <mergeCell ref="AA864:AG864"/>
    <mergeCell ref="AH864:AP864"/>
    <mergeCell ref="AQ864:BB864"/>
    <mergeCell ref="A866:AX867"/>
    <mergeCell ref="Q870:V870"/>
    <mergeCell ref="W870:AB870"/>
    <mergeCell ref="AC870:AI870"/>
    <mergeCell ref="AJ870:AP870"/>
    <mergeCell ref="AQ870:BB870"/>
    <mergeCell ref="A860:M860"/>
    <mergeCell ref="N860:S860"/>
    <mergeCell ref="T860:Z860"/>
    <mergeCell ref="AA860:AG860"/>
    <mergeCell ref="AH860:AP860"/>
    <mergeCell ref="AQ860:BB860"/>
    <mergeCell ref="A861:M861"/>
    <mergeCell ref="N861:S861"/>
    <mergeCell ref="T861:Z861"/>
    <mergeCell ref="AA861:AG861"/>
    <mergeCell ref="AH861:AP861"/>
    <mergeCell ref="AQ861:BB861"/>
    <mergeCell ref="N862:S862"/>
    <mergeCell ref="T862:Z862"/>
    <mergeCell ref="AA862:AG862"/>
    <mergeCell ref="AH862:AP862"/>
    <mergeCell ref="AQ862:BB862"/>
    <mergeCell ref="N856:S856"/>
    <mergeCell ref="AH856:AP856"/>
    <mergeCell ref="AQ856:BB856"/>
    <mergeCell ref="A857:M857"/>
    <mergeCell ref="N857:S857"/>
    <mergeCell ref="T857:Z857"/>
    <mergeCell ref="AA857:AG857"/>
    <mergeCell ref="AH857:AP857"/>
    <mergeCell ref="AQ857:BB857"/>
    <mergeCell ref="N858:S858"/>
    <mergeCell ref="T858:Z858"/>
    <mergeCell ref="AA858:AG858"/>
    <mergeCell ref="AH858:AP858"/>
    <mergeCell ref="AQ858:BB858"/>
    <mergeCell ref="A859:M859"/>
    <mergeCell ref="N859:S859"/>
    <mergeCell ref="T859:Z859"/>
    <mergeCell ref="AA859:AG859"/>
    <mergeCell ref="AH859:AP859"/>
    <mergeCell ref="AQ859:BB859"/>
    <mergeCell ref="A849:S849"/>
    <mergeCell ref="T849:AF849"/>
    <mergeCell ref="AG849:BB849"/>
    <mergeCell ref="A850:S850"/>
    <mergeCell ref="T850:AF850"/>
    <mergeCell ref="AG850:BB850"/>
    <mergeCell ref="N852:BB852"/>
    <mergeCell ref="N853:S853"/>
    <mergeCell ref="AH853:AP853"/>
    <mergeCell ref="AQ853:BB853"/>
    <mergeCell ref="A854:M854"/>
    <mergeCell ref="N854:S854"/>
    <mergeCell ref="T854:Z854"/>
    <mergeCell ref="AA854:AG854"/>
    <mergeCell ref="AH854:AP854"/>
    <mergeCell ref="AQ854:BB854"/>
    <mergeCell ref="N855:S855"/>
    <mergeCell ref="T855:Z855"/>
    <mergeCell ref="AA855:AG855"/>
    <mergeCell ref="AH855:AP855"/>
    <mergeCell ref="AQ855:BB855"/>
    <mergeCell ref="A836:V836"/>
    <mergeCell ref="W836:AI836"/>
    <mergeCell ref="AJ836:BB836"/>
    <mergeCell ref="A837:V837"/>
    <mergeCell ref="W837:AI837"/>
    <mergeCell ref="AJ837:BB837"/>
    <mergeCell ref="A839:AX840"/>
    <mergeCell ref="AG843:BB843"/>
    <mergeCell ref="A844:S844"/>
    <mergeCell ref="T844:AF844"/>
    <mergeCell ref="AG844:BB844"/>
    <mergeCell ref="AG845:BB845"/>
    <mergeCell ref="A846:BB846"/>
    <mergeCell ref="A847:S847"/>
    <mergeCell ref="T847:AF847"/>
    <mergeCell ref="AG847:BB847"/>
    <mergeCell ref="A848:S848"/>
    <mergeCell ref="T848:AF848"/>
    <mergeCell ref="AG848:BB848"/>
    <mergeCell ref="P824:W824"/>
    <mergeCell ref="X824:AH824"/>
    <mergeCell ref="AI824:BB824"/>
    <mergeCell ref="P825:W825"/>
    <mergeCell ref="X825:AH825"/>
    <mergeCell ref="AI825:BB825"/>
    <mergeCell ref="P826:W826"/>
    <mergeCell ref="X826:AH826"/>
    <mergeCell ref="AI826:BB826"/>
    <mergeCell ref="A828:AX829"/>
    <mergeCell ref="W831:BB831"/>
    <mergeCell ref="A832:V832"/>
    <mergeCell ref="W832:AI832"/>
    <mergeCell ref="AJ832:BB832"/>
    <mergeCell ref="W833:AI833"/>
    <mergeCell ref="AJ833:BB833"/>
    <mergeCell ref="W834:AI835"/>
    <mergeCell ref="AJ834:BB835"/>
    <mergeCell ref="A819:O819"/>
    <mergeCell ref="P819:W819"/>
    <mergeCell ref="X819:AH819"/>
    <mergeCell ref="AI819:BB819"/>
    <mergeCell ref="A820:O820"/>
    <mergeCell ref="P820:W820"/>
    <mergeCell ref="X820:AH820"/>
    <mergeCell ref="AI820:BB820"/>
    <mergeCell ref="A821:O821"/>
    <mergeCell ref="P821:W821"/>
    <mergeCell ref="X821:AH821"/>
    <mergeCell ref="AI821:BB821"/>
    <mergeCell ref="P822:W822"/>
    <mergeCell ref="X822:AH822"/>
    <mergeCell ref="AI822:BB822"/>
    <mergeCell ref="P823:W823"/>
    <mergeCell ref="X823:AH823"/>
    <mergeCell ref="AI823:BB823"/>
    <mergeCell ref="A813:O813"/>
    <mergeCell ref="P813:W813"/>
    <mergeCell ref="X813:AH813"/>
    <mergeCell ref="AI813:BB813"/>
    <mergeCell ref="A815:O815"/>
    <mergeCell ref="P815:W815"/>
    <mergeCell ref="X815:AH815"/>
    <mergeCell ref="AI815:BB815"/>
    <mergeCell ref="A816:O816"/>
    <mergeCell ref="P816:W816"/>
    <mergeCell ref="X816:AH816"/>
    <mergeCell ref="AI816:BB816"/>
    <mergeCell ref="A817:O817"/>
    <mergeCell ref="P817:W817"/>
    <mergeCell ref="X817:AH817"/>
    <mergeCell ref="AI817:BB817"/>
    <mergeCell ref="A818:O818"/>
    <mergeCell ref="P818:W818"/>
    <mergeCell ref="X818:AH818"/>
    <mergeCell ref="AI818:BB818"/>
    <mergeCell ref="A807:O808"/>
    <mergeCell ref="P807:W808"/>
    <mergeCell ref="X807:AH808"/>
    <mergeCell ref="AI807:BB808"/>
    <mergeCell ref="A809:O809"/>
    <mergeCell ref="P809:W809"/>
    <mergeCell ref="X809:AH809"/>
    <mergeCell ref="AI809:BB809"/>
    <mergeCell ref="A810:O810"/>
    <mergeCell ref="P810:W810"/>
    <mergeCell ref="X810:AH810"/>
    <mergeCell ref="AI810:BB810"/>
    <mergeCell ref="A811:O811"/>
    <mergeCell ref="P811:W811"/>
    <mergeCell ref="X811:AH811"/>
    <mergeCell ref="AI811:BB811"/>
    <mergeCell ref="A812:O812"/>
    <mergeCell ref="P812:W812"/>
    <mergeCell ref="X812:AH812"/>
    <mergeCell ref="AI812:BB812"/>
    <mergeCell ref="A801:O801"/>
    <mergeCell ref="P801:W801"/>
    <mergeCell ref="X801:AH801"/>
    <mergeCell ref="AI801:BB801"/>
    <mergeCell ref="A803:O803"/>
    <mergeCell ref="P803:W803"/>
    <mergeCell ref="X803:AH803"/>
    <mergeCell ref="AI803:BB803"/>
    <mergeCell ref="A804:O804"/>
    <mergeCell ref="P804:W804"/>
    <mergeCell ref="X804:AH804"/>
    <mergeCell ref="AI804:BB804"/>
    <mergeCell ref="P805:W805"/>
    <mergeCell ref="X805:AH805"/>
    <mergeCell ref="AI805:BB805"/>
    <mergeCell ref="P806:W806"/>
    <mergeCell ref="X806:AH806"/>
    <mergeCell ref="AI806:BB806"/>
    <mergeCell ref="A793:M793"/>
    <mergeCell ref="N793:S793"/>
    <mergeCell ref="T793:Z793"/>
    <mergeCell ref="AA793:AG793"/>
    <mergeCell ref="AH793:AP793"/>
    <mergeCell ref="AQ793:BB793"/>
    <mergeCell ref="A794:M794"/>
    <mergeCell ref="N794:S794"/>
    <mergeCell ref="T794:Z794"/>
    <mergeCell ref="AA794:AG794"/>
    <mergeCell ref="AH794:AP794"/>
    <mergeCell ref="AQ794:BB794"/>
    <mergeCell ref="A796:AX797"/>
    <mergeCell ref="A799:O799"/>
    <mergeCell ref="X799:AH799"/>
    <mergeCell ref="AI799:BB799"/>
    <mergeCell ref="A800:O800"/>
    <mergeCell ref="P800:W800"/>
    <mergeCell ref="X800:AH800"/>
    <mergeCell ref="AI800:BB800"/>
    <mergeCell ref="A790:M790"/>
    <mergeCell ref="N790:S790"/>
    <mergeCell ref="T790:Z790"/>
    <mergeCell ref="AA790:AG790"/>
    <mergeCell ref="AH790:AP790"/>
    <mergeCell ref="AQ790:BB790"/>
    <mergeCell ref="A791:M791"/>
    <mergeCell ref="N791:S791"/>
    <mergeCell ref="T791:Z791"/>
    <mergeCell ref="AA791:AG791"/>
    <mergeCell ref="AH791:AP791"/>
    <mergeCell ref="AQ791:BB791"/>
    <mergeCell ref="A792:M792"/>
    <mergeCell ref="N792:S792"/>
    <mergeCell ref="T792:Z792"/>
    <mergeCell ref="AA792:AG792"/>
    <mergeCell ref="AH792:AP792"/>
    <mergeCell ref="AQ792:BB792"/>
    <mergeCell ref="A785:M786"/>
    <mergeCell ref="N785:S786"/>
    <mergeCell ref="T785:Z786"/>
    <mergeCell ref="AA785:AG786"/>
    <mergeCell ref="AH785:AP786"/>
    <mergeCell ref="AQ785:BB786"/>
    <mergeCell ref="A787:M787"/>
    <mergeCell ref="N787:S787"/>
    <mergeCell ref="T787:Z787"/>
    <mergeCell ref="AA787:AG787"/>
    <mergeCell ref="AH787:AP787"/>
    <mergeCell ref="AQ787:BB787"/>
    <mergeCell ref="A788:M789"/>
    <mergeCell ref="N788:S789"/>
    <mergeCell ref="T788:Z789"/>
    <mergeCell ref="AA788:AG789"/>
    <mergeCell ref="AH788:AP789"/>
    <mergeCell ref="AQ788:BB789"/>
    <mergeCell ref="N780:S780"/>
    <mergeCell ref="T780:Z780"/>
    <mergeCell ref="AA780:AG780"/>
    <mergeCell ref="AH780:AP780"/>
    <mergeCell ref="AQ780:BB780"/>
    <mergeCell ref="N781:S781"/>
    <mergeCell ref="AH781:AP781"/>
    <mergeCell ref="AQ781:BB781"/>
    <mergeCell ref="A782:M782"/>
    <mergeCell ref="N782:S782"/>
    <mergeCell ref="T782:Z782"/>
    <mergeCell ref="AA782:AG782"/>
    <mergeCell ref="AH782:AP782"/>
    <mergeCell ref="AQ782:BB782"/>
    <mergeCell ref="A783:M784"/>
    <mergeCell ref="N783:S784"/>
    <mergeCell ref="T783:Z784"/>
    <mergeCell ref="AA783:AG784"/>
    <mergeCell ref="AH783:AP784"/>
    <mergeCell ref="AQ783:BB784"/>
    <mergeCell ref="U754:AG756"/>
    <mergeCell ref="AH754:BB756"/>
    <mergeCell ref="U757:AG758"/>
    <mergeCell ref="AH757:BB758"/>
    <mergeCell ref="U759:AG759"/>
    <mergeCell ref="AH759:BB759"/>
    <mergeCell ref="U760:AG760"/>
    <mergeCell ref="AH760:BB760"/>
    <mergeCell ref="A762:AX763"/>
    <mergeCell ref="N776:BB776"/>
    <mergeCell ref="AH777:AP777"/>
    <mergeCell ref="N778:S778"/>
    <mergeCell ref="AA778:AG778"/>
    <mergeCell ref="AH778:AP778"/>
    <mergeCell ref="AQ778:BB778"/>
    <mergeCell ref="A779:M779"/>
    <mergeCell ref="N779:S779"/>
    <mergeCell ref="T779:Z779"/>
    <mergeCell ref="AA779:AG779"/>
    <mergeCell ref="AH779:AP779"/>
    <mergeCell ref="AQ779:BB779"/>
    <mergeCell ref="U747:AG747"/>
    <mergeCell ref="AH747:BB747"/>
    <mergeCell ref="U748:AG748"/>
    <mergeCell ref="AH748:BB748"/>
    <mergeCell ref="A749:T749"/>
    <mergeCell ref="U749:AG749"/>
    <mergeCell ref="AH749:BB749"/>
    <mergeCell ref="A750:T750"/>
    <mergeCell ref="U750:AG750"/>
    <mergeCell ref="AH750:BB750"/>
    <mergeCell ref="U751:AG751"/>
    <mergeCell ref="AH751:BB751"/>
    <mergeCell ref="U752:AG752"/>
    <mergeCell ref="AH752:BB752"/>
    <mergeCell ref="A753:T753"/>
    <mergeCell ref="U753:AG753"/>
    <mergeCell ref="AH753:BB753"/>
    <mergeCell ref="M738:W738"/>
    <mergeCell ref="X738:AH738"/>
    <mergeCell ref="AI738:BB738"/>
    <mergeCell ref="AI739:BB739"/>
    <mergeCell ref="A740:L740"/>
    <mergeCell ref="M740:W740"/>
    <mergeCell ref="X740:AH740"/>
    <mergeCell ref="AI740:BB740"/>
    <mergeCell ref="M741:W742"/>
    <mergeCell ref="X741:AH742"/>
    <mergeCell ref="AI741:BB742"/>
    <mergeCell ref="M743:W744"/>
    <mergeCell ref="X743:AH744"/>
    <mergeCell ref="AI743:BB744"/>
    <mergeCell ref="M745:W745"/>
    <mergeCell ref="X745:AH745"/>
    <mergeCell ref="AI745:BB745"/>
    <mergeCell ref="A730:T730"/>
    <mergeCell ref="U730:AG731"/>
    <mergeCell ref="AH730:BB731"/>
    <mergeCell ref="A731:T731"/>
    <mergeCell ref="A732:T732"/>
    <mergeCell ref="U732:AG732"/>
    <mergeCell ref="AH732:BB732"/>
    <mergeCell ref="A733:T733"/>
    <mergeCell ref="U733:AG733"/>
    <mergeCell ref="AH733:BB733"/>
    <mergeCell ref="AI735:BB735"/>
    <mergeCell ref="X736:AH736"/>
    <mergeCell ref="AI736:BB736"/>
    <mergeCell ref="A737:L737"/>
    <mergeCell ref="M737:W737"/>
    <mergeCell ref="X737:AH737"/>
    <mergeCell ref="AI737:BB737"/>
    <mergeCell ref="A723:T723"/>
    <mergeCell ref="U723:AG723"/>
    <mergeCell ref="AH723:BB723"/>
    <mergeCell ref="A724:T724"/>
    <mergeCell ref="U724:AG724"/>
    <mergeCell ref="AH724:BB724"/>
    <mergeCell ref="A725:T725"/>
    <mergeCell ref="U725:AG725"/>
    <mergeCell ref="AH725:BB725"/>
    <mergeCell ref="A726:T726"/>
    <mergeCell ref="U726:AG726"/>
    <mergeCell ref="AH726:BB726"/>
    <mergeCell ref="A727:T727"/>
    <mergeCell ref="U727:AG727"/>
    <mergeCell ref="AH727:BB727"/>
    <mergeCell ref="A728:T728"/>
    <mergeCell ref="U728:AG729"/>
    <mergeCell ref="AH728:BB729"/>
    <mergeCell ref="A729:T729"/>
    <mergeCell ref="A717:O717"/>
    <mergeCell ref="P717:Z717"/>
    <mergeCell ref="AA717:AK717"/>
    <mergeCell ref="AL717:BB717"/>
    <mergeCell ref="A718:O718"/>
    <mergeCell ref="P718:Z718"/>
    <mergeCell ref="AA718:AK718"/>
    <mergeCell ref="AL718:BB718"/>
    <mergeCell ref="A719:O719"/>
    <mergeCell ref="P719:Z719"/>
    <mergeCell ref="AA719:AK719"/>
    <mergeCell ref="AL719:BB719"/>
    <mergeCell ref="A720:O720"/>
    <mergeCell ref="P720:Z720"/>
    <mergeCell ref="AA720:AK720"/>
    <mergeCell ref="AL720:BB720"/>
    <mergeCell ref="A721:O721"/>
    <mergeCell ref="P721:Z721"/>
    <mergeCell ref="AA721:AK721"/>
    <mergeCell ref="AL721:BB721"/>
    <mergeCell ref="A707:AK707"/>
    <mergeCell ref="AL707:BB707"/>
    <mergeCell ref="A708:AK708"/>
    <mergeCell ref="AL708:BB708"/>
    <mergeCell ref="A710:AX711"/>
    <mergeCell ref="A714:O714"/>
    <mergeCell ref="P714:Z714"/>
    <mergeCell ref="AA714:AK714"/>
    <mergeCell ref="AL714:BB714"/>
    <mergeCell ref="A715:O715"/>
    <mergeCell ref="P715:Z715"/>
    <mergeCell ref="AA715:AK715"/>
    <mergeCell ref="AL715:BB715"/>
    <mergeCell ref="A716:O716"/>
    <mergeCell ref="P716:Z716"/>
    <mergeCell ref="AA716:AK716"/>
    <mergeCell ref="AL716:BB716"/>
    <mergeCell ref="A675:M675"/>
    <mergeCell ref="N675:S675"/>
    <mergeCell ref="T675:Z675"/>
    <mergeCell ref="AA675:AG675"/>
    <mergeCell ref="AH675:AP675"/>
    <mergeCell ref="AQ675:BB675"/>
    <mergeCell ref="A678:AK678"/>
    <mergeCell ref="AL678:BB678"/>
    <mergeCell ref="A679:AK679"/>
    <mergeCell ref="AL679:BB679"/>
    <mergeCell ref="A680:AK680"/>
    <mergeCell ref="AL680:BB680"/>
    <mergeCell ref="A682:AX683"/>
    <mergeCell ref="A704:BA704"/>
    <mergeCell ref="A705:AK706"/>
    <mergeCell ref="AL705:BB705"/>
    <mergeCell ref="AL706:BB706"/>
    <mergeCell ref="A671:M671"/>
    <mergeCell ref="N671:S671"/>
    <mergeCell ref="T671:Z671"/>
    <mergeCell ref="AA671:AG671"/>
    <mergeCell ref="AH671:AP671"/>
    <mergeCell ref="AQ671:BB671"/>
    <mergeCell ref="A672:M672"/>
    <mergeCell ref="N672:S672"/>
    <mergeCell ref="T672:Z672"/>
    <mergeCell ref="AA672:AG672"/>
    <mergeCell ref="AH672:AP672"/>
    <mergeCell ref="AQ672:BB672"/>
    <mergeCell ref="A673:M673"/>
    <mergeCell ref="N673:S674"/>
    <mergeCell ref="T673:Z674"/>
    <mergeCell ref="AA673:AG674"/>
    <mergeCell ref="AH673:AP674"/>
    <mergeCell ref="AQ673:BB674"/>
    <mergeCell ref="A674:M674"/>
    <mergeCell ref="A667:M667"/>
    <mergeCell ref="N667:S668"/>
    <mergeCell ref="T667:Z668"/>
    <mergeCell ref="AA667:AG668"/>
    <mergeCell ref="AH667:AP668"/>
    <mergeCell ref="AQ667:BB668"/>
    <mergeCell ref="A668:M668"/>
    <mergeCell ref="A669:M669"/>
    <mergeCell ref="N669:S669"/>
    <mergeCell ref="T669:Z669"/>
    <mergeCell ref="AA669:AG669"/>
    <mergeCell ref="AH669:AP669"/>
    <mergeCell ref="AQ669:BB669"/>
    <mergeCell ref="A670:M670"/>
    <mergeCell ref="N670:S670"/>
    <mergeCell ref="T670:Z670"/>
    <mergeCell ref="AA670:AG670"/>
    <mergeCell ref="AH670:AP670"/>
    <mergeCell ref="AQ670:BB670"/>
    <mergeCell ref="N663:S663"/>
    <mergeCell ref="T663:Z663"/>
    <mergeCell ref="AA663:AG663"/>
    <mergeCell ref="AH663:AP663"/>
    <mergeCell ref="AQ663:BB663"/>
    <mergeCell ref="N664:S664"/>
    <mergeCell ref="AH664:AP664"/>
    <mergeCell ref="AQ664:BB664"/>
    <mergeCell ref="A665:M665"/>
    <mergeCell ref="N665:S665"/>
    <mergeCell ref="T665:Z665"/>
    <mergeCell ref="AA665:AG665"/>
    <mergeCell ref="AH665:AP665"/>
    <mergeCell ref="AQ665:BB665"/>
    <mergeCell ref="A666:M666"/>
    <mergeCell ref="N666:S666"/>
    <mergeCell ref="T666:Z666"/>
    <mergeCell ref="AA666:AG666"/>
    <mergeCell ref="AH666:AP666"/>
    <mergeCell ref="AQ666:BB666"/>
    <mergeCell ref="A653:M653"/>
    <mergeCell ref="N653:S653"/>
    <mergeCell ref="T653:Z653"/>
    <mergeCell ref="AA653:AG653"/>
    <mergeCell ref="AH653:AP653"/>
    <mergeCell ref="AQ653:BB653"/>
    <mergeCell ref="A655:AX656"/>
    <mergeCell ref="N659:BB659"/>
    <mergeCell ref="AH660:AP660"/>
    <mergeCell ref="N661:S661"/>
    <mergeCell ref="AH661:AP661"/>
    <mergeCell ref="AQ661:BB661"/>
    <mergeCell ref="A662:M662"/>
    <mergeCell ref="N662:S662"/>
    <mergeCell ref="T662:Z662"/>
    <mergeCell ref="AA662:AG662"/>
    <mergeCell ref="AH662:AP662"/>
    <mergeCell ref="AQ662:BB662"/>
    <mergeCell ref="A649:M649"/>
    <mergeCell ref="N649:S649"/>
    <mergeCell ref="T649:Z649"/>
    <mergeCell ref="AA649:AG649"/>
    <mergeCell ref="AH649:AP649"/>
    <mergeCell ref="AQ649:BB649"/>
    <mergeCell ref="A650:M650"/>
    <mergeCell ref="N650:S650"/>
    <mergeCell ref="T650:Z650"/>
    <mergeCell ref="AA650:AG650"/>
    <mergeCell ref="AH650:AP650"/>
    <mergeCell ref="AQ650:BB650"/>
    <mergeCell ref="A651:M652"/>
    <mergeCell ref="N651:S652"/>
    <mergeCell ref="T651:Z652"/>
    <mergeCell ref="AA651:AG652"/>
    <mergeCell ref="AH651:AP652"/>
    <mergeCell ref="AQ651:BB652"/>
    <mergeCell ref="N644:S644"/>
    <mergeCell ref="AH644:AP644"/>
    <mergeCell ref="AQ644:BB644"/>
    <mergeCell ref="A645:M645"/>
    <mergeCell ref="N645:S645"/>
    <mergeCell ref="T645:Z645"/>
    <mergeCell ref="AA645:AG645"/>
    <mergeCell ref="AH645:AP645"/>
    <mergeCell ref="AQ645:BB645"/>
    <mergeCell ref="A646:M646"/>
    <mergeCell ref="N646:S646"/>
    <mergeCell ref="T646:Z646"/>
    <mergeCell ref="AA646:AG646"/>
    <mergeCell ref="AH646:AP646"/>
    <mergeCell ref="AQ646:BB646"/>
    <mergeCell ref="A647:M648"/>
    <mergeCell ref="N647:S648"/>
    <mergeCell ref="T647:Z648"/>
    <mergeCell ref="AA647:AG648"/>
    <mergeCell ref="AH647:AP648"/>
    <mergeCell ref="AQ647:BB648"/>
    <mergeCell ref="A638:M638"/>
    <mergeCell ref="N638:S638"/>
    <mergeCell ref="T638:Z638"/>
    <mergeCell ref="AA638:AG638"/>
    <mergeCell ref="AH638:AP638"/>
    <mergeCell ref="AQ638:BB638"/>
    <mergeCell ref="AH640:AP640"/>
    <mergeCell ref="N641:S641"/>
    <mergeCell ref="AH641:AP641"/>
    <mergeCell ref="AQ641:BB641"/>
    <mergeCell ref="A642:M642"/>
    <mergeCell ref="N642:S642"/>
    <mergeCell ref="T642:Z642"/>
    <mergeCell ref="AA642:AG642"/>
    <mergeCell ref="AH642:AP642"/>
    <mergeCell ref="AQ642:BB642"/>
    <mergeCell ref="N643:S643"/>
    <mergeCell ref="T643:Z643"/>
    <mergeCell ref="AA643:AG643"/>
    <mergeCell ref="AH643:AP643"/>
    <mergeCell ref="AQ643:BB643"/>
    <mergeCell ref="A634:M635"/>
    <mergeCell ref="N634:S635"/>
    <mergeCell ref="T634:Z635"/>
    <mergeCell ref="AA634:AG635"/>
    <mergeCell ref="AH634:AP635"/>
    <mergeCell ref="AQ634:BB635"/>
    <mergeCell ref="A636:M636"/>
    <mergeCell ref="N636:S636"/>
    <mergeCell ref="T636:Z636"/>
    <mergeCell ref="AA636:AG636"/>
    <mergeCell ref="AH636:AP636"/>
    <mergeCell ref="AQ636:BB636"/>
    <mergeCell ref="A637:M637"/>
    <mergeCell ref="N637:S637"/>
    <mergeCell ref="T637:Z637"/>
    <mergeCell ref="AA637:AG637"/>
    <mergeCell ref="AH637:AP637"/>
    <mergeCell ref="AQ637:BB637"/>
    <mergeCell ref="A631:M631"/>
    <mergeCell ref="N631:S631"/>
    <mergeCell ref="T631:Z631"/>
    <mergeCell ref="AA631:AG631"/>
    <mergeCell ref="AH631:AP631"/>
    <mergeCell ref="AQ631:BB631"/>
    <mergeCell ref="A632:M632"/>
    <mergeCell ref="N632:S632"/>
    <mergeCell ref="T632:Z632"/>
    <mergeCell ref="AA632:AG632"/>
    <mergeCell ref="AH632:AP632"/>
    <mergeCell ref="AQ632:BB632"/>
    <mergeCell ref="A633:M633"/>
    <mergeCell ref="N633:S633"/>
    <mergeCell ref="T633:Z633"/>
    <mergeCell ref="AA633:AG633"/>
    <mergeCell ref="AH633:AP633"/>
    <mergeCell ref="AQ633:BB633"/>
    <mergeCell ref="A623:AX624"/>
    <mergeCell ref="AH626:AP626"/>
    <mergeCell ref="N627:S627"/>
    <mergeCell ref="AH627:AP627"/>
    <mergeCell ref="AQ627:BB627"/>
    <mergeCell ref="A628:M628"/>
    <mergeCell ref="N628:S628"/>
    <mergeCell ref="T628:Z628"/>
    <mergeCell ref="AA628:AG628"/>
    <mergeCell ref="AH628:AP628"/>
    <mergeCell ref="AQ628:BB628"/>
    <mergeCell ref="N629:S629"/>
    <mergeCell ref="T629:Z629"/>
    <mergeCell ref="AA629:AG629"/>
    <mergeCell ref="AH629:AP629"/>
    <mergeCell ref="AQ629:BB629"/>
    <mergeCell ref="N630:S630"/>
    <mergeCell ref="AH630:AP630"/>
    <mergeCell ref="AQ630:BB630"/>
    <mergeCell ref="A616:K616"/>
    <mergeCell ref="L616:O617"/>
    <mergeCell ref="P616:V617"/>
    <mergeCell ref="W616:AC617"/>
    <mergeCell ref="AD616:AJ617"/>
    <mergeCell ref="AK616:AQ617"/>
    <mergeCell ref="AR616:BB617"/>
    <mergeCell ref="A617:K617"/>
    <mergeCell ref="A618:K618"/>
    <mergeCell ref="L618:O619"/>
    <mergeCell ref="P618:V619"/>
    <mergeCell ref="W618:AC619"/>
    <mergeCell ref="AD618:AJ619"/>
    <mergeCell ref="AK618:AQ619"/>
    <mergeCell ref="AR618:BB619"/>
    <mergeCell ref="A619:K619"/>
    <mergeCell ref="A620:K620"/>
    <mergeCell ref="L620:O621"/>
    <mergeCell ref="P620:V621"/>
    <mergeCell ref="W620:AC621"/>
    <mergeCell ref="AD620:AJ621"/>
    <mergeCell ref="AK620:AQ621"/>
    <mergeCell ref="AR620:BB621"/>
    <mergeCell ref="A621:K621"/>
    <mergeCell ref="A610:K610"/>
    <mergeCell ref="L610:O610"/>
    <mergeCell ref="P610:V610"/>
    <mergeCell ref="W610:AC610"/>
    <mergeCell ref="AD610:AJ610"/>
    <mergeCell ref="AK610:AQ610"/>
    <mergeCell ref="AR610:BB610"/>
    <mergeCell ref="A611:K611"/>
    <mergeCell ref="L611:O612"/>
    <mergeCell ref="P611:V612"/>
    <mergeCell ref="W611:AC612"/>
    <mergeCell ref="AD611:AJ612"/>
    <mergeCell ref="AK611:AQ612"/>
    <mergeCell ref="AR611:BB612"/>
    <mergeCell ref="A612:K612"/>
    <mergeCell ref="A613:K613"/>
    <mergeCell ref="L613:O615"/>
    <mergeCell ref="P613:V615"/>
    <mergeCell ref="W613:AC615"/>
    <mergeCell ref="AD613:AJ615"/>
    <mergeCell ref="AK613:AQ615"/>
    <mergeCell ref="AR613:BB615"/>
    <mergeCell ref="A614:K614"/>
    <mergeCell ref="A615:K615"/>
    <mergeCell ref="A607:K607"/>
    <mergeCell ref="L607:O607"/>
    <mergeCell ref="P607:V607"/>
    <mergeCell ref="W607:AC607"/>
    <mergeCell ref="AD607:AJ607"/>
    <mergeCell ref="AK607:AQ607"/>
    <mergeCell ref="AR607:BB607"/>
    <mergeCell ref="A608:K608"/>
    <mergeCell ref="L608:O608"/>
    <mergeCell ref="P608:V608"/>
    <mergeCell ref="W608:AC608"/>
    <mergeCell ref="AD608:AJ608"/>
    <mergeCell ref="AK608:AQ608"/>
    <mergeCell ref="AR608:BB608"/>
    <mergeCell ref="A609:K609"/>
    <mergeCell ref="L609:O609"/>
    <mergeCell ref="P609:V609"/>
    <mergeCell ref="W609:AC609"/>
    <mergeCell ref="AD609:AJ609"/>
    <mergeCell ref="AK609:AQ609"/>
    <mergeCell ref="AR609:BB609"/>
    <mergeCell ref="A600:J600"/>
    <mergeCell ref="K600:O600"/>
    <mergeCell ref="P600:W600"/>
    <mergeCell ref="X600:AF600"/>
    <mergeCell ref="AG600:AO600"/>
    <mergeCell ref="AP600:BB600"/>
    <mergeCell ref="A602:AX603"/>
    <mergeCell ref="A605:K605"/>
    <mergeCell ref="L605:O605"/>
    <mergeCell ref="P605:V605"/>
    <mergeCell ref="W605:AC605"/>
    <mergeCell ref="AD605:AJ605"/>
    <mergeCell ref="AK605:AQ605"/>
    <mergeCell ref="AR605:BB605"/>
    <mergeCell ref="A606:K606"/>
    <mergeCell ref="L606:O606"/>
    <mergeCell ref="P606:V606"/>
    <mergeCell ref="W606:AC606"/>
    <mergeCell ref="AD606:AJ606"/>
    <mergeCell ref="AK606:AQ606"/>
    <mergeCell ref="AR606:BB606"/>
    <mergeCell ref="A596:J596"/>
    <mergeCell ref="K596:O596"/>
    <mergeCell ref="P596:W596"/>
    <mergeCell ref="X596:AF596"/>
    <mergeCell ref="AG596:AO596"/>
    <mergeCell ref="AP596:BB596"/>
    <mergeCell ref="AP597:BB597"/>
    <mergeCell ref="A598:J598"/>
    <mergeCell ref="K598:O598"/>
    <mergeCell ref="P598:W598"/>
    <mergeCell ref="X598:AF598"/>
    <mergeCell ref="AG598:AO598"/>
    <mergeCell ref="AP598:BB598"/>
    <mergeCell ref="A599:J599"/>
    <mergeCell ref="K599:O599"/>
    <mergeCell ref="P599:W599"/>
    <mergeCell ref="X599:AF599"/>
    <mergeCell ref="AG599:AO599"/>
    <mergeCell ref="AP599:BB599"/>
    <mergeCell ref="A592:J592"/>
    <mergeCell ref="K592:O592"/>
    <mergeCell ref="P592:W592"/>
    <mergeCell ref="X592:AF592"/>
    <mergeCell ref="AG592:AO592"/>
    <mergeCell ref="AP592:BB592"/>
    <mergeCell ref="AP593:BB593"/>
    <mergeCell ref="A594:J594"/>
    <mergeCell ref="K594:O594"/>
    <mergeCell ref="P594:W594"/>
    <mergeCell ref="X594:AF594"/>
    <mergeCell ref="AG594:AO594"/>
    <mergeCell ref="AP594:BB594"/>
    <mergeCell ref="A595:J595"/>
    <mergeCell ref="K595:O595"/>
    <mergeCell ref="P595:W595"/>
    <mergeCell ref="X595:AF595"/>
    <mergeCell ref="AG595:AO595"/>
    <mergeCell ref="AP595:BB595"/>
    <mergeCell ref="A588:J588"/>
    <mergeCell ref="K588:O588"/>
    <mergeCell ref="P588:W588"/>
    <mergeCell ref="X588:AF588"/>
    <mergeCell ref="AG588:AO588"/>
    <mergeCell ref="AP588:BB588"/>
    <mergeCell ref="AP589:BB589"/>
    <mergeCell ref="A590:J590"/>
    <mergeCell ref="K590:O590"/>
    <mergeCell ref="P590:W590"/>
    <mergeCell ref="X590:AF590"/>
    <mergeCell ref="AG590:AO590"/>
    <mergeCell ref="AP590:BB590"/>
    <mergeCell ref="A591:J591"/>
    <mergeCell ref="K591:O591"/>
    <mergeCell ref="P591:W591"/>
    <mergeCell ref="X591:AF591"/>
    <mergeCell ref="AG591:AO591"/>
    <mergeCell ref="AP591:BB591"/>
    <mergeCell ref="A584:J584"/>
    <mergeCell ref="K584:O584"/>
    <mergeCell ref="P584:W584"/>
    <mergeCell ref="X584:AF584"/>
    <mergeCell ref="AG584:AO584"/>
    <mergeCell ref="AP584:BB584"/>
    <mergeCell ref="AP585:BB585"/>
    <mergeCell ref="A586:J586"/>
    <mergeCell ref="K586:O586"/>
    <mergeCell ref="P586:W586"/>
    <mergeCell ref="X586:AF586"/>
    <mergeCell ref="AG586:AO586"/>
    <mergeCell ref="AP586:BB586"/>
    <mergeCell ref="A587:J587"/>
    <mergeCell ref="K587:O587"/>
    <mergeCell ref="P587:W587"/>
    <mergeCell ref="X587:AF587"/>
    <mergeCell ref="AG587:AO587"/>
    <mergeCell ref="AP587:BB587"/>
    <mergeCell ref="A581:J581"/>
    <mergeCell ref="K581:O581"/>
    <mergeCell ref="P581:W581"/>
    <mergeCell ref="X581:AF581"/>
    <mergeCell ref="AG581:AO581"/>
    <mergeCell ref="AP581:BB581"/>
    <mergeCell ref="A582:J582"/>
    <mergeCell ref="K582:O582"/>
    <mergeCell ref="P582:W582"/>
    <mergeCell ref="X582:AF582"/>
    <mergeCell ref="AG582:AO582"/>
    <mergeCell ref="AP582:BB582"/>
    <mergeCell ref="A583:J583"/>
    <mergeCell ref="K583:O583"/>
    <mergeCell ref="P583:W583"/>
    <mergeCell ref="X583:AF583"/>
    <mergeCell ref="AG583:AO583"/>
    <mergeCell ref="AP583:BB583"/>
    <mergeCell ref="A566:AX567"/>
    <mergeCell ref="A569:AG569"/>
    <mergeCell ref="AH569:BB569"/>
    <mergeCell ref="AH570:BB570"/>
    <mergeCell ref="AH571:BB571"/>
    <mergeCell ref="A572:AG572"/>
    <mergeCell ref="AH572:BB572"/>
    <mergeCell ref="A574:AX575"/>
    <mergeCell ref="A578:J578"/>
    <mergeCell ref="K578:BB578"/>
    <mergeCell ref="A579:J579"/>
    <mergeCell ref="K579:O579"/>
    <mergeCell ref="P579:W579"/>
    <mergeCell ref="X579:AF579"/>
    <mergeCell ref="AG579:AO579"/>
    <mergeCell ref="AP579:BB579"/>
    <mergeCell ref="A580:J580"/>
    <mergeCell ref="K580:O580"/>
    <mergeCell ref="P580:W580"/>
    <mergeCell ref="X580:AF580"/>
    <mergeCell ref="AG580:AO580"/>
    <mergeCell ref="AP580:BB580"/>
    <mergeCell ref="F558:H561"/>
    <mergeCell ref="I558:L561"/>
    <mergeCell ref="M558:P561"/>
    <mergeCell ref="Q558:T561"/>
    <mergeCell ref="U558:X561"/>
    <mergeCell ref="Y558:AB561"/>
    <mergeCell ref="AC558:AF561"/>
    <mergeCell ref="AG558:AJ561"/>
    <mergeCell ref="AK558:AN561"/>
    <mergeCell ref="AO558:AR561"/>
    <mergeCell ref="AS558:AV561"/>
    <mergeCell ref="AW558:AZ561"/>
    <mergeCell ref="BA558:BE561"/>
    <mergeCell ref="F562:H564"/>
    <mergeCell ref="I562:L564"/>
    <mergeCell ref="M562:P564"/>
    <mergeCell ref="Q562:T564"/>
    <mergeCell ref="U562:X564"/>
    <mergeCell ref="Y562:AB564"/>
    <mergeCell ref="AC562:AF564"/>
    <mergeCell ref="AG562:AJ564"/>
    <mergeCell ref="AK562:AN564"/>
    <mergeCell ref="AO562:AR564"/>
    <mergeCell ref="AS562:AV564"/>
    <mergeCell ref="AW562:AZ564"/>
    <mergeCell ref="BA562:BE564"/>
    <mergeCell ref="F553:H553"/>
    <mergeCell ref="I553:L553"/>
    <mergeCell ref="M553:P553"/>
    <mergeCell ref="Q553:T553"/>
    <mergeCell ref="U553:X553"/>
    <mergeCell ref="Y553:AB553"/>
    <mergeCell ref="AC553:AF553"/>
    <mergeCell ref="AG553:AJ553"/>
    <mergeCell ref="AK553:AN553"/>
    <mergeCell ref="AO553:AR553"/>
    <mergeCell ref="AS553:AV553"/>
    <mergeCell ref="AW553:AZ553"/>
    <mergeCell ref="BA553:BE553"/>
    <mergeCell ref="F554:H556"/>
    <mergeCell ref="I554:L556"/>
    <mergeCell ref="M554:P556"/>
    <mergeCell ref="Q554:T556"/>
    <mergeCell ref="U554:X556"/>
    <mergeCell ref="Y554:AB556"/>
    <mergeCell ref="AC554:AF556"/>
    <mergeCell ref="AG554:AJ556"/>
    <mergeCell ref="AK554:AN556"/>
    <mergeCell ref="AO554:AR556"/>
    <mergeCell ref="AS554:AV556"/>
    <mergeCell ref="AW554:AZ556"/>
    <mergeCell ref="BA554:BE556"/>
    <mergeCell ref="F551:H551"/>
    <mergeCell ref="I551:L551"/>
    <mergeCell ref="M551:P551"/>
    <mergeCell ref="Q551:T551"/>
    <mergeCell ref="U551:X551"/>
    <mergeCell ref="Y551:AB551"/>
    <mergeCell ref="AC551:AF551"/>
    <mergeCell ref="AG551:AJ551"/>
    <mergeCell ref="AK551:AN551"/>
    <mergeCell ref="AO551:AR551"/>
    <mergeCell ref="AS551:AV551"/>
    <mergeCell ref="AW551:AZ551"/>
    <mergeCell ref="BA551:BE551"/>
    <mergeCell ref="F552:H552"/>
    <mergeCell ref="I552:L552"/>
    <mergeCell ref="M552:P552"/>
    <mergeCell ref="Q552:T552"/>
    <mergeCell ref="U552:X552"/>
    <mergeCell ref="Y552:AB552"/>
    <mergeCell ref="AC552:AF552"/>
    <mergeCell ref="AG552:AJ552"/>
    <mergeCell ref="AK552:AN552"/>
    <mergeCell ref="AO552:AR552"/>
    <mergeCell ref="AS552:AV552"/>
    <mergeCell ref="AW552:AZ552"/>
    <mergeCell ref="BA552:BE552"/>
    <mergeCell ref="F543:H545"/>
    <mergeCell ref="I543:L545"/>
    <mergeCell ref="M543:P545"/>
    <mergeCell ref="Q543:T545"/>
    <mergeCell ref="U543:X545"/>
    <mergeCell ref="Y543:AB545"/>
    <mergeCell ref="AC543:AF545"/>
    <mergeCell ref="AG543:AJ545"/>
    <mergeCell ref="AK543:AN545"/>
    <mergeCell ref="AO543:AR545"/>
    <mergeCell ref="AS543:AV545"/>
    <mergeCell ref="AW543:AZ545"/>
    <mergeCell ref="BA543:BE545"/>
    <mergeCell ref="F547:H550"/>
    <mergeCell ref="I547:L550"/>
    <mergeCell ref="M547:P550"/>
    <mergeCell ref="Q547:T550"/>
    <mergeCell ref="U547:X550"/>
    <mergeCell ref="Y547:AB550"/>
    <mergeCell ref="AC547:AF550"/>
    <mergeCell ref="AG547:AJ550"/>
    <mergeCell ref="AK547:AN550"/>
    <mergeCell ref="AO547:AR550"/>
    <mergeCell ref="AS547:AV550"/>
    <mergeCell ref="AW547:AZ550"/>
    <mergeCell ref="BA547:BE550"/>
    <mergeCell ref="F541:H541"/>
    <mergeCell ref="I541:L541"/>
    <mergeCell ref="M541:P541"/>
    <mergeCell ref="Q541:T541"/>
    <mergeCell ref="U541:X541"/>
    <mergeCell ref="Y541:AB541"/>
    <mergeCell ref="AC541:AF541"/>
    <mergeCell ref="AG541:AJ541"/>
    <mergeCell ref="AK541:AN541"/>
    <mergeCell ref="AO541:AR541"/>
    <mergeCell ref="AS541:AV541"/>
    <mergeCell ref="AW541:AZ541"/>
    <mergeCell ref="BA541:BE541"/>
    <mergeCell ref="F542:H542"/>
    <mergeCell ref="I542:L542"/>
    <mergeCell ref="M542:P542"/>
    <mergeCell ref="Q542:T542"/>
    <mergeCell ref="U542:X542"/>
    <mergeCell ref="Y542:AB542"/>
    <mergeCell ref="AC542:AF542"/>
    <mergeCell ref="AG542:AJ542"/>
    <mergeCell ref="AK542:AN542"/>
    <mergeCell ref="AO542:AR542"/>
    <mergeCell ref="AS542:AV542"/>
    <mergeCell ref="AW542:AZ542"/>
    <mergeCell ref="BA542:BE542"/>
    <mergeCell ref="F536:H539"/>
    <mergeCell ref="I536:L539"/>
    <mergeCell ref="M536:P539"/>
    <mergeCell ref="Q536:T539"/>
    <mergeCell ref="U536:X539"/>
    <mergeCell ref="Y536:AB539"/>
    <mergeCell ref="AC536:AF539"/>
    <mergeCell ref="AG536:AJ539"/>
    <mergeCell ref="AK536:AN539"/>
    <mergeCell ref="AO536:AR539"/>
    <mergeCell ref="AS536:AV539"/>
    <mergeCell ref="AW536:AZ539"/>
    <mergeCell ref="BA536:BE539"/>
    <mergeCell ref="F540:H540"/>
    <mergeCell ref="I540:L540"/>
    <mergeCell ref="M540:P540"/>
    <mergeCell ref="Q540:T540"/>
    <mergeCell ref="U540:X540"/>
    <mergeCell ref="Y540:AB540"/>
    <mergeCell ref="AC540:AF540"/>
    <mergeCell ref="AG540:AJ540"/>
    <mergeCell ref="AK540:AN540"/>
    <mergeCell ref="AO540:AR540"/>
    <mergeCell ref="AS540:AV540"/>
    <mergeCell ref="AW540:AZ540"/>
    <mergeCell ref="BA540:BE540"/>
    <mergeCell ref="AW521:AY521"/>
    <mergeCell ref="F524:AZ524"/>
    <mergeCell ref="F525:H533"/>
    <mergeCell ref="I525:L533"/>
    <mergeCell ref="M525:P533"/>
    <mergeCell ref="Q525:T533"/>
    <mergeCell ref="U525:X533"/>
    <mergeCell ref="Y525:AB533"/>
    <mergeCell ref="AC525:AF533"/>
    <mergeCell ref="AG525:AJ533"/>
    <mergeCell ref="AK525:AN533"/>
    <mergeCell ref="AO525:AR533"/>
    <mergeCell ref="AS525:AV533"/>
    <mergeCell ref="AW525:AZ533"/>
    <mergeCell ref="BA525:BE533"/>
    <mergeCell ref="A534:E534"/>
    <mergeCell ref="F534:H534"/>
    <mergeCell ref="I534:L534"/>
    <mergeCell ref="M534:P534"/>
    <mergeCell ref="Q534:T534"/>
    <mergeCell ref="U534:X534"/>
    <mergeCell ref="Y534:AB534"/>
    <mergeCell ref="AC534:AF534"/>
    <mergeCell ref="AG534:AJ534"/>
    <mergeCell ref="AK534:AN534"/>
    <mergeCell ref="AO534:AR534"/>
    <mergeCell ref="AS534:AV534"/>
    <mergeCell ref="AW534:AZ534"/>
    <mergeCell ref="BA534:BE534"/>
    <mergeCell ref="F502:H505"/>
    <mergeCell ref="I502:L505"/>
    <mergeCell ref="M502:P505"/>
    <mergeCell ref="Q502:T505"/>
    <mergeCell ref="U502:X505"/>
    <mergeCell ref="Y502:AB505"/>
    <mergeCell ref="AC502:AF505"/>
    <mergeCell ref="AG502:AJ505"/>
    <mergeCell ref="AK502:AN505"/>
    <mergeCell ref="AO502:AR505"/>
    <mergeCell ref="AS502:AV505"/>
    <mergeCell ref="AW502:AY505"/>
    <mergeCell ref="BA502:BE505"/>
    <mergeCell ref="F506:H508"/>
    <mergeCell ref="I506:L508"/>
    <mergeCell ref="M506:P508"/>
    <mergeCell ref="Q506:T508"/>
    <mergeCell ref="U506:X508"/>
    <mergeCell ref="Y506:AB508"/>
    <mergeCell ref="AC506:AF508"/>
    <mergeCell ref="AG506:AJ508"/>
    <mergeCell ref="AK506:AN508"/>
    <mergeCell ref="AO506:AR508"/>
    <mergeCell ref="AS506:AV508"/>
    <mergeCell ref="AW506:AY508"/>
    <mergeCell ref="BA506:BE508"/>
    <mergeCell ref="F497:H497"/>
    <mergeCell ref="I497:L497"/>
    <mergeCell ref="M497:P497"/>
    <mergeCell ref="Q497:T497"/>
    <mergeCell ref="U497:X497"/>
    <mergeCell ref="Y497:AB497"/>
    <mergeCell ref="AC497:AF497"/>
    <mergeCell ref="AG497:AJ497"/>
    <mergeCell ref="AK497:AN497"/>
    <mergeCell ref="AO497:AR497"/>
    <mergeCell ref="AS497:AV497"/>
    <mergeCell ref="AW497:AY497"/>
    <mergeCell ref="BA497:BE497"/>
    <mergeCell ref="F498:H500"/>
    <mergeCell ref="I498:L500"/>
    <mergeCell ref="M498:P500"/>
    <mergeCell ref="Q498:T500"/>
    <mergeCell ref="U498:X500"/>
    <mergeCell ref="Y498:AB500"/>
    <mergeCell ref="AC498:AF500"/>
    <mergeCell ref="AG498:AJ500"/>
    <mergeCell ref="AK498:AN500"/>
    <mergeCell ref="AO498:AR500"/>
    <mergeCell ref="AS498:AV500"/>
    <mergeCell ref="AW498:AY500"/>
    <mergeCell ref="BA498:BE500"/>
    <mergeCell ref="F495:H495"/>
    <mergeCell ref="I495:L495"/>
    <mergeCell ref="M495:P495"/>
    <mergeCell ref="Q495:T495"/>
    <mergeCell ref="U495:X495"/>
    <mergeCell ref="Y495:AB495"/>
    <mergeCell ref="AC495:AF495"/>
    <mergeCell ref="AG495:AJ495"/>
    <mergeCell ref="AK495:AN495"/>
    <mergeCell ref="AO495:AR495"/>
    <mergeCell ref="AS495:AV495"/>
    <mergeCell ref="AW495:AY495"/>
    <mergeCell ref="BA495:BE495"/>
    <mergeCell ref="F496:H496"/>
    <mergeCell ref="I496:L496"/>
    <mergeCell ref="M496:P496"/>
    <mergeCell ref="Q496:T496"/>
    <mergeCell ref="U496:X496"/>
    <mergeCell ref="Y496:AB496"/>
    <mergeCell ref="AC496:AF496"/>
    <mergeCell ref="AG496:AJ496"/>
    <mergeCell ref="AK496:AN496"/>
    <mergeCell ref="AO496:AR496"/>
    <mergeCell ref="AS496:AV496"/>
    <mergeCell ref="AW496:AY496"/>
    <mergeCell ref="BA496:BE496"/>
    <mergeCell ref="F487:H489"/>
    <mergeCell ref="I487:L489"/>
    <mergeCell ref="M487:P489"/>
    <mergeCell ref="Q487:T489"/>
    <mergeCell ref="U487:X489"/>
    <mergeCell ref="Y487:AB489"/>
    <mergeCell ref="AC487:AF489"/>
    <mergeCell ref="AG487:AJ489"/>
    <mergeCell ref="AK487:AN489"/>
    <mergeCell ref="AO487:AR489"/>
    <mergeCell ref="AS487:AV489"/>
    <mergeCell ref="AW487:AY489"/>
    <mergeCell ref="BA487:BE489"/>
    <mergeCell ref="F491:H494"/>
    <mergeCell ref="I491:L494"/>
    <mergeCell ref="M491:P494"/>
    <mergeCell ref="Q491:T494"/>
    <mergeCell ref="U491:X494"/>
    <mergeCell ref="Y491:AB494"/>
    <mergeCell ref="AC491:AF494"/>
    <mergeCell ref="AG491:AJ494"/>
    <mergeCell ref="AK491:AN494"/>
    <mergeCell ref="AO491:AR494"/>
    <mergeCell ref="AS491:AV494"/>
    <mergeCell ref="AW491:AY494"/>
    <mergeCell ref="BA491:BE494"/>
    <mergeCell ref="F485:H485"/>
    <mergeCell ref="I485:L485"/>
    <mergeCell ref="M485:P485"/>
    <mergeCell ref="Q485:T485"/>
    <mergeCell ref="U485:X485"/>
    <mergeCell ref="Y485:AB485"/>
    <mergeCell ref="AC485:AF485"/>
    <mergeCell ref="AG485:AJ485"/>
    <mergeCell ref="AK485:AN485"/>
    <mergeCell ref="AO485:AR485"/>
    <mergeCell ref="AS485:AV485"/>
    <mergeCell ref="AW485:AY485"/>
    <mergeCell ref="BA485:BE485"/>
    <mergeCell ref="F486:H486"/>
    <mergeCell ref="I486:L486"/>
    <mergeCell ref="M486:P486"/>
    <mergeCell ref="Q486:T486"/>
    <mergeCell ref="U486:X486"/>
    <mergeCell ref="Y486:AB486"/>
    <mergeCell ref="AC486:AF486"/>
    <mergeCell ref="AG486:AJ486"/>
    <mergeCell ref="AK486:AN486"/>
    <mergeCell ref="AO486:AR486"/>
    <mergeCell ref="AS486:AV486"/>
    <mergeCell ref="AW486:AY486"/>
    <mergeCell ref="BA486:BE486"/>
    <mergeCell ref="F480:H483"/>
    <mergeCell ref="I480:L483"/>
    <mergeCell ref="M480:P483"/>
    <mergeCell ref="Q480:T483"/>
    <mergeCell ref="U480:X483"/>
    <mergeCell ref="Y480:AB483"/>
    <mergeCell ref="AC480:AF483"/>
    <mergeCell ref="AG480:AJ483"/>
    <mergeCell ref="AK480:AN483"/>
    <mergeCell ref="AO480:AR483"/>
    <mergeCell ref="AS480:AV483"/>
    <mergeCell ref="AW480:AY483"/>
    <mergeCell ref="BA480:BE483"/>
    <mergeCell ref="F484:H484"/>
    <mergeCell ref="I484:L484"/>
    <mergeCell ref="M484:P484"/>
    <mergeCell ref="Q484:T484"/>
    <mergeCell ref="U484:X484"/>
    <mergeCell ref="Y484:AB484"/>
    <mergeCell ref="AC484:AF484"/>
    <mergeCell ref="AG484:AJ484"/>
    <mergeCell ref="AK484:AN484"/>
    <mergeCell ref="AO484:AR484"/>
    <mergeCell ref="AS484:AV484"/>
    <mergeCell ref="AW484:AY484"/>
    <mergeCell ref="BA484:BE484"/>
    <mergeCell ref="BA469:BE477"/>
    <mergeCell ref="A471:E471"/>
    <mergeCell ref="A472:E472"/>
    <mergeCell ref="A473:E473"/>
    <mergeCell ref="A478:E478"/>
    <mergeCell ref="F478:H478"/>
    <mergeCell ref="I478:L478"/>
    <mergeCell ref="M478:P478"/>
    <mergeCell ref="Q478:T478"/>
    <mergeCell ref="U478:X478"/>
    <mergeCell ref="Y478:AB478"/>
    <mergeCell ref="AC478:AF478"/>
    <mergeCell ref="AG478:AJ478"/>
    <mergeCell ref="AK478:AN478"/>
    <mergeCell ref="AO478:AR478"/>
    <mergeCell ref="AS478:AV478"/>
    <mergeCell ref="AW478:AY478"/>
    <mergeCell ref="BA478:BE478"/>
    <mergeCell ref="A455:AX456"/>
    <mergeCell ref="A459:AG460"/>
    <mergeCell ref="AH459:AX459"/>
    <mergeCell ref="AH460:AX460"/>
    <mergeCell ref="AH461:AX461"/>
    <mergeCell ref="A462:AG462"/>
    <mergeCell ref="AH462:AX462"/>
    <mergeCell ref="A464:AX465"/>
    <mergeCell ref="F468:AY468"/>
    <mergeCell ref="F469:H477"/>
    <mergeCell ref="I469:L477"/>
    <mergeCell ref="M469:P477"/>
    <mergeCell ref="Q469:T477"/>
    <mergeCell ref="U469:X477"/>
    <mergeCell ref="Y469:AB477"/>
    <mergeCell ref="AC469:AF477"/>
    <mergeCell ref="AG469:AJ477"/>
    <mergeCell ref="AK469:AN477"/>
    <mergeCell ref="AO469:AR477"/>
    <mergeCell ref="AS469:AV477"/>
    <mergeCell ref="AW469:AY477"/>
    <mergeCell ref="H447:L450"/>
    <mergeCell ref="M447:Q450"/>
    <mergeCell ref="R447:V450"/>
    <mergeCell ref="W447:AA450"/>
    <mergeCell ref="AB447:AF450"/>
    <mergeCell ref="AG447:AJ450"/>
    <mergeCell ref="AK447:AN450"/>
    <mergeCell ref="AO447:AS450"/>
    <mergeCell ref="AT447:AX450"/>
    <mergeCell ref="H451:L453"/>
    <mergeCell ref="M451:Q453"/>
    <mergeCell ref="R451:V453"/>
    <mergeCell ref="W451:AA453"/>
    <mergeCell ref="AB451:AF453"/>
    <mergeCell ref="AG451:AJ453"/>
    <mergeCell ref="AK451:AN453"/>
    <mergeCell ref="AO451:AS453"/>
    <mergeCell ref="AT451:AX453"/>
    <mergeCell ref="H442:L442"/>
    <mergeCell ref="M442:Q442"/>
    <mergeCell ref="R442:V442"/>
    <mergeCell ref="W442:AA442"/>
    <mergeCell ref="AB442:AF442"/>
    <mergeCell ref="AG442:AJ442"/>
    <mergeCell ref="AK442:AN442"/>
    <mergeCell ref="AO442:AS442"/>
    <mergeCell ref="AT442:AX442"/>
    <mergeCell ref="H443:L445"/>
    <mergeCell ref="M443:Q445"/>
    <mergeCell ref="R443:V445"/>
    <mergeCell ref="W443:AA445"/>
    <mergeCell ref="AB443:AF445"/>
    <mergeCell ref="AG443:AJ445"/>
    <mergeCell ref="AK443:AN445"/>
    <mergeCell ref="AO443:AS445"/>
    <mergeCell ref="AT443:AX445"/>
    <mergeCell ref="H440:L440"/>
    <mergeCell ref="M440:Q440"/>
    <mergeCell ref="R440:V440"/>
    <mergeCell ref="W440:AA440"/>
    <mergeCell ref="AB440:AF440"/>
    <mergeCell ref="AG440:AJ440"/>
    <mergeCell ref="AK440:AN440"/>
    <mergeCell ref="AO440:AS440"/>
    <mergeCell ref="AT440:AX440"/>
    <mergeCell ref="H441:L441"/>
    <mergeCell ref="M441:Q441"/>
    <mergeCell ref="R441:V441"/>
    <mergeCell ref="W441:AA441"/>
    <mergeCell ref="AB441:AF441"/>
    <mergeCell ref="AG441:AJ441"/>
    <mergeCell ref="AK441:AN441"/>
    <mergeCell ref="AO441:AS441"/>
    <mergeCell ref="AT441:AX441"/>
    <mergeCell ref="H432:L434"/>
    <mergeCell ref="M432:Q434"/>
    <mergeCell ref="R432:V434"/>
    <mergeCell ref="W432:AA434"/>
    <mergeCell ref="AB432:AF434"/>
    <mergeCell ref="AG432:AJ434"/>
    <mergeCell ref="AK432:AN434"/>
    <mergeCell ref="AO432:AS434"/>
    <mergeCell ref="AT432:AX434"/>
    <mergeCell ref="H436:L439"/>
    <mergeCell ref="M436:Q439"/>
    <mergeCell ref="R436:V439"/>
    <mergeCell ref="W436:AA439"/>
    <mergeCell ref="AB436:AF439"/>
    <mergeCell ref="AG436:AJ439"/>
    <mergeCell ref="AK436:AN439"/>
    <mergeCell ref="AO436:AS439"/>
    <mergeCell ref="AT436:AX439"/>
    <mergeCell ref="H430:L430"/>
    <mergeCell ref="M430:Q430"/>
    <mergeCell ref="R430:V430"/>
    <mergeCell ref="W430:AA430"/>
    <mergeCell ref="AB430:AF430"/>
    <mergeCell ref="AG430:AJ430"/>
    <mergeCell ref="AK430:AN430"/>
    <mergeCell ref="AO430:AS430"/>
    <mergeCell ref="AT430:AX430"/>
    <mergeCell ref="H431:L431"/>
    <mergeCell ref="M431:Q431"/>
    <mergeCell ref="R431:V431"/>
    <mergeCell ref="W431:AA431"/>
    <mergeCell ref="AB431:AF431"/>
    <mergeCell ref="AG431:AJ431"/>
    <mergeCell ref="AK431:AN431"/>
    <mergeCell ref="AO431:AS431"/>
    <mergeCell ref="AT431:AX431"/>
    <mergeCell ref="H425:L428"/>
    <mergeCell ref="M425:Q428"/>
    <mergeCell ref="R425:V428"/>
    <mergeCell ref="W425:AA428"/>
    <mergeCell ref="AB425:AF428"/>
    <mergeCell ref="AG425:AJ428"/>
    <mergeCell ref="AK425:AN428"/>
    <mergeCell ref="AO425:AS428"/>
    <mergeCell ref="AT425:AX428"/>
    <mergeCell ref="H429:L429"/>
    <mergeCell ref="M429:Q429"/>
    <mergeCell ref="R429:V429"/>
    <mergeCell ref="W429:AA429"/>
    <mergeCell ref="AB429:AF429"/>
    <mergeCell ref="AG429:AJ429"/>
    <mergeCell ref="AK429:AN429"/>
    <mergeCell ref="AO429:AS429"/>
    <mergeCell ref="AT429:AX429"/>
    <mergeCell ref="H420:L420"/>
    <mergeCell ref="M420:Q420"/>
    <mergeCell ref="R420:V420"/>
    <mergeCell ref="W420:AA420"/>
    <mergeCell ref="AB420:AF420"/>
    <mergeCell ref="AG420:AJ420"/>
    <mergeCell ref="AK420:AN420"/>
    <mergeCell ref="AO420:AS420"/>
    <mergeCell ref="AT420:AX420"/>
    <mergeCell ref="H421:L423"/>
    <mergeCell ref="M421:Q423"/>
    <mergeCell ref="R421:V423"/>
    <mergeCell ref="W421:AA423"/>
    <mergeCell ref="AB421:AF423"/>
    <mergeCell ref="AG421:AJ423"/>
    <mergeCell ref="AK421:AN423"/>
    <mergeCell ref="AO421:AS423"/>
    <mergeCell ref="AT421:AX423"/>
    <mergeCell ref="H418:L418"/>
    <mergeCell ref="M418:Q418"/>
    <mergeCell ref="R418:V418"/>
    <mergeCell ref="W418:AA418"/>
    <mergeCell ref="AB418:AF418"/>
    <mergeCell ref="AG418:AJ418"/>
    <mergeCell ref="AK418:AN418"/>
    <mergeCell ref="AO418:AS418"/>
    <mergeCell ref="AT418:AX418"/>
    <mergeCell ref="H419:L419"/>
    <mergeCell ref="M419:Q419"/>
    <mergeCell ref="R419:V419"/>
    <mergeCell ref="W419:AA419"/>
    <mergeCell ref="AB419:AF419"/>
    <mergeCell ref="AG419:AJ419"/>
    <mergeCell ref="AK419:AN419"/>
    <mergeCell ref="AO419:AS419"/>
    <mergeCell ref="AT419:AX419"/>
    <mergeCell ref="H411:L411"/>
    <mergeCell ref="M411:Q411"/>
    <mergeCell ref="R411:V411"/>
    <mergeCell ref="W411:AA411"/>
    <mergeCell ref="AB411:AF411"/>
    <mergeCell ref="A412:G412"/>
    <mergeCell ref="H412:L412"/>
    <mergeCell ref="M412:Q412"/>
    <mergeCell ref="R412:V412"/>
    <mergeCell ref="W412:AA412"/>
    <mergeCell ref="AB412:AF412"/>
    <mergeCell ref="AG412:AJ412"/>
    <mergeCell ref="AK412:AN412"/>
    <mergeCell ref="AO412:AS412"/>
    <mergeCell ref="AT412:AW412"/>
    <mergeCell ref="H414:L417"/>
    <mergeCell ref="M414:Q417"/>
    <mergeCell ref="R414:V417"/>
    <mergeCell ref="W414:AA417"/>
    <mergeCell ref="AB414:AF417"/>
    <mergeCell ref="AG414:AJ417"/>
    <mergeCell ref="AK414:AN417"/>
    <mergeCell ref="AO414:AS417"/>
    <mergeCell ref="AT414:AX417"/>
    <mergeCell ref="H408:L408"/>
    <mergeCell ref="M408:Q408"/>
    <mergeCell ref="R408:V408"/>
    <mergeCell ref="W408:AA408"/>
    <mergeCell ref="AB408:AF408"/>
    <mergeCell ref="AG408:AJ408"/>
    <mergeCell ref="AK408:AN408"/>
    <mergeCell ref="AO408:AS408"/>
    <mergeCell ref="H409:L409"/>
    <mergeCell ref="M409:Q409"/>
    <mergeCell ref="R409:V409"/>
    <mergeCell ref="W409:AA409"/>
    <mergeCell ref="AB409:AF409"/>
    <mergeCell ref="AG409:AJ409"/>
    <mergeCell ref="AK409:AN409"/>
    <mergeCell ref="AO409:AS409"/>
    <mergeCell ref="H410:L410"/>
    <mergeCell ref="M410:Q410"/>
    <mergeCell ref="R410:V410"/>
    <mergeCell ref="W410:AA410"/>
    <mergeCell ref="AB410:AF410"/>
    <mergeCell ref="A406:G406"/>
    <mergeCell ref="H406:L406"/>
    <mergeCell ref="M406:Q406"/>
    <mergeCell ref="R406:V406"/>
    <mergeCell ref="W406:AA406"/>
    <mergeCell ref="AB406:AF406"/>
    <mergeCell ref="AG406:AJ406"/>
    <mergeCell ref="AK406:AN406"/>
    <mergeCell ref="AO406:AS406"/>
    <mergeCell ref="AT406:AW406"/>
    <mergeCell ref="H407:L407"/>
    <mergeCell ref="M407:Q407"/>
    <mergeCell ref="R407:V407"/>
    <mergeCell ref="W407:AA407"/>
    <mergeCell ref="AB407:AF407"/>
    <mergeCell ref="AG407:AJ407"/>
    <mergeCell ref="AK407:AN407"/>
    <mergeCell ref="AO407:AS407"/>
    <mergeCell ref="H402:AX402"/>
    <mergeCell ref="H403:L403"/>
    <mergeCell ref="M403:Q403"/>
    <mergeCell ref="R403:V403"/>
    <mergeCell ref="W403:AA403"/>
    <mergeCell ref="AB403:AF403"/>
    <mergeCell ref="H404:L404"/>
    <mergeCell ref="M404:Q404"/>
    <mergeCell ref="R404:V404"/>
    <mergeCell ref="W404:AA404"/>
    <mergeCell ref="AB404:AF404"/>
    <mergeCell ref="AO404:AS404"/>
    <mergeCell ref="A405:G405"/>
    <mergeCell ref="H405:L405"/>
    <mergeCell ref="M405:Q405"/>
    <mergeCell ref="R405:V405"/>
    <mergeCell ref="W405:AA405"/>
    <mergeCell ref="AB405:AF405"/>
    <mergeCell ref="AO405:AS405"/>
    <mergeCell ref="H393:L396"/>
    <mergeCell ref="M393:Q396"/>
    <mergeCell ref="R393:V396"/>
    <mergeCell ref="W393:AA396"/>
    <mergeCell ref="AB393:AF396"/>
    <mergeCell ref="AG393:AJ396"/>
    <mergeCell ref="AK393:AN396"/>
    <mergeCell ref="AO393:AS396"/>
    <mergeCell ref="AT393:AX396"/>
    <mergeCell ref="H397:L399"/>
    <mergeCell ref="M397:Q399"/>
    <mergeCell ref="R397:V399"/>
    <mergeCell ref="W397:AA399"/>
    <mergeCell ref="AB397:AF399"/>
    <mergeCell ref="AG397:AJ399"/>
    <mergeCell ref="AK397:AN399"/>
    <mergeCell ref="AO397:AS399"/>
    <mergeCell ref="AT397:AX399"/>
    <mergeCell ref="H388:L388"/>
    <mergeCell ref="M388:Q388"/>
    <mergeCell ref="R388:V388"/>
    <mergeCell ref="W388:AA388"/>
    <mergeCell ref="AB388:AF388"/>
    <mergeCell ref="AG388:AJ388"/>
    <mergeCell ref="AK388:AN388"/>
    <mergeCell ref="AO388:AS388"/>
    <mergeCell ref="AT388:AX388"/>
    <mergeCell ref="H389:L391"/>
    <mergeCell ref="M389:Q391"/>
    <mergeCell ref="R389:V391"/>
    <mergeCell ref="W389:AA391"/>
    <mergeCell ref="AB389:AF391"/>
    <mergeCell ref="AG389:AJ391"/>
    <mergeCell ref="AK389:AN391"/>
    <mergeCell ref="AO389:AS391"/>
    <mergeCell ref="AT389:AX391"/>
    <mergeCell ref="H386:L386"/>
    <mergeCell ref="M386:Q386"/>
    <mergeCell ref="R386:V386"/>
    <mergeCell ref="W386:AA386"/>
    <mergeCell ref="AB386:AF386"/>
    <mergeCell ref="AG386:AJ386"/>
    <mergeCell ref="AK386:AN386"/>
    <mergeCell ref="AO386:AS386"/>
    <mergeCell ref="AT386:AX386"/>
    <mergeCell ref="H387:L387"/>
    <mergeCell ref="M387:Q387"/>
    <mergeCell ref="R387:V387"/>
    <mergeCell ref="W387:AA387"/>
    <mergeCell ref="AB387:AF387"/>
    <mergeCell ref="AG387:AJ387"/>
    <mergeCell ref="AK387:AN387"/>
    <mergeCell ref="AO387:AS387"/>
    <mergeCell ref="AT387:AX387"/>
    <mergeCell ref="H378:L380"/>
    <mergeCell ref="M378:Q380"/>
    <mergeCell ref="R378:V380"/>
    <mergeCell ref="W378:AA380"/>
    <mergeCell ref="AB378:AF380"/>
    <mergeCell ref="AG378:AJ380"/>
    <mergeCell ref="AK378:AN380"/>
    <mergeCell ref="AO378:AS380"/>
    <mergeCell ref="AT378:AX380"/>
    <mergeCell ref="H382:L385"/>
    <mergeCell ref="M382:Q385"/>
    <mergeCell ref="R382:V385"/>
    <mergeCell ref="W382:AA385"/>
    <mergeCell ref="AB382:AF385"/>
    <mergeCell ref="AG382:AJ385"/>
    <mergeCell ref="AK382:AN385"/>
    <mergeCell ref="AO382:AS385"/>
    <mergeCell ref="AT382:AX385"/>
    <mergeCell ref="H376:L376"/>
    <mergeCell ref="M376:Q376"/>
    <mergeCell ref="R376:V376"/>
    <mergeCell ref="W376:AA376"/>
    <mergeCell ref="AB376:AF376"/>
    <mergeCell ref="AG376:AJ376"/>
    <mergeCell ref="AK376:AN376"/>
    <mergeCell ref="AO376:AS376"/>
    <mergeCell ref="AT376:AX376"/>
    <mergeCell ref="H377:L377"/>
    <mergeCell ref="M377:Q377"/>
    <mergeCell ref="R377:V377"/>
    <mergeCell ref="W377:AA377"/>
    <mergeCell ref="AB377:AF377"/>
    <mergeCell ref="AG377:AJ377"/>
    <mergeCell ref="AK377:AN377"/>
    <mergeCell ref="AO377:AS377"/>
    <mergeCell ref="AT377:AX377"/>
    <mergeCell ref="H371:L374"/>
    <mergeCell ref="M371:Q374"/>
    <mergeCell ref="R371:V374"/>
    <mergeCell ref="W371:AA374"/>
    <mergeCell ref="AB371:AF374"/>
    <mergeCell ref="AG371:AJ374"/>
    <mergeCell ref="AK371:AN374"/>
    <mergeCell ref="AO371:AS374"/>
    <mergeCell ref="AT371:AX374"/>
    <mergeCell ref="H375:L375"/>
    <mergeCell ref="M375:Q375"/>
    <mergeCell ref="R375:V375"/>
    <mergeCell ref="W375:AA375"/>
    <mergeCell ref="AB375:AF375"/>
    <mergeCell ref="AG375:AJ375"/>
    <mergeCell ref="AK375:AN375"/>
    <mergeCell ref="AO375:AS375"/>
    <mergeCell ref="AT375:AX375"/>
    <mergeCell ref="H366:L366"/>
    <mergeCell ref="M366:Q366"/>
    <mergeCell ref="R366:V366"/>
    <mergeCell ref="W366:AA366"/>
    <mergeCell ref="AB366:AF366"/>
    <mergeCell ref="AG366:AJ366"/>
    <mergeCell ref="AK366:AN366"/>
    <mergeCell ref="AO366:AS366"/>
    <mergeCell ref="AT366:AX366"/>
    <mergeCell ref="H367:L369"/>
    <mergeCell ref="M367:Q369"/>
    <mergeCell ref="R367:V369"/>
    <mergeCell ref="W367:AA369"/>
    <mergeCell ref="AB367:AF369"/>
    <mergeCell ref="AG367:AJ369"/>
    <mergeCell ref="AK367:AN369"/>
    <mergeCell ref="AO367:AS369"/>
    <mergeCell ref="AT367:AX369"/>
    <mergeCell ref="H364:L364"/>
    <mergeCell ref="M364:Q364"/>
    <mergeCell ref="R364:V364"/>
    <mergeCell ref="W364:AA364"/>
    <mergeCell ref="AB364:AF364"/>
    <mergeCell ref="AG364:AJ364"/>
    <mergeCell ref="AK364:AN364"/>
    <mergeCell ref="AO364:AS364"/>
    <mergeCell ref="AT364:AX364"/>
    <mergeCell ref="H365:L365"/>
    <mergeCell ref="M365:Q365"/>
    <mergeCell ref="R365:V365"/>
    <mergeCell ref="W365:AA365"/>
    <mergeCell ref="AB365:AF365"/>
    <mergeCell ref="AG365:AJ365"/>
    <mergeCell ref="AK365:AN365"/>
    <mergeCell ref="AO365:AS365"/>
    <mergeCell ref="AT365:AX365"/>
    <mergeCell ref="H357:L357"/>
    <mergeCell ref="M357:Q357"/>
    <mergeCell ref="R357:V357"/>
    <mergeCell ref="W357:AA357"/>
    <mergeCell ref="AB357:AF357"/>
    <mergeCell ref="A358:G358"/>
    <mergeCell ref="H358:L358"/>
    <mergeCell ref="M358:Q358"/>
    <mergeCell ref="R358:V358"/>
    <mergeCell ref="W358:AA358"/>
    <mergeCell ref="AB358:AF358"/>
    <mergeCell ref="AG358:AJ358"/>
    <mergeCell ref="AK358:AN358"/>
    <mergeCell ref="AO358:AS358"/>
    <mergeCell ref="AT358:AW358"/>
    <mergeCell ref="H360:L363"/>
    <mergeCell ref="M360:Q363"/>
    <mergeCell ref="R360:V363"/>
    <mergeCell ref="W360:AA363"/>
    <mergeCell ref="AB360:AF363"/>
    <mergeCell ref="AG360:AJ363"/>
    <mergeCell ref="AK360:AN363"/>
    <mergeCell ref="AO360:AS363"/>
    <mergeCell ref="AT360:AX363"/>
    <mergeCell ref="H354:L354"/>
    <mergeCell ref="M354:Q354"/>
    <mergeCell ref="R354:V354"/>
    <mergeCell ref="W354:AA354"/>
    <mergeCell ref="AB354:AF354"/>
    <mergeCell ref="AG354:AJ354"/>
    <mergeCell ref="AK354:AN354"/>
    <mergeCell ref="AO354:AS354"/>
    <mergeCell ref="H355:L355"/>
    <mergeCell ref="M355:Q355"/>
    <mergeCell ref="R355:V355"/>
    <mergeCell ref="W355:AA355"/>
    <mergeCell ref="AB355:AF355"/>
    <mergeCell ref="AG355:AJ355"/>
    <mergeCell ref="AK355:AN355"/>
    <mergeCell ref="AO355:AS355"/>
    <mergeCell ref="H356:L356"/>
    <mergeCell ref="M356:Q356"/>
    <mergeCell ref="R356:V356"/>
    <mergeCell ref="W356:AA356"/>
    <mergeCell ref="AB356:AF356"/>
    <mergeCell ref="A352:G352"/>
    <mergeCell ref="H352:L352"/>
    <mergeCell ref="M352:Q352"/>
    <mergeCell ref="R352:V352"/>
    <mergeCell ref="W352:AA352"/>
    <mergeCell ref="AB352:AF352"/>
    <mergeCell ref="AG352:AJ352"/>
    <mergeCell ref="AK352:AN352"/>
    <mergeCell ref="AO352:AS352"/>
    <mergeCell ref="AT352:AW352"/>
    <mergeCell ref="H353:L353"/>
    <mergeCell ref="M353:Q353"/>
    <mergeCell ref="R353:V353"/>
    <mergeCell ref="W353:AA353"/>
    <mergeCell ref="AB353:AF353"/>
    <mergeCell ref="AG353:AJ353"/>
    <mergeCell ref="AK353:AN353"/>
    <mergeCell ref="AO353:AS353"/>
    <mergeCell ref="H349:L349"/>
    <mergeCell ref="M349:Q349"/>
    <mergeCell ref="R349:V349"/>
    <mergeCell ref="W349:AA349"/>
    <mergeCell ref="AB349:AF349"/>
    <mergeCell ref="H350:L350"/>
    <mergeCell ref="M350:Q350"/>
    <mergeCell ref="R350:V350"/>
    <mergeCell ref="W350:AA350"/>
    <mergeCell ref="AB350:AF350"/>
    <mergeCell ref="AO350:AS350"/>
    <mergeCell ref="A351:G351"/>
    <mergeCell ref="H351:L351"/>
    <mergeCell ref="M351:Q351"/>
    <mergeCell ref="R351:V351"/>
    <mergeCell ref="W351:AA351"/>
    <mergeCell ref="AB351:AF351"/>
    <mergeCell ref="AO351:AS351"/>
    <mergeCell ref="L330:O331"/>
    <mergeCell ref="P330:S331"/>
    <mergeCell ref="T330:W331"/>
    <mergeCell ref="X330:AB331"/>
    <mergeCell ref="AC330:AG331"/>
    <mergeCell ref="AH330:AL331"/>
    <mergeCell ref="AM330:AS331"/>
    <mergeCell ref="AT330:AX331"/>
    <mergeCell ref="A333:AX334"/>
    <mergeCell ref="A337:AG338"/>
    <mergeCell ref="AH337:AX337"/>
    <mergeCell ref="AH338:AX338"/>
    <mergeCell ref="AH339:AX339"/>
    <mergeCell ref="A340:AG340"/>
    <mergeCell ref="AH340:AX340"/>
    <mergeCell ref="A342:AX343"/>
    <mergeCell ref="H348:AX348"/>
    <mergeCell ref="L324:O324"/>
    <mergeCell ref="P324:S324"/>
    <mergeCell ref="T324:W324"/>
    <mergeCell ref="X324:AB324"/>
    <mergeCell ref="AC324:AG324"/>
    <mergeCell ref="AH324:AL324"/>
    <mergeCell ref="AM324:AS324"/>
    <mergeCell ref="AT324:AX324"/>
    <mergeCell ref="L325:O326"/>
    <mergeCell ref="P325:S326"/>
    <mergeCell ref="T325:W326"/>
    <mergeCell ref="X325:AB326"/>
    <mergeCell ref="AC325:AG326"/>
    <mergeCell ref="AH325:AL326"/>
    <mergeCell ref="AM325:AS326"/>
    <mergeCell ref="AT325:AX326"/>
    <mergeCell ref="L328:O329"/>
    <mergeCell ref="P328:S329"/>
    <mergeCell ref="T328:W329"/>
    <mergeCell ref="X328:AB329"/>
    <mergeCell ref="AC328:AG329"/>
    <mergeCell ref="AH328:AL329"/>
    <mergeCell ref="AM328:AS329"/>
    <mergeCell ref="AT328:AX329"/>
    <mergeCell ref="L320:O321"/>
    <mergeCell ref="P320:S321"/>
    <mergeCell ref="T320:W321"/>
    <mergeCell ref="X320:AB321"/>
    <mergeCell ref="AC320:AG321"/>
    <mergeCell ref="AH320:AL321"/>
    <mergeCell ref="AM320:AS321"/>
    <mergeCell ref="AT320:AX321"/>
    <mergeCell ref="L322:O322"/>
    <mergeCell ref="P322:S322"/>
    <mergeCell ref="T322:W322"/>
    <mergeCell ref="X322:AB322"/>
    <mergeCell ref="AC322:AG322"/>
    <mergeCell ref="AH322:AL322"/>
    <mergeCell ref="AM322:AS322"/>
    <mergeCell ref="AT322:AX322"/>
    <mergeCell ref="L323:O323"/>
    <mergeCell ref="P323:S323"/>
    <mergeCell ref="T323:W323"/>
    <mergeCell ref="X323:AB323"/>
    <mergeCell ref="AC323:AG323"/>
    <mergeCell ref="AH323:AL323"/>
    <mergeCell ref="AM323:AS323"/>
    <mergeCell ref="AT323:AX323"/>
    <mergeCell ref="L315:O315"/>
    <mergeCell ref="P315:S315"/>
    <mergeCell ref="T315:W315"/>
    <mergeCell ref="X315:AB315"/>
    <mergeCell ref="AC315:AG315"/>
    <mergeCell ref="AH315:AL315"/>
    <mergeCell ref="AM315:AS315"/>
    <mergeCell ref="AT315:AX315"/>
    <mergeCell ref="L316:O316"/>
    <mergeCell ref="P316:S316"/>
    <mergeCell ref="T316:W316"/>
    <mergeCell ref="X316:AB316"/>
    <mergeCell ref="AC316:AG316"/>
    <mergeCell ref="AH316:AL316"/>
    <mergeCell ref="AM316:AS316"/>
    <mergeCell ref="AT316:AX316"/>
    <mergeCell ref="L317:O318"/>
    <mergeCell ref="P317:S318"/>
    <mergeCell ref="T317:W318"/>
    <mergeCell ref="X317:AB318"/>
    <mergeCell ref="AC317:AG318"/>
    <mergeCell ref="AH317:AL318"/>
    <mergeCell ref="AM317:AS318"/>
    <mergeCell ref="AT317:AX318"/>
    <mergeCell ref="L309:O310"/>
    <mergeCell ref="P309:S310"/>
    <mergeCell ref="T309:W310"/>
    <mergeCell ref="X309:AB310"/>
    <mergeCell ref="AC309:AG310"/>
    <mergeCell ref="AH309:AL310"/>
    <mergeCell ref="AM309:AS310"/>
    <mergeCell ref="AT309:AX310"/>
    <mergeCell ref="L312:O313"/>
    <mergeCell ref="P312:S313"/>
    <mergeCell ref="T312:W313"/>
    <mergeCell ref="X312:AB313"/>
    <mergeCell ref="AC312:AG313"/>
    <mergeCell ref="AH312:AL313"/>
    <mergeCell ref="AM312:AS313"/>
    <mergeCell ref="AT312:AX313"/>
    <mergeCell ref="L314:O314"/>
    <mergeCell ref="P314:S314"/>
    <mergeCell ref="T314:W314"/>
    <mergeCell ref="X314:AB314"/>
    <mergeCell ref="AC314:AG314"/>
    <mergeCell ref="AH314:AL314"/>
    <mergeCell ref="AM314:AS314"/>
    <mergeCell ref="AT314:AX314"/>
    <mergeCell ref="L306:O306"/>
    <mergeCell ref="P306:S306"/>
    <mergeCell ref="T306:W306"/>
    <mergeCell ref="X306:AB306"/>
    <mergeCell ref="AC306:AG306"/>
    <mergeCell ref="AH306:AL306"/>
    <mergeCell ref="AM306:AS306"/>
    <mergeCell ref="AT306:AX306"/>
    <mergeCell ref="L307:O307"/>
    <mergeCell ref="P307:S307"/>
    <mergeCell ref="T307:W307"/>
    <mergeCell ref="X307:AB307"/>
    <mergeCell ref="AC307:AG307"/>
    <mergeCell ref="AH307:AL307"/>
    <mergeCell ref="AM307:AS307"/>
    <mergeCell ref="AT307:AX307"/>
    <mergeCell ref="L308:O308"/>
    <mergeCell ref="P308:S308"/>
    <mergeCell ref="T308:W308"/>
    <mergeCell ref="X308:AB308"/>
    <mergeCell ref="AC308:AG308"/>
    <mergeCell ref="AH308:AL308"/>
    <mergeCell ref="AM308:AS308"/>
    <mergeCell ref="AT308:AX308"/>
    <mergeCell ref="A302:K302"/>
    <mergeCell ref="L302:O302"/>
    <mergeCell ref="P302:S302"/>
    <mergeCell ref="T302:W302"/>
    <mergeCell ref="X302:AB302"/>
    <mergeCell ref="AC302:AG302"/>
    <mergeCell ref="AH302:AL302"/>
    <mergeCell ref="AM302:AS302"/>
    <mergeCell ref="AT302:AW302"/>
    <mergeCell ref="L304:O305"/>
    <mergeCell ref="P304:S305"/>
    <mergeCell ref="T304:W305"/>
    <mergeCell ref="X304:AB305"/>
    <mergeCell ref="AC304:AG305"/>
    <mergeCell ref="AH304:AL305"/>
    <mergeCell ref="AM304:AS305"/>
    <mergeCell ref="AT304:AX305"/>
    <mergeCell ref="L297:AX297"/>
    <mergeCell ref="L298:O298"/>
    <mergeCell ref="P298:S301"/>
    <mergeCell ref="T298:W298"/>
    <mergeCell ref="X298:AB301"/>
    <mergeCell ref="AC298:AG298"/>
    <mergeCell ref="AH298:AL298"/>
    <mergeCell ref="AM298:AS298"/>
    <mergeCell ref="AT298:AW301"/>
    <mergeCell ref="A299:K299"/>
    <mergeCell ref="L299:O299"/>
    <mergeCell ref="T299:W299"/>
    <mergeCell ref="AC299:AG299"/>
    <mergeCell ref="AH299:AL299"/>
    <mergeCell ref="AM299:AS299"/>
    <mergeCell ref="A300:K300"/>
    <mergeCell ref="L300:O300"/>
    <mergeCell ref="T300:W300"/>
    <mergeCell ref="AC300:AG300"/>
    <mergeCell ref="AH300:AL300"/>
    <mergeCell ref="AM300:AS300"/>
    <mergeCell ref="L301:O301"/>
    <mergeCell ref="T301:W301"/>
    <mergeCell ref="AC301:AG301"/>
    <mergeCell ref="AH301:AL301"/>
    <mergeCell ref="AM301:AS301"/>
    <mergeCell ref="L288:O289"/>
    <mergeCell ref="P288:S289"/>
    <mergeCell ref="T288:W289"/>
    <mergeCell ref="X288:AB289"/>
    <mergeCell ref="AC288:AG289"/>
    <mergeCell ref="AH288:AL289"/>
    <mergeCell ref="AM288:AS289"/>
    <mergeCell ref="AT288:AX289"/>
    <mergeCell ref="L291:O292"/>
    <mergeCell ref="P291:S292"/>
    <mergeCell ref="T291:W292"/>
    <mergeCell ref="X291:AB292"/>
    <mergeCell ref="AC291:AG292"/>
    <mergeCell ref="AH291:AL292"/>
    <mergeCell ref="AM291:AS292"/>
    <mergeCell ref="AT291:AX292"/>
    <mergeCell ref="L293:O294"/>
    <mergeCell ref="P293:S294"/>
    <mergeCell ref="T293:W294"/>
    <mergeCell ref="X293:AB294"/>
    <mergeCell ref="AC293:AG294"/>
    <mergeCell ref="AH293:AL294"/>
    <mergeCell ref="AM293:AS294"/>
    <mergeCell ref="AT293:AX294"/>
    <mergeCell ref="L285:O285"/>
    <mergeCell ref="P285:S285"/>
    <mergeCell ref="T285:W285"/>
    <mergeCell ref="X285:AB285"/>
    <mergeCell ref="AC285:AG285"/>
    <mergeCell ref="AH285:AL285"/>
    <mergeCell ref="AM285:AS285"/>
    <mergeCell ref="AT285:AX285"/>
    <mergeCell ref="L286:O286"/>
    <mergeCell ref="P286:S286"/>
    <mergeCell ref="T286:W286"/>
    <mergeCell ref="X286:AB286"/>
    <mergeCell ref="AC286:AG286"/>
    <mergeCell ref="AH286:AL286"/>
    <mergeCell ref="AM286:AS286"/>
    <mergeCell ref="AT286:AX286"/>
    <mergeCell ref="L287:O287"/>
    <mergeCell ref="P287:S287"/>
    <mergeCell ref="T287:W287"/>
    <mergeCell ref="X287:AB287"/>
    <mergeCell ref="AC287:AG287"/>
    <mergeCell ref="AH287:AL287"/>
    <mergeCell ref="AM287:AS287"/>
    <mergeCell ref="AT287:AX287"/>
    <mergeCell ref="L279:O279"/>
    <mergeCell ref="P279:S279"/>
    <mergeCell ref="T279:W279"/>
    <mergeCell ref="X279:AB279"/>
    <mergeCell ref="AC279:AG279"/>
    <mergeCell ref="AH279:AL279"/>
    <mergeCell ref="AM279:AS279"/>
    <mergeCell ref="AT279:AX279"/>
    <mergeCell ref="L280:O281"/>
    <mergeCell ref="P280:S281"/>
    <mergeCell ref="T280:W281"/>
    <mergeCell ref="X280:AB281"/>
    <mergeCell ref="AC280:AG281"/>
    <mergeCell ref="AH280:AL281"/>
    <mergeCell ref="AM280:AS281"/>
    <mergeCell ref="AT280:AX281"/>
    <mergeCell ref="L283:O284"/>
    <mergeCell ref="P283:S284"/>
    <mergeCell ref="T283:W284"/>
    <mergeCell ref="X283:AB284"/>
    <mergeCell ref="AC283:AG284"/>
    <mergeCell ref="AH283:AL284"/>
    <mergeCell ref="AM283:AS284"/>
    <mergeCell ref="AT283:AX284"/>
    <mergeCell ref="L275:O276"/>
    <mergeCell ref="P275:S276"/>
    <mergeCell ref="T275:W276"/>
    <mergeCell ref="X275:AB276"/>
    <mergeCell ref="AC275:AG276"/>
    <mergeCell ref="AH275:AL276"/>
    <mergeCell ref="AM275:AS276"/>
    <mergeCell ref="AT275:AX276"/>
    <mergeCell ref="L277:O277"/>
    <mergeCell ref="P277:S277"/>
    <mergeCell ref="T277:W277"/>
    <mergeCell ref="X277:AB277"/>
    <mergeCell ref="AC277:AG277"/>
    <mergeCell ref="AH277:AL277"/>
    <mergeCell ref="AM277:AS277"/>
    <mergeCell ref="AT277:AX277"/>
    <mergeCell ref="L278:O278"/>
    <mergeCell ref="P278:S278"/>
    <mergeCell ref="T278:W278"/>
    <mergeCell ref="X278:AB278"/>
    <mergeCell ref="AC278:AG278"/>
    <mergeCell ref="AH278:AL278"/>
    <mergeCell ref="AM278:AS278"/>
    <mergeCell ref="AT278:AX278"/>
    <mergeCell ref="L270:O270"/>
    <mergeCell ref="P270:S270"/>
    <mergeCell ref="T270:W270"/>
    <mergeCell ref="X270:AB270"/>
    <mergeCell ref="AC270:AG270"/>
    <mergeCell ref="AH270:AL270"/>
    <mergeCell ref="AM270:AS270"/>
    <mergeCell ref="AT270:AX270"/>
    <mergeCell ref="L271:O271"/>
    <mergeCell ref="P271:S271"/>
    <mergeCell ref="T271:W271"/>
    <mergeCell ref="X271:AB271"/>
    <mergeCell ref="AC271:AG271"/>
    <mergeCell ref="AH271:AL271"/>
    <mergeCell ref="AM271:AS271"/>
    <mergeCell ref="AT271:AX271"/>
    <mergeCell ref="L272:O273"/>
    <mergeCell ref="P272:S273"/>
    <mergeCell ref="T272:W273"/>
    <mergeCell ref="X272:AB273"/>
    <mergeCell ref="AC272:AG273"/>
    <mergeCell ref="AH272:AL273"/>
    <mergeCell ref="AM272:AS273"/>
    <mergeCell ref="AT272:AX273"/>
    <mergeCell ref="AT265:AW265"/>
    <mergeCell ref="L267:O268"/>
    <mergeCell ref="P267:S268"/>
    <mergeCell ref="T267:W268"/>
    <mergeCell ref="X267:AB268"/>
    <mergeCell ref="AC267:AG268"/>
    <mergeCell ref="AH267:AL268"/>
    <mergeCell ref="AM267:AS268"/>
    <mergeCell ref="AT267:AX268"/>
    <mergeCell ref="L269:O269"/>
    <mergeCell ref="P269:S269"/>
    <mergeCell ref="T269:W269"/>
    <mergeCell ref="X269:AB269"/>
    <mergeCell ref="AC269:AG269"/>
    <mergeCell ref="AH269:AL269"/>
    <mergeCell ref="AM269:AS269"/>
    <mergeCell ref="AT269:AX269"/>
    <mergeCell ref="A262:K262"/>
    <mergeCell ref="L262:O262"/>
    <mergeCell ref="T262:W262"/>
    <mergeCell ref="AC262:AG262"/>
    <mergeCell ref="AH262:AL262"/>
    <mergeCell ref="AM262:AS262"/>
    <mergeCell ref="A263:K263"/>
    <mergeCell ref="L263:O263"/>
    <mergeCell ref="T263:W263"/>
    <mergeCell ref="AC263:AG263"/>
    <mergeCell ref="AH263:AL263"/>
    <mergeCell ref="AM263:AS263"/>
    <mergeCell ref="L264:O264"/>
    <mergeCell ref="T264:W264"/>
    <mergeCell ref="AC264:AG264"/>
    <mergeCell ref="AH264:AL264"/>
    <mergeCell ref="A265:K265"/>
    <mergeCell ref="L265:O265"/>
    <mergeCell ref="P265:S265"/>
    <mergeCell ref="T265:W265"/>
    <mergeCell ref="X265:AB265"/>
    <mergeCell ref="AC265:AG265"/>
    <mergeCell ref="AH265:AL265"/>
    <mergeCell ref="AM265:AS265"/>
    <mergeCell ref="YN199:AAL199"/>
    <mergeCell ref="AAM199:ACK199"/>
    <mergeCell ref="ACL199:AEJ199"/>
    <mergeCell ref="AEK199:AGI199"/>
    <mergeCell ref="AGJ199:AIH199"/>
    <mergeCell ref="AII199:AKG199"/>
    <mergeCell ref="AKH199:AMF199"/>
    <mergeCell ref="AMG199:AMJ199"/>
    <mergeCell ref="L260:AX260"/>
    <mergeCell ref="L261:O261"/>
    <mergeCell ref="P261:S264"/>
    <mergeCell ref="T261:W261"/>
    <mergeCell ref="X261:AB264"/>
    <mergeCell ref="AC261:AG261"/>
    <mergeCell ref="AH261:AL261"/>
    <mergeCell ref="AM261:AS261"/>
    <mergeCell ref="AT261:AW264"/>
    <mergeCell ref="A194:AY194"/>
    <mergeCell ref="A195:AY195"/>
    <mergeCell ref="A197:B197"/>
    <mergeCell ref="C197:D197"/>
    <mergeCell ref="E197:AM197"/>
    <mergeCell ref="A199:AY199"/>
    <mergeCell ref="CY199:EW199"/>
    <mergeCell ref="EX199:GV199"/>
    <mergeCell ref="GW199:IU199"/>
    <mergeCell ref="IV199:KT199"/>
    <mergeCell ref="KU199:MS199"/>
    <mergeCell ref="MT199:OR199"/>
    <mergeCell ref="OS199:QQ199"/>
    <mergeCell ref="QR199:SP199"/>
    <mergeCell ref="SQ199:UO199"/>
    <mergeCell ref="UP199:WN199"/>
    <mergeCell ref="WO199:YM199"/>
    <mergeCell ref="AEK187:AGI187"/>
    <mergeCell ref="AGJ187:AIH187"/>
    <mergeCell ref="AII187:AKG187"/>
    <mergeCell ref="AKH187:AMF187"/>
    <mergeCell ref="AMG187:AMJ187"/>
    <mergeCell ref="A188:AY188"/>
    <mergeCell ref="A189:AY189"/>
    <mergeCell ref="A190:AY190"/>
    <mergeCell ref="A191:AY191"/>
    <mergeCell ref="A192:AY192"/>
    <mergeCell ref="A193:AY193"/>
    <mergeCell ref="CY193:EW193"/>
    <mergeCell ref="EX193:GV193"/>
    <mergeCell ref="GW193:IU193"/>
    <mergeCell ref="IV193:KT193"/>
    <mergeCell ref="KU193:MS193"/>
    <mergeCell ref="MT193:OR193"/>
    <mergeCell ref="OS193:QQ193"/>
    <mergeCell ref="QR193:SP193"/>
    <mergeCell ref="SQ193:UO193"/>
    <mergeCell ref="UP193:WN193"/>
    <mergeCell ref="WO193:YM193"/>
    <mergeCell ref="YN193:AAL193"/>
    <mergeCell ref="AAM193:ACK193"/>
    <mergeCell ref="ACL193:AEJ193"/>
    <mergeCell ref="AEK193:AGI193"/>
    <mergeCell ref="AGJ193:AIH193"/>
    <mergeCell ref="AII193:AKG193"/>
    <mergeCell ref="AKH193:AMF193"/>
    <mergeCell ref="AMG193:AMJ193"/>
    <mergeCell ref="A185:AY185"/>
    <mergeCell ref="A186:AY186"/>
    <mergeCell ref="A187:AY187"/>
    <mergeCell ref="CY187:EW187"/>
    <mergeCell ref="EX187:GV187"/>
    <mergeCell ref="GW187:IU187"/>
    <mergeCell ref="IV187:KT187"/>
    <mergeCell ref="KU187:MS187"/>
    <mergeCell ref="MT187:OR187"/>
    <mergeCell ref="OS187:QQ187"/>
    <mergeCell ref="QR187:SP187"/>
    <mergeCell ref="SQ187:UO187"/>
    <mergeCell ref="UP187:WN187"/>
    <mergeCell ref="WO187:YM187"/>
    <mergeCell ref="YN187:AAL187"/>
    <mergeCell ref="AAM187:ACK187"/>
    <mergeCell ref="ACL187:AEJ187"/>
    <mergeCell ref="A167:AY167"/>
    <mergeCell ref="A168:AY168"/>
    <mergeCell ref="A169:AY169"/>
    <mergeCell ref="A170:AY170"/>
    <mergeCell ref="A171:AY171"/>
    <mergeCell ref="A172:AY172"/>
    <mergeCell ref="A174:AY174"/>
    <mergeCell ref="A175:AY175"/>
    <mergeCell ref="A176:AY176"/>
    <mergeCell ref="A177:AY177"/>
    <mergeCell ref="A178:AY178"/>
    <mergeCell ref="A179:AY179"/>
    <mergeCell ref="A180:AY180"/>
    <mergeCell ref="A181:AY181"/>
    <mergeCell ref="A182:AY182"/>
    <mergeCell ref="A183:AY183"/>
    <mergeCell ref="A184:AY184"/>
    <mergeCell ref="A149:AX149"/>
    <mergeCell ref="A151:AY151"/>
    <mergeCell ref="A152:AY152"/>
    <mergeCell ref="A153:AY153"/>
    <mergeCell ref="A154:AY154"/>
    <mergeCell ref="A155:AY155"/>
    <mergeCell ref="A156:AY156"/>
    <mergeCell ref="A157:AY157"/>
    <mergeCell ref="A158:AY158"/>
    <mergeCell ref="A159:AY159"/>
    <mergeCell ref="A160:AY160"/>
    <mergeCell ref="A161:AY161"/>
    <mergeCell ref="A162:AY162"/>
    <mergeCell ref="A163:AY163"/>
    <mergeCell ref="A164:AY164"/>
    <mergeCell ref="A165:AY165"/>
    <mergeCell ref="A166:AY166"/>
    <mergeCell ref="A129:AY129"/>
    <mergeCell ref="A130:AU130"/>
    <mergeCell ref="AV130:AX130"/>
    <mergeCell ref="A132:AW132"/>
    <mergeCell ref="A133:AU133"/>
    <mergeCell ref="AV133:AX133"/>
    <mergeCell ref="A135:AU135"/>
    <mergeCell ref="AV135:AX135"/>
    <mergeCell ref="A137:AY137"/>
    <mergeCell ref="A139:AY139"/>
    <mergeCell ref="A140:AU140"/>
    <mergeCell ref="AV140:AX140"/>
    <mergeCell ref="AV142:AX142"/>
    <mergeCell ref="A144:AX144"/>
    <mergeCell ref="A145:AU146"/>
    <mergeCell ref="AV145:AX145"/>
    <mergeCell ref="A147:AU147"/>
    <mergeCell ref="AV147:AX147"/>
    <mergeCell ref="AIZ125:AJJ125"/>
    <mergeCell ref="AJK125:AJU125"/>
    <mergeCell ref="AJV125:AKF125"/>
    <mergeCell ref="AKG125:AKQ125"/>
    <mergeCell ref="AKR125:ALB125"/>
    <mergeCell ref="ALC125:ALM125"/>
    <mergeCell ref="ALN125:ALX125"/>
    <mergeCell ref="ALY125:AMI125"/>
    <mergeCell ref="A126:S126"/>
    <mergeCell ref="T126:AB126"/>
    <mergeCell ref="AC126:AJ126"/>
    <mergeCell ref="AK126:AU126"/>
    <mergeCell ref="A127:S127"/>
    <mergeCell ref="T127:AB127"/>
    <mergeCell ref="AC127:AJ127"/>
    <mergeCell ref="AK127:AU127"/>
    <mergeCell ref="A128:S128"/>
    <mergeCell ref="T128:AB128"/>
    <mergeCell ref="AC128:AJ128"/>
    <mergeCell ref="AK128:AU128"/>
    <mergeCell ref="ABU125:ACE125"/>
    <mergeCell ref="ACF125:ACP125"/>
    <mergeCell ref="ACQ125:ADA125"/>
    <mergeCell ref="ADB125:ADL125"/>
    <mergeCell ref="ADM125:ADW125"/>
    <mergeCell ref="ADX125:AEH125"/>
    <mergeCell ref="AEI125:AES125"/>
    <mergeCell ref="AET125:AFD125"/>
    <mergeCell ref="AFE125:AFO125"/>
    <mergeCell ref="AFP125:AFZ125"/>
    <mergeCell ref="AGA125:AGK125"/>
    <mergeCell ref="AGL125:AGV125"/>
    <mergeCell ref="AGW125:AHG125"/>
    <mergeCell ref="AHH125:AHR125"/>
    <mergeCell ref="AHS125:AIC125"/>
    <mergeCell ref="AID125:AIN125"/>
    <mergeCell ref="AIO125:AIY125"/>
    <mergeCell ref="UP125:UZ125"/>
    <mergeCell ref="VA125:VK125"/>
    <mergeCell ref="VL125:VV125"/>
    <mergeCell ref="VW125:WG125"/>
    <mergeCell ref="WH125:WR125"/>
    <mergeCell ref="WS125:XC125"/>
    <mergeCell ref="XD125:XN125"/>
    <mergeCell ref="XO125:XY125"/>
    <mergeCell ref="XZ125:YJ125"/>
    <mergeCell ref="YK125:YU125"/>
    <mergeCell ref="YV125:ZF125"/>
    <mergeCell ref="ZG125:ZQ125"/>
    <mergeCell ref="ZR125:AAB125"/>
    <mergeCell ref="AAC125:AAM125"/>
    <mergeCell ref="AAN125:AAX125"/>
    <mergeCell ref="AAY125:ABI125"/>
    <mergeCell ref="ABJ125:ABT125"/>
    <mergeCell ref="NK125:NU125"/>
    <mergeCell ref="NV125:OF125"/>
    <mergeCell ref="OG125:OQ125"/>
    <mergeCell ref="OR125:PB125"/>
    <mergeCell ref="PC125:PM125"/>
    <mergeCell ref="PN125:PX125"/>
    <mergeCell ref="PY125:QI125"/>
    <mergeCell ref="QJ125:QT125"/>
    <mergeCell ref="QU125:RE125"/>
    <mergeCell ref="RF125:RP125"/>
    <mergeCell ref="RQ125:SA125"/>
    <mergeCell ref="SB125:SL125"/>
    <mergeCell ref="SM125:SW125"/>
    <mergeCell ref="SX125:TH125"/>
    <mergeCell ref="TI125:TS125"/>
    <mergeCell ref="TT125:UD125"/>
    <mergeCell ref="UE125:UO125"/>
    <mergeCell ref="GF125:GP125"/>
    <mergeCell ref="GQ125:HA125"/>
    <mergeCell ref="HB125:HL125"/>
    <mergeCell ref="HM125:HW125"/>
    <mergeCell ref="HX125:IH125"/>
    <mergeCell ref="II125:IS125"/>
    <mergeCell ref="IT125:JD125"/>
    <mergeCell ref="JE125:JO125"/>
    <mergeCell ref="JP125:JZ125"/>
    <mergeCell ref="KA125:KK125"/>
    <mergeCell ref="KL125:KV125"/>
    <mergeCell ref="KW125:LG125"/>
    <mergeCell ref="LH125:LR125"/>
    <mergeCell ref="LS125:MC125"/>
    <mergeCell ref="MD125:MN125"/>
    <mergeCell ref="MO125:MY125"/>
    <mergeCell ref="MZ125:NJ125"/>
    <mergeCell ref="A125:S125"/>
    <mergeCell ref="T125:AB125"/>
    <mergeCell ref="AC125:AJ125"/>
    <mergeCell ref="AK125:AU125"/>
    <mergeCell ref="AZ125:BC125"/>
    <mergeCell ref="BD125:BN125"/>
    <mergeCell ref="BO125:BY125"/>
    <mergeCell ref="BZ125:CJ125"/>
    <mergeCell ref="CK125:CU125"/>
    <mergeCell ref="CV125:DF125"/>
    <mergeCell ref="DG125:DQ125"/>
    <mergeCell ref="DR125:EB125"/>
    <mergeCell ref="EC125:EM125"/>
    <mergeCell ref="EN125:EX125"/>
    <mergeCell ref="EY125:FI125"/>
    <mergeCell ref="FJ125:FT125"/>
    <mergeCell ref="FU125:GE125"/>
    <mergeCell ref="A104:AY106"/>
    <mergeCell ref="A108:BB108"/>
    <mergeCell ref="A109:AY109"/>
    <mergeCell ref="AZ109:BB109"/>
    <mergeCell ref="A119:AY119"/>
    <mergeCell ref="AZ119:BB119"/>
    <mergeCell ref="A120:AY120"/>
    <mergeCell ref="AZ120:BB120"/>
    <mergeCell ref="A121:AY121"/>
    <mergeCell ref="A122:AY122"/>
    <mergeCell ref="A123:S123"/>
    <mergeCell ref="U123:AB123"/>
    <mergeCell ref="AC123:AJ123"/>
    <mergeCell ref="AK123:AU123"/>
    <mergeCell ref="A124:S124"/>
    <mergeCell ref="T124:AB124"/>
    <mergeCell ref="AC124:AJ124"/>
    <mergeCell ref="AK124:AU124"/>
    <mergeCell ref="A97:N97"/>
    <mergeCell ref="O97:AA97"/>
    <mergeCell ref="AB97:AO97"/>
    <mergeCell ref="AP97:AY97"/>
    <mergeCell ref="A98:N98"/>
    <mergeCell ref="O98:AA98"/>
    <mergeCell ref="AB98:AO98"/>
    <mergeCell ref="AP98:AY98"/>
    <mergeCell ref="A99:N99"/>
    <mergeCell ref="O99:AA99"/>
    <mergeCell ref="AB99:AO99"/>
    <mergeCell ref="AP99:AY99"/>
    <mergeCell ref="A100:N100"/>
    <mergeCell ref="O100:AA100"/>
    <mergeCell ref="AB100:AO100"/>
    <mergeCell ref="AP100:AY100"/>
    <mergeCell ref="A101:N101"/>
    <mergeCell ref="O101:AA101"/>
    <mergeCell ref="AB101:AO101"/>
    <mergeCell ref="AP101:AY101"/>
    <mergeCell ref="MT94:OR94"/>
    <mergeCell ref="OS94:QQ94"/>
    <mergeCell ref="QR94:SP94"/>
    <mergeCell ref="SQ94:UO94"/>
    <mergeCell ref="UP94:WN94"/>
    <mergeCell ref="WO94:YM94"/>
    <mergeCell ref="YN94:AAL94"/>
    <mergeCell ref="AAM94:ACK94"/>
    <mergeCell ref="ACL94:AEJ94"/>
    <mergeCell ref="AEK94:AGI94"/>
    <mergeCell ref="AGJ94:AIH94"/>
    <mergeCell ref="AII94:AKG94"/>
    <mergeCell ref="AKH94:AMF94"/>
    <mergeCell ref="AMG94:AMJ94"/>
    <mergeCell ref="A95:BB95"/>
    <mergeCell ref="A96:N96"/>
    <mergeCell ref="O96:AA96"/>
    <mergeCell ref="AB96:AO96"/>
    <mergeCell ref="AP96:AY96"/>
    <mergeCell ref="A84:AZ85"/>
    <mergeCell ref="A86:AA86"/>
    <mergeCell ref="A88:AZ89"/>
    <mergeCell ref="A91:BB91"/>
    <mergeCell ref="A92:AK92"/>
    <mergeCell ref="AM92:AN92"/>
    <mergeCell ref="AO92:AP92"/>
    <mergeCell ref="AR92:AS92"/>
    <mergeCell ref="AT92:AU92"/>
    <mergeCell ref="AZ92:BB92"/>
    <mergeCell ref="A93:BB93"/>
    <mergeCell ref="A94:AY94"/>
    <mergeCell ref="CY94:EW94"/>
    <mergeCell ref="EX94:GV94"/>
    <mergeCell ref="GW94:IU94"/>
    <mergeCell ref="IV94:KT94"/>
    <mergeCell ref="KU94:MS94"/>
    <mergeCell ref="A72:T72"/>
    <mergeCell ref="U72:AB72"/>
    <mergeCell ref="AC72:AN72"/>
    <mergeCell ref="AO72:AY72"/>
    <mergeCell ref="A73:T73"/>
    <mergeCell ref="U73:AB73"/>
    <mergeCell ref="AC73:AN73"/>
    <mergeCell ref="AO73:AY73"/>
    <mergeCell ref="A77:AZ77"/>
    <mergeCell ref="A78:AA78"/>
    <mergeCell ref="AB78:AD78"/>
    <mergeCell ref="AG78:AI78"/>
    <mergeCell ref="AK78:AX78"/>
    <mergeCell ref="A80:AZ81"/>
    <mergeCell ref="A82:AA82"/>
    <mergeCell ref="AB82:AD82"/>
    <mergeCell ref="AG82:AI82"/>
    <mergeCell ref="AK82:AX82"/>
    <mergeCell ref="A67:C67"/>
    <mergeCell ref="D67:E67"/>
    <mergeCell ref="F67:BB67"/>
    <mergeCell ref="A68:T68"/>
    <mergeCell ref="U68:AB68"/>
    <mergeCell ref="AC68:AN68"/>
    <mergeCell ref="AO68:AY68"/>
    <mergeCell ref="A69:T69"/>
    <mergeCell ref="U69:AB69"/>
    <mergeCell ref="AC69:AN69"/>
    <mergeCell ref="AO69:AY69"/>
    <mergeCell ref="A70:T70"/>
    <mergeCell ref="U70:AB70"/>
    <mergeCell ref="AC70:AN70"/>
    <mergeCell ref="AO70:AY70"/>
    <mergeCell ref="A71:T71"/>
    <mergeCell ref="U71:AB71"/>
    <mergeCell ref="AC71:AN71"/>
    <mergeCell ref="AO71:AY71"/>
    <mergeCell ref="A62:O62"/>
    <mergeCell ref="P62:T62"/>
    <mergeCell ref="U62:AB62"/>
    <mergeCell ref="AC62:AI62"/>
    <mergeCell ref="AJ62:AQ62"/>
    <mergeCell ref="AR62:AY62"/>
    <mergeCell ref="A64:AG64"/>
    <mergeCell ref="AK64:AM64"/>
    <mergeCell ref="AO64:AP64"/>
    <mergeCell ref="AS64:AT64"/>
    <mergeCell ref="AV64:AW64"/>
    <mergeCell ref="AZ64:BB64"/>
    <mergeCell ref="A65:AG65"/>
    <mergeCell ref="AK65:AM65"/>
    <mergeCell ref="AO65:AP65"/>
    <mergeCell ref="AS65:AT65"/>
    <mergeCell ref="AV65:AW65"/>
    <mergeCell ref="A59:O59"/>
    <mergeCell ref="P59:T59"/>
    <mergeCell ref="U59:AB59"/>
    <mergeCell ref="AC59:AI59"/>
    <mergeCell ref="AJ59:AQ59"/>
    <mergeCell ref="AR59:AY59"/>
    <mergeCell ref="A60:O60"/>
    <mergeCell ref="P60:T60"/>
    <mergeCell ref="U60:AB60"/>
    <mergeCell ref="AC60:AI60"/>
    <mergeCell ref="AJ60:AQ60"/>
    <mergeCell ref="AR60:AY60"/>
    <mergeCell ref="A61:O61"/>
    <mergeCell ref="P61:T61"/>
    <mergeCell ref="U61:AB61"/>
    <mergeCell ref="AC61:AI61"/>
    <mergeCell ref="AJ61:AQ61"/>
    <mergeCell ref="AR61:AY61"/>
    <mergeCell ref="A53:O53"/>
    <mergeCell ref="P53:X53"/>
    <mergeCell ref="Y53:AG53"/>
    <mergeCell ref="AH53:AP53"/>
    <mergeCell ref="AQ53:AY53"/>
    <mergeCell ref="AZ53:BB53"/>
    <mergeCell ref="A56:T56"/>
    <mergeCell ref="U56:AI56"/>
    <mergeCell ref="AJ56:AQ57"/>
    <mergeCell ref="AR56:AY57"/>
    <mergeCell ref="A57:O57"/>
    <mergeCell ref="P57:T57"/>
    <mergeCell ref="U57:AB57"/>
    <mergeCell ref="AC57:AI57"/>
    <mergeCell ref="A58:O58"/>
    <mergeCell ref="P58:T58"/>
    <mergeCell ref="U58:AB58"/>
    <mergeCell ref="AC58:AI58"/>
    <mergeCell ref="AJ58:AQ58"/>
    <mergeCell ref="AR58:AY58"/>
    <mergeCell ref="A50:O50"/>
    <mergeCell ref="P50:X50"/>
    <mergeCell ref="Y50:AG50"/>
    <mergeCell ref="AH50:AP50"/>
    <mergeCell ref="AQ50:AY50"/>
    <mergeCell ref="AZ50:BB50"/>
    <mergeCell ref="A51:O51"/>
    <mergeCell ref="P51:X51"/>
    <mergeCell ref="Y51:AG51"/>
    <mergeCell ref="AH51:AP51"/>
    <mergeCell ref="AQ51:AY51"/>
    <mergeCell ref="AZ51:BB51"/>
    <mergeCell ref="A52:O52"/>
    <mergeCell ref="P52:X52"/>
    <mergeCell ref="Y52:AG52"/>
    <mergeCell ref="AH52:AP52"/>
    <mergeCell ref="AQ52:AY52"/>
    <mergeCell ref="AZ52:BB52"/>
    <mergeCell ref="A47:O47"/>
    <mergeCell ref="P47:X47"/>
    <mergeCell ref="Y47:AG47"/>
    <mergeCell ref="AH47:AP47"/>
    <mergeCell ref="AQ47:AY47"/>
    <mergeCell ref="AZ47:BB47"/>
    <mergeCell ref="A48:O48"/>
    <mergeCell ref="P48:X48"/>
    <mergeCell ref="Y48:AG48"/>
    <mergeCell ref="AH48:AP48"/>
    <mergeCell ref="AQ48:AY48"/>
    <mergeCell ref="AZ48:BB48"/>
    <mergeCell ref="A49:O49"/>
    <mergeCell ref="P49:X49"/>
    <mergeCell ref="Y49:AG49"/>
    <mergeCell ref="AH49:AP49"/>
    <mergeCell ref="AQ49:AY49"/>
    <mergeCell ref="AZ49:BB49"/>
    <mergeCell ref="AZ36:BB36"/>
    <mergeCell ref="A37:AY37"/>
    <mergeCell ref="A38:AY38"/>
    <mergeCell ref="AZ38:BB38"/>
    <mergeCell ref="A39:AY39"/>
    <mergeCell ref="AZ39:BB39"/>
    <mergeCell ref="A40:AZ40"/>
    <mergeCell ref="A41:AZ41"/>
    <mergeCell ref="A43:AY43"/>
    <mergeCell ref="AZ43:BB43"/>
    <mergeCell ref="A45:O46"/>
    <mergeCell ref="P45:AG45"/>
    <mergeCell ref="AH45:AP46"/>
    <mergeCell ref="AQ45:AY46"/>
    <mergeCell ref="AZ45:BB45"/>
    <mergeCell ref="P46:X46"/>
    <mergeCell ref="Y46:AG46"/>
    <mergeCell ref="AZ46:BB46"/>
    <mergeCell ref="A32:I32"/>
    <mergeCell ref="J32:W32"/>
    <mergeCell ref="X32:AS32"/>
    <mergeCell ref="AT32:AY32"/>
    <mergeCell ref="A33:I33"/>
    <mergeCell ref="J33:W33"/>
    <mergeCell ref="X33:AS33"/>
    <mergeCell ref="AT33:AY33"/>
    <mergeCell ref="A34:I34"/>
    <mergeCell ref="J34:W34"/>
    <mergeCell ref="X34:AS34"/>
    <mergeCell ref="AT34:AY34"/>
    <mergeCell ref="A35:I35"/>
    <mergeCell ref="J35:W35"/>
    <mergeCell ref="X35:AS35"/>
    <mergeCell ref="AT35:AY35"/>
    <mergeCell ref="A36:AY36"/>
    <mergeCell ref="AFP30:AFZ30"/>
    <mergeCell ref="AGA30:AGK30"/>
    <mergeCell ref="AGL30:AGV30"/>
    <mergeCell ref="AGW30:AHG30"/>
    <mergeCell ref="AHH30:AHR30"/>
    <mergeCell ref="AHS30:AIC30"/>
    <mergeCell ref="AID30:AIN30"/>
    <mergeCell ref="AIO30:AIY30"/>
    <mergeCell ref="AIZ30:AJJ30"/>
    <mergeCell ref="AJK30:AJU30"/>
    <mergeCell ref="AJV30:AKF30"/>
    <mergeCell ref="AKG30:AKQ30"/>
    <mergeCell ref="AKR30:ALB30"/>
    <mergeCell ref="ALC30:ALM30"/>
    <mergeCell ref="ALN30:ALX30"/>
    <mergeCell ref="ALY30:AMI30"/>
    <mergeCell ref="A31:AX31"/>
    <mergeCell ref="YK30:YU30"/>
    <mergeCell ref="YV30:ZF30"/>
    <mergeCell ref="ZG30:ZQ30"/>
    <mergeCell ref="ZR30:AAB30"/>
    <mergeCell ref="AAC30:AAM30"/>
    <mergeCell ref="AAN30:AAX30"/>
    <mergeCell ref="AAY30:ABI30"/>
    <mergeCell ref="ABJ30:ABT30"/>
    <mergeCell ref="ABU30:ACE30"/>
    <mergeCell ref="ACF30:ACP30"/>
    <mergeCell ref="ACQ30:ADA30"/>
    <mergeCell ref="ADB30:ADL30"/>
    <mergeCell ref="ADM30:ADW30"/>
    <mergeCell ref="ADX30:AEH30"/>
    <mergeCell ref="AEI30:AES30"/>
    <mergeCell ref="AET30:AFD30"/>
    <mergeCell ref="AFE30:AFO30"/>
    <mergeCell ref="RF30:RP30"/>
    <mergeCell ref="RQ30:SA30"/>
    <mergeCell ref="SB30:SL30"/>
    <mergeCell ref="SM30:SW30"/>
    <mergeCell ref="SX30:TH30"/>
    <mergeCell ref="TI30:TS30"/>
    <mergeCell ref="TT30:UD30"/>
    <mergeCell ref="UE30:UO30"/>
    <mergeCell ref="UP30:UZ30"/>
    <mergeCell ref="VA30:VK30"/>
    <mergeCell ref="VL30:VV30"/>
    <mergeCell ref="VW30:WG30"/>
    <mergeCell ref="WH30:WR30"/>
    <mergeCell ref="WS30:XC30"/>
    <mergeCell ref="XD30:XN30"/>
    <mergeCell ref="XO30:XY30"/>
    <mergeCell ref="XZ30:YJ30"/>
    <mergeCell ref="KA30:KK30"/>
    <mergeCell ref="KL30:KV30"/>
    <mergeCell ref="KW30:LG30"/>
    <mergeCell ref="LH30:LR30"/>
    <mergeCell ref="LS30:MC30"/>
    <mergeCell ref="MD30:MN30"/>
    <mergeCell ref="MO30:MY30"/>
    <mergeCell ref="MZ30:NJ30"/>
    <mergeCell ref="NK30:NU30"/>
    <mergeCell ref="NV30:OF30"/>
    <mergeCell ref="OG30:OQ30"/>
    <mergeCell ref="OR30:PB30"/>
    <mergeCell ref="PC30:PM30"/>
    <mergeCell ref="PN30:PX30"/>
    <mergeCell ref="PY30:QI30"/>
    <mergeCell ref="QJ30:QT30"/>
    <mergeCell ref="QU30:RE30"/>
    <mergeCell ref="CV30:DF30"/>
    <mergeCell ref="DG30:DQ30"/>
    <mergeCell ref="DR30:EB30"/>
    <mergeCell ref="EC30:EM30"/>
    <mergeCell ref="EN30:EX30"/>
    <mergeCell ref="EY30:FI30"/>
    <mergeCell ref="FJ30:FT30"/>
    <mergeCell ref="FU30:GE30"/>
    <mergeCell ref="GF30:GP30"/>
    <mergeCell ref="GQ30:HA30"/>
    <mergeCell ref="HB30:HL30"/>
    <mergeCell ref="HM30:HW30"/>
    <mergeCell ref="HX30:IH30"/>
    <mergeCell ref="II30:IS30"/>
    <mergeCell ref="IT30:JD30"/>
    <mergeCell ref="JE30:JO30"/>
    <mergeCell ref="JP30:JZ30"/>
    <mergeCell ref="A27:AY27"/>
    <mergeCell ref="A28:O28"/>
    <mergeCell ref="P28:R28"/>
    <mergeCell ref="S28:AX28"/>
    <mergeCell ref="AZ28:BB28"/>
    <mergeCell ref="A29:K29"/>
    <mergeCell ref="L29:O29"/>
    <mergeCell ref="P29:AY29"/>
    <mergeCell ref="A30:K30"/>
    <mergeCell ref="L30:V30"/>
    <mergeCell ref="W30:AG30"/>
    <mergeCell ref="AH30:AR30"/>
    <mergeCell ref="AS30:BC30"/>
    <mergeCell ref="BD30:BN30"/>
    <mergeCell ref="BO30:BY30"/>
    <mergeCell ref="BZ30:CJ30"/>
    <mergeCell ref="CK30:CU30"/>
    <mergeCell ref="A18:T18"/>
    <mergeCell ref="U18:AG18"/>
    <mergeCell ref="AH18:AY18"/>
    <mergeCell ref="A19:T19"/>
    <mergeCell ref="U19:AG20"/>
    <mergeCell ref="AH19:AY20"/>
    <mergeCell ref="A20:T20"/>
    <mergeCell ref="A21:T21"/>
    <mergeCell ref="U21:AG21"/>
    <mergeCell ref="AH21:AY21"/>
    <mergeCell ref="A22:BA23"/>
    <mergeCell ref="A24:AY24"/>
    <mergeCell ref="AZ24:BB24"/>
    <mergeCell ref="A25:B25"/>
    <mergeCell ref="C25:D25"/>
    <mergeCell ref="E25:BA25"/>
    <mergeCell ref="A26:AY26"/>
    <mergeCell ref="AZ26:BB26"/>
    <mergeCell ref="A8:AY8"/>
    <mergeCell ref="AZ8:BB8"/>
    <mergeCell ref="A9:AY9"/>
    <mergeCell ref="AZ9:BB9"/>
    <mergeCell ref="A10:AY10"/>
    <mergeCell ref="AZ10:BB10"/>
    <mergeCell ref="A11:AY11"/>
    <mergeCell ref="AZ11:BB11"/>
    <mergeCell ref="A12:AY12"/>
    <mergeCell ref="AZ12:BB12"/>
    <mergeCell ref="A13:AY13"/>
    <mergeCell ref="AZ13:BB13"/>
    <mergeCell ref="A15:AY15"/>
    <mergeCell ref="AZ15:BB15"/>
    <mergeCell ref="A16:T17"/>
    <mergeCell ref="U16:AG17"/>
    <mergeCell ref="AH16:AY16"/>
    <mergeCell ref="AH17:AY17"/>
    <mergeCell ref="A1:J1"/>
    <mergeCell ref="AQ1:AY1"/>
    <mergeCell ref="P2:AY2"/>
    <mergeCell ref="A3:J3"/>
    <mergeCell ref="K3:AY3"/>
    <mergeCell ref="AZ3:BB3"/>
    <mergeCell ref="A4:J4"/>
    <mergeCell ref="K4:AY4"/>
    <mergeCell ref="A5:J5"/>
    <mergeCell ref="K5:Q5"/>
    <mergeCell ref="S5:X5"/>
    <mergeCell ref="Y5:AE5"/>
    <mergeCell ref="AG5:AL5"/>
    <mergeCell ref="AM5:AY5"/>
    <mergeCell ref="A6:AY6"/>
    <mergeCell ref="A7:AY7"/>
    <mergeCell ref="AZ7:BB7"/>
  </mergeCells>
  <dataValidations count="3">
    <dataValidation type="list" allowBlank="1" showInputMessage="1" showErrorMessage="1" sqref="AK64:AM65 AB78:AD78 AB82:AD82 AM92:AN92 AV130:AX130 AV133:AX133 AV135:AX135 AV140:AX140 AV142:AX142 AV145:AX145 AV147:AX147">
      <formula1>$BN$1:$BN$3</formula1>
      <formula2>0</formula2>
    </dataValidation>
    <dataValidation type="list" allowBlank="1" showInputMessage="1" showErrorMessage="1" sqref="D67:E67">
      <formula1>$BL$1:$BL$3</formula1>
      <formula2>0</formula2>
    </dataValidation>
    <dataValidation type="list" allowBlank="1" showInputMessage="1" showErrorMessage="1" sqref="C25:D25 P28:R28 AT33:AY35 C197:D197">
      <formula1>$BH$1:$BH$3</formula1>
      <formula2>0</formula2>
    </dataValidation>
  </dataValidations>
  <printOptions horizontalCentered="1" verticalCentered="1"/>
  <pageMargins left="0.70833333333333304" right="0.70833333333333304" top="0.98402777777777795" bottom="0.74791666666666701" header="0.51180555555555496" footer="0.51180555555555496"/>
  <pageSetup paperSize="9" firstPageNumber="0" orientation="portrait" horizontalDpi="300" verticalDpi="300"/>
  <rowBreaks count="31" manualBreakCount="31">
    <brk id="62" max="16383" man="1"/>
    <brk id="118" max="16383" man="1"/>
    <brk id="157" max="16383" man="1"/>
    <brk id="186" max="16383" man="1"/>
    <brk id="257" max="16383" man="1"/>
    <brk id="326" max="16383" man="1"/>
    <brk id="395" max="16383" man="1"/>
    <brk id="457" max="16383" man="1"/>
    <brk id="521" max="16383" man="1"/>
    <brk id="576" max="16383" man="1"/>
    <brk id="638" max="16383" man="1"/>
    <brk id="703" max="16383" man="1"/>
    <brk id="774" max="16383" man="1"/>
    <brk id="829" max="16383" man="1"/>
    <brk id="892" max="16383" man="1"/>
    <brk id="945" max="16383" man="1"/>
    <brk id="1005" max="16383" man="1"/>
    <brk id="1069" max="16383" man="1"/>
    <brk id="1129" max="16383" man="1"/>
    <brk id="1184" max="16383" man="1"/>
    <brk id="1241" max="16383" man="1"/>
    <brk id="1290" max="16383" man="1"/>
    <brk id="1352" max="16383" man="1"/>
    <brk id="1417" max="16383" man="1"/>
    <brk id="1474" max="16383" man="1"/>
    <brk id="1531" max="16383" man="1"/>
    <brk id="1596" max="16383" man="1"/>
    <brk id="1660" max="16383" man="1"/>
    <brk id="1721" max="16383" man="1"/>
    <brk id="1759" max="16383" man="1"/>
    <brk id="1799" max="16383" man="1"/>
  </rowBreaks>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4B183"/>
  </sheetPr>
  <dimension ref="A1:AV227"/>
  <sheetViews>
    <sheetView topLeftCell="B3" zoomScaleNormal="100" workbookViewId="0">
      <selection activeCell="N38" sqref="N38"/>
    </sheetView>
  </sheetViews>
  <sheetFormatPr defaultRowHeight="15" outlineLevelRow="1" x14ac:dyDescent="0.25"/>
  <cols>
    <col min="1" max="1" width="11.5703125" hidden="1"/>
    <col min="2" max="2" width="5.7109375" customWidth="1"/>
    <col min="3" max="3" width="4.85546875" customWidth="1"/>
    <col min="4" max="4" width="45.42578125" customWidth="1"/>
    <col min="5" max="5" width="3.42578125" customWidth="1"/>
    <col min="6" max="6" width="0.140625" customWidth="1"/>
    <col min="7" max="8" width="11.5703125" hidden="1"/>
    <col min="9" max="9" width="10.42578125" customWidth="1"/>
    <col min="10" max="10" width="11.5703125" hidden="1"/>
    <col min="11" max="11" width="11.42578125"/>
    <col min="12" max="12" width="11.5703125" hidden="1"/>
    <col min="13" max="13" width="0.140625" customWidth="1"/>
    <col min="14" max="14" width="11.5703125" customWidth="1"/>
    <col min="15" max="23" width="11.5703125" hidden="1"/>
    <col min="24" max="24" width="15.7109375" customWidth="1"/>
    <col min="25" max="46" width="11.5703125" hidden="1"/>
    <col min="47" max="1025" width="15.7109375" customWidth="1"/>
  </cols>
  <sheetData>
    <row r="1" spans="2:48" ht="27.75" customHeight="1" x14ac:dyDescent="0.25">
      <c r="B1" s="356">
        <f>IF(D225=D1,C225,IF(D226=D1,C226,IF(D227=D1,C227,)))</f>
        <v>3</v>
      </c>
      <c r="C1" s="357"/>
      <c r="D1" s="358" t="s">
        <v>54</v>
      </c>
      <c r="E1" s="85"/>
      <c r="F1" s="359"/>
      <c r="G1" s="359"/>
      <c r="H1" s="359"/>
      <c r="I1" s="930" t="str">
        <f>$D$216</f>
        <v>Bežné účtovné obdobie</v>
      </c>
      <c r="J1" s="930"/>
      <c r="K1" s="930"/>
      <c r="L1" s="930"/>
      <c r="M1" s="930"/>
      <c r="N1" s="930"/>
      <c r="P1" s="360"/>
      <c r="Q1" s="360"/>
      <c r="R1" s="360"/>
      <c r="S1" s="931" t="str">
        <f>$D$217</f>
        <v>Bezprostredne predchádzajúce účtovné obdobie</v>
      </c>
      <c r="T1" s="931"/>
      <c r="U1" s="931"/>
      <c r="V1" s="931"/>
      <c r="W1" s="931"/>
      <c r="X1" s="931"/>
      <c r="AD1" s="361" t="str">
        <f>$D$213</f>
        <v>STRANA AKTÍV</v>
      </c>
      <c r="AE1" s="361" t="str">
        <f>$D$214</f>
        <v>STRANA PASÍV</v>
      </c>
      <c r="AK1" s="362"/>
      <c r="AL1" s="362"/>
      <c r="AM1" s="362"/>
      <c r="AN1" s="932" t="str">
        <f>$D$217</f>
        <v>Bezprostredne predchádzajúce účtovné obdobie</v>
      </c>
      <c r="AO1" s="932"/>
      <c r="AP1" s="932"/>
      <c r="AQ1" s="932"/>
      <c r="AR1" s="932"/>
      <c r="AS1" s="932"/>
    </row>
    <row r="2" spans="2:48" ht="24.75" customHeight="1" x14ac:dyDescent="0.25">
      <c r="C2" s="363" t="str">
        <f>$D$212</f>
        <v>Označenie</v>
      </c>
      <c r="D2" s="363" t="str">
        <f>$D$223</f>
        <v>Text</v>
      </c>
      <c r="E2" s="364" t="str">
        <f>$D$215</f>
        <v>Číslo riadku</v>
      </c>
      <c r="F2" s="365"/>
      <c r="G2" s="365"/>
      <c r="H2" s="365"/>
      <c r="I2" s="366" t="str">
        <f>$D$218</f>
        <v>Brutto-časť 1</v>
      </c>
      <c r="J2" s="365"/>
      <c r="K2" s="366" t="str">
        <f>$D$219</f>
        <v>Oprávky</v>
      </c>
      <c r="L2" s="365"/>
      <c r="M2" s="366" t="str">
        <f>$D$220</f>
        <v>Opravné položky</v>
      </c>
      <c r="N2" s="367" t="str">
        <f>$D$221</f>
        <v>Netto</v>
      </c>
      <c r="P2" s="360"/>
      <c r="Q2" s="360"/>
      <c r="R2" s="360"/>
      <c r="S2" s="367" t="str">
        <f>$D$218</f>
        <v>Brutto-časť 1</v>
      </c>
      <c r="T2" s="368"/>
      <c r="U2" s="367" t="str">
        <f>$D$219</f>
        <v>Oprávky</v>
      </c>
      <c r="V2" s="368"/>
      <c r="W2" s="367" t="str">
        <f>$D$220</f>
        <v>Opravné položky</v>
      </c>
      <c r="X2" s="367" t="str">
        <f>$D$221</f>
        <v>Netto</v>
      </c>
      <c r="AK2" s="362"/>
      <c r="AL2" s="362"/>
      <c r="AM2" s="362"/>
      <c r="AN2" s="366" t="str">
        <f>$D$218</f>
        <v>Brutto-časť 1</v>
      </c>
      <c r="AO2" s="365"/>
      <c r="AP2" s="366" t="str">
        <f>$D$219</f>
        <v>Oprávky</v>
      </c>
      <c r="AQ2" s="365"/>
      <c r="AR2" s="366" t="str">
        <f>$D$220</f>
        <v>Opravné položky</v>
      </c>
      <c r="AS2" s="366" t="str">
        <f>$D$221</f>
        <v>Netto</v>
      </c>
    </row>
    <row r="3" spans="2:48" x14ac:dyDescent="0.25">
      <c r="B3" s="369" t="s">
        <v>2160</v>
      </c>
      <c r="D3" s="359" t="str">
        <f>IF(VLOOKUP($B3,suvaha_p!$A:$G,1)=$B3,VLOOKUP($B3,suvaha_p!$A:$G,$B$1),0)</f>
        <v>Spolu majetok r. 02 + r. 33 + r. 74</v>
      </c>
      <c r="E3" s="370" t="s">
        <v>2160</v>
      </c>
      <c r="F3" s="370"/>
      <c r="I3" s="371">
        <f>SUM(I4+I35+I76)</f>
        <v>1529023</v>
      </c>
      <c r="J3" s="372"/>
      <c r="K3" s="373">
        <f>SUM(K4+K35+K76)</f>
        <v>1025691</v>
      </c>
      <c r="L3" s="373"/>
      <c r="M3" s="373">
        <f>SUM(M4+M35+M76)</f>
        <v>0</v>
      </c>
      <c r="N3" s="371">
        <f>SUM(N4+N35+N76)</f>
        <v>503332</v>
      </c>
      <c r="O3" s="374"/>
      <c r="P3" s="375"/>
      <c r="Q3" s="374"/>
      <c r="R3" s="374"/>
      <c r="S3" s="371">
        <f>SUM(S4+S35+S76)</f>
        <v>1577531.31</v>
      </c>
      <c r="T3" s="371"/>
      <c r="U3" s="371">
        <f>SUM(U4+U35+U76)</f>
        <v>977253.24</v>
      </c>
      <c r="V3" s="371"/>
      <c r="W3" s="371">
        <f>SUM(W4+W35+W76)</f>
        <v>0</v>
      </c>
      <c r="X3" s="376">
        <f>SUM(X4+X35+X76)</f>
        <v>548144</v>
      </c>
      <c r="Z3" s="377">
        <f t="shared" ref="Z3:Z34" si="0">ROUND(I3,0)</f>
        <v>1529023</v>
      </c>
      <c r="AA3" s="377">
        <f t="shared" ref="AA3:AA34" si="1">ROUND(K3+M3,0)</f>
        <v>1025691</v>
      </c>
      <c r="AB3" s="378">
        <f t="shared" ref="AB3:AB34" si="2">ROUND(N3,0)</f>
        <v>503332</v>
      </c>
      <c r="AC3" s="377">
        <f t="shared" ref="AC3:AC34" si="3">ROUND(X3,0)</f>
        <v>548144</v>
      </c>
      <c r="AD3" s="361" t="str">
        <f t="shared" ref="AD3:AD34" si="4">REPT(" ",11-LEN(Z3))&amp;Z3</f>
        <v xml:space="preserve">    1529023</v>
      </c>
      <c r="AE3" s="361" t="str">
        <f t="shared" ref="AE3:AE34" si="5">REPT(" ",11-LEN(AA3))&amp;AA3</f>
        <v xml:space="preserve">    1025691</v>
      </c>
      <c r="AF3" s="361" t="str">
        <f t="shared" ref="AF3:AF34" si="6">REPT(" ",11-LEN(AB3))&amp;AB3</f>
        <v xml:space="preserve">     503332</v>
      </c>
      <c r="AG3" s="361" t="str">
        <f t="shared" ref="AG3:AG34" si="7">REPT(" ",11-LEN(AC3))&amp;AC3</f>
        <v xml:space="preserve">     548144</v>
      </c>
      <c r="AK3" s="370"/>
      <c r="AN3" s="379">
        <f>SUM(AN4+AN35+AN76)</f>
        <v>1457900.04</v>
      </c>
      <c r="AO3" s="380"/>
      <c r="AP3" s="379">
        <f>SUM(AP4+AP35+AP76)</f>
        <v>929236.32</v>
      </c>
      <c r="AQ3" s="379"/>
      <c r="AR3" s="379">
        <f>SUM(AR4+AR35+AR76)</f>
        <v>0</v>
      </c>
      <c r="AS3" s="379">
        <f>SUM(AS4+AS35+AS76)</f>
        <v>528662</v>
      </c>
      <c r="AV3" s="381"/>
    </row>
    <row r="4" spans="2:48" x14ac:dyDescent="0.25">
      <c r="B4" s="369" t="s">
        <v>2161</v>
      </c>
      <c r="C4" s="85" t="s">
        <v>2162</v>
      </c>
      <c r="D4" s="359" t="str">
        <f>IF(VLOOKUP($B4,suvaha_p!$A:$G,1)=$B4,VLOOKUP($B4,suvaha_p!$A:$G,$B$1),0)</f>
        <v>Neobežný majetok r. 03 + r. 11 + r. 21</v>
      </c>
      <c r="E4" s="370" t="s">
        <v>2161</v>
      </c>
      <c r="F4" s="370"/>
      <c r="I4" s="379">
        <f>SUM(I5+I13+I23)</f>
        <v>1387761</v>
      </c>
      <c r="J4" s="380"/>
      <c r="K4" s="379">
        <f>SUM(K5+K13+K23)</f>
        <v>1025691</v>
      </c>
      <c r="L4" s="379"/>
      <c r="M4" s="379">
        <f>SUM(M5+M13+M23)</f>
        <v>0</v>
      </c>
      <c r="N4" s="382">
        <f>SUM(N5+N13+N23)</f>
        <v>362070</v>
      </c>
      <c r="P4" s="383"/>
      <c r="S4" s="382">
        <f>SUM(S5+S13+S23)</f>
        <v>1384760.33</v>
      </c>
      <c r="T4" s="382"/>
      <c r="U4" s="382">
        <f>SUM(U5+U13+U23)</f>
        <v>977253.24</v>
      </c>
      <c r="V4" s="382"/>
      <c r="W4" s="382">
        <f>SUM(W5+W13+W23)</f>
        <v>0</v>
      </c>
      <c r="X4" s="382">
        <f>SUM(X5+X13+X23)</f>
        <v>407508</v>
      </c>
      <c r="Z4" s="377">
        <f t="shared" si="0"/>
        <v>1387761</v>
      </c>
      <c r="AA4" s="377">
        <f t="shared" si="1"/>
        <v>1025691</v>
      </c>
      <c r="AB4" s="377">
        <f t="shared" si="2"/>
        <v>362070</v>
      </c>
      <c r="AC4" s="377">
        <f t="shared" si="3"/>
        <v>407508</v>
      </c>
      <c r="AD4" s="361" t="str">
        <f t="shared" si="4"/>
        <v xml:space="preserve">    1387761</v>
      </c>
      <c r="AE4" s="361" t="str">
        <f t="shared" si="5"/>
        <v xml:space="preserve">    1025691</v>
      </c>
      <c r="AF4" s="361" t="str">
        <f t="shared" si="6"/>
        <v xml:space="preserve">     362070</v>
      </c>
      <c r="AG4" s="361" t="str">
        <f t="shared" si="7"/>
        <v xml:space="preserve">     407508</v>
      </c>
      <c r="AK4" s="370"/>
      <c r="AN4" s="379">
        <f>SUM(AN5+AN13+AN23)</f>
        <v>1377611.6</v>
      </c>
      <c r="AO4" s="380"/>
      <c r="AP4" s="379">
        <f>SUM(AP5+AP13+AP23)</f>
        <v>929236.32</v>
      </c>
      <c r="AQ4" s="379"/>
      <c r="AR4" s="379">
        <f>SUM(AR5+AR13+AR23)</f>
        <v>0</v>
      </c>
      <c r="AS4" s="379">
        <f>SUM(AS5+AS13+AS23)</f>
        <v>448374</v>
      </c>
    </row>
    <row r="5" spans="2:48" outlineLevel="1" x14ac:dyDescent="0.25">
      <c r="B5" s="369" t="s">
        <v>2163</v>
      </c>
      <c r="C5" s="85" t="s">
        <v>2164</v>
      </c>
      <c r="D5" s="384" t="str">
        <f>IF(VLOOKUP($B5,suvaha_p!$A:$G,1)=$B5,VLOOKUP($B5,suvaha_p!$A:$G,$B$1),0)</f>
        <v>Dlhodobý nehmotný majetok súčet  (r. 04 až r. 10)</v>
      </c>
      <c r="E5" s="370" t="s">
        <v>2163</v>
      </c>
      <c r="F5" s="370"/>
      <c r="G5" s="380"/>
      <c r="I5" s="379">
        <f>SUM(I6:I12)</f>
        <v>3625</v>
      </c>
      <c r="J5" s="379"/>
      <c r="K5" s="379">
        <f>SUM(K6:K12)</f>
        <v>3625</v>
      </c>
      <c r="L5" s="382"/>
      <c r="M5" s="379">
        <f>SUM(M6:M12)</f>
        <v>0</v>
      </c>
      <c r="N5" s="382">
        <f>SUM(N6:N12)</f>
        <v>0</v>
      </c>
      <c r="P5" s="383"/>
      <c r="Q5" s="382"/>
      <c r="S5" s="382">
        <f>SUM(S6:S12)</f>
        <v>3624.71</v>
      </c>
      <c r="T5" s="382"/>
      <c r="U5" s="382">
        <f>SUM(U6:U12)</f>
        <v>3624.71</v>
      </c>
      <c r="V5" s="382"/>
      <c r="W5" s="382">
        <f>SUM(W6:W12)</f>
        <v>0</v>
      </c>
      <c r="X5" s="382">
        <f>SUM(X6:X12)</f>
        <v>0</v>
      </c>
      <c r="Z5" s="377">
        <f t="shared" si="0"/>
        <v>3625</v>
      </c>
      <c r="AA5" s="377">
        <f t="shared" si="1"/>
        <v>3625</v>
      </c>
      <c r="AB5" s="377">
        <f t="shared" si="2"/>
        <v>0</v>
      </c>
      <c r="AC5" s="377">
        <f t="shared" si="3"/>
        <v>0</v>
      </c>
      <c r="AD5" s="361" t="str">
        <f t="shared" si="4"/>
        <v xml:space="preserve">       3625</v>
      </c>
      <c r="AE5" s="361" t="str">
        <f t="shared" si="5"/>
        <v xml:space="preserve">       3625</v>
      </c>
      <c r="AF5" s="361" t="str">
        <f t="shared" si="6"/>
        <v xml:space="preserve">          0</v>
      </c>
      <c r="AG5" s="361" t="str">
        <f t="shared" si="7"/>
        <v xml:space="preserve">          0</v>
      </c>
      <c r="AK5" s="370"/>
      <c r="AL5" s="380"/>
      <c r="AN5" s="379">
        <f>SUM(AN6:AN12)</f>
        <v>3624.71</v>
      </c>
      <c r="AO5" s="379"/>
      <c r="AP5" s="379">
        <f>SUM(AP6:AP12)</f>
        <v>3624.71</v>
      </c>
      <c r="AQ5" s="382"/>
      <c r="AR5" s="379">
        <f>SUM(AR6:AR12)</f>
        <v>0</v>
      </c>
      <c r="AS5" s="379">
        <f>SUM(AS6:AS12)</f>
        <v>0</v>
      </c>
    </row>
    <row r="6" spans="2:48" outlineLevel="1" x14ac:dyDescent="0.25">
      <c r="B6" s="369" t="s">
        <v>1232</v>
      </c>
      <c r="C6" s="85" t="s">
        <v>2165</v>
      </c>
      <c r="D6" s="385" t="str">
        <f>IF(VLOOKUP($B6,suvaha_p!$A:$G,1)=$B6,VLOOKUP($B6,suvaha_p!$A:$G,$B$1),0)</f>
        <v>Aktivované náklady na vývoj (012) - /072, 091A/</v>
      </c>
      <c r="E6" s="386" t="s">
        <v>1232</v>
      </c>
      <c r="F6" s="387">
        <f>SUM('HL KNIHA VYPOC'!G8)</f>
        <v>0</v>
      </c>
      <c r="I6" s="388">
        <f t="shared" ref="I6:I12" si="8">ROUND(SUM(F6:H6),0)</f>
        <v>0</v>
      </c>
      <c r="J6" s="388">
        <f>SUM('HL KNIHA VYPOC'!G53)*-1</f>
        <v>0</v>
      </c>
      <c r="K6" s="389">
        <f t="shared" ref="K6:K12" si="9">ROUND(SUM(J6),0)</f>
        <v>0</v>
      </c>
      <c r="L6" s="389">
        <f>SUM(ANALYTIKAVUJ!C26)*-1</f>
        <v>0</v>
      </c>
      <c r="M6" s="389">
        <f t="shared" ref="M6:M12" si="10">ROUND(SUM(L6),0)</f>
        <v>0</v>
      </c>
      <c r="N6" s="389">
        <f t="shared" ref="N6:N12" si="11">SUM(I6-K6-M6)</f>
        <v>0</v>
      </c>
      <c r="P6" s="390">
        <f>SUM('HL KNIHA VYPOC'!K8)</f>
        <v>0</v>
      </c>
      <c r="S6" s="389">
        <f t="shared" ref="S6:S12" si="12">SUM(P6:R6)</f>
        <v>0</v>
      </c>
      <c r="T6" s="389">
        <f>SUM('HL KNIHA VYPOC'!K53)*-1</f>
        <v>0</v>
      </c>
      <c r="U6" s="389">
        <f t="shared" ref="U6:U12" si="13">SUM(T6)</f>
        <v>0</v>
      </c>
      <c r="V6" s="389">
        <f>SUM(ANALYTIKAVUJ!D26)*-1</f>
        <v>0</v>
      </c>
      <c r="W6" s="389">
        <f t="shared" ref="W6:W12" si="14">SUM(V6)</f>
        <v>0</v>
      </c>
      <c r="X6" s="389">
        <f t="shared" ref="X6:X12" si="15">ROUND((S6-U6-W6),0)</f>
        <v>0</v>
      </c>
      <c r="Z6" s="377">
        <f t="shared" si="0"/>
        <v>0</v>
      </c>
      <c r="AA6" s="377">
        <f t="shared" si="1"/>
        <v>0</v>
      </c>
      <c r="AB6" s="377">
        <f t="shared" si="2"/>
        <v>0</v>
      </c>
      <c r="AC6" s="377">
        <f t="shared" si="3"/>
        <v>0</v>
      </c>
      <c r="AD6" s="361" t="str">
        <f t="shared" si="4"/>
        <v xml:space="preserve">          0</v>
      </c>
      <c r="AE6" s="361" t="str">
        <f t="shared" si="5"/>
        <v xml:space="preserve">          0</v>
      </c>
      <c r="AF6" s="361" t="str">
        <f t="shared" si="6"/>
        <v xml:space="preserve">          0</v>
      </c>
      <c r="AG6" s="361" t="str">
        <f t="shared" si="7"/>
        <v xml:space="preserve">          0</v>
      </c>
      <c r="AK6" s="387">
        <f>SUM('HL KNIHA VYPOC'!H8)</f>
        <v>0</v>
      </c>
      <c r="AN6" s="388">
        <f t="shared" ref="AN6:AN12" si="16">SUM(AK6:AM6)</f>
        <v>0</v>
      </c>
      <c r="AO6" s="388">
        <f>SUM('HL KNIHA VYPOC'!H53)*-1</f>
        <v>0</v>
      </c>
      <c r="AP6" s="389">
        <f t="shared" ref="AP6:AP12" si="17">SUM(AO6)</f>
        <v>0</v>
      </c>
      <c r="AQ6" s="389">
        <f>SUM(ANALYTIKAVUJ!E26)*-1</f>
        <v>0</v>
      </c>
      <c r="AR6" s="389">
        <f t="shared" ref="AR6:AR12" si="18">SUM(AQ6)</f>
        <v>0</v>
      </c>
      <c r="AS6" s="388">
        <f t="shared" ref="AS6:AS12" si="19">ROUND((AN6-AP6-AR6),0)</f>
        <v>0</v>
      </c>
    </row>
    <row r="7" spans="2:48" outlineLevel="1" x14ac:dyDescent="0.25">
      <c r="B7" s="369" t="s">
        <v>1233</v>
      </c>
      <c r="C7" s="85" t="s">
        <v>2166</v>
      </c>
      <c r="D7" s="385" t="str">
        <f>IF(VLOOKUP($B7,suvaha_p!$A:$G,1)=$B7,VLOOKUP($B7,suvaha_p!$A:$G,$B$1),0)</f>
        <v>Softvér (013)-/073, 091A/</v>
      </c>
      <c r="E7" s="386" t="s">
        <v>1233</v>
      </c>
      <c r="F7" s="387">
        <f>SUM('HL KNIHA VYPOC'!G9)</f>
        <v>99.58</v>
      </c>
      <c r="I7" s="388">
        <f t="shared" si="8"/>
        <v>100</v>
      </c>
      <c r="J7" s="388">
        <f>SUM('HL KNIHA VYPOC'!G54)*-1</f>
        <v>99.58</v>
      </c>
      <c r="K7" s="389">
        <f t="shared" si="9"/>
        <v>100</v>
      </c>
      <c r="L7" s="389">
        <f>SUM(ANALYTIKAVUJ!C27)*-1</f>
        <v>0</v>
      </c>
      <c r="M7" s="389">
        <f t="shared" si="10"/>
        <v>0</v>
      </c>
      <c r="N7" s="389">
        <f t="shared" si="11"/>
        <v>0</v>
      </c>
      <c r="P7" s="390">
        <f>SUM('HL KNIHA VYPOC'!K9)</f>
        <v>99.58</v>
      </c>
      <c r="S7" s="389">
        <f t="shared" si="12"/>
        <v>99.58</v>
      </c>
      <c r="T7" s="389">
        <f>SUM('HL KNIHA VYPOC'!K54)*-1</f>
        <v>99.58</v>
      </c>
      <c r="U7" s="389">
        <f t="shared" si="13"/>
        <v>99.58</v>
      </c>
      <c r="V7" s="389">
        <f>SUM(ANALYTIKAVUJ!D27)*-1</f>
        <v>0</v>
      </c>
      <c r="W7" s="389">
        <f t="shared" si="14"/>
        <v>0</v>
      </c>
      <c r="X7" s="389">
        <f t="shared" si="15"/>
        <v>0</v>
      </c>
      <c r="Z7" s="377">
        <f t="shared" si="0"/>
        <v>100</v>
      </c>
      <c r="AA7" s="377">
        <f t="shared" si="1"/>
        <v>100</v>
      </c>
      <c r="AB7" s="377">
        <f t="shared" si="2"/>
        <v>0</v>
      </c>
      <c r="AC7" s="377">
        <f t="shared" si="3"/>
        <v>0</v>
      </c>
      <c r="AD7" s="361" t="str">
        <f t="shared" si="4"/>
        <v xml:space="preserve">        100</v>
      </c>
      <c r="AE7" s="361" t="str">
        <f t="shared" si="5"/>
        <v xml:space="preserve">        100</v>
      </c>
      <c r="AF7" s="361" t="str">
        <f t="shared" si="6"/>
        <v xml:space="preserve">          0</v>
      </c>
      <c r="AG7" s="361" t="str">
        <f t="shared" si="7"/>
        <v xml:space="preserve">          0</v>
      </c>
      <c r="AK7" s="387">
        <f>SUM('HL KNIHA VYPOC'!H9)</f>
        <v>99.58</v>
      </c>
      <c r="AN7" s="388">
        <f t="shared" si="16"/>
        <v>99.58</v>
      </c>
      <c r="AO7" s="388">
        <f>SUM('HL KNIHA VYPOC'!H54)*-1</f>
        <v>99.58</v>
      </c>
      <c r="AP7" s="389">
        <f t="shared" si="17"/>
        <v>99.58</v>
      </c>
      <c r="AQ7" s="389">
        <f>SUM(ANALYTIKAVUJ!E27)*-1</f>
        <v>0</v>
      </c>
      <c r="AR7" s="389">
        <f t="shared" si="18"/>
        <v>0</v>
      </c>
      <c r="AS7" s="388">
        <f t="shared" si="19"/>
        <v>0</v>
      </c>
    </row>
    <row r="8" spans="2:48" outlineLevel="1" x14ac:dyDescent="0.25">
      <c r="B8" s="369" t="s">
        <v>1234</v>
      </c>
      <c r="C8" s="85" t="s">
        <v>2167</v>
      </c>
      <c r="D8" s="385" t="str">
        <f>IF(VLOOKUP($B8,suvaha_p!$A:$G,1)=$B8,VLOOKUP($B8,suvaha_p!$A:$G,$B$1),0)</f>
        <v>Oceniteľné práva (014)-/074, 091A/</v>
      </c>
      <c r="E8" s="386" t="s">
        <v>1234</v>
      </c>
      <c r="F8" s="387">
        <f>SUM('HL KNIHA VYPOC'!G10)</f>
        <v>0</v>
      </c>
      <c r="I8" s="388">
        <f t="shared" si="8"/>
        <v>0</v>
      </c>
      <c r="J8" s="388">
        <f>SUM('HL KNIHA VYPOC'!G55)*-1</f>
        <v>0</v>
      </c>
      <c r="K8" s="389">
        <f t="shared" si="9"/>
        <v>0</v>
      </c>
      <c r="L8" s="389">
        <f>SUM(ANALYTIKAVUJ!C28)*-1</f>
        <v>0</v>
      </c>
      <c r="M8" s="389">
        <f t="shared" si="10"/>
        <v>0</v>
      </c>
      <c r="N8" s="389">
        <f t="shared" si="11"/>
        <v>0</v>
      </c>
      <c r="P8" s="390">
        <f>SUM('HL KNIHA VYPOC'!K10)</f>
        <v>0</v>
      </c>
      <c r="S8" s="389">
        <f t="shared" si="12"/>
        <v>0</v>
      </c>
      <c r="T8" s="389">
        <f>SUM('HL KNIHA VYPOC'!K55)*-1</f>
        <v>0</v>
      </c>
      <c r="U8" s="389">
        <f t="shared" si="13"/>
        <v>0</v>
      </c>
      <c r="V8" s="389">
        <f>SUM(ANALYTIKAVUJ!D28)*-1</f>
        <v>0</v>
      </c>
      <c r="W8" s="389">
        <f t="shared" si="14"/>
        <v>0</v>
      </c>
      <c r="X8" s="389">
        <f t="shared" si="15"/>
        <v>0</v>
      </c>
      <c r="Z8" s="377">
        <f t="shared" si="0"/>
        <v>0</v>
      </c>
      <c r="AA8" s="377">
        <f t="shared" si="1"/>
        <v>0</v>
      </c>
      <c r="AB8" s="377">
        <f t="shared" si="2"/>
        <v>0</v>
      </c>
      <c r="AC8" s="377">
        <f t="shared" si="3"/>
        <v>0</v>
      </c>
      <c r="AD8" s="361" t="str">
        <f t="shared" si="4"/>
        <v xml:space="preserve">          0</v>
      </c>
      <c r="AE8" s="361" t="str">
        <f t="shared" si="5"/>
        <v xml:space="preserve">          0</v>
      </c>
      <c r="AF8" s="361" t="str">
        <f t="shared" si="6"/>
        <v xml:space="preserve">          0</v>
      </c>
      <c r="AG8" s="361" t="str">
        <f t="shared" si="7"/>
        <v xml:space="preserve">          0</v>
      </c>
      <c r="AK8" s="387">
        <f>SUM('HL KNIHA VYPOC'!H10)</f>
        <v>0</v>
      </c>
      <c r="AN8" s="388">
        <f t="shared" si="16"/>
        <v>0</v>
      </c>
      <c r="AO8" s="388">
        <f>SUM('HL KNIHA VYPOC'!H55)*-1</f>
        <v>0</v>
      </c>
      <c r="AP8" s="389">
        <f t="shared" si="17"/>
        <v>0</v>
      </c>
      <c r="AQ8" s="389">
        <f>SUM(ANALYTIKAVUJ!E28)*-1</f>
        <v>0</v>
      </c>
      <c r="AR8" s="389">
        <f t="shared" si="18"/>
        <v>0</v>
      </c>
      <c r="AS8" s="388">
        <f t="shared" si="19"/>
        <v>0</v>
      </c>
    </row>
    <row r="9" spans="2:48" outlineLevel="1" x14ac:dyDescent="0.25">
      <c r="B9" s="369" t="s">
        <v>1235</v>
      </c>
      <c r="C9" s="85" t="s">
        <v>2168</v>
      </c>
      <c r="D9" s="385" t="str">
        <f>IF(VLOOKUP($B9,suvaha_p!$A:$G,1)=$B9,VLOOKUP($B9,suvaha_p!$A:$G,$B$1),0)</f>
        <v>Goodwill (015) - /075, 091A/</v>
      </c>
      <c r="E9" s="386" t="s">
        <v>1235</v>
      </c>
      <c r="F9" s="387">
        <f>SUM('HL KNIHA VYPOC'!G11)</f>
        <v>0</v>
      </c>
      <c r="I9" s="388">
        <f t="shared" si="8"/>
        <v>0</v>
      </c>
      <c r="J9" s="388">
        <f>SUM('HL KNIHA VYPOC'!G56)*-1</f>
        <v>0</v>
      </c>
      <c r="K9" s="389">
        <f t="shared" si="9"/>
        <v>0</v>
      </c>
      <c r="L9" s="389">
        <f>SUM(ANALYTIKAVUJ!C29)*-1</f>
        <v>0</v>
      </c>
      <c r="M9" s="389">
        <f t="shared" si="10"/>
        <v>0</v>
      </c>
      <c r="N9" s="389">
        <f t="shared" si="11"/>
        <v>0</v>
      </c>
      <c r="P9" s="390">
        <f>SUM('HL KNIHA VYPOC'!K11)</f>
        <v>0</v>
      </c>
      <c r="S9" s="389">
        <f t="shared" si="12"/>
        <v>0</v>
      </c>
      <c r="T9" s="389">
        <f>SUM('HL KNIHA VYPOC'!K56)*-1</f>
        <v>0</v>
      </c>
      <c r="U9" s="389">
        <f t="shared" si="13"/>
        <v>0</v>
      </c>
      <c r="V9" s="389">
        <f>SUM(ANALYTIKAVUJ!D29)*-1</f>
        <v>0</v>
      </c>
      <c r="W9" s="389">
        <f t="shared" si="14"/>
        <v>0</v>
      </c>
      <c r="X9" s="389">
        <f t="shared" si="15"/>
        <v>0</v>
      </c>
      <c r="Z9" s="377">
        <f t="shared" si="0"/>
        <v>0</v>
      </c>
      <c r="AA9" s="377">
        <f t="shared" si="1"/>
        <v>0</v>
      </c>
      <c r="AB9" s="377">
        <f t="shared" si="2"/>
        <v>0</v>
      </c>
      <c r="AC9" s="377">
        <f t="shared" si="3"/>
        <v>0</v>
      </c>
      <c r="AD9" s="361" t="str">
        <f t="shared" si="4"/>
        <v xml:space="preserve">          0</v>
      </c>
      <c r="AE9" s="361" t="str">
        <f t="shared" si="5"/>
        <v xml:space="preserve">          0</v>
      </c>
      <c r="AF9" s="361" t="str">
        <f t="shared" si="6"/>
        <v xml:space="preserve">          0</v>
      </c>
      <c r="AG9" s="361" t="str">
        <f t="shared" si="7"/>
        <v xml:space="preserve">          0</v>
      </c>
      <c r="AK9" s="387">
        <f>SUM('HL KNIHA VYPOC'!H11)</f>
        <v>0</v>
      </c>
      <c r="AN9" s="388">
        <f t="shared" si="16"/>
        <v>0</v>
      </c>
      <c r="AO9" s="388">
        <f>SUM('HL KNIHA VYPOC'!H56)*-1</f>
        <v>0</v>
      </c>
      <c r="AP9" s="389">
        <f t="shared" si="17"/>
        <v>0</v>
      </c>
      <c r="AQ9" s="389">
        <f>SUM(ANALYTIKAVUJ!E29)*-1</f>
        <v>0</v>
      </c>
      <c r="AR9" s="389">
        <f t="shared" si="18"/>
        <v>0</v>
      </c>
      <c r="AS9" s="388">
        <f t="shared" si="19"/>
        <v>0</v>
      </c>
    </row>
    <row r="10" spans="2:48" outlineLevel="1" x14ac:dyDescent="0.25">
      <c r="B10" s="369" t="s">
        <v>1236</v>
      </c>
      <c r="C10" s="85" t="s">
        <v>2169</v>
      </c>
      <c r="D10" s="385" t="str">
        <f>IF(VLOOKUP($B10,suvaha_p!$A:$G,1)=$B10,VLOOKUP($B10,suvaha_p!$A:$G,$B$1),0)</f>
        <v>Ostatný dlhodobý nehmotný majetok (019, 01X)
- /079, 07X, 091A/</v>
      </c>
      <c r="E10" s="386" t="s">
        <v>1236</v>
      </c>
      <c r="F10" s="387">
        <f>SUM('HL KNIHA VYPOC'!G13)</f>
        <v>3525.13</v>
      </c>
      <c r="I10" s="388">
        <f t="shared" si="8"/>
        <v>3525</v>
      </c>
      <c r="J10" s="388">
        <f>SUM('HL KNIHA VYPOC'!G58)*-1</f>
        <v>3525.13</v>
      </c>
      <c r="K10" s="389">
        <f t="shared" si="9"/>
        <v>3525</v>
      </c>
      <c r="L10" s="389">
        <f>SUM(ANALYTIKAVUJ!C30)*-1</f>
        <v>0</v>
      </c>
      <c r="M10" s="389">
        <f t="shared" si="10"/>
        <v>0</v>
      </c>
      <c r="N10" s="389">
        <f t="shared" si="11"/>
        <v>0</v>
      </c>
      <c r="P10" s="390">
        <f>SUM('HL KNIHA VYPOC'!K13)</f>
        <v>3525.13</v>
      </c>
      <c r="S10" s="389">
        <f t="shared" si="12"/>
        <v>3525.13</v>
      </c>
      <c r="T10" s="389">
        <f>SUM('HL KNIHA VYPOC'!K58)*-1</f>
        <v>3525.13</v>
      </c>
      <c r="U10" s="389">
        <f t="shared" si="13"/>
        <v>3525.13</v>
      </c>
      <c r="V10" s="389">
        <f>SUM(ANALYTIKAVUJ!D30)*-1</f>
        <v>0</v>
      </c>
      <c r="W10" s="389">
        <f t="shared" si="14"/>
        <v>0</v>
      </c>
      <c r="X10" s="389">
        <f t="shared" si="15"/>
        <v>0</v>
      </c>
      <c r="Z10" s="377">
        <f t="shared" si="0"/>
        <v>3525</v>
      </c>
      <c r="AA10" s="377">
        <f t="shared" si="1"/>
        <v>3525</v>
      </c>
      <c r="AB10" s="377">
        <f t="shared" si="2"/>
        <v>0</v>
      </c>
      <c r="AC10" s="377">
        <f t="shared" si="3"/>
        <v>0</v>
      </c>
      <c r="AD10" s="361" t="str">
        <f t="shared" si="4"/>
        <v xml:space="preserve">       3525</v>
      </c>
      <c r="AE10" s="361" t="str">
        <f t="shared" si="5"/>
        <v xml:space="preserve">       3525</v>
      </c>
      <c r="AF10" s="361" t="str">
        <f t="shared" si="6"/>
        <v xml:space="preserve">          0</v>
      </c>
      <c r="AG10" s="361" t="str">
        <f t="shared" si="7"/>
        <v xml:space="preserve">          0</v>
      </c>
      <c r="AK10" s="387">
        <f>SUM('HL KNIHA VYPOC'!H13)</f>
        <v>3525.13</v>
      </c>
      <c r="AN10" s="388">
        <f t="shared" si="16"/>
        <v>3525.13</v>
      </c>
      <c r="AO10" s="388">
        <f>SUM('HL KNIHA VYPOC'!H58)*-1</f>
        <v>3525.13</v>
      </c>
      <c r="AP10" s="389">
        <f t="shared" si="17"/>
        <v>3525.13</v>
      </c>
      <c r="AQ10" s="389">
        <f>SUM(ANALYTIKAVUJ!E30)*-1</f>
        <v>0</v>
      </c>
      <c r="AR10" s="389">
        <f t="shared" si="18"/>
        <v>0</v>
      </c>
      <c r="AS10" s="388">
        <f t="shared" si="19"/>
        <v>0</v>
      </c>
    </row>
    <row r="11" spans="2:48" outlineLevel="1" x14ac:dyDescent="0.25">
      <c r="B11" s="369" t="s">
        <v>2170</v>
      </c>
      <c r="C11" s="85" t="s">
        <v>2171</v>
      </c>
      <c r="D11" s="385" t="str">
        <f>IF(VLOOKUP($B11,suvaha_p!$A:$G,1)=$B11,VLOOKUP($B11,suvaha_p!$A:$G,$B$1),0)</f>
        <v>Obstarávaný dlhodobý nehmotný majetok (041)
- /093/</v>
      </c>
      <c r="E11" s="386" t="s">
        <v>2170</v>
      </c>
      <c r="F11" s="387">
        <f>SUM('HL KNIHA VYPOC'!G31)</f>
        <v>0</v>
      </c>
      <c r="I11" s="388">
        <f t="shared" si="8"/>
        <v>0</v>
      </c>
      <c r="J11" s="388"/>
      <c r="K11" s="389">
        <f t="shared" si="9"/>
        <v>0</v>
      </c>
      <c r="L11" s="389">
        <f>SUM('HL KNIHA VYPOC'!G73)*-1</f>
        <v>0</v>
      </c>
      <c r="M11" s="389">
        <f t="shared" si="10"/>
        <v>0</v>
      </c>
      <c r="N11" s="389">
        <f t="shared" si="11"/>
        <v>0</v>
      </c>
      <c r="P11" s="390">
        <f>SUM('HL KNIHA VYPOC'!K31)</f>
        <v>0</v>
      </c>
      <c r="S11" s="389">
        <f t="shared" si="12"/>
        <v>0</v>
      </c>
      <c r="U11" s="389">
        <f t="shared" si="13"/>
        <v>0</v>
      </c>
      <c r="V11" s="389">
        <f>SUM('HL KNIHA VYPOC'!K73)*-1</f>
        <v>0</v>
      </c>
      <c r="W11" s="389">
        <f t="shared" si="14"/>
        <v>0</v>
      </c>
      <c r="X11" s="389">
        <f t="shared" si="15"/>
        <v>0</v>
      </c>
      <c r="Z11" s="377">
        <f t="shared" si="0"/>
        <v>0</v>
      </c>
      <c r="AA11" s="377">
        <f t="shared" si="1"/>
        <v>0</v>
      </c>
      <c r="AB11" s="377">
        <f t="shared" si="2"/>
        <v>0</v>
      </c>
      <c r="AC11" s="377">
        <f t="shared" si="3"/>
        <v>0</v>
      </c>
      <c r="AD11" s="361" t="str">
        <f t="shared" si="4"/>
        <v xml:space="preserve">          0</v>
      </c>
      <c r="AE11" s="361" t="str">
        <f t="shared" si="5"/>
        <v xml:space="preserve">          0</v>
      </c>
      <c r="AF11" s="361" t="str">
        <f t="shared" si="6"/>
        <v xml:space="preserve">          0</v>
      </c>
      <c r="AG11" s="361" t="str">
        <f t="shared" si="7"/>
        <v xml:space="preserve">          0</v>
      </c>
      <c r="AK11" s="387">
        <f>SUM('HL KNIHA VYPOC'!H31)</f>
        <v>0</v>
      </c>
      <c r="AN11" s="388">
        <f t="shared" si="16"/>
        <v>0</v>
      </c>
      <c r="AO11" s="388"/>
      <c r="AP11" s="389">
        <f t="shared" si="17"/>
        <v>0</v>
      </c>
      <c r="AQ11" s="389">
        <f>SUM('HL KNIHA VYPOC'!H73)*-1</f>
        <v>0</v>
      </c>
      <c r="AR11" s="389">
        <f t="shared" si="18"/>
        <v>0</v>
      </c>
      <c r="AS11" s="388">
        <f t="shared" si="19"/>
        <v>0</v>
      </c>
    </row>
    <row r="12" spans="2:48" outlineLevel="1" x14ac:dyDescent="0.25">
      <c r="B12" s="369">
        <v>10</v>
      </c>
      <c r="C12" s="85" t="s">
        <v>2172</v>
      </c>
      <c r="D12" s="385" t="str">
        <f>IF(VLOOKUP($B12,suvaha_p!$A:$G,1)=$B12,VLOOKUP($B12,suvaha_p!$A:$G,$B$1),0)</f>
        <v>Poskytnuté preddavky na dlhodobý nehmotný majetok (051) - /095A/</v>
      </c>
      <c r="E12" s="386" t="s">
        <v>1245</v>
      </c>
      <c r="F12" s="387">
        <f>SUM('HL KNIHA VYPOC'!G37)</f>
        <v>0</v>
      </c>
      <c r="I12" s="388">
        <f t="shared" si="8"/>
        <v>0</v>
      </c>
      <c r="J12" s="389"/>
      <c r="K12" s="389">
        <f t="shared" si="9"/>
        <v>0</v>
      </c>
      <c r="L12" s="389">
        <f>SUM(ANALYTIKAVUJ!C41)*-1</f>
        <v>0</v>
      </c>
      <c r="M12" s="389">
        <f t="shared" si="10"/>
        <v>0</v>
      </c>
      <c r="N12" s="389">
        <f t="shared" si="11"/>
        <v>0</v>
      </c>
      <c r="P12" s="390">
        <f>SUM('HL KNIHA VYPOC'!K37)</f>
        <v>0</v>
      </c>
      <c r="S12" s="389">
        <f t="shared" si="12"/>
        <v>0</v>
      </c>
      <c r="U12" s="389">
        <f t="shared" si="13"/>
        <v>0</v>
      </c>
      <c r="V12" s="389">
        <f>SUM(ANALYTIKAVUJ!D41)*-1</f>
        <v>0</v>
      </c>
      <c r="W12" s="389">
        <f t="shared" si="14"/>
        <v>0</v>
      </c>
      <c r="X12" s="389">
        <f t="shared" si="15"/>
        <v>0</v>
      </c>
      <c r="Z12" s="377">
        <f t="shared" si="0"/>
        <v>0</v>
      </c>
      <c r="AA12" s="377">
        <f t="shared" si="1"/>
        <v>0</v>
      </c>
      <c r="AB12" s="377">
        <f t="shared" si="2"/>
        <v>0</v>
      </c>
      <c r="AC12" s="377">
        <f t="shared" si="3"/>
        <v>0</v>
      </c>
      <c r="AD12" s="361" t="str">
        <f t="shared" si="4"/>
        <v xml:space="preserve">          0</v>
      </c>
      <c r="AE12" s="361" t="str">
        <f t="shared" si="5"/>
        <v xml:space="preserve">          0</v>
      </c>
      <c r="AF12" s="361" t="str">
        <f t="shared" si="6"/>
        <v xml:space="preserve">          0</v>
      </c>
      <c r="AG12" s="361" t="str">
        <f t="shared" si="7"/>
        <v xml:space="preserve">          0</v>
      </c>
      <c r="AK12" s="387">
        <f>SUM('HL KNIHA VYPOC'!H37)</f>
        <v>0</v>
      </c>
      <c r="AN12" s="388">
        <f t="shared" si="16"/>
        <v>0</v>
      </c>
      <c r="AO12" s="389"/>
      <c r="AP12" s="389">
        <f t="shared" si="17"/>
        <v>0</v>
      </c>
      <c r="AQ12" s="389">
        <f>SUM(ANALYTIKAVUJ!E41)*-1</f>
        <v>0</v>
      </c>
      <c r="AR12" s="389">
        <f t="shared" si="18"/>
        <v>0</v>
      </c>
      <c r="AS12" s="388">
        <f t="shared" si="19"/>
        <v>0</v>
      </c>
    </row>
    <row r="13" spans="2:48" outlineLevel="1" x14ac:dyDescent="0.25">
      <c r="B13" s="369">
        <v>11</v>
      </c>
      <c r="C13" s="85" t="s">
        <v>2173</v>
      </c>
      <c r="D13" s="384" t="str">
        <f>IF(VLOOKUP($B13,suvaha_p!$A:$G,1)=$B13,VLOOKUP($B13,suvaha_p!$A:$G,$B$1),0)</f>
        <v>Dlhodobý hmotný majetok súčet (r. 12 až r. 20)</v>
      </c>
      <c r="E13" s="370" t="s">
        <v>2174</v>
      </c>
      <c r="F13" s="370"/>
      <c r="G13" s="380"/>
      <c r="H13" s="380"/>
      <c r="I13" s="379">
        <f>SUM(I14:I22)</f>
        <v>1384136</v>
      </c>
      <c r="J13" s="379"/>
      <c r="K13" s="379">
        <f>SUM(K14:K22)</f>
        <v>1022066</v>
      </c>
      <c r="L13" s="382"/>
      <c r="M13" s="379">
        <f>SUM(M14:M22)</f>
        <v>0</v>
      </c>
      <c r="N13" s="382">
        <f>SUM(N14:N22)</f>
        <v>362070</v>
      </c>
      <c r="P13" s="383"/>
      <c r="Q13" s="382"/>
      <c r="R13" s="382"/>
      <c r="S13" s="382">
        <f>SUM(S14:S22)</f>
        <v>1381135.62</v>
      </c>
      <c r="T13" s="382"/>
      <c r="U13" s="382">
        <f>SUM(U14:U22)</f>
        <v>973628.53</v>
      </c>
      <c r="V13" s="382"/>
      <c r="W13" s="382">
        <f>SUM(W14:W22)</f>
        <v>0</v>
      </c>
      <c r="X13" s="382">
        <f>SUM(X14:X22)</f>
        <v>407508</v>
      </c>
      <c r="Z13" s="377">
        <f t="shared" si="0"/>
        <v>1384136</v>
      </c>
      <c r="AA13" s="377">
        <f t="shared" si="1"/>
        <v>1022066</v>
      </c>
      <c r="AB13" s="377">
        <f t="shared" si="2"/>
        <v>362070</v>
      </c>
      <c r="AC13" s="377">
        <f t="shared" si="3"/>
        <v>407508</v>
      </c>
      <c r="AD13" s="361" t="str">
        <f t="shared" si="4"/>
        <v xml:space="preserve">    1384136</v>
      </c>
      <c r="AE13" s="361" t="str">
        <f t="shared" si="5"/>
        <v xml:space="preserve">    1022066</v>
      </c>
      <c r="AF13" s="361" t="str">
        <f t="shared" si="6"/>
        <v xml:space="preserve">     362070</v>
      </c>
      <c r="AG13" s="361" t="str">
        <f t="shared" si="7"/>
        <v xml:space="preserve">     407508</v>
      </c>
      <c r="AK13" s="370"/>
      <c r="AL13" s="380"/>
      <c r="AM13" s="380"/>
      <c r="AN13" s="379">
        <f>SUM(AN14:AN22)</f>
        <v>1373986.8900000001</v>
      </c>
      <c r="AO13" s="379"/>
      <c r="AP13" s="379">
        <f>SUM(AP14:AP22)</f>
        <v>925611.61</v>
      </c>
      <c r="AQ13" s="382"/>
      <c r="AR13" s="379">
        <f>SUM(AR14:AR22)</f>
        <v>0</v>
      </c>
      <c r="AS13" s="379">
        <f>SUM(AS14:AS22)</f>
        <v>448374</v>
      </c>
    </row>
    <row r="14" spans="2:48" outlineLevel="1" x14ac:dyDescent="0.25">
      <c r="B14" s="369">
        <v>12</v>
      </c>
      <c r="C14" s="85" t="s">
        <v>2175</v>
      </c>
      <c r="D14" s="385" t="str">
        <f>IF(VLOOKUP($B14,suvaha_p!$A:$G,1)=$B14,VLOOKUP($B14,suvaha_p!$A:$G,$B$1),0)</f>
        <v>Pozemky (031) - /092A/</v>
      </c>
      <c r="E14" s="386" t="s">
        <v>1237</v>
      </c>
      <c r="F14" s="387">
        <f>SUM('HL KNIHA VYPOC'!G26)</f>
        <v>0</v>
      </c>
      <c r="I14" s="388">
        <f t="shared" ref="I14:I22" si="20">ROUND(SUM(F14:H14),0)</f>
        <v>0</v>
      </c>
      <c r="J14" s="389"/>
      <c r="K14" s="389">
        <f t="shared" ref="K14:K22" si="21">ROUND(SUM(J14),0)</f>
        <v>0</v>
      </c>
      <c r="L14" s="389">
        <f>SUM(ANALYTIKAVUJ!C33)*-1</f>
        <v>0</v>
      </c>
      <c r="M14" s="389">
        <f t="shared" ref="M14:M22" si="22">ROUND(SUM(L14),0)</f>
        <v>0</v>
      </c>
      <c r="N14" s="389">
        <f t="shared" ref="N14:N22" si="23">SUM(I14-K14-M14)</f>
        <v>0</v>
      </c>
      <c r="P14" s="390">
        <f>SUM('HL KNIHA VYPOC'!K26)</f>
        <v>0</v>
      </c>
      <c r="S14" s="389">
        <f t="shared" ref="S14:S22" si="24">SUM(P14:R14)</f>
        <v>0</v>
      </c>
      <c r="U14" s="389">
        <f t="shared" ref="U14:U22" si="25">SUM(T14)</f>
        <v>0</v>
      </c>
      <c r="V14" s="389">
        <f>SUM(ANALYTIKAVUJ!D33)*-1</f>
        <v>0</v>
      </c>
      <c r="W14" s="389">
        <f t="shared" ref="W14:W22" si="26">SUM(V14)</f>
        <v>0</v>
      </c>
      <c r="X14" s="389">
        <f t="shared" ref="X14:X22" si="27">ROUND((S14-U14-W14),0)</f>
        <v>0</v>
      </c>
      <c r="Z14" s="377">
        <f t="shared" si="0"/>
        <v>0</v>
      </c>
      <c r="AA14" s="377">
        <f t="shared" si="1"/>
        <v>0</v>
      </c>
      <c r="AB14" s="377">
        <f t="shared" si="2"/>
        <v>0</v>
      </c>
      <c r="AC14" s="377">
        <f t="shared" si="3"/>
        <v>0</v>
      </c>
      <c r="AD14" s="361" t="str">
        <f t="shared" si="4"/>
        <v xml:space="preserve">          0</v>
      </c>
      <c r="AE14" s="361" t="str">
        <f t="shared" si="5"/>
        <v xml:space="preserve">          0</v>
      </c>
      <c r="AF14" s="361" t="str">
        <f t="shared" si="6"/>
        <v xml:space="preserve">          0</v>
      </c>
      <c r="AG14" s="361" t="str">
        <f t="shared" si="7"/>
        <v xml:space="preserve">          0</v>
      </c>
      <c r="AK14" s="387">
        <f>SUM('HL KNIHA VYPOC'!H26)</f>
        <v>0</v>
      </c>
      <c r="AN14" s="388">
        <f t="shared" ref="AN14:AN22" si="28">SUM(AK14:AM14)</f>
        <v>0</v>
      </c>
      <c r="AO14" s="389"/>
      <c r="AP14" s="389">
        <f t="shared" ref="AP14:AP22" si="29">SUM(AO14)</f>
        <v>0</v>
      </c>
      <c r="AQ14" s="389">
        <f>SUM(ANALYTIKAVUJ!E33)*-1</f>
        <v>0</v>
      </c>
      <c r="AR14" s="389">
        <f t="shared" ref="AR14:AR22" si="30">SUM(AQ14)</f>
        <v>0</v>
      </c>
      <c r="AS14" s="388">
        <f t="shared" ref="AS14:AS22" si="31">ROUND((AN14-AP14-AR14),0)</f>
        <v>0</v>
      </c>
    </row>
    <row r="15" spans="2:48" outlineLevel="1" x14ac:dyDescent="0.25">
      <c r="B15" s="369">
        <v>13</v>
      </c>
      <c r="C15" s="85" t="s">
        <v>2166</v>
      </c>
      <c r="D15" s="385" t="str">
        <f>IF(VLOOKUP($B15,suvaha_p!$A:$G,1)=$B15,VLOOKUP($B15,suvaha_p!$A:$G,$B$1),0)</f>
        <v>Stavby (021) - /081, 092A/</v>
      </c>
      <c r="E15" s="386" t="s">
        <v>1238</v>
      </c>
      <c r="F15" s="387">
        <f>SUM('HL KNIHA VYPOC'!G16)</f>
        <v>726899.76</v>
      </c>
      <c r="I15" s="388">
        <f t="shared" si="20"/>
        <v>726900</v>
      </c>
      <c r="J15" s="388">
        <f>SUM('HL KNIHA VYPOC'!G61)*-1</f>
        <v>391890.08</v>
      </c>
      <c r="K15" s="389">
        <f t="shared" si="21"/>
        <v>391890</v>
      </c>
      <c r="L15" s="389">
        <f>SUM(ANALYTIKAVUJ!C34)*-1</f>
        <v>0</v>
      </c>
      <c r="M15" s="389">
        <f t="shared" si="22"/>
        <v>0</v>
      </c>
      <c r="N15" s="389">
        <f t="shared" si="23"/>
        <v>335010</v>
      </c>
      <c r="P15" s="390">
        <f>SUM('HL KNIHA VYPOC'!K16)</f>
        <v>726899.76</v>
      </c>
      <c r="S15" s="389">
        <f t="shared" si="24"/>
        <v>726899.76</v>
      </c>
      <c r="T15" s="389">
        <f>SUM('HL KNIHA VYPOC'!K61)*-1</f>
        <v>359088.07999999996</v>
      </c>
      <c r="U15" s="389">
        <f t="shared" si="25"/>
        <v>359088.07999999996</v>
      </c>
      <c r="V15" s="389">
        <f>SUM(ANALYTIKAVUJ!D34)*-1</f>
        <v>0</v>
      </c>
      <c r="W15" s="389">
        <f t="shared" si="26"/>
        <v>0</v>
      </c>
      <c r="X15" s="389">
        <f t="shared" si="27"/>
        <v>367812</v>
      </c>
      <c r="Z15" s="377">
        <f t="shared" si="0"/>
        <v>726900</v>
      </c>
      <c r="AA15" s="377">
        <f t="shared" si="1"/>
        <v>391890</v>
      </c>
      <c r="AB15" s="377">
        <f t="shared" si="2"/>
        <v>335010</v>
      </c>
      <c r="AC15" s="377">
        <f t="shared" si="3"/>
        <v>367812</v>
      </c>
      <c r="AD15" s="361" t="str">
        <f t="shared" si="4"/>
        <v xml:space="preserve">     726900</v>
      </c>
      <c r="AE15" s="361" t="str">
        <f t="shared" si="5"/>
        <v xml:space="preserve">     391890</v>
      </c>
      <c r="AF15" s="361" t="str">
        <f t="shared" si="6"/>
        <v xml:space="preserve">     335010</v>
      </c>
      <c r="AG15" s="361" t="str">
        <f t="shared" si="7"/>
        <v xml:space="preserve">     367812</v>
      </c>
      <c r="AK15" s="387">
        <f>SUM('HL KNIHA VYPOC'!H16)</f>
        <v>726899.76</v>
      </c>
      <c r="AN15" s="388">
        <f t="shared" si="28"/>
        <v>726899.76</v>
      </c>
      <c r="AO15" s="388">
        <f>SUM('HL KNIHA VYPOC'!H61)*-1</f>
        <v>325524.28999999998</v>
      </c>
      <c r="AP15" s="389">
        <f t="shared" si="29"/>
        <v>325524.28999999998</v>
      </c>
      <c r="AQ15" s="389">
        <f>SUM(ANALYTIKAVUJ!E34)*-1</f>
        <v>0</v>
      </c>
      <c r="AR15" s="389">
        <f t="shared" si="30"/>
        <v>0</v>
      </c>
      <c r="AS15" s="388">
        <f t="shared" si="31"/>
        <v>401375</v>
      </c>
    </row>
    <row r="16" spans="2:48" ht="13.5" customHeight="1" outlineLevel="1" x14ac:dyDescent="0.25">
      <c r="B16" s="369">
        <v>14</v>
      </c>
      <c r="C16" s="85" t="s">
        <v>2167</v>
      </c>
      <c r="D16" s="385" t="str">
        <f>IF(VLOOKUP($B16,suvaha_p!$A:$G,1)=$B16,VLOOKUP($B16,suvaha_p!$A:$G,$B$1),0)</f>
        <v>Samostatné hnuteľné veci a súbory hnuteľných vecí (022) - /082, 092A/</v>
      </c>
      <c r="E16" s="386" t="s">
        <v>1239</v>
      </c>
      <c r="F16" s="387">
        <f>SUM('HL KNIHA VYPOC'!G17)</f>
        <v>538007.88</v>
      </c>
      <c r="I16" s="388">
        <f t="shared" si="20"/>
        <v>538008</v>
      </c>
      <c r="J16" s="388">
        <f>SUM('HL KNIHA VYPOC'!G62)*-1</f>
        <v>538007.88</v>
      </c>
      <c r="K16" s="389">
        <f t="shared" si="21"/>
        <v>538008</v>
      </c>
      <c r="L16" s="389">
        <f>SUM(ANALYTIKAVUJ!C35)*-1</f>
        <v>0</v>
      </c>
      <c r="M16" s="389">
        <f t="shared" si="22"/>
        <v>0</v>
      </c>
      <c r="N16" s="389">
        <f t="shared" si="23"/>
        <v>0</v>
      </c>
      <c r="P16" s="390">
        <f>SUM('HL KNIHA VYPOC'!K17)</f>
        <v>538007.88</v>
      </c>
      <c r="S16" s="389">
        <f t="shared" si="24"/>
        <v>538007.88</v>
      </c>
      <c r="T16" s="389">
        <f>SUM('HL KNIHA VYPOC'!K62)*-1</f>
        <v>534867.28</v>
      </c>
      <c r="U16" s="389">
        <f t="shared" si="25"/>
        <v>534867.28</v>
      </c>
      <c r="V16" s="389">
        <f>SUM(ANALYTIKAVUJ!D35)*-1</f>
        <v>0</v>
      </c>
      <c r="W16" s="389">
        <f t="shared" si="26"/>
        <v>0</v>
      </c>
      <c r="X16" s="389">
        <f t="shared" si="27"/>
        <v>3141</v>
      </c>
      <c r="Z16" s="377">
        <f t="shared" si="0"/>
        <v>538008</v>
      </c>
      <c r="AA16" s="377">
        <f t="shared" si="1"/>
        <v>538008</v>
      </c>
      <c r="AB16" s="377">
        <f t="shared" si="2"/>
        <v>0</v>
      </c>
      <c r="AC16" s="377">
        <f t="shared" si="3"/>
        <v>3141</v>
      </c>
      <c r="AD16" s="361" t="str">
        <f t="shared" si="4"/>
        <v xml:space="preserve">     538008</v>
      </c>
      <c r="AE16" s="361" t="str">
        <f t="shared" si="5"/>
        <v xml:space="preserve">     538008</v>
      </c>
      <c r="AF16" s="361" t="str">
        <f t="shared" si="6"/>
        <v xml:space="preserve">          0</v>
      </c>
      <c r="AG16" s="361" t="str">
        <f t="shared" si="7"/>
        <v xml:space="preserve">       3141</v>
      </c>
      <c r="AK16" s="387">
        <f>SUM('HL KNIHA VYPOC'!H17)</f>
        <v>538007.88</v>
      </c>
      <c r="AN16" s="388">
        <f t="shared" si="28"/>
        <v>538007.88</v>
      </c>
      <c r="AO16" s="388">
        <f>SUM('HL KNIHA VYPOC'!H62)*-1</f>
        <v>531436.48</v>
      </c>
      <c r="AP16" s="389">
        <f t="shared" si="29"/>
        <v>531436.48</v>
      </c>
      <c r="AQ16" s="389">
        <f>SUM(ANALYTIKAVUJ!E35)*-1</f>
        <v>0</v>
      </c>
      <c r="AR16" s="389">
        <f t="shared" si="30"/>
        <v>0</v>
      </c>
      <c r="AS16" s="388">
        <f t="shared" si="31"/>
        <v>6571</v>
      </c>
    </row>
    <row r="17" spans="2:45" outlineLevel="1" x14ac:dyDescent="0.25">
      <c r="B17" s="369">
        <v>15</v>
      </c>
      <c r="C17" s="85" t="s">
        <v>2168</v>
      </c>
      <c r="D17" s="385" t="str">
        <f>IF(VLOOKUP($B17,suvaha_p!$A:$G,1)=$B17,VLOOKUP($B17,suvaha_p!$A:$G,$B$1),0)</f>
        <v>Pestovateľské celky trvalých porastov (025)
- /085, 092A/</v>
      </c>
      <c r="E17" s="386" t="s">
        <v>1240</v>
      </c>
      <c r="F17" s="387">
        <f>SUM('HL KNIHA VYPOC'!G20)</f>
        <v>1000</v>
      </c>
      <c r="I17" s="388">
        <f t="shared" si="20"/>
        <v>1000</v>
      </c>
      <c r="J17" s="388">
        <f>SUM('HL KNIHA VYPOC'!G65)*-1</f>
        <v>0</v>
      </c>
      <c r="K17" s="389">
        <f t="shared" si="21"/>
        <v>0</v>
      </c>
      <c r="L17" s="389">
        <f>SUM(ANALYTIKAVUJ!C36)*-1</f>
        <v>0</v>
      </c>
      <c r="M17" s="389">
        <f t="shared" si="22"/>
        <v>0</v>
      </c>
      <c r="N17" s="389">
        <f t="shared" si="23"/>
        <v>1000</v>
      </c>
      <c r="P17" s="390">
        <f>SUM('HL KNIHA VYPOC'!K20)</f>
        <v>1000</v>
      </c>
      <c r="S17" s="389">
        <f t="shared" si="24"/>
        <v>1000</v>
      </c>
      <c r="T17" s="389">
        <f>SUM('HL KNIHA VYPOC'!K65)*-1</f>
        <v>0</v>
      </c>
      <c r="U17" s="389">
        <f t="shared" si="25"/>
        <v>0</v>
      </c>
      <c r="V17" s="389">
        <f>SUM(ANALYTIKAVUJ!D36)*-1</f>
        <v>0</v>
      </c>
      <c r="W17" s="389">
        <f t="shared" si="26"/>
        <v>0</v>
      </c>
      <c r="X17" s="389">
        <f t="shared" si="27"/>
        <v>1000</v>
      </c>
      <c r="Z17" s="377">
        <f t="shared" si="0"/>
        <v>1000</v>
      </c>
      <c r="AA17" s="377">
        <f t="shared" si="1"/>
        <v>0</v>
      </c>
      <c r="AB17" s="377">
        <f t="shared" si="2"/>
        <v>1000</v>
      </c>
      <c r="AC17" s="377">
        <f t="shared" si="3"/>
        <v>1000</v>
      </c>
      <c r="AD17" s="361" t="str">
        <f t="shared" si="4"/>
        <v xml:space="preserve">       1000</v>
      </c>
      <c r="AE17" s="361" t="str">
        <f t="shared" si="5"/>
        <v xml:space="preserve">          0</v>
      </c>
      <c r="AF17" s="361" t="str">
        <f t="shared" si="6"/>
        <v xml:space="preserve">       1000</v>
      </c>
      <c r="AG17" s="361" t="str">
        <f t="shared" si="7"/>
        <v xml:space="preserve">       1000</v>
      </c>
      <c r="AK17" s="387">
        <f>SUM('HL KNIHA VYPOC'!H20)</f>
        <v>0</v>
      </c>
      <c r="AN17" s="388">
        <f t="shared" si="28"/>
        <v>0</v>
      </c>
      <c r="AO17" s="388">
        <f>SUM('HL KNIHA VYPOC'!H65)*-1</f>
        <v>0</v>
      </c>
      <c r="AP17" s="389">
        <f t="shared" si="29"/>
        <v>0</v>
      </c>
      <c r="AQ17" s="389">
        <f>SUM(ANALYTIKAVUJ!E36)*-1</f>
        <v>0</v>
      </c>
      <c r="AR17" s="389">
        <f t="shared" si="30"/>
        <v>0</v>
      </c>
      <c r="AS17" s="388">
        <f t="shared" si="31"/>
        <v>0</v>
      </c>
    </row>
    <row r="18" spans="2:45" outlineLevel="1" x14ac:dyDescent="0.25">
      <c r="B18" s="369">
        <v>16</v>
      </c>
      <c r="C18" s="85" t="s">
        <v>2169</v>
      </c>
      <c r="D18" s="385" t="str">
        <f>IF(VLOOKUP($B18,suvaha_p!$A:$G,1)=$B18,VLOOKUP($B18,suvaha_p!$A:$G,$B$1),0)</f>
        <v>Základné stádo a ťažné zvieratá (026) - /086, 092A/</v>
      </c>
      <c r="E18" s="386" t="s">
        <v>1241</v>
      </c>
      <c r="F18" s="387">
        <f>SUM('HL KNIHA VYPOC'!G21)</f>
        <v>117728.25</v>
      </c>
      <c r="I18" s="388">
        <f t="shared" si="20"/>
        <v>117728</v>
      </c>
      <c r="J18" s="388">
        <f>SUM('HL KNIHA VYPOC'!G66)*-1</f>
        <v>92167.799999999988</v>
      </c>
      <c r="K18" s="389">
        <f t="shared" si="21"/>
        <v>92168</v>
      </c>
      <c r="L18" s="389">
        <f>SUM(ANALYTIKAVUJ!C37)*-1</f>
        <v>0</v>
      </c>
      <c r="M18" s="389">
        <f t="shared" si="22"/>
        <v>0</v>
      </c>
      <c r="N18" s="389">
        <f t="shared" si="23"/>
        <v>25560</v>
      </c>
      <c r="P18" s="390">
        <f>SUM('HL KNIHA VYPOC'!K21)</f>
        <v>115227.98000000001</v>
      </c>
      <c r="S18" s="389">
        <f t="shared" si="24"/>
        <v>115227.98000000001</v>
      </c>
      <c r="T18" s="389">
        <f>SUM('HL KNIHA VYPOC'!K66)*-1</f>
        <v>79673.17</v>
      </c>
      <c r="U18" s="389">
        <f t="shared" si="25"/>
        <v>79673.17</v>
      </c>
      <c r="V18" s="389">
        <f>SUM(ANALYTIKAVUJ!D37)*-1</f>
        <v>0</v>
      </c>
      <c r="W18" s="389">
        <f t="shared" si="26"/>
        <v>0</v>
      </c>
      <c r="X18" s="389">
        <f t="shared" si="27"/>
        <v>35555</v>
      </c>
      <c r="Z18" s="377">
        <f t="shared" si="0"/>
        <v>117728</v>
      </c>
      <c r="AA18" s="377">
        <f t="shared" si="1"/>
        <v>92168</v>
      </c>
      <c r="AB18" s="377">
        <f t="shared" si="2"/>
        <v>25560</v>
      </c>
      <c r="AC18" s="377">
        <f t="shared" si="3"/>
        <v>35555</v>
      </c>
      <c r="AD18" s="361" t="str">
        <f t="shared" si="4"/>
        <v xml:space="preserve">     117728</v>
      </c>
      <c r="AE18" s="361" t="str">
        <f t="shared" si="5"/>
        <v xml:space="preserve">      92168</v>
      </c>
      <c r="AF18" s="361" t="str">
        <f t="shared" si="6"/>
        <v xml:space="preserve">      25560</v>
      </c>
      <c r="AG18" s="361" t="str">
        <f t="shared" si="7"/>
        <v xml:space="preserve">      35555</v>
      </c>
      <c r="AK18" s="387">
        <f>SUM('HL KNIHA VYPOC'!H21)</f>
        <v>109079.25</v>
      </c>
      <c r="AN18" s="388">
        <f t="shared" si="28"/>
        <v>109079.25</v>
      </c>
      <c r="AO18" s="388">
        <f>SUM('HL KNIHA VYPOC'!H66)*-1</f>
        <v>68650.84</v>
      </c>
      <c r="AP18" s="389">
        <f t="shared" si="29"/>
        <v>68650.84</v>
      </c>
      <c r="AQ18" s="389">
        <f>SUM(ANALYTIKAVUJ!E37)*-1</f>
        <v>0</v>
      </c>
      <c r="AR18" s="389">
        <f t="shared" si="30"/>
        <v>0</v>
      </c>
      <c r="AS18" s="388">
        <f t="shared" si="31"/>
        <v>40428</v>
      </c>
    </row>
    <row r="19" spans="2:45" outlineLevel="1" x14ac:dyDescent="0.25">
      <c r="B19" s="369">
        <v>17</v>
      </c>
      <c r="C19" s="85" t="s">
        <v>2171</v>
      </c>
      <c r="D19" s="385" t="str">
        <f>IF(VLOOKUP($B19,suvaha_p!$A:$G,1)=$B19,VLOOKUP($B19,suvaha_p!$A:$G,$B$1),0)</f>
        <v>Ostatný dlhodobý hmotný majetok
(029, 02X, 032) - /089, 08X, 092A/</v>
      </c>
      <c r="E19" s="386" t="s">
        <v>1242</v>
      </c>
      <c r="F19" s="387">
        <f>SUM('HL KNIHA VYPOC'!G23+'HL KNIHA VYPOC'!G27)</f>
        <v>0</v>
      </c>
      <c r="I19" s="388">
        <f t="shared" si="20"/>
        <v>0</v>
      </c>
      <c r="J19" s="388">
        <f>SUM('HL KNIHA VYPOC'!G68)*-1</f>
        <v>0</v>
      </c>
      <c r="K19" s="389">
        <f t="shared" si="21"/>
        <v>0</v>
      </c>
      <c r="L19" s="389">
        <f>SUM(ANALYTIKAVUJ!C38)*-1</f>
        <v>0</v>
      </c>
      <c r="M19" s="389">
        <f t="shared" si="22"/>
        <v>0</v>
      </c>
      <c r="N19" s="389">
        <f t="shared" si="23"/>
        <v>0</v>
      </c>
      <c r="P19" s="390">
        <f>SUM('HL KNIHA VYPOC'!K23+'HL KNIHA VYPOC'!K27)</f>
        <v>0</v>
      </c>
      <c r="S19" s="389">
        <f t="shared" si="24"/>
        <v>0</v>
      </c>
      <c r="T19" s="389">
        <f>SUM('HL KNIHA VYPOC'!K68)*-1</f>
        <v>0</v>
      </c>
      <c r="U19" s="389">
        <f t="shared" si="25"/>
        <v>0</v>
      </c>
      <c r="V19" s="389">
        <f>SUM(ANALYTIKAVUJ!D38)*-1</f>
        <v>0</v>
      </c>
      <c r="W19" s="389">
        <f t="shared" si="26"/>
        <v>0</v>
      </c>
      <c r="X19" s="389">
        <f t="shared" si="27"/>
        <v>0</v>
      </c>
      <c r="Z19" s="377">
        <f t="shared" si="0"/>
        <v>0</v>
      </c>
      <c r="AA19" s="377">
        <f t="shared" si="1"/>
        <v>0</v>
      </c>
      <c r="AB19" s="377">
        <f t="shared" si="2"/>
        <v>0</v>
      </c>
      <c r="AC19" s="377">
        <f t="shared" si="3"/>
        <v>0</v>
      </c>
      <c r="AD19" s="361" t="str">
        <f t="shared" si="4"/>
        <v xml:space="preserve">          0</v>
      </c>
      <c r="AE19" s="361" t="str">
        <f t="shared" si="5"/>
        <v xml:space="preserve">          0</v>
      </c>
      <c r="AF19" s="361" t="str">
        <f t="shared" si="6"/>
        <v xml:space="preserve">          0</v>
      </c>
      <c r="AG19" s="361" t="str">
        <f t="shared" si="7"/>
        <v xml:space="preserve">          0</v>
      </c>
      <c r="AK19" s="387">
        <f>SUM('HL KNIHA VYPOC'!H23+'HL KNIHA VYPOC'!H27)</f>
        <v>0</v>
      </c>
      <c r="AN19" s="388">
        <f t="shared" si="28"/>
        <v>0</v>
      </c>
      <c r="AO19" s="388">
        <f>SUM('HL KNIHA VYPOC'!H68)*-1</f>
        <v>0</v>
      </c>
      <c r="AP19" s="389">
        <f t="shared" si="29"/>
        <v>0</v>
      </c>
      <c r="AQ19" s="389">
        <f>SUM(ANALYTIKAVUJ!E38)*-1</f>
        <v>0</v>
      </c>
      <c r="AR19" s="389">
        <f t="shared" si="30"/>
        <v>0</v>
      </c>
      <c r="AS19" s="388">
        <f t="shared" si="31"/>
        <v>0</v>
      </c>
    </row>
    <row r="20" spans="2:45" outlineLevel="1" x14ac:dyDescent="0.25">
      <c r="B20" s="369">
        <v>18</v>
      </c>
      <c r="C20" s="85" t="s">
        <v>2172</v>
      </c>
      <c r="D20" s="385" t="str">
        <f>IF(VLOOKUP($B20,suvaha_p!$A:$G,1)=$B20,VLOOKUP($B20,suvaha_p!$A:$G,$B$1),0)</f>
        <v>Obstarávaný dlhodobý hmotný majetok
(042) - /094/</v>
      </c>
      <c r="E20" s="386" t="s">
        <v>2176</v>
      </c>
      <c r="F20" s="387">
        <f>SUM('HL KNIHA VYPOC'!G32)</f>
        <v>500</v>
      </c>
      <c r="I20" s="388">
        <f t="shared" si="20"/>
        <v>500</v>
      </c>
      <c r="J20" s="388"/>
      <c r="K20" s="389">
        <f t="shared" si="21"/>
        <v>0</v>
      </c>
      <c r="L20" s="389">
        <f>SUM('HL KNIHA VYPOC'!G74)*-1</f>
        <v>0</v>
      </c>
      <c r="M20" s="389">
        <f t="shared" si="22"/>
        <v>0</v>
      </c>
      <c r="N20" s="389">
        <f t="shared" si="23"/>
        <v>500</v>
      </c>
      <c r="P20" s="390">
        <f>SUM('HL KNIHA VYPOC'!K32)</f>
        <v>0</v>
      </c>
      <c r="S20" s="389">
        <f t="shared" si="24"/>
        <v>0</v>
      </c>
      <c r="U20" s="389">
        <f t="shared" si="25"/>
        <v>0</v>
      </c>
      <c r="V20" s="389">
        <f>SUM('HL KNIHA VYPOC'!K74)*-1</f>
        <v>0</v>
      </c>
      <c r="W20" s="389">
        <f t="shared" si="26"/>
        <v>0</v>
      </c>
      <c r="X20" s="389">
        <f t="shared" si="27"/>
        <v>0</v>
      </c>
      <c r="Z20" s="377">
        <f t="shared" si="0"/>
        <v>500</v>
      </c>
      <c r="AA20" s="377">
        <f t="shared" si="1"/>
        <v>0</v>
      </c>
      <c r="AB20" s="377">
        <f t="shared" si="2"/>
        <v>500</v>
      </c>
      <c r="AC20" s="377">
        <f t="shared" si="3"/>
        <v>0</v>
      </c>
      <c r="AD20" s="361" t="str">
        <f t="shared" si="4"/>
        <v xml:space="preserve">        500</v>
      </c>
      <c r="AE20" s="361" t="str">
        <f t="shared" si="5"/>
        <v xml:space="preserve">          0</v>
      </c>
      <c r="AF20" s="361" t="str">
        <f t="shared" si="6"/>
        <v xml:space="preserve">        500</v>
      </c>
      <c r="AG20" s="361" t="str">
        <f t="shared" si="7"/>
        <v xml:space="preserve">          0</v>
      </c>
      <c r="AK20" s="387">
        <f>SUM('HL KNIHA VYPOC'!H32)</f>
        <v>0</v>
      </c>
      <c r="AN20" s="388">
        <f t="shared" si="28"/>
        <v>0</v>
      </c>
      <c r="AO20" s="388"/>
      <c r="AP20" s="389">
        <f t="shared" si="29"/>
        <v>0</v>
      </c>
      <c r="AQ20" s="389">
        <f>SUM('HL KNIHA VYPOC'!H74)*-1</f>
        <v>0</v>
      </c>
      <c r="AR20" s="389">
        <f t="shared" si="30"/>
        <v>0</v>
      </c>
      <c r="AS20" s="388">
        <f t="shared" si="31"/>
        <v>0</v>
      </c>
    </row>
    <row r="21" spans="2:45" outlineLevel="1" x14ac:dyDescent="0.25">
      <c r="B21" s="369">
        <v>19</v>
      </c>
      <c r="C21" s="85" t="s">
        <v>2177</v>
      </c>
      <c r="D21" s="385" t="str">
        <f>IF(VLOOKUP($B21,suvaha_p!$A:$G,1)=$B21,VLOOKUP($B21,suvaha_p!$A:$G,$B$1),0)</f>
        <v>Poskytnuté preddavky na dlhodobý hmotný majetok (052) - /095A/</v>
      </c>
      <c r="E21" s="386" t="s">
        <v>1246</v>
      </c>
      <c r="F21" s="387">
        <f>SUM('HL KNIHA VYPOC'!G38)</f>
        <v>0</v>
      </c>
      <c r="I21" s="388">
        <f t="shared" si="20"/>
        <v>0</v>
      </c>
      <c r="J21" s="389"/>
      <c r="K21" s="389">
        <f t="shared" si="21"/>
        <v>0</v>
      </c>
      <c r="L21" s="389">
        <f>SUM(ANALYTIKAVUJ!C42)*-1</f>
        <v>0</v>
      </c>
      <c r="M21" s="389">
        <f t="shared" si="22"/>
        <v>0</v>
      </c>
      <c r="N21" s="389">
        <f t="shared" si="23"/>
        <v>0</v>
      </c>
      <c r="P21" s="390">
        <f>SUM('HL KNIHA VYPOC'!K38)</f>
        <v>0</v>
      </c>
      <c r="S21" s="389">
        <f t="shared" si="24"/>
        <v>0</v>
      </c>
      <c r="U21" s="389">
        <f t="shared" si="25"/>
        <v>0</v>
      </c>
      <c r="V21" s="389">
        <f>SUM(ANALYTIKAVUJ!D42)*-1</f>
        <v>0</v>
      </c>
      <c r="W21" s="389">
        <f t="shared" si="26"/>
        <v>0</v>
      </c>
      <c r="X21" s="389">
        <f t="shared" si="27"/>
        <v>0</v>
      </c>
      <c r="Z21" s="377">
        <f t="shared" si="0"/>
        <v>0</v>
      </c>
      <c r="AA21" s="377">
        <f t="shared" si="1"/>
        <v>0</v>
      </c>
      <c r="AB21" s="377">
        <f t="shared" si="2"/>
        <v>0</v>
      </c>
      <c r="AC21" s="377">
        <f t="shared" si="3"/>
        <v>0</v>
      </c>
      <c r="AD21" s="361" t="str">
        <f t="shared" si="4"/>
        <v xml:space="preserve">          0</v>
      </c>
      <c r="AE21" s="361" t="str">
        <f t="shared" si="5"/>
        <v xml:space="preserve">          0</v>
      </c>
      <c r="AF21" s="361" t="str">
        <f t="shared" si="6"/>
        <v xml:space="preserve">          0</v>
      </c>
      <c r="AG21" s="361" t="str">
        <f t="shared" si="7"/>
        <v xml:space="preserve">          0</v>
      </c>
      <c r="AK21" s="387">
        <f>SUM('HL KNIHA VYPOC'!H38)</f>
        <v>0</v>
      </c>
      <c r="AN21" s="388">
        <f t="shared" si="28"/>
        <v>0</v>
      </c>
      <c r="AO21" s="389"/>
      <c r="AP21" s="389">
        <f t="shared" si="29"/>
        <v>0</v>
      </c>
      <c r="AQ21" s="389">
        <f>SUM(ANALYTIKAVUJ!E42)*-1</f>
        <v>0</v>
      </c>
      <c r="AR21" s="389">
        <f t="shared" si="30"/>
        <v>0</v>
      </c>
      <c r="AS21" s="388">
        <f t="shared" si="31"/>
        <v>0</v>
      </c>
    </row>
    <row r="22" spans="2:45" outlineLevel="1" x14ac:dyDescent="0.25">
      <c r="B22" s="369">
        <v>20</v>
      </c>
      <c r="C22" s="85" t="s">
        <v>2178</v>
      </c>
      <c r="D22" s="385" t="str">
        <f>IF(VLOOKUP($B22,suvaha_p!$A:$G,1)=$B22,VLOOKUP($B22,suvaha_p!$A:$G,$B$1),0)</f>
        <v>Opravná položka k nadobudnutému majetku 
(+/- 097) +/- 098</v>
      </c>
      <c r="E22" s="386" t="s">
        <v>2179</v>
      </c>
      <c r="F22" s="387">
        <f>SUM('HL KNIHA VYPOC'!G77+'HL KNIHA VYPOC'!G78)</f>
        <v>0</v>
      </c>
      <c r="I22" s="388">
        <f t="shared" si="20"/>
        <v>0</v>
      </c>
      <c r="J22" s="388"/>
      <c r="K22" s="389">
        <f t="shared" si="21"/>
        <v>0</v>
      </c>
      <c r="L22" s="389"/>
      <c r="M22" s="389">
        <f t="shared" si="22"/>
        <v>0</v>
      </c>
      <c r="N22" s="389">
        <f t="shared" si="23"/>
        <v>0</v>
      </c>
      <c r="P22" s="390">
        <f>SUM('HL KNIHA VYPOC'!K77+'HL KNIHA VYPOC'!K78)</f>
        <v>0</v>
      </c>
      <c r="S22" s="389">
        <f t="shared" si="24"/>
        <v>0</v>
      </c>
      <c r="U22" s="389">
        <f t="shared" si="25"/>
        <v>0</v>
      </c>
      <c r="W22" s="389">
        <f t="shared" si="26"/>
        <v>0</v>
      </c>
      <c r="X22" s="389">
        <f t="shared" si="27"/>
        <v>0</v>
      </c>
      <c r="Z22" s="377">
        <f t="shared" si="0"/>
        <v>0</v>
      </c>
      <c r="AA22" s="377">
        <f t="shared" si="1"/>
        <v>0</v>
      </c>
      <c r="AB22" s="377">
        <f t="shared" si="2"/>
        <v>0</v>
      </c>
      <c r="AC22" s="377">
        <f t="shared" si="3"/>
        <v>0</v>
      </c>
      <c r="AD22" s="361" t="str">
        <f t="shared" si="4"/>
        <v xml:space="preserve">          0</v>
      </c>
      <c r="AE22" s="361" t="str">
        <f t="shared" si="5"/>
        <v xml:space="preserve">          0</v>
      </c>
      <c r="AF22" s="361" t="str">
        <f t="shared" si="6"/>
        <v xml:space="preserve">          0</v>
      </c>
      <c r="AG22" s="361" t="str">
        <f t="shared" si="7"/>
        <v xml:space="preserve">          0</v>
      </c>
      <c r="AK22" s="387">
        <f>SUM('HL KNIHA VYPOC'!H77+'HL KNIHA VYPOC'!H78)</f>
        <v>0</v>
      </c>
      <c r="AN22" s="388">
        <f t="shared" si="28"/>
        <v>0</v>
      </c>
      <c r="AO22" s="388"/>
      <c r="AP22" s="389">
        <f t="shared" si="29"/>
        <v>0</v>
      </c>
      <c r="AQ22" s="389"/>
      <c r="AR22" s="389">
        <f t="shared" si="30"/>
        <v>0</v>
      </c>
      <c r="AS22" s="388">
        <f t="shared" si="31"/>
        <v>0</v>
      </c>
    </row>
    <row r="23" spans="2:45" outlineLevel="1" x14ac:dyDescent="0.25">
      <c r="B23" s="369">
        <v>21</v>
      </c>
      <c r="C23" s="85" t="s">
        <v>2180</v>
      </c>
      <c r="D23" s="384" t="str">
        <f>IF(VLOOKUP($B23,suvaha_p!$A:$G,1)=$B23,VLOOKUP($B23,suvaha_p!$A:$G,$B$1),0)</f>
        <v>Dlhodobý finančný majetok súčet (r. 22 až r. 32)</v>
      </c>
      <c r="E23" s="370" t="s">
        <v>2181</v>
      </c>
      <c r="F23" s="370"/>
      <c r="G23" s="380"/>
      <c r="H23" s="380"/>
      <c r="I23" s="379">
        <f>SUM(I24:I34)</f>
        <v>0</v>
      </c>
      <c r="J23" s="380"/>
      <c r="K23" s="379">
        <f>SUM(K24:K34)</f>
        <v>0</v>
      </c>
      <c r="L23" s="382"/>
      <c r="M23" s="379">
        <f>SUM(M24:M34)</f>
        <v>0</v>
      </c>
      <c r="N23" s="382">
        <f>SUM(N24:N34)</f>
        <v>0</v>
      </c>
      <c r="P23" s="383"/>
      <c r="Q23" s="382"/>
      <c r="R23" s="382"/>
      <c r="S23" s="382">
        <f>SUM(S24:S34)</f>
        <v>0</v>
      </c>
      <c r="T23" s="382"/>
      <c r="U23" s="382">
        <f>SUM(U24:U34)</f>
        <v>0</v>
      </c>
      <c r="V23" s="382"/>
      <c r="W23" s="382">
        <f>SUM(W24:W34)</f>
        <v>0</v>
      </c>
      <c r="X23" s="382">
        <f>SUM(X24:X34)</f>
        <v>0</v>
      </c>
      <c r="Z23" s="377">
        <f t="shared" si="0"/>
        <v>0</v>
      </c>
      <c r="AA23" s="377">
        <f t="shared" si="1"/>
        <v>0</v>
      </c>
      <c r="AB23" s="377">
        <f t="shared" si="2"/>
        <v>0</v>
      </c>
      <c r="AC23" s="377">
        <f t="shared" si="3"/>
        <v>0</v>
      </c>
      <c r="AD23" s="361" t="str">
        <f t="shared" si="4"/>
        <v xml:space="preserve">          0</v>
      </c>
      <c r="AE23" s="361" t="str">
        <f t="shared" si="5"/>
        <v xml:space="preserve">          0</v>
      </c>
      <c r="AF23" s="361" t="str">
        <f t="shared" si="6"/>
        <v xml:space="preserve">          0</v>
      </c>
      <c r="AG23" s="361" t="str">
        <f t="shared" si="7"/>
        <v xml:space="preserve">          0</v>
      </c>
      <c r="AK23" s="370"/>
      <c r="AL23" s="380"/>
      <c r="AM23" s="380"/>
      <c r="AN23" s="379">
        <f>SUM(AN24:AN34)</f>
        <v>0</v>
      </c>
      <c r="AO23" s="380"/>
      <c r="AP23" s="379">
        <f>SUM(AP24:AP34)</f>
        <v>0</v>
      </c>
      <c r="AQ23" s="382"/>
      <c r="AR23" s="379">
        <f>SUM(AR24:AR34)</f>
        <v>0</v>
      </c>
      <c r="AS23" s="379">
        <f>SUM(AS24:AS34)</f>
        <v>0</v>
      </c>
    </row>
    <row r="24" spans="2:45" outlineLevel="1" x14ac:dyDescent="0.25">
      <c r="B24" s="369">
        <v>22</v>
      </c>
      <c r="C24" s="85" t="s">
        <v>2182</v>
      </c>
      <c r="D24" s="385" t="str">
        <f>IF(VLOOKUP($B24,suvaha_p!$A:$G,1)=$B24,VLOOKUP($B24,suvaha_p!$A:$G,$B$1),0)</f>
        <v>Podielové cenné papiere a podiely v prepojených účtovných jednotkách (061A, 062A, 063A) - /096A/</v>
      </c>
      <c r="E24" s="386" t="s">
        <v>1217</v>
      </c>
      <c r="F24" s="387">
        <f>SUM('HL KNIHA VYPOC'!G42)</f>
        <v>0</v>
      </c>
      <c r="G24" s="388">
        <f>SUM(ANALYTIKAVUJ!C5+ANALYTIKAVUJ!C9)</f>
        <v>0</v>
      </c>
      <c r="I24" s="388">
        <f t="shared" ref="I24:I34" si="32">ROUND(SUM(F24:H24),0)</f>
        <v>0</v>
      </c>
      <c r="J24" s="389"/>
      <c r="K24" s="389">
        <f t="shared" ref="K24:K34" si="33">ROUND(SUM(J24),0)</f>
        <v>0</v>
      </c>
      <c r="L24" s="389">
        <f>SUM(ANALYTIKAVUJ!C46)*-1</f>
        <v>0</v>
      </c>
      <c r="M24" s="389">
        <f t="shared" ref="M24:M34" si="34">ROUND(SUM(L24),0)</f>
        <v>0</v>
      </c>
      <c r="N24" s="389">
        <f t="shared" ref="N24:N34" si="35">SUM(I24-K24-M24)</f>
        <v>0</v>
      </c>
      <c r="P24" s="390">
        <f>SUM('HL KNIHA VYPOC'!K42)</f>
        <v>0</v>
      </c>
      <c r="Q24" s="389">
        <f>SUM(ANALYTIKAVUJ!D5+ANALYTIKAVUJ!D9)</f>
        <v>0</v>
      </c>
      <c r="S24" s="389">
        <f t="shared" ref="S24:S34" si="36">SUM(P24:R24)</f>
        <v>0</v>
      </c>
      <c r="U24" s="389">
        <f t="shared" ref="U24:U35" si="37">SUM(T24)</f>
        <v>0</v>
      </c>
      <c r="V24" s="389">
        <f>SUM(ANALYTIKAVUJ!D46)*-1</f>
        <v>0</v>
      </c>
      <c r="W24" s="389">
        <f t="shared" ref="W24:W35" si="38">SUM(V24)</f>
        <v>0</v>
      </c>
      <c r="X24" s="389">
        <f t="shared" ref="X24:X34" si="39">ROUND((S24-U24-W24),0)</f>
        <v>0</v>
      </c>
      <c r="Z24" s="377">
        <f t="shared" si="0"/>
        <v>0</v>
      </c>
      <c r="AA24" s="377">
        <f t="shared" si="1"/>
        <v>0</v>
      </c>
      <c r="AB24" s="377">
        <f t="shared" si="2"/>
        <v>0</v>
      </c>
      <c r="AC24" s="377">
        <f t="shared" si="3"/>
        <v>0</v>
      </c>
      <c r="AD24" s="361" t="str">
        <f t="shared" si="4"/>
        <v xml:space="preserve">          0</v>
      </c>
      <c r="AE24" s="361" t="str">
        <f t="shared" si="5"/>
        <v xml:space="preserve">          0</v>
      </c>
      <c r="AF24" s="361" t="str">
        <f t="shared" si="6"/>
        <v xml:space="preserve">          0</v>
      </c>
      <c r="AG24" s="361" t="str">
        <f t="shared" si="7"/>
        <v xml:space="preserve">          0</v>
      </c>
      <c r="AK24" s="387">
        <f>SUM('HL KNIHA VYPOC'!H42)</f>
        <v>0</v>
      </c>
      <c r="AL24" s="388">
        <f>SUM(ANALYTIKAVUJ!E5+ANALYTIKAVUJ!E9)</f>
        <v>0</v>
      </c>
      <c r="AN24" s="388">
        <f t="shared" ref="AN24:AN34" si="40">SUM(AK24:AM24)</f>
        <v>0</v>
      </c>
      <c r="AO24" s="389"/>
      <c r="AP24" s="389">
        <f t="shared" ref="AP24:AP35" si="41">SUM(AO24)</f>
        <v>0</v>
      </c>
      <c r="AQ24" s="389">
        <f>SUM(ANALYTIKAVUJ!E46)*-1</f>
        <v>0</v>
      </c>
      <c r="AR24" s="389">
        <f t="shared" ref="AR24:AR35" si="42">SUM(AQ24)</f>
        <v>0</v>
      </c>
      <c r="AS24" s="388">
        <f t="shared" ref="AS24:AS34" si="43">ROUND((AN24-AP24-AR24),0)</f>
        <v>0</v>
      </c>
    </row>
    <row r="25" spans="2:45" outlineLevel="1" x14ac:dyDescent="0.25">
      <c r="B25" s="369">
        <v>23</v>
      </c>
      <c r="C25" s="85" t="s">
        <v>2166</v>
      </c>
      <c r="D25" s="385" t="str">
        <f>IF(VLOOKUP($B25,suvaha_p!$A:$G,1)=$B25,VLOOKUP($B25,suvaha_p!$A:$G,$B$1),0)</f>
        <v>Podielové cenné papiere a podiely s podielovou účasťou okrem v prepojených účtovných jednotkách 
(062A) - /096A/</v>
      </c>
      <c r="E25" s="386" t="s">
        <v>1219</v>
      </c>
      <c r="G25" s="388">
        <f>SUM(ANALYTIKAVUJ!C6)</f>
        <v>0</v>
      </c>
      <c r="I25" s="388">
        <f t="shared" si="32"/>
        <v>0</v>
      </c>
      <c r="J25" s="389"/>
      <c r="K25" s="389">
        <f t="shared" si="33"/>
        <v>0</v>
      </c>
      <c r="L25" s="389">
        <f>SUM(ANALYTIKAVUJ!C47)*-1</f>
        <v>0</v>
      </c>
      <c r="M25" s="389">
        <f t="shared" si="34"/>
        <v>0</v>
      </c>
      <c r="N25" s="389">
        <f t="shared" si="35"/>
        <v>0</v>
      </c>
      <c r="Q25" s="389">
        <f>SUM(ANALYTIKAVUJ!D6)</f>
        <v>0</v>
      </c>
      <c r="S25" s="389">
        <f t="shared" si="36"/>
        <v>0</v>
      </c>
      <c r="U25" s="389">
        <f t="shared" si="37"/>
        <v>0</v>
      </c>
      <c r="V25" s="389">
        <f>SUM(ANALYTIKAVUJ!D47)*-1</f>
        <v>0</v>
      </c>
      <c r="W25" s="389">
        <f t="shared" si="38"/>
        <v>0</v>
      </c>
      <c r="X25" s="389">
        <f t="shared" si="39"/>
        <v>0</v>
      </c>
      <c r="Z25" s="377">
        <f t="shared" si="0"/>
        <v>0</v>
      </c>
      <c r="AA25" s="377">
        <f t="shared" si="1"/>
        <v>0</v>
      </c>
      <c r="AB25" s="377">
        <f t="shared" si="2"/>
        <v>0</v>
      </c>
      <c r="AC25" s="377">
        <f t="shared" si="3"/>
        <v>0</v>
      </c>
      <c r="AD25" s="361" t="str">
        <f t="shared" si="4"/>
        <v xml:space="preserve">          0</v>
      </c>
      <c r="AE25" s="361" t="str">
        <f t="shared" si="5"/>
        <v xml:space="preserve">          0</v>
      </c>
      <c r="AF25" s="361" t="str">
        <f t="shared" si="6"/>
        <v xml:space="preserve">          0</v>
      </c>
      <c r="AG25" s="361" t="str">
        <f t="shared" si="7"/>
        <v xml:space="preserve">          0</v>
      </c>
      <c r="AL25" s="388">
        <f>SUM(ANALYTIKAVUJ!E6)</f>
        <v>0</v>
      </c>
      <c r="AN25" s="388">
        <f t="shared" si="40"/>
        <v>0</v>
      </c>
      <c r="AO25" s="389"/>
      <c r="AP25" s="389">
        <f t="shared" si="41"/>
        <v>0</v>
      </c>
      <c r="AQ25" s="389">
        <f>SUM(ANALYTIKAVUJ!E47)*-1</f>
        <v>0</v>
      </c>
      <c r="AR25" s="389">
        <f t="shared" si="42"/>
        <v>0</v>
      </c>
      <c r="AS25" s="388">
        <f t="shared" si="43"/>
        <v>0</v>
      </c>
    </row>
    <row r="26" spans="2:45" outlineLevel="1" x14ac:dyDescent="0.25">
      <c r="B26" s="369">
        <v>24</v>
      </c>
      <c r="C26" s="85" t="s">
        <v>2167</v>
      </c>
      <c r="D26" s="385" t="str">
        <f>IF(VLOOKUP($B26,suvaha_p!$A:$G,1)=$B26,VLOOKUP($B26,suvaha_p!$A:$G,$B$1),0)</f>
        <v>Ostatné realizovateľné cenné papiere a podiely
(063A) - /096A/</v>
      </c>
      <c r="E26" s="386" t="s">
        <v>1222</v>
      </c>
      <c r="G26" s="388">
        <f>SUM(ANALYTIKAVUJ!C10)</f>
        <v>0</v>
      </c>
      <c r="I26" s="388">
        <f t="shared" si="32"/>
        <v>0</v>
      </c>
      <c r="J26" s="389"/>
      <c r="K26" s="389">
        <f t="shared" si="33"/>
        <v>0</v>
      </c>
      <c r="L26" s="389">
        <f>SUM(ANALYTIKAVUJ!C48)*-1</f>
        <v>0</v>
      </c>
      <c r="M26" s="389">
        <f t="shared" si="34"/>
        <v>0</v>
      </c>
      <c r="N26" s="389">
        <f t="shared" si="35"/>
        <v>0</v>
      </c>
      <c r="Q26" s="389">
        <f>SUM(ANALYTIKAVUJ!D10)</f>
        <v>0</v>
      </c>
      <c r="S26" s="389">
        <f t="shared" si="36"/>
        <v>0</v>
      </c>
      <c r="U26" s="389">
        <f t="shared" si="37"/>
        <v>0</v>
      </c>
      <c r="V26" s="389">
        <f>SUM(ANALYTIKAVUJ!D48)*-1</f>
        <v>0</v>
      </c>
      <c r="W26" s="389">
        <f t="shared" si="38"/>
        <v>0</v>
      </c>
      <c r="X26" s="389">
        <f t="shared" si="39"/>
        <v>0</v>
      </c>
      <c r="Z26" s="377">
        <f t="shared" si="0"/>
        <v>0</v>
      </c>
      <c r="AA26" s="377">
        <f t="shared" si="1"/>
        <v>0</v>
      </c>
      <c r="AB26" s="377">
        <f t="shared" si="2"/>
        <v>0</v>
      </c>
      <c r="AC26" s="377">
        <f t="shared" si="3"/>
        <v>0</v>
      </c>
      <c r="AD26" s="361" t="str">
        <f t="shared" si="4"/>
        <v xml:space="preserve">          0</v>
      </c>
      <c r="AE26" s="361" t="str">
        <f t="shared" si="5"/>
        <v xml:space="preserve">          0</v>
      </c>
      <c r="AF26" s="361" t="str">
        <f t="shared" si="6"/>
        <v xml:space="preserve">          0</v>
      </c>
      <c r="AG26" s="361" t="str">
        <f t="shared" si="7"/>
        <v xml:space="preserve">          0</v>
      </c>
      <c r="AL26" s="388">
        <f>SUM(ANALYTIKAVUJ!E10)</f>
        <v>0</v>
      </c>
      <c r="AN26" s="388">
        <f t="shared" si="40"/>
        <v>0</v>
      </c>
      <c r="AO26" s="389"/>
      <c r="AP26" s="389">
        <f t="shared" si="41"/>
        <v>0</v>
      </c>
      <c r="AQ26" s="389">
        <f>SUM(ANALYTIKAVUJ!E48)*-1</f>
        <v>0</v>
      </c>
      <c r="AR26" s="389">
        <f t="shared" si="42"/>
        <v>0</v>
      </c>
      <c r="AS26" s="388">
        <f t="shared" si="43"/>
        <v>0</v>
      </c>
    </row>
    <row r="27" spans="2:45" outlineLevel="1" x14ac:dyDescent="0.25">
      <c r="B27" s="369">
        <v>25</v>
      </c>
      <c r="C27" s="85" t="s">
        <v>2168</v>
      </c>
      <c r="D27" s="385" t="str">
        <f>IF(VLOOKUP($B27,suvaha_p!$A:$G,1)=$B27,VLOOKUP($B27,suvaha_p!$A:$G,$B$1),0)</f>
        <v>Pôžičky prepojeným účtovným jednotkám (066A)
- /096A/</v>
      </c>
      <c r="E27" s="386" t="s">
        <v>1225</v>
      </c>
      <c r="G27" s="388">
        <f>SUM(ANALYTIKAVUJ!C13)</f>
        <v>0</v>
      </c>
      <c r="I27" s="388">
        <f t="shared" si="32"/>
        <v>0</v>
      </c>
      <c r="J27" s="389"/>
      <c r="K27" s="389">
        <f t="shared" si="33"/>
        <v>0</v>
      </c>
      <c r="L27" s="389">
        <f>SUM(ANALYTIKAVUJ!C49)*-1</f>
        <v>0</v>
      </c>
      <c r="M27" s="389">
        <f t="shared" si="34"/>
        <v>0</v>
      </c>
      <c r="N27" s="389">
        <f t="shared" si="35"/>
        <v>0</v>
      </c>
      <c r="Q27" s="389">
        <f>SUM(ANALYTIKAVUJ!D13)</f>
        <v>0</v>
      </c>
      <c r="S27" s="389">
        <f t="shared" si="36"/>
        <v>0</v>
      </c>
      <c r="U27" s="389">
        <f t="shared" si="37"/>
        <v>0</v>
      </c>
      <c r="V27" s="389">
        <f>SUM(ANALYTIKAVUJ!D49)*-1</f>
        <v>0</v>
      </c>
      <c r="W27" s="389">
        <f t="shared" si="38"/>
        <v>0</v>
      </c>
      <c r="X27" s="389">
        <f t="shared" si="39"/>
        <v>0</v>
      </c>
      <c r="Z27" s="377">
        <f t="shared" si="0"/>
        <v>0</v>
      </c>
      <c r="AA27" s="377">
        <f t="shared" si="1"/>
        <v>0</v>
      </c>
      <c r="AB27" s="377">
        <f t="shared" si="2"/>
        <v>0</v>
      </c>
      <c r="AC27" s="377">
        <f t="shared" si="3"/>
        <v>0</v>
      </c>
      <c r="AD27" s="361" t="str">
        <f t="shared" si="4"/>
        <v xml:space="preserve">          0</v>
      </c>
      <c r="AE27" s="361" t="str">
        <f t="shared" si="5"/>
        <v xml:space="preserve">          0</v>
      </c>
      <c r="AF27" s="361" t="str">
        <f t="shared" si="6"/>
        <v xml:space="preserve">          0</v>
      </c>
      <c r="AG27" s="361" t="str">
        <f t="shared" si="7"/>
        <v xml:space="preserve">          0</v>
      </c>
      <c r="AL27" s="388">
        <f>SUM(ANALYTIKAVUJ!E13)</f>
        <v>0</v>
      </c>
      <c r="AN27" s="388">
        <f t="shared" si="40"/>
        <v>0</v>
      </c>
      <c r="AO27" s="389"/>
      <c r="AP27" s="389">
        <f t="shared" si="41"/>
        <v>0</v>
      </c>
      <c r="AQ27" s="389">
        <f>SUM(ANALYTIKAVUJ!E49)*-1</f>
        <v>0</v>
      </c>
      <c r="AR27" s="389">
        <f t="shared" si="42"/>
        <v>0</v>
      </c>
      <c r="AS27" s="388">
        <f t="shared" si="43"/>
        <v>0</v>
      </c>
    </row>
    <row r="28" spans="2:45" outlineLevel="1" x14ac:dyDescent="0.25">
      <c r="B28" s="369">
        <v>26</v>
      </c>
      <c r="C28" s="85" t="s">
        <v>2169</v>
      </c>
      <c r="D28" s="385" t="str">
        <f>IF(VLOOKUP($B28,suvaha_p!$A:$G,1)=$B28,VLOOKUP($B28,suvaha_p!$A:$G,$B$1),0)</f>
        <v>Pôžičky v rámci podielovej účasti okrem prepojeným účtovným jednotkám (066A) - /096A/</v>
      </c>
      <c r="E28" s="386" t="s">
        <v>1226</v>
      </c>
      <c r="G28" s="388">
        <f>SUM(ANALYTIKAVUJ!C14)</f>
        <v>0</v>
      </c>
      <c r="I28" s="388">
        <f t="shared" si="32"/>
        <v>0</v>
      </c>
      <c r="J28" s="389"/>
      <c r="K28" s="389">
        <f t="shared" si="33"/>
        <v>0</v>
      </c>
      <c r="L28" s="389">
        <f>SUM(ANALYTIKAVUJ!C50)*-1</f>
        <v>0</v>
      </c>
      <c r="M28" s="389">
        <f t="shared" si="34"/>
        <v>0</v>
      </c>
      <c r="N28" s="389">
        <f t="shared" si="35"/>
        <v>0</v>
      </c>
      <c r="Q28" s="389">
        <f>SUM(ANALYTIKAVUJ!D14)</f>
        <v>0</v>
      </c>
      <c r="S28" s="389">
        <f t="shared" si="36"/>
        <v>0</v>
      </c>
      <c r="U28" s="389">
        <f t="shared" si="37"/>
        <v>0</v>
      </c>
      <c r="V28" s="389">
        <f>SUM(ANALYTIKAVUJ!D50)*-1</f>
        <v>0</v>
      </c>
      <c r="W28" s="389">
        <f t="shared" si="38"/>
        <v>0</v>
      </c>
      <c r="X28" s="389">
        <f t="shared" si="39"/>
        <v>0</v>
      </c>
      <c r="Z28" s="377">
        <f t="shared" si="0"/>
        <v>0</v>
      </c>
      <c r="AA28" s="377">
        <f t="shared" si="1"/>
        <v>0</v>
      </c>
      <c r="AB28" s="377">
        <f t="shared" si="2"/>
        <v>0</v>
      </c>
      <c r="AC28" s="377">
        <f t="shared" si="3"/>
        <v>0</v>
      </c>
      <c r="AD28" s="361" t="str">
        <f t="shared" si="4"/>
        <v xml:space="preserve">          0</v>
      </c>
      <c r="AE28" s="361" t="str">
        <f t="shared" si="5"/>
        <v xml:space="preserve">          0</v>
      </c>
      <c r="AF28" s="361" t="str">
        <f t="shared" si="6"/>
        <v xml:space="preserve">          0</v>
      </c>
      <c r="AG28" s="361" t="str">
        <f t="shared" si="7"/>
        <v xml:space="preserve">          0</v>
      </c>
      <c r="AL28" s="388">
        <f>SUM(ANALYTIKAVUJ!E14)</f>
        <v>0</v>
      </c>
      <c r="AN28" s="388">
        <f t="shared" si="40"/>
        <v>0</v>
      </c>
      <c r="AO28" s="389"/>
      <c r="AP28" s="389">
        <f t="shared" si="41"/>
        <v>0</v>
      </c>
      <c r="AQ28" s="389">
        <f>SUM(ANALYTIKAVUJ!E50)*-1</f>
        <v>0</v>
      </c>
      <c r="AR28" s="389">
        <f t="shared" si="42"/>
        <v>0</v>
      </c>
      <c r="AS28" s="388">
        <f t="shared" si="43"/>
        <v>0</v>
      </c>
    </row>
    <row r="29" spans="2:45" ht="12.75" customHeight="1" outlineLevel="1" x14ac:dyDescent="0.25">
      <c r="B29" s="369">
        <v>27</v>
      </c>
      <c r="C29" s="85" t="s">
        <v>2171</v>
      </c>
      <c r="D29" s="385" t="str">
        <f>IF(VLOOKUP($B29,suvaha_p!$A:$G,1)=$B29,VLOOKUP($B29,suvaha_p!$A:$G,$B$1),0)</f>
        <v>Ostatné pôžičky (067A) - /096A/</v>
      </c>
      <c r="E29" s="386" t="s">
        <v>1230</v>
      </c>
      <c r="G29" s="388">
        <f>SUM(ANALYTIKAVUJ!C18)</f>
        <v>0</v>
      </c>
      <c r="I29" s="388">
        <f t="shared" si="32"/>
        <v>0</v>
      </c>
      <c r="J29" s="389"/>
      <c r="K29" s="389">
        <f t="shared" si="33"/>
        <v>0</v>
      </c>
      <c r="L29" s="389">
        <f>SUM(ANALYTIKAVUJ!C51)*-1</f>
        <v>0</v>
      </c>
      <c r="M29" s="389">
        <f t="shared" si="34"/>
        <v>0</v>
      </c>
      <c r="N29" s="389">
        <f t="shared" si="35"/>
        <v>0</v>
      </c>
      <c r="Q29" s="389">
        <f>SUM(ANALYTIKAVUJ!D18)</f>
        <v>0</v>
      </c>
      <c r="S29" s="389">
        <f t="shared" si="36"/>
        <v>0</v>
      </c>
      <c r="U29" s="389">
        <f t="shared" si="37"/>
        <v>0</v>
      </c>
      <c r="V29" s="389">
        <f>SUM(ANALYTIKAVUJ!D51)*-1</f>
        <v>0</v>
      </c>
      <c r="W29" s="389">
        <f t="shared" si="38"/>
        <v>0</v>
      </c>
      <c r="X29" s="389">
        <f t="shared" si="39"/>
        <v>0</v>
      </c>
      <c r="Z29" s="377">
        <f t="shared" si="0"/>
        <v>0</v>
      </c>
      <c r="AA29" s="377">
        <f t="shared" si="1"/>
        <v>0</v>
      </c>
      <c r="AB29" s="377">
        <f t="shared" si="2"/>
        <v>0</v>
      </c>
      <c r="AC29" s="377">
        <f t="shared" si="3"/>
        <v>0</v>
      </c>
      <c r="AD29" s="361" t="str">
        <f t="shared" si="4"/>
        <v xml:space="preserve">          0</v>
      </c>
      <c r="AE29" s="361" t="str">
        <f t="shared" si="5"/>
        <v xml:space="preserve">          0</v>
      </c>
      <c r="AF29" s="361" t="str">
        <f t="shared" si="6"/>
        <v xml:space="preserve">          0</v>
      </c>
      <c r="AG29" s="361" t="str">
        <f t="shared" si="7"/>
        <v xml:space="preserve">          0</v>
      </c>
      <c r="AL29" s="388">
        <f>SUM(ANALYTIKAVUJ!E18)</f>
        <v>0</v>
      </c>
      <c r="AN29" s="388">
        <f t="shared" si="40"/>
        <v>0</v>
      </c>
      <c r="AO29" s="389"/>
      <c r="AP29" s="389">
        <f t="shared" si="41"/>
        <v>0</v>
      </c>
      <c r="AQ29" s="389">
        <f>SUM(ANALYTIKAVUJ!E51)*-1</f>
        <v>0</v>
      </c>
      <c r="AR29" s="389">
        <f t="shared" si="42"/>
        <v>0</v>
      </c>
      <c r="AS29" s="388">
        <f t="shared" si="43"/>
        <v>0</v>
      </c>
    </row>
    <row r="30" spans="2:45" outlineLevel="1" x14ac:dyDescent="0.25">
      <c r="B30" s="369">
        <v>28</v>
      </c>
      <c r="C30" s="85" t="s">
        <v>2172</v>
      </c>
      <c r="D30" s="385" t="str">
        <f>IF(VLOOKUP($B30,suvaha_p!$A:$G,1)=$B30,VLOOKUP($B30,suvaha_p!$A:$G,$B$1),0)</f>
        <v>Dlhové cenné papiere a ostatný dlhodobý finančný majetok (065A, 069A, 06XA) - /096A/</v>
      </c>
      <c r="E30" s="386" t="s">
        <v>1231</v>
      </c>
      <c r="F30" s="387">
        <f>SUM('HL KNIHA VYPOC'!G45)</f>
        <v>0</v>
      </c>
      <c r="G30" s="388">
        <f>SUM(ANALYTIKAVUJ!C22)</f>
        <v>0</v>
      </c>
      <c r="I30" s="388">
        <f t="shared" si="32"/>
        <v>0</v>
      </c>
      <c r="J30" s="389"/>
      <c r="K30" s="389">
        <f t="shared" si="33"/>
        <v>0</v>
      </c>
      <c r="L30" s="389">
        <f>SUM(ANALYTIKAVUJ!C52)*-1</f>
        <v>0</v>
      </c>
      <c r="M30" s="389">
        <f t="shared" si="34"/>
        <v>0</v>
      </c>
      <c r="N30" s="389">
        <f t="shared" si="35"/>
        <v>0</v>
      </c>
      <c r="P30" s="390">
        <f>SUM('HL KNIHA VYPOC'!K45)</f>
        <v>0</v>
      </c>
      <c r="Q30" s="389">
        <f>SUM(ANALYTIKAVUJ!D22)</f>
        <v>0</v>
      </c>
      <c r="S30" s="389">
        <f t="shared" si="36"/>
        <v>0</v>
      </c>
      <c r="U30" s="389">
        <f t="shared" si="37"/>
        <v>0</v>
      </c>
      <c r="V30" s="389">
        <f>SUM(ANALYTIKAVUJ!D52)*-1</f>
        <v>0</v>
      </c>
      <c r="W30" s="389">
        <f t="shared" si="38"/>
        <v>0</v>
      </c>
      <c r="X30" s="389">
        <f t="shared" si="39"/>
        <v>0</v>
      </c>
      <c r="Z30" s="377">
        <f t="shared" si="0"/>
        <v>0</v>
      </c>
      <c r="AA30" s="377">
        <f t="shared" si="1"/>
        <v>0</v>
      </c>
      <c r="AB30" s="377">
        <f t="shared" si="2"/>
        <v>0</v>
      </c>
      <c r="AC30" s="377">
        <f t="shared" si="3"/>
        <v>0</v>
      </c>
      <c r="AD30" s="361" t="str">
        <f t="shared" si="4"/>
        <v xml:space="preserve">          0</v>
      </c>
      <c r="AE30" s="361" t="str">
        <f t="shared" si="5"/>
        <v xml:space="preserve">          0</v>
      </c>
      <c r="AF30" s="361" t="str">
        <f t="shared" si="6"/>
        <v xml:space="preserve">          0</v>
      </c>
      <c r="AG30" s="361" t="str">
        <f t="shared" si="7"/>
        <v xml:space="preserve">          0</v>
      </c>
      <c r="AK30" s="387">
        <f>SUM('HL KNIHA VYPOC'!H45)</f>
        <v>0</v>
      </c>
      <c r="AL30" s="388">
        <f>SUM(ANALYTIKAVUJ!E22)</f>
        <v>0</v>
      </c>
      <c r="AN30" s="388">
        <f t="shared" si="40"/>
        <v>0</v>
      </c>
      <c r="AO30" s="389"/>
      <c r="AP30" s="389">
        <f t="shared" si="41"/>
        <v>0</v>
      </c>
      <c r="AQ30" s="389">
        <f>SUM(ANALYTIKAVUJ!E52)*-1</f>
        <v>0</v>
      </c>
      <c r="AR30" s="389">
        <f t="shared" si="42"/>
        <v>0</v>
      </c>
      <c r="AS30" s="388">
        <f t="shared" si="43"/>
        <v>0</v>
      </c>
    </row>
    <row r="31" spans="2:45" outlineLevel="1" x14ac:dyDescent="0.25">
      <c r="B31" s="369">
        <v>29</v>
      </c>
      <c r="C31" s="85" t="s">
        <v>2177</v>
      </c>
      <c r="D31" s="385" t="str">
        <f>IF(VLOOKUP($B31,suvaha_p!$A:$G,1)=$B31,VLOOKUP($B31,suvaha_p!$A:$G,$B$1),0)</f>
        <v>Pôžičky a ostatný dlhodobý finančný majetok so zostatkovou dobou splatnosti najviac jeden rok (066A, 067A, 069A, 06XA) - /096A/</v>
      </c>
      <c r="E31" s="386" t="s">
        <v>1227</v>
      </c>
      <c r="G31" s="388">
        <f>SUM(ANALYTIKAVUJ!C15+ANALYTIKAVUJ!C19+ANALYTIKAVUJ!C23)</f>
        <v>0</v>
      </c>
      <c r="I31" s="388">
        <f t="shared" si="32"/>
        <v>0</v>
      </c>
      <c r="J31" s="389"/>
      <c r="K31" s="389">
        <f t="shared" si="33"/>
        <v>0</v>
      </c>
      <c r="L31" s="389">
        <f>SUM(ANALYTIKAVUJ!C53)*-1</f>
        <v>0</v>
      </c>
      <c r="M31" s="389">
        <f t="shared" si="34"/>
        <v>0</v>
      </c>
      <c r="N31" s="389">
        <f t="shared" si="35"/>
        <v>0</v>
      </c>
      <c r="Q31" s="389">
        <f>SUM(ANALYTIKAVUJ!D15+ANALYTIKAVUJ!D19+ANALYTIKAVUJ!D23)</f>
        <v>0</v>
      </c>
      <c r="S31" s="389">
        <f t="shared" si="36"/>
        <v>0</v>
      </c>
      <c r="U31" s="389">
        <f t="shared" si="37"/>
        <v>0</v>
      </c>
      <c r="V31" s="389">
        <f>SUM(ANALYTIKAVUJ!D53)*-1</f>
        <v>0</v>
      </c>
      <c r="W31" s="389">
        <f t="shared" si="38"/>
        <v>0</v>
      </c>
      <c r="X31" s="389">
        <f t="shared" si="39"/>
        <v>0</v>
      </c>
      <c r="Z31" s="377">
        <f t="shared" si="0"/>
        <v>0</v>
      </c>
      <c r="AA31" s="377">
        <f t="shared" si="1"/>
        <v>0</v>
      </c>
      <c r="AB31" s="377">
        <f t="shared" si="2"/>
        <v>0</v>
      </c>
      <c r="AC31" s="377">
        <f t="shared" si="3"/>
        <v>0</v>
      </c>
      <c r="AD31" s="361" t="str">
        <f t="shared" si="4"/>
        <v xml:space="preserve">          0</v>
      </c>
      <c r="AE31" s="361" t="str">
        <f t="shared" si="5"/>
        <v xml:space="preserve">          0</v>
      </c>
      <c r="AF31" s="361" t="str">
        <f t="shared" si="6"/>
        <v xml:space="preserve">          0</v>
      </c>
      <c r="AG31" s="361" t="str">
        <f t="shared" si="7"/>
        <v xml:space="preserve">          0</v>
      </c>
      <c r="AL31" s="388">
        <f>SUM(ANALYTIKAVUJ!E15+ANALYTIKAVUJ!E19+ANALYTIKAVUJ!E23)</f>
        <v>0</v>
      </c>
      <c r="AN31" s="388">
        <f t="shared" si="40"/>
        <v>0</v>
      </c>
      <c r="AO31" s="389"/>
      <c r="AP31" s="389">
        <f t="shared" si="41"/>
        <v>0</v>
      </c>
      <c r="AQ31" s="389">
        <f>SUM(ANALYTIKAVUJ!E53)*-1</f>
        <v>0</v>
      </c>
      <c r="AR31" s="389">
        <f t="shared" si="42"/>
        <v>0</v>
      </c>
      <c r="AS31" s="388">
        <f t="shared" si="43"/>
        <v>0</v>
      </c>
    </row>
    <row r="32" spans="2:45" outlineLevel="1" x14ac:dyDescent="0.25">
      <c r="B32" s="369" t="s">
        <v>1260</v>
      </c>
      <c r="C32" s="85" t="s">
        <v>2178</v>
      </c>
      <c r="D32" s="385" t="str">
        <f>IF(VLOOKUP($B32,suvaha_p!$A:$G,1)=$B32,VLOOKUP($B32,suvaha_p!$A:$G,$B$1),0)</f>
        <v>Účty v bankách s dobou viazanosti dlhšou ako jeden rok (22XA)</v>
      </c>
      <c r="E32" s="386" t="s">
        <v>1260</v>
      </c>
      <c r="G32" s="388">
        <f>SUM(ANALYTIKAVUJ!C108)</f>
        <v>0</v>
      </c>
      <c r="I32" s="388">
        <f t="shared" si="32"/>
        <v>0</v>
      </c>
      <c r="K32" s="389">
        <f t="shared" si="33"/>
        <v>0</v>
      </c>
      <c r="L32" s="389"/>
      <c r="M32" s="389">
        <f t="shared" si="34"/>
        <v>0</v>
      </c>
      <c r="N32" s="389">
        <f t="shared" si="35"/>
        <v>0</v>
      </c>
      <c r="Q32" s="389">
        <f>SUM(ANALYTIKAVUJ!D108)</f>
        <v>0</v>
      </c>
      <c r="S32" s="389">
        <f t="shared" si="36"/>
        <v>0</v>
      </c>
      <c r="U32" s="389">
        <f t="shared" si="37"/>
        <v>0</v>
      </c>
      <c r="W32" s="389">
        <f t="shared" si="38"/>
        <v>0</v>
      </c>
      <c r="X32" s="389">
        <f t="shared" si="39"/>
        <v>0</v>
      </c>
      <c r="Z32" s="377">
        <f t="shared" si="0"/>
        <v>0</v>
      </c>
      <c r="AA32" s="377">
        <f t="shared" si="1"/>
        <v>0</v>
      </c>
      <c r="AB32" s="377">
        <f t="shared" si="2"/>
        <v>0</v>
      </c>
      <c r="AC32" s="377">
        <f t="shared" si="3"/>
        <v>0</v>
      </c>
      <c r="AD32" s="361" t="str">
        <f t="shared" si="4"/>
        <v xml:space="preserve">          0</v>
      </c>
      <c r="AE32" s="361" t="str">
        <f t="shared" si="5"/>
        <v xml:space="preserve">          0</v>
      </c>
      <c r="AF32" s="361" t="str">
        <f t="shared" si="6"/>
        <v xml:space="preserve">          0</v>
      </c>
      <c r="AG32" s="361" t="str">
        <f t="shared" si="7"/>
        <v xml:space="preserve">          0</v>
      </c>
      <c r="AL32" s="388">
        <f>SUM(ANALYTIKAVUJ!E108)</f>
        <v>0</v>
      </c>
      <c r="AN32" s="388">
        <f t="shared" si="40"/>
        <v>0</v>
      </c>
      <c r="AP32" s="389">
        <f t="shared" si="41"/>
        <v>0</v>
      </c>
      <c r="AQ32" s="389"/>
      <c r="AR32" s="389">
        <f t="shared" si="42"/>
        <v>0</v>
      </c>
      <c r="AS32" s="388">
        <f t="shared" si="43"/>
        <v>0</v>
      </c>
    </row>
    <row r="33" spans="2:47" outlineLevel="1" x14ac:dyDescent="0.25">
      <c r="B33" s="369" t="s">
        <v>1248</v>
      </c>
      <c r="C33" s="85" t="s">
        <v>2183</v>
      </c>
      <c r="D33" s="385" t="str">
        <f>IF(VLOOKUP($B33,suvaha_p!$A:$G,1)=$B33,VLOOKUP($B33,suvaha_p!$A:$G,$B$1),0)</f>
        <v>Obstarávaný dlhodobý finančný majetok (043) - /096A/</v>
      </c>
      <c r="E33" s="386" t="s">
        <v>1248</v>
      </c>
      <c r="F33" s="387">
        <f>SUM('HL KNIHA VYPOC'!G33)</f>
        <v>0</v>
      </c>
      <c r="I33" s="388">
        <f t="shared" si="32"/>
        <v>0</v>
      </c>
      <c r="J33" s="389"/>
      <c r="K33" s="389">
        <f t="shared" si="33"/>
        <v>0</v>
      </c>
      <c r="L33" s="389">
        <f>SUM(ANALYTIKAVUJ!C54)*-1</f>
        <v>0</v>
      </c>
      <c r="M33" s="389">
        <f t="shared" si="34"/>
        <v>0</v>
      </c>
      <c r="N33" s="389">
        <f t="shared" si="35"/>
        <v>0</v>
      </c>
      <c r="P33" s="390">
        <f>SUM('HL KNIHA VYPOC'!K33)</f>
        <v>0</v>
      </c>
      <c r="S33" s="389">
        <f t="shared" si="36"/>
        <v>0</v>
      </c>
      <c r="U33" s="389">
        <f t="shared" si="37"/>
        <v>0</v>
      </c>
      <c r="V33" s="389">
        <f>SUM(ANALYTIKAVUJ!D54)*-1</f>
        <v>0</v>
      </c>
      <c r="W33" s="389">
        <f t="shared" si="38"/>
        <v>0</v>
      </c>
      <c r="X33" s="389">
        <f t="shared" si="39"/>
        <v>0</v>
      </c>
      <c r="Z33" s="377">
        <f t="shared" si="0"/>
        <v>0</v>
      </c>
      <c r="AA33" s="377">
        <f t="shared" si="1"/>
        <v>0</v>
      </c>
      <c r="AB33" s="377">
        <f t="shared" si="2"/>
        <v>0</v>
      </c>
      <c r="AC33" s="377">
        <f t="shared" si="3"/>
        <v>0</v>
      </c>
      <c r="AD33" s="361" t="str">
        <f t="shared" si="4"/>
        <v xml:space="preserve">          0</v>
      </c>
      <c r="AE33" s="361" t="str">
        <f t="shared" si="5"/>
        <v xml:space="preserve">          0</v>
      </c>
      <c r="AF33" s="361" t="str">
        <f t="shared" si="6"/>
        <v xml:space="preserve">          0</v>
      </c>
      <c r="AG33" s="361" t="str">
        <f t="shared" si="7"/>
        <v xml:space="preserve">          0</v>
      </c>
      <c r="AK33" s="387">
        <f>SUM('HL KNIHA VYPOC'!H33)</f>
        <v>0</v>
      </c>
      <c r="AN33" s="388">
        <f t="shared" si="40"/>
        <v>0</v>
      </c>
      <c r="AO33" s="389"/>
      <c r="AP33" s="389">
        <f t="shared" si="41"/>
        <v>0</v>
      </c>
      <c r="AQ33" s="389">
        <f>SUM(ANALYTIKAVUJ!E54)*-1</f>
        <v>0</v>
      </c>
      <c r="AR33" s="389">
        <f t="shared" si="42"/>
        <v>0</v>
      </c>
      <c r="AS33" s="388">
        <f t="shared" si="43"/>
        <v>0</v>
      </c>
    </row>
    <row r="34" spans="2:47" outlineLevel="1" x14ac:dyDescent="0.25">
      <c r="B34" s="369" t="s">
        <v>1247</v>
      </c>
      <c r="C34" s="85" t="s">
        <v>2184</v>
      </c>
      <c r="D34" s="385" t="str">
        <f>IF(VLOOKUP($B34,suvaha_p!$A:$G,1)=$B34,VLOOKUP($B34,suvaha_p!$A:$G,$B$1),0)</f>
        <v>Poskytnuté preddavky na dlhodobý finančný majetok (053) - /095A/</v>
      </c>
      <c r="E34" s="386" t="s">
        <v>1247</v>
      </c>
      <c r="F34" s="387">
        <f>SUM('HL KNIHA VYPOC'!G39)</f>
        <v>0</v>
      </c>
      <c r="I34" s="388">
        <f t="shared" si="32"/>
        <v>0</v>
      </c>
      <c r="J34" s="389"/>
      <c r="K34" s="389">
        <f t="shared" si="33"/>
        <v>0</v>
      </c>
      <c r="L34" s="389">
        <f>SUM(ANALYTIKAVUJ!C43)*-1</f>
        <v>0</v>
      </c>
      <c r="M34" s="389">
        <f t="shared" si="34"/>
        <v>0</v>
      </c>
      <c r="N34" s="389">
        <f t="shared" si="35"/>
        <v>0</v>
      </c>
      <c r="P34" s="390">
        <f>SUM('HL KNIHA VYPOC'!K39)</f>
        <v>0</v>
      </c>
      <c r="S34" s="389">
        <f t="shared" si="36"/>
        <v>0</v>
      </c>
      <c r="U34" s="389">
        <f t="shared" si="37"/>
        <v>0</v>
      </c>
      <c r="V34" s="389">
        <f>SUM(ANALYTIKAVUJ!D43)*-1</f>
        <v>0</v>
      </c>
      <c r="W34" s="389">
        <f t="shared" si="38"/>
        <v>0</v>
      </c>
      <c r="X34" s="389">
        <f t="shared" si="39"/>
        <v>0</v>
      </c>
      <c r="Z34" s="377">
        <f t="shared" si="0"/>
        <v>0</v>
      </c>
      <c r="AA34" s="377">
        <f t="shared" si="1"/>
        <v>0</v>
      </c>
      <c r="AB34" s="377">
        <f t="shared" si="2"/>
        <v>0</v>
      </c>
      <c r="AC34" s="377">
        <f t="shared" si="3"/>
        <v>0</v>
      </c>
      <c r="AD34" s="361" t="str">
        <f t="shared" si="4"/>
        <v xml:space="preserve">          0</v>
      </c>
      <c r="AE34" s="361" t="str">
        <f t="shared" si="5"/>
        <v xml:space="preserve">          0</v>
      </c>
      <c r="AF34" s="361" t="str">
        <f t="shared" si="6"/>
        <v xml:space="preserve">          0</v>
      </c>
      <c r="AG34" s="361" t="str">
        <f t="shared" si="7"/>
        <v xml:space="preserve">          0</v>
      </c>
      <c r="AK34" s="387">
        <f>SUM('HL KNIHA VYPOC'!H39)</f>
        <v>0</v>
      </c>
      <c r="AN34" s="388">
        <f t="shared" si="40"/>
        <v>0</v>
      </c>
      <c r="AO34" s="389"/>
      <c r="AP34" s="389">
        <f t="shared" si="41"/>
        <v>0</v>
      </c>
      <c r="AQ34" s="389">
        <f>SUM(ANALYTIKAVUJ!E43)*-1</f>
        <v>0</v>
      </c>
      <c r="AR34" s="389">
        <f t="shared" si="42"/>
        <v>0</v>
      </c>
      <c r="AS34" s="388">
        <f t="shared" si="43"/>
        <v>0</v>
      </c>
    </row>
    <row r="35" spans="2:47" x14ac:dyDescent="0.25">
      <c r="B35" s="369" t="s">
        <v>2185</v>
      </c>
      <c r="C35" s="85" t="s">
        <v>2186</v>
      </c>
      <c r="D35" s="359" t="str">
        <f>IF(VLOOKUP($B35,suvaha_p!$A:$G,1)=$B35,VLOOKUP($B35,suvaha_p!$A:$G,$B$1),0)</f>
        <v>Obežný majetok r. 34 + r. 41 + r. 53 + r. 66 + r. 71</v>
      </c>
      <c r="E35" s="370" t="s">
        <v>2185</v>
      </c>
      <c r="F35" s="370"/>
      <c r="G35" s="380"/>
      <c r="H35" s="380"/>
      <c r="I35" s="379">
        <f>SUM(I36+I43+I55+I68+I73)</f>
        <v>95336</v>
      </c>
      <c r="J35" s="380"/>
      <c r="K35" s="379">
        <f>SUM(K36+K43+K55+K68+K73)</f>
        <v>0</v>
      </c>
      <c r="L35" s="379"/>
      <c r="M35" s="379">
        <f>SUM(M36+M43+M55+M68+M73)</f>
        <v>0</v>
      </c>
      <c r="N35" s="389">
        <f>SUM(N36+N43+N55+N68+N73)</f>
        <v>95336</v>
      </c>
      <c r="P35" s="383"/>
      <c r="Q35" s="382"/>
      <c r="R35" s="382"/>
      <c r="S35" s="382">
        <f>SUM(S36+S43+S55+S68+S73+S76)</f>
        <v>140635.45999999996</v>
      </c>
      <c r="T35" s="382"/>
      <c r="U35" s="389">
        <f t="shared" si="37"/>
        <v>0</v>
      </c>
      <c r="V35" s="382"/>
      <c r="W35" s="389">
        <f t="shared" si="38"/>
        <v>0</v>
      </c>
      <c r="X35" s="389">
        <f>SUM(X36+X43+X55+X68+X73)</f>
        <v>88500</v>
      </c>
      <c r="Y35" s="388"/>
      <c r="Z35" s="377">
        <f t="shared" ref="Z35:Z66" si="44">ROUND(I35,0)</f>
        <v>95336</v>
      </c>
      <c r="AA35" s="377">
        <f t="shared" ref="AA35:AA66" si="45">ROUND(K35+M35,0)</f>
        <v>0</v>
      </c>
      <c r="AB35" s="377">
        <f t="shared" ref="AB35:AB66" si="46">ROUND(N35,0)</f>
        <v>95336</v>
      </c>
      <c r="AC35" s="377">
        <f t="shared" ref="AC35:AC66" si="47">ROUND(X35,0)</f>
        <v>88500</v>
      </c>
      <c r="AD35" s="361" t="str">
        <f t="shared" ref="AD35:AD66" si="48">REPT(" ",11-LEN(Z35))&amp;Z35</f>
        <v xml:space="preserve">      95336</v>
      </c>
      <c r="AE35" s="361" t="str">
        <f t="shared" ref="AE35:AE66" si="49">REPT(" ",11-LEN(AA35))&amp;AA35</f>
        <v xml:space="preserve">          0</v>
      </c>
      <c r="AF35" s="361" t="str">
        <f t="shared" ref="AF35:AF66" si="50">REPT(" ",11-LEN(AB35))&amp;AB35</f>
        <v xml:space="preserve">      95336</v>
      </c>
      <c r="AG35" s="361" t="str">
        <f t="shared" ref="AG35:AG66" si="51">REPT(" ",11-LEN(AC35))&amp;AC35</f>
        <v xml:space="preserve">      88500</v>
      </c>
      <c r="AK35" s="370"/>
      <c r="AL35" s="380"/>
      <c r="AM35" s="380"/>
      <c r="AN35" s="379">
        <f>SUM(AN36+AN43+AN55+AN68+AN73+AN76)</f>
        <v>80288.44</v>
      </c>
      <c r="AO35" s="380"/>
      <c r="AP35" s="389">
        <f t="shared" si="41"/>
        <v>0</v>
      </c>
      <c r="AQ35" s="379"/>
      <c r="AR35" s="389">
        <f t="shared" si="42"/>
        <v>0</v>
      </c>
      <c r="AS35" s="388">
        <f>SUM(AS36+AS43+AS55+AS68+AS73)</f>
        <v>80288</v>
      </c>
    </row>
    <row r="36" spans="2:47" outlineLevel="1" x14ac:dyDescent="0.25">
      <c r="B36" s="369" t="s">
        <v>2187</v>
      </c>
      <c r="C36" s="85" t="s">
        <v>2188</v>
      </c>
      <c r="D36" s="384" t="str">
        <f>IF(VLOOKUP($B36,suvaha_p!$A:$G,1)=$B36,VLOOKUP($B36,suvaha_p!$A:$G,$B$1),0)</f>
        <v>Zásoby súčet (r. 35 až r. 40)</v>
      </c>
      <c r="E36" s="370" t="s">
        <v>2187</v>
      </c>
      <c r="F36" s="370"/>
      <c r="I36" s="379">
        <f>SUM(I37:I42)</f>
        <v>52130</v>
      </c>
      <c r="J36" s="380"/>
      <c r="K36" s="379">
        <f>SUM(K37:K42)</f>
        <v>0</v>
      </c>
      <c r="L36" s="382"/>
      <c r="M36" s="379">
        <f>SUM(M37:M42)</f>
        <v>0</v>
      </c>
      <c r="N36" s="382">
        <f>SUM(N37:N42)</f>
        <v>52130</v>
      </c>
      <c r="P36" s="383"/>
      <c r="S36" s="382">
        <f>SUM(S37:S42)</f>
        <v>49129.079999999987</v>
      </c>
      <c r="T36" s="382"/>
      <c r="U36" s="382">
        <f>SUM(U37:U42)</f>
        <v>0</v>
      </c>
      <c r="V36" s="382"/>
      <c r="W36" s="382">
        <f>SUM(W37:W42)</f>
        <v>0</v>
      </c>
      <c r="X36" s="382">
        <f>SUM(X37:X42)</f>
        <v>49129</v>
      </c>
      <c r="Z36" s="377">
        <f t="shared" si="44"/>
        <v>52130</v>
      </c>
      <c r="AA36" s="377">
        <f t="shared" si="45"/>
        <v>0</v>
      </c>
      <c r="AB36" s="377">
        <f t="shared" si="46"/>
        <v>52130</v>
      </c>
      <c r="AC36" s="377">
        <f t="shared" si="47"/>
        <v>49129</v>
      </c>
      <c r="AD36" s="361" t="str">
        <f t="shared" si="48"/>
        <v xml:space="preserve">      52130</v>
      </c>
      <c r="AE36" s="361" t="str">
        <f t="shared" si="49"/>
        <v xml:space="preserve">          0</v>
      </c>
      <c r="AF36" s="361" t="str">
        <f t="shared" si="50"/>
        <v xml:space="preserve">      52130</v>
      </c>
      <c r="AG36" s="361" t="str">
        <f t="shared" si="51"/>
        <v xml:space="preserve">      49129</v>
      </c>
      <c r="AK36" s="370"/>
      <c r="AN36" s="379">
        <f>SUM(AN37:AN42)</f>
        <v>68699.34</v>
      </c>
      <c r="AO36" s="380"/>
      <c r="AP36" s="379">
        <f>SUM(AP37:AP42)</f>
        <v>0</v>
      </c>
      <c r="AQ36" s="382"/>
      <c r="AR36" s="379">
        <f>SUM(AR37:AR42)</f>
        <v>0</v>
      </c>
      <c r="AS36" s="379">
        <f>SUM(AS37:AS42)</f>
        <v>68699</v>
      </c>
      <c r="AU36" s="389"/>
    </row>
    <row r="37" spans="2:47" outlineLevel="1" x14ac:dyDescent="0.25">
      <c r="B37" s="369" t="s">
        <v>2189</v>
      </c>
      <c r="C37" s="85" t="s">
        <v>2190</v>
      </c>
      <c r="D37" s="385" t="str">
        <f>IF(VLOOKUP($B37,suvaha_p!$A:$G,1)=$B37,VLOOKUP($B37,suvaha_p!$A:$G,$B$1),0)</f>
        <v>Materiál (112, 119, 11X) - /191, 19X/</v>
      </c>
      <c r="E37" s="386" t="s">
        <v>2189</v>
      </c>
      <c r="F37" s="387">
        <f>SUM('HL KNIHA VYPOC'!G83+'HL KNIHA VYPOC'!G84)</f>
        <v>4045.6800000000076</v>
      </c>
      <c r="I37" s="388">
        <f t="shared" ref="I37:I42" si="52">ROUND(SUM(F37:H37),0)</f>
        <v>4046</v>
      </c>
      <c r="J37" s="388"/>
      <c r="K37" s="389">
        <f t="shared" ref="K37:K42" si="53">ROUND(SUM(J37),0)</f>
        <v>0</v>
      </c>
      <c r="L37" s="389">
        <f>SUM('HL KNIHA VYPOC'!G99)*-1</f>
        <v>0</v>
      </c>
      <c r="M37" s="389">
        <f t="shared" ref="M37:M42" si="54">ROUND(SUM(L37),0)</f>
        <v>0</v>
      </c>
      <c r="N37" s="389">
        <f t="shared" ref="N37:N42" si="55">SUM(I37-K37-M37)</f>
        <v>4046</v>
      </c>
      <c r="P37" s="390">
        <f>SUM('HL KNIHA VYPOC'!K83+'HL KNIHA VYPOC'!K84)</f>
        <v>5545.1599999999962</v>
      </c>
      <c r="S37" s="389">
        <f t="shared" ref="S37:S42" si="56">SUM(P37:R37)</f>
        <v>5545.1599999999962</v>
      </c>
      <c r="U37" s="389">
        <f t="shared" ref="U37:U42" si="57">SUM(T37)</f>
        <v>0</v>
      </c>
      <c r="V37" s="389">
        <f>SUM('HL KNIHA VYPOC'!K99)*-1</f>
        <v>0</v>
      </c>
      <c r="W37" s="389">
        <f t="shared" ref="W37:W42" si="58">SUM(V37)</f>
        <v>0</v>
      </c>
      <c r="X37" s="389">
        <f t="shared" ref="X37:X42" si="59">ROUND((S37-U37-W37),0)</f>
        <v>5545</v>
      </c>
      <c r="Z37" s="377">
        <f t="shared" si="44"/>
        <v>4046</v>
      </c>
      <c r="AA37" s="377">
        <f t="shared" si="45"/>
        <v>0</v>
      </c>
      <c r="AB37" s="377">
        <f t="shared" si="46"/>
        <v>4046</v>
      </c>
      <c r="AC37" s="377">
        <f t="shared" si="47"/>
        <v>5545</v>
      </c>
      <c r="AD37" s="361" t="str">
        <f t="shared" si="48"/>
        <v xml:space="preserve">       4046</v>
      </c>
      <c r="AE37" s="361" t="str">
        <f t="shared" si="49"/>
        <v xml:space="preserve">          0</v>
      </c>
      <c r="AF37" s="361" t="str">
        <f t="shared" si="50"/>
        <v xml:space="preserve">       4046</v>
      </c>
      <c r="AG37" s="361" t="str">
        <f t="shared" si="51"/>
        <v xml:space="preserve">       5545</v>
      </c>
      <c r="AK37" s="387">
        <f>SUM('HL KNIHA VYPOC'!H83+'HL KNIHA VYPOC'!H84)</f>
        <v>5304.99</v>
      </c>
      <c r="AN37" s="388">
        <f t="shared" ref="AN37:AN42" si="60">SUM(AK37:AM37)</f>
        <v>5304.99</v>
      </c>
      <c r="AO37" s="388"/>
      <c r="AP37" s="389">
        <f t="shared" ref="AP37:AP42" si="61">SUM(AO37)</f>
        <v>0</v>
      </c>
      <c r="AQ37" s="389">
        <f>SUM('HL KNIHA VYPOC'!H99)*-1</f>
        <v>0</v>
      </c>
      <c r="AR37" s="389">
        <f t="shared" ref="AR37:AR42" si="62">SUM(AQ37)</f>
        <v>0</v>
      </c>
      <c r="AS37" s="388">
        <f t="shared" ref="AS37:AS42" si="63">ROUND((AN37-AP37-AR37),0)</f>
        <v>5305</v>
      </c>
    </row>
    <row r="38" spans="2:47" outlineLevel="1" x14ac:dyDescent="0.25">
      <c r="B38" s="369" t="s">
        <v>2191</v>
      </c>
      <c r="C38" s="85" t="s">
        <v>2166</v>
      </c>
      <c r="D38" s="385" t="str">
        <f>IF(VLOOKUP($B38,suvaha_p!$A:$G,1)=$B38,VLOOKUP($B38,suvaha_p!$A:$G,$B$1),0)</f>
        <v>Nedokončená výroba a polotovary vlastnej výroby  (121, 122, 12X) - /192, 193, 19X/</v>
      </c>
      <c r="E38" s="386" t="s">
        <v>2191</v>
      </c>
      <c r="F38" s="387">
        <f>SUM('HL KNIHA VYPOC'!G87+'HL KNIHA VYPOC'!G88)</f>
        <v>12884.289999999999</v>
      </c>
      <c r="I38" s="388">
        <f t="shared" si="52"/>
        <v>12884</v>
      </c>
      <c r="J38" s="388"/>
      <c r="K38" s="389">
        <f t="shared" si="53"/>
        <v>0</v>
      </c>
      <c r="L38" s="389">
        <f>SUM('HL KNIHA VYPOC'!G100+'HL KNIHA VYPOC'!G101)*-1</f>
        <v>0</v>
      </c>
      <c r="M38" s="389">
        <f t="shared" si="54"/>
        <v>0</v>
      </c>
      <c r="N38" s="389">
        <f t="shared" si="55"/>
        <v>12884</v>
      </c>
      <c r="P38" s="390">
        <f>SUM('HL KNIHA VYPOC'!K87+'HL KNIHA VYPOC'!K88)</f>
        <v>2396.9000000000015</v>
      </c>
      <c r="S38" s="389">
        <f t="shared" si="56"/>
        <v>2396.9000000000015</v>
      </c>
      <c r="U38" s="389">
        <f t="shared" si="57"/>
        <v>0</v>
      </c>
      <c r="V38" s="389">
        <f>SUM('HL KNIHA VYPOC'!K100+'HL KNIHA VYPOC'!K101)*-1</f>
        <v>0</v>
      </c>
      <c r="W38" s="389">
        <f t="shared" si="58"/>
        <v>0</v>
      </c>
      <c r="X38" s="389">
        <f t="shared" si="59"/>
        <v>2397</v>
      </c>
      <c r="Z38" s="377">
        <f t="shared" si="44"/>
        <v>12884</v>
      </c>
      <c r="AA38" s="377">
        <f t="shared" si="45"/>
        <v>0</v>
      </c>
      <c r="AB38" s="377">
        <f t="shared" si="46"/>
        <v>12884</v>
      </c>
      <c r="AC38" s="377">
        <f t="shared" si="47"/>
        <v>2397</v>
      </c>
      <c r="AD38" s="361" t="str">
        <f t="shared" si="48"/>
        <v xml:space="preserve">      12884</v>
      </c>
      <c r="AE38" s="361" t="str">
        <f t="shared" si="49"/>
        <v xml:space="preserve">          0</v>
      </c>
      <c r="AF38" s="361" t="str">
        <f t="shared" si="50"/>
        <v xml:space="preserve">      12884</v>
      </c>
      <c r="AG38" s="361" t="str">
        <f t="shared" si="51"/>
        <v xml:space="preserve">       2397</v>
      </c>
      <c r="AK38" s="387">
        <f>SUM('HL KNIHA VYPOC'!H87+'HL KNIHA VYPOC'!H88)</f>
        <v>14149.86</v>
      </c>
      <c r="AN38" s="388">
        <f t="shared" si="60"/>
        <v>14149.86</v>
      </c>
      <c r="AO38" s="388"/>
      <c r="AP38" s="389">
        <f t="shared" si="61"/>
        <v>0</v>
      </c>
      <c r="AQ38" s="389">
        <f>SUM('HL KNIHA VYPOC'!H100+'HL KNIHA VYPOC'!H101)*-1</f>
        <v>0</v>
      </c>
      <c r="AR38" s="389">
        <f t="shared" si="62"/>
        <v>0</v>
      </c>
      <c r="AS38" s="388">
        <f t="shared" si="63"/>
        <v>14150</v>
      </c>
    </row>
    <row r="39" spans="2:47" outlineLevel="1" x14ac:dyDescent="0.25">
      <c r="B39" s="369" t="s">
        <v>2192</v>
      </c>
      <c r="C39" s="85" t="s">
        <v>2167</v>
      </c>
      <c r="D39" s="385" t="str">
        <f>IF(VLOOKUP($B39,suvaha_p!$A:$G,1)=$B39,VLOOKUP($B39,suvaha_p!$A:$G,$B$1),0)</f>
        <v>Výrobky (123) - /194/</v>
      </c>
      <c r="E39" s="386" t="s">
        <v>2192</v>
      </c>
      <c r="F39" s="387">
        <f>SUM('HL KNIHA VYPOC'!G89)</f>
        <v>31820.989999999991</v>
      </c>
      <c r="I39" s="388">
        <f t="shared" si="52"/>
        <v>31821</v>
      </c>
      <c r="J39" s="388"/>
      <c r="K39" s="389">
        <f t="shared" si="53"/>
        <v>0</v>
      </c>
      <c r="L39" s="389">
        <f>SUM('HL KNIHA VYPOC'!G102)*-1</f>
        <v>0</v>
      </c>
      <c r="M39" s="389">
        <f t="shared" si="54"/>
        <v>0</v>
      </c>
      <c r="N39" s="389">
        <f t="shared" si="55"/>
        <v>31821</v>
      </c>
      <c r="P39" s="390">
        <f>SUM('HL KNIHA VYPOC'!K89)</f>
        <v>38846.539999999994</v>
      </c>
      <c r="S39" s="389">
        <f t="shared" si="56"/>
        <v>38846.539999999994</v>
      </c>
      <c r="U39" s="389">
        <f t="shared" si="57"/>
        <v>0</v>
      </c>
      <c r="V39" s="389">
        <f>SUM('HL KNIHA VYPOC'!K102)*-1</f>
        <v>0</v>
      </c>
      <c r="W39" s="389">
        <f t="shared" si="58"/>
        <v>0</v>
      </c>
      <c r="X39" s="389">
        <f t="shared" si="59"/>
        <v>38847</v>
      </c>
      <c r="Z39" s="377">
        <f t="shared" si="44"/>
        <v>31821</v>
      </c>
      <c r="AA39" s="377">
        <f t="shared" si="45"/>
        <v>0</v>
      </c>
      <c r="AB39" s="377">
        <f t="shared" si="46"/>
        <v>31821</v>
      </c>
      <c r="AC39" s="377">
        <f t="shared" si="47"/>
        <v>38847</v>
      </c>
      <c r="AD39" s="361" t="str">
        <f t="shared" si="48"/>
        <v xml:space="preserve">      31821</v>
      </c>
      <c r="AE39" s="361" t="str">
        <f t="shared" si="49"/>
        <v xml:space="preserve">          0</v>
      </c>
      <c r="AF39" s="361" t="str">
        <f t="shared" si="50"/>
        <v xml:space="preserve">      31821</v>
      </c>
      <c r="AG39" s="361" t="str">
        <f t="shared" si="51"/>
        <v xml:space="preserve">      38847</v>
      </c>
      <c r="AK39" s="387">
        <f>SUM('HL KNIHA VYPOC'!H89)</f>
        <v>42656.4</v>
      </c>
      <c r="AN39" s="388">
        <f t="shared" si="60"/>
        <v>42656.4</v>
      </c>
      <c r="AO39" s="388"/>
      <c r="AP39" s="389">
        <f t="shared" si="61"/>
        <v>0</v>
      </c>
      <c r="AQ39" s="389">
        <f>SUM('HL KNIHA VYPOC'!H102)*-1</f>
        <v>0</v>
      </c>
      <c r="AR39" s="389">
        <f t="shared" si="62"/>
        <v>0</v>
      </c>
      <c r="AS39" s="388">
        <f t="shared" si="63"/>
        <v>42656</v>
      </c>
    </row>
    <row r="40" spans="2:47" outlineLevel="1" x14ac:dyDescent="0.25">
      <c r="B40" s="369" t="s">
        <v>2193</v>
      </c>
      <c r="C40" s="85" t="s">
        <v>2168</v>
      </c>
      <c r="D40" s="385" t="str">
        <f>IF(VLOOKUP($B40,suvaha_p!$A:$G,1)=$B40,VLOOKUP($B40,suvaha_p!$A:$G,$B$1),0)</f>
        <v>Zvieratá (124) - /195/</v>
      </c>
      <c r="E40" s="386" t="s">
        <v>2193</v>
      </c>
      <c r="F40" s="387">
        <f>SUM('HL KNIHA VYPOC'!G90)</f>
        <v>3379.4800000000014</v>
      </c>
      <c r="I40" s="388">
        <f t="shared" si="52"/>
        <v>3379</v>
      </c>
      <c r="J40" s="388"/>
      <c r="K40" s="389">
        <f t="shared" si="53"/>
        <v>0</v>
      </c>
      <c r="L40" s="389">
        <f>SUM('HL KNIHA VYPOC'!G103)*-1</f>
        <v>0</v>
      </c>
      <c r="M40" s="389">
        <f t="shared" si="54"/>
        <v>0</v>
      </c>
      <c r="N40" s="389">
        <f t="shared" si="55"/>
        <v>3379</v>
      </c>
      <c r="P40" s="390">
        <f>SUM('HL KNIHA VYPOC'!K90)</f>
        <v>2340.4799999999996</v>
      </c>
      <c r="S40" s="389">
        <f t="shared" si="56"/>
        <v>2340.4799999999996</v>
      </c>
      <c r="U40" s="389">
        <f t="shared" si="57"/>
        <v>0</v>
      </c>
      <c r="V40" s="389">
        <f>SUM('HL KNIHA VYPOC'!K103)*-1</f>
        <v>0</v>
      </c>
      <c r="W40" s="389">
        <f t="shared" si="58"/>
        <v>0</v>
      </c>
      <c r="X40" s="389">
        <f t="shared" si="59"/>
        <v>2340</v>
      </c>
      <c r="Z40" s="377">
        <f t="shared" si="44"/>
        <v>3379</v>
      </c>
      <c r="AA40" s="377">
        <f t="shared" si="45"/>
        <v>0</v>
      </c>
      <c r="AB40" s="377">
        <f t="shared" si="46"/>
        <v>3379</v>
      </c>
      <c r="AC40" s="377">
        <f t="shared" si="47"/>
        <v>2340</v>
      </c>
      <c r="AD40" s="361" t="str">
        <f t="shared" si="48"/>
        <v xml:space="preserve">       3379</v>
      </c>
      <c r="AE40" s="361" t="str">
        <f t="shared" si="49"/>
        <v xml:space="preserve">          0</v>
      </c>
      <c r="AF40" s="361" t="str">
        <f t="shared" si="50"/>
        <v xml:space="preserve">       3379</v>
      </c>
      <c r="AG40" s="361" t="str">
        <f t="shared" si="51"/>
        <v xml:space="preserve">       2340</v>
      </c>
      <c r="AK40" s="387">
        <f>SUM('HL KNIHA VYPOC'!H90)</f>
        <v>6588.09</v>
      </c>
      <c r="AN40" s="388">
        <f t="shared" si="60"/>
        <v>6588.09</v>
      </c>
      <c r="AO40" s="388"/>
      <c r="AP40" s="389">
        <f t="shared" si="61"/>
        <v>0</v>
      </c>
      <c r="AQ40" s="389">
        <f>SUM('HL KNIHA VYPOC'!H103)*-1</f>
        <v>0</v>
      </c>
      <c r="AR40" s="389">
        <f t="shared" si="62"/>
        <v>0</v>
      </c>
      <c r="AS40" s="388">
        <f t="shared" si="63"/>
        <v>6588</v>
      </c>
    </row>
    <row r="41" spans="2:47" outlineLevel="1" x14ac:dyDescent="0.25">
      <c r="B41" s="369" t="s">
        <v>2194</v>
      </c>
      <c r="C41" s="85" t="s">
        <v>2169</v>
      </c>
      <c r="D41" s="385" t="str">
        <f>IF(VLOOKUP($B41,suvaha_p!$A:$G,1)=$B41,VLOOKUP($B41,suvaha_p!$A:$G,$B$1),0)</f>
        <v>Tovar (132, 133, 13X, 139) - /196, 19X/</v>
      </c>
      <c r="E41" s="386" t="s">
        <v>2194</v>
      </c>
      <c r="F41" s="387">
        <f>SUM('HL KNIHA VYPOC'!G92)</f>
        <v>0</v>
      </c>
      <c r="I41" s="388">
        <f t="shared" si="52"/>
        <v>0</v>
      </c>
      <c r="J41" s="388"/>
      <c r="K41" s="389">
        <f t="shared" si="53"/>
        <v>0</v>
      </c>
      <c r="L41" s="389">
        <f>SUM('HL KNIHA VYPOC'!G104)*-1</f>
        <v>0</v>
      </c>
      <c r="M41" s="389">
        <f t="shared" si="54"/>
        <v>0</v>
      </c>
      <c r="N41" s="389">
        <f t="shared" si="55"/>
        <v>0</v>
      </c>
      <c r="P41" s="390">
        <f>SUM('HL KNIHA VYPOC'!K92)</f>
        <v>0</v>
      </c>
      <c r="S41" s="389">
        <f t="shared" si="56"/>
        <v>0</v>
      </c>
      <c r="U41" s="389">
        <f t="shared" si="57"/>
        <v>0</v>
      </c>
      <c r="V41" s="389">
        <f>SUM('HL KNIHA VYPOC'!K104)*-1</f>
        <v>0</v>
      </c>
      <c r="W41" s="389">
        <f t="shared" si="58"/>
        <v>0</v>
      </c>
      <c r="X41" s="389">
        <f t="shared" si="59"/>
        <v>0</v>
      </c>
      <c r="Z41" s="377">
        <f t="shared" si="44"/>
        <v>0</v>
      </c>
      <c r="AA41" s="377">
        <f t="shared" si="45"/>
        <v>0</v>
      </c>
      <c r="AB41" s="377">
        <f t="shared" si="46"/>
        <v>0</v>
      </c>
      <c r="AC41" s="377">
        <f t="shared" si="47"/>
        <v>0</v>
      </c>
      <c r="AD41" s="361" t="str">
        <f t="shared" si="48"/>
        <v xml:space="preserve">          0</v>
      </c>
      <c r="AE41" s="361" t="str">
        <f t="shared" si="49"/>
        <v xml:space="preserve">          0</v>
      </c>
      <c r="AF41" s="361" t="str">
        <f t="shared" si="50"/>
        <v xml:space="preserve">          0</v>
      </c>
      <c r="AG41" s="361" t="str">
        <f t="shared" si="51"/>
        <v xml:space="preserve">          0</v>
      </c>
      <c r="AK41" s="387">
        <f>SUM('HL KNIHA VYPOC'!H92)</f>
        <v>0</v>
      </c>
      <c r="AN41" s="388">
        <f t="shared" si="60"/>
        <v>0</v>
      </c>
      <c r="AO41" s="388"/>
      <c r="AP41" s="389">
        <f t="shared" si="61"/>
        <v>0</v>
      </c>
      <c r="AQ41" s="389">
        <f>SUM('HL KNIHA VYPOC'!H104)*-1</f>
        <v>0</v>
      </c>
      <c r="AR41" s="389">
        <f t="shared" si="62"/>
        <v>0</v>
      </c>
      <c r="AS41" s="388">
        <f t="shared" si="63"/>
        <v>0</v>
      </c>
    </row>
    <row r="42" spans="2:47" outlineLevel="1" x14ac:dyDescent="0.25">
      <c r="B42" s="369" t="s">
        <v>1249</v>
      </c>
      <c r="C42" s="85" t="s">
        <v>2171</v>
      </c>
      <c r="D42" s="385" t="str">
        <f>IF(VLOOKUP($B42,suvaha_p!$A:$G,1)=$B42,VLOOKUP($B42,suvaha_p!$A:$G,$B$1),0)</f>
        <v>Poskytnuté preddavky na zásoby (314A) - /391A/</v>
      </c>
      <c r="E42" s="386" t="s">
        <v>1249</v>
      </c>
      <c r="G42" s="388">
        <f>SUM(ANALYTIKAVUJ!K87)</f>
        <v>0</v>
      </c>
      <c r="I42" s="388">
        <f t="shared" si="52"/>
        <v>0</v>
      </c>
      <c r="K42" s="389">
        <f t="shared" si="53"/>
        <v>0</v>
      </c>
      <c r="L42" s="388">
        <f>SUM(ANALYTIKAVUJ!K60)*-1</f>
        <v>0</v>
      </c>
      <c r="M42" s="389">
        <f t="shared" si="54"/>
        <v>0</v>
      </c>
      <c r="N42" s="389">
        <f t="shared" si="55"/>
        <v>0</v>
      </c>
      <c r="Q42" s="389">
        <f>SUM(ANALYTIKAVUJ!L87)</f>
        <v>0</v>
      </c>
      <c r="S42" s="389">
        <f t="shared" si="56"/>
        <v>0</v>
      </c>
      <c r="U42" s="389">
        <f t="shared" si="57"/>
        <v>0</v>
      </c>
      <c r="V42" s="389">
        <f>SUM(ANALYTIKAVUJ!L60)*-1</f>
        <v>0</v>
      </c>
      <c r="W42" s="389">
        <f t="shared" si="58"/>
        <v>0</v>
      </c>
      <c r="X42" s="389">
        <f t="shared" si="59"/>
        <v>0</v>
      </c>
      <c r="Z42" s="377">
        <f t="shared" si="44"/>
        <v>0</v>
      </c>
      <c r="AA42" s="377">
        <f t="shared" si="45"/>
        <v>0</v>
      </c>
      <c r="AB42" s="377">
        <f t="shared" si="46"/>
        <v>0</v>
      </c>
      <c r="AC42" s="377">
        <f t="shared" si="47"/>
        <v>0</v>
      </c>
      <c r="AD42" s="361" t="str">
        <f t="shared" si="48"/>
        <v xml:space="preserve">          0</v>
      </c>
      <c r="AE42" s="361" t="str">
        <f t="shared" si="49"/>
        <v xml:space="preserve">          0</v>
      </c>
      <c r="AF42" s="361" t="str">
        <f t="shared" si="50"/>
        <v xml:space="preserve">          0</v>
      </c>
      <c r="AG42" s="361" t="str">
        <f t="shared" si="51"/>
        <v xml:space="preserve">          0</v>
      </c>
      <c r="AL42" s="388">
        <f>SUM(ANALYTIKAVUJ!M87)</f>
        <v>0</v>
      </c>
      <c r="AN42" s="388">
        <f t="shared" si="60"/>
        <v>0</v>
      </c>
      <c r="AP42" s="389">
        <f t="shared" si="61"/>
        <v>0</v>
      </c>
      <c r="AQ42" s="388">
        <f>SUM(ANALYTIKAVUJ!AP60)*-1</f>
        <v>0</v>
      </c>
      <c r="AR42" s="389">
        <f t="shared" si="62"/>
        <v>0</v>
      </c>
      <c r="AS42" s="388">
        <f t="shared" si="63"/>
        <v>0</v>
      </c>
    </row>
    <row r="43" spans="2:47" outlineLevel="1" x14ac:dyDescent="0.25">
      <c r="B43" s="369" t="s">
        <v>2195</v>
      </c>
      <c r="C43" s="85" t="s">
        <v>2196</v>
      </c>
      <c r="D43" s="359" t="str">
        <f>IF(VLOOKUP($B43,suvaha_p!$A:$G,1)=$B43,VLOOKUP($B43,suvaha_p!$A:$G,$B$1),0)</f>
        <v>Dlhodobé pohľadávky súčet (r. 42 + r. 46 až r. 52)</v>
      </c>
      <c r="E43" s="370" t="s">
        <v>2195</v>
      </c>
      <c r="F43" s="370"/>
      <c r="I43" s="379">
        <f>SUM(I44+I48+I49+I50+I51+I52+I53+I54)</f>
        <v>0</v>
      </c>
      <c r="K43" s="379">
        <f>SUM(K44+K48+K49+K50+K51+K52+K53+K54)</f>
        <v>0</v>
      </c>
      <c r="M43" s="388">
        <f>SUM(M44+M48+M49+M50+M51+M52+M53+M54)</f>
        <v>0</v>
      </c>
      <c r="N43" s="389">
        <f>SUM(N44+N48+N49+N50+N51+N52+N53+N54)</f>
        <v>0</v>
      </c>
      <c r="P43" s="383"/>
      <c r="S43" s="382">
        <f>SUM(S44+S48+S49+S50+S51+S52+S53+S54)</f>
        <v>0</v>
      </c>
      <c r="U43" s="389">
        <f>SUM(U44+U48+U49+U50+U51+U52+U53+U54)</f>
        <v>0</v>
      </c>
      <c r="W43" s="389">
        <f>SUM(W44+W48+W49+W50+W51+W52+W53+W54)</f>
        <v>0</v>
      </c>
      <c r="X43" s="389">
        <f>SUM(X44+X48+X49+X50+X51+X52+X53+X54)</f>
        <v>0</v>
      </c>
      <c r="Z43" s="377">
        <f t="shared" si="44"/>
        <v>0</v>
      </c>
      <c r="AA43" s="377">
        <f t="shared" si="45"/>
        <v>0</v>
      </c>
      <c r="AB43" s="377">
        <f t="shared" si="46"/>
        <v>0</v>
      </c>
      <c r="AC43" s="377">
        <f t="shared" si="47"/>
        <v>0</v>
      </c>
      <c r="AD43" s="361" t="str">
        <f t="shared" si="48"/>
        <v xml:space="preserve">          0</v>
      </c>
      <c r="AE43" s="361" t="str">
        <f t="shared" si="49"/>
        <v xml:space="preserve">          0</v>
      </c>
      <c r="AF43" s="361" t="str">
        <f t="shared" si="50"/>
        <v xml:space="preserve">          0</v>
      </c>
      <c r="AG43" s="361" t="str">
        <f t="shared" si="51"/>
        <v xml:space="preserve">          0</v>
      </c>
      <c r="AK43" s="370"/>
      <c r="AN43" s="388">
        <f>SUM(AN44+AN48+AN49+AN50+AN51+AN52+AN53+AN54)</f>
        <v>0</v>
      </c>
      <c r="AP43" s="388">
        <f>SUM(AP44+AP48+AP49+AP50+AP51+AP52+AP53+AP54)</f>
        <v>0</v>
      </c>
      <c r="AR43" s="388">
        <f>SUM(AR44+AR48+AR49+AR50+AR51+AR52+AR53+AR54)</f>
        <v>0</v>
      </c>
      <c r="AS43" s="388">
        <f>SUM(AS44+AS48+AS49+AS50+AS51+AS52+AS53+AS54)</f>
        <v>0</v>
      </c>
    </row>
    <row r="44" spans="2:47" outlineLevel="1" x14ac:dyDescent="0.25">
      <c r="B44" s="369" t="s">
        <v>2197</v>
      </c>
      <c r="C44" s="85" t="s">
        <v>2198</v>
      </c>
      <c r="D44" s="359" t="str">
        <f>IF(VLOOKUP($B44,suvaha_p!$A:$G,1)=$B44,VLOOKUP($B44,suvaha_p!$A:$G,$B$1),0)</f>
        <v>Pohľadávky z obchodného styku súčet (r. 43 až r. 45)</v>
      </c>
      <c r="E44" s="370" t="s">
        <v>2197</v>
      </c>
      <c r="F44" s="370"/>
      <c r="I44" s="379">
        <f>SUM(I45:I47)</f>
        <v>0</v>
      </c>
      <c r="K44" s="379">
        <f>SUM(K45:K47)</f>
        <v>0</v>
      </c>
      <c r="L44" s="380"/>
      <c r="M44" s="388">
        <f>SUM(M45:M47)</f>
        <v>0</v>
      </c>
      <c r="N44" s="389">
        <f>SUM(N45:N47)</f>
        <v>0</v>
      </c>
      <c r="P44" s="383"/>
      <c r="S44" s="382">
        <f>SUM(S45:S47)</f>
        <v>0</v>
      </c>
      <c r="U44" s="389">
        <f>SUM(U45:U47)</f>
        <v>0</v>
      </c>
      <c r="V44" s="382"/>
      <c r="W44" s="389">
        <f>SUM(W45:W47)</f>
        <v>0</v>
      </c>
      <c r="X44" s="389">
        <f>SUM(X45:X47)</f>
        <v>0</v>
      </c>
      <c r="Z44" s="377">
        <f t="shared" si="44"/>
        <v>0</v>
      </c>
      <c r="AA44" s="377">
        <f t="shared" si="45"/>
        <v>0</v>
      </c>
      <c r="AB44" s="377">
        <f t="shared" si="46"/>
        <v>0</v>
      </c>
      <c r="AC44" s="377">
        <f t="shared" si="47"/>
        <v>0</v>
      </c>
      <c r="AD44" s="361" t="str">
        <f t="shared" si="48"/>
        <v xml:space="preserve">          0</v>
      </c>
      <c r="AE44" s="361" t="str">
        <f t="shared" si="49"/>
        <v xml:space="preserve">          0</v>
      </c>
      <c r="AF44" s="361" t="str">
        <f t="shared" si="50"/>
        <v xml:space="preserve">          0</v>
      </c>
      <c r="AG44" s="361" t="str">
        <f t="shared" si="51"/>
        <v xml:space="preserve">          0</v>
      </c>
      <c r="AK44" s="370"/>
      <c r="AN44" s="388">
        <f>SUM(AN45:AN47)</f>
        <v>0</v>
      </c>
      <c r="AP44" s="388">
        <f>SUM(AP45:AP47)</f>
        <v>0</v>
      </c>
      <c r="AQ44" s="380"/>
      <c r="AR44" s="388">
        <f>SUM(AR45:AR47)</f>
        <v>0</v>
      </c>
      <c r="AS44" s="388">
        <f>SUM(AS45:AS47)</f>
        <v>0</v>
      </c>
    </row>
    <row r="45" spans="2:47" outlineLevel="1" x14ac:dyDescent="0.25">
      <c r="B45" s="369" t="s">
        <v>1250</v>
      </c>
      <c r="C45" s="85" t="s">
        <v>2199</v>
      </c>
      <c r="D45" s="362" t="str">
        <f>IF(VLOOKUP($B45,suvaha_p!$A:$G,1)=$B45,VLOOKUP($B45,suvaha_p!$A:$G,$B$1),0)</f>
        <v>Pohľadávky z obchodného styku voči prepojeným účtovným jednotkám (311A, 312A, 313A, 314A, 315A, 31XA) - /391A/</v>
      </c>
      <c r="E45" s="386" t="s">
        <v>1250</v>
      </c>
      <c r="G45" s="388">
        <f>SUM(ANALYTIKAVUJ!C79+ANALYTIKAVUJ!C87+ANALYTIKAVUJ!K79+ANALYTIKAVUJ!K88+ANALYTIKAVUJ!K97)</f>
        <v>0</v>
      </c>
      <c r="I45" s="388">
        <f t="shared" ref="I45:I54" si="64">ROUND(SUM(F45:H45),0)</f>
        <v>0</v>
      </c>
      <c r="K45" s="389">
        <f t="shared" ref="K45:K54" si="65">ROUND(SUM(J45),0)</f>
        <v>0</v>
      </c>
      <c r="L45" s="388">
        <f>SUM(ANALYTIKAVUJ!K61)*-1</f>
        <v>0</v>
      </c>
      <c r="M45" s="389">
        <f t="shared" ref="M45:M54" si="66">ROUND(SUM(L45),0)</f>
        <v>0</v>
      </c>
      <c r="N45" s="389">
        <f t="shared" ref="N45:N54" si="67">SUM(I45-K45-M45)</f>
        <v>0</v>
      </c>
      <c r="Q45" s="389">
        <f>SUM(ANALYTIKAVUJ!D79+ANALYTIKAVUJ!D87+ANALYTIKAVUJ!L79+ANALYTIKAVUJ!L88+ANALYTIKAVUJ!L97)</f>
        <v>0</v>
      </c>
      <c r="S45" s="389">
        <f t="shared" ref="S45:S54" si="68">SUM(P45:R45)</f>
        <v>0</v>
      </c>
      <c r="U45" s="389">
        <f t="shared" ref="U45:U54" si="69">SUM(T45)</f>
        <v>0</v>
      </c>
      <c r="V45" s="389">
        <f>SUM(ANALYTIKAVUJ!L61)*-1</f>
        <v>0</v>
      </c>
      <c r="W45" s="389">
        <f t="shared" ref="W45:W54" si="70">SUM(V45)</f>
        <v>0</v>
      </c>
      <c r="X45" s="389">
        <f t="shared" ref="X45:X54" si="71">ROUND((S45-U45-W45),0)</f>
        <v>0</v>
      </c>
      <c r="Z45" s="377">
        <f t="shared" si="44"/>
        <v>0</v>
      </c>
      <c r="AA45" s="377">
        <f t="shared" si="45"/>
        <v>0</v>
      </c>
      <c r="AB45" s="377">
        <f t="shared" si="46"/>
        <v>0</v>
      </c>
      <c r="AC45" s="377">
        <f t="shared" si="47"/>
        <v>0</v>
      </c>
      <c r="AD45" s="361" t="str">
        <f t="shared" si="48"/>
        <v xml:space="preserve">          0</v>
      </c>
      <c r="AE45" s="361" t="str">
        <f t="shared" si="49"/>
        <v xml:space="preserve">          0</v>
      </c>
      <c r="AF45" s="361" t="str">
        <f t="shared" si="50"/>
        <v xml:space="preserve">          0</v>
      </c>
      <c r="AG45" s="361" t="str">
        <f t="shared" si="51"/>
        <v xml:space="preserve">          0</v>
      </c>
      <c r="AL45" s="388">
        <f>SUM(ANALYTIKAVUJ!E79+ANALYTIKAVUJ!E87+ANALYTIKAVUJ!M79+ANALYTIKAVUJ!M88+ANALYTIKAVUJ!M97)</f>
        <v>0</v>
      </c>
      <c r="AN45" s="388">
        <f t="shared" ref="AN45:AN54" si="72">SUM(AK45:AM45)</f>
        <v>0</v>
      </c>
      <c r="AP45" s="389">
        <f t="shared" ref="AP45:AP54" si="73">SUM(AO45)</f>
        <v>0</v>
      </c>
      <c r="AQ45" s="388">
        <f>SUM(ANALYTIKAVUJ!AP61)*-1</f>
        <v>0</v>
      </c>
      <c r="AR45" s="389">
        <f t="shared" ref="AR45:AR54" si="74">SUM(AQ45)</f>
        <v>0</v>
      </c>
      <c r="AS45" s="388">
        <f t="shared" ref="AS45:AS54" si="75">ROUND((AN45-AP45-AR45),0)</f>
        <v>0</v>
      </c>
    </row>
    <row r="46" spans="2:47" outlineLevel="1" x14ac:dyDescent="0.25">
      <c r="B46" s="369" t="s">
        <v>1251</v>
      </c>
      <c r="C46" s="85" t="s">
        <v>2200</v>
      </c>
      <c r="D46" s="362" t="str">
        <f>IF(VLOOKUP($B46,suvaha_p!$A:$G,1)=$B46,VLOOKUP($B46,suvaha_p!$A:$G,$B$1),0)</f>
        <v>Pohľadávky z obchodného styku v rámci podielovej účasti okrem pohľadávok voči prepojeným účtovným jednotkám (311A, 312A, 313A, 314A, 315A, 31XA)
- /391A/</v>
      </c>
      <c r="E46" s="386" t="s">
        <v>1251</v>
      </c>
      <c r="G46" s="388">
        <f>SUM(ANALYTIKAVUJ!C80+ANALYTIKAVUJ!C88+ANALYTIKAVUJ!K80+ANALYTIKAVUJ!K89+ANALYTIKAVUJ!K98)</f>
        <v>0</v>
      </c>
      <c r="I46" s="388">
        <f t="shared" si="64"/>
        <v>0</v>
      </c>
      <c r="K46" s="389">
        <f t="shared" si="65"/>
        <v>0</v>
      </c>
      <c r="L46" s="388">
        <f>SUM(ANALYTIKAVUJ!K62)*-1</f>
        <v>0</v>
      </c>
      <c r="M46" s="389">
        <f t="shared" si="66"/>
        <v>0</v>
      </c>
      <c r="N46" s="389">
        <f t="shared" si="67"/>
        <v>0</v>
      </c>
      <c r="Q46" s="389">
        <f>SUM(ANALYTIKAVUJ!D80+ANALYTIKAVUJ!D88+ANALYTIKAVUJ!L80+ANALYTIKAVUJ!L89+ANALYTIKAVUJ!L98)</f>
        <v>0</v>
      </c>
      <c r="S46" s="389">
        <f t="shared" si="68"/>
        <v>0</v>
      </c>
      <c r="U46" s="389">
        <f t="shared" si="69"/>
        <v>0</v>
      </c>
      <c r="V46" s="389">
        <f>SUM(ANALYTIKAVUJ!L62)*-1</f>
        <v>0</v>
      </c>
      <c r="W46" s="389">
        <f t="shared" si="70"/>
        <v>0</v>
      </c>
      <c r="X46" s="389">
        <f t="shared" si="71"/>
        <v>0</v>
      </c>
      <c r="Z46" s="377">
        <f t="shared" si="44"/>
        <v>0</v>
      </c>
      <c r="AA46" s="377">
        <f t="shared" si="45"/>
        <v>0</v>
      </c>
      <c r="AB46" s="377">
        <f t="shared" si="46"/>
        <v>0</v>
      </c>
      <c r="AC46" s="377">
        <f t="shared" si="47"/>
        <v>0</v>
      </c>
      <c r="AD46" s="361" t="str">
        <f t="shared" si="48"/>
        <v xml:space="preserve">          0</v>
      </c>
      <c r="AE46" s="361" t="str">
        <f t="shared" si="49"/>
        <v xml:space="preserve">          0</v>
      </c>
      <c r="AF46" s="361" t="str">
        <f t="shared" si="50"/>
        <v xml:space="preserve">          0</v>
      </c>
      <c r="AG46" s="361" t="str">
        <f t="shared" si="51"/>
        <v xml:space="preserve">          0</v>
      </c>
      <c r="AL46" s="388">
        <f>SUM(ANALYTIKAVUJ!E80+ANALYTIKAVUJ!E88+ANALYTIKAVUJ!M80+ANALYTIKAVUJ!M89+ANALYTIKAVUJ!M98)</f>
        <v>0</v>
      </c>
      <c r="AN46" s="388">
        <f t="shared" si="72"/>
        <v>0</v>
      </c>
      <c r="AP46" s="389">
        <f t="shared" si="73"/>
        <v>0</v>
      </c>
      <c r="AQ46" s="388">
        <f>SUM(ANALYTIKAVUJ!AP62)*-1</f>
        <v>0</v>
      </c>
      <c r="AR46" s="389">
        <f t="shared" si="74"/>
        <v>0</v>
      </c>
      <c r="AS46" s="388">
        <f t="shared" si="75"/>
        <v>0</v>
      </c>
    </row>
    <row r="47" spans="2:47" outlineLevel="1" x14ac:dyDescent="0.25">
      <c r="B47" s="369" t="s">
        <v>1252</v>
      </c>
      <c r="C47" s="85" t="s">
        <v>2201</v>
      </c>
      <c r="D47" s="362" t="str">
        <f>IF(VLOOKUP($B47,suvaha_p!$A:$G,1)=$B47,VLOOKUP($B47,suvaha_p!$A:$G,$B$1),0)</f>
        <v>Ostatné pohľadávky z obchodného styku (311A, 312A, 313A, 314A, 315A, 31XA) - /391A/</v>
      </c>
      <c r="E47" s="386" t="s">
        <v>1252</v>
      </c>
      <c r="G47" s="388">
        <f>SUM(ANALYTIKAVUJ!C81+ANALYTIKAVUJ!C89+ANALYTIKAVUJ!K81+ANALYTIKAVUJ!K90+ANALYTIKAVUJ!K99)</f>
        <v>0</v>
      </c>
      <c r="I47" s="388">
        <f t="shared" si="64"/>
        <v>0</v>
      </c>
      <c r="K47" s="389">
        <f t="shared" si="65"/>
        <v>0</v>
      </c>
      <c r="L47" s="388">
        <f>SUM(ANALYTIKAVUJ!K63)*-1</f>
        <v>0</v>
      </c>
      <c r="M47" s="389">
        <f t="shared" si="66"/>
        <v>0</v>
      </c>
      <c r="N47" s="389">
        <f t="shared" si="67"/>
        <v>0</v>
      </c>
      <c r="Q47" s="389">
        <f>SUM(ANALYTIKAVUJ!D81+ANALYTIKAVUJ!D89+ANALYTIKAVUJ!L81+ANALYTIKAVUJ!L90+ANALYTIKAVUJ!L99)</f>
        <v>0</v>
      </c>
      <c r="S47" s="389">
        <f t="shared" si="68"/>
        <v>0</v>
      </c>
      <c r="U47" s="389">
        <f t="shared" si="69"/>
        <v>0</v>
      </c>
      <c r="V47" s="389">
        <f>SUM(ANALYTIKAVUJ!L63)*-1</f>
        <v>0</v>
      </c>
      <c r="W47" s="389">
        <f t="shared" si="70"/>
        <v>0</v>
      </c>
      <c r="X47" s="389">
        <f t="shared" si="71"/>
        <v>0</v>
      </c>
      <c r="Z47" s="377">
        <f t="shared" si="44"/>
        <v>0</v>
      </c>
      <c r="AA47" s="377">
        <f t="shared" si="45"/>
        <v>0</v>
      </c>
      <c r="AB47" s="377">
        <f t="shared" si="46"/>
        <v>0</v>
      </c>
      <c r="AC47" s="377">
        <f t="shared" si="47"/>
        <v>0</v>
      </c>
      <c r="AD47" s="361" t="str">
        <f t="shared" si="48"/>
        <v xml:space="preserve">          0</v>
      </c>
      <c r="AE47" s="361" t="str">
        <f t="shared" si="49"/>
        <v xml:space="preserve">          0</v>
      </c>
      <c r="AF47" s="361" t="str">
        <f t="shared" si="50"/>
        <v xml:space="preserve">          0</v>
      </c>
      <c r="AG47" s="361" t="str">
        <f t="shared" si="51"/>
        <v xml:space="preserve">          0</v>
      </c>
      <c r="AL47" s="388">
        <f>SUM(ANALYTIKAVUJ!E81+ANALYTIKAVUJ!E89+ANALYTIKAVUJ!M81+ANALYTIKAVUJ!M90+ANALYTIKAVUJ!M99)</f>
        <v>0</v>
      </c>
      <c r="AN47" s="388">
        <f t="shared" si="72"/>
        <v>0</v>
      </c>
      <c r="AP47" s="389">
        <f t="shared" si="73"/>
        <v>0</v>
      </c>
      <c r="AQ47" s="388">
        <f>SUM(ANALYTIKAVUJ!AP63)*-1</f>
        <v>0</v>
      </c>
      <c r="AR47" s="389">
        <f t="shared" si="74"/>
        <v>0</v>
      </c>
      <c r="AS47" s="388">
        <f t="shared" si="75"/>
        <v>0</v>
      </c>
    </row>
    <row r="48" spans="2:47" outlineLevel="1" x14ac:dyDescent="0.25">
      <c r="B48" s="369" t="s">
        <v>1261</v>
      </c>
      <c r="C48" s="85" t="s">
        <v>2166</v>
      </c>
      <c r="D48" s="362" t="str">
        <f>IF(VLOOKUP($B48,suvaha_p!$A:$G,1)=$B48,VLOOKUP($B48,suvaha_p!$A:$G,$B$1),0)</f>
        <v>Čistá hodnota zákazky (316A)</v>
      </c>
      <c r="E48" s="386" t="s">
        <v>1261</v>
      </c>
      <c r="G48" s="388">
        <f>SUM(ANALYTIKAVUJ!C114)</f>
        <v>0</v>
      </c>
      <c r="I48" s="388">
        <f t="shared" si="64"/>
        <v>0</v>
      </c>
      <c r="K48" s="389">
        <f t="shared" si="65"/>
        <v>0</v>
      </c>
      <c r="L48" s="388"/>
      <c r="M48" s="389">
        <f t="shared" si="66"/>
        <v>0</v>
      </c>
      <c r="N48" s="389">
        <f t="shared" si="67"/>
        <v>0</v>
      </c>
      <c r="Q48" s="389">
        <f>SUM(ANALYTIKAVUJ!D114)</f>
        <v>0</v>
      </c>
      <c r="S48" s="389">
        <f t="shared" si="68"/>
        <v>0</v>
      </c>
      <c r="U48" s="389">
        <f t="shared" si="69"/>
        <v>0</v>
      </c>
      <c r="W48" s="389">
        <f t="shared" si="70"/>
        <v>0</v>
      </c>
      <c r="X48" s="389">
        <f t="shared" si="71"/>
        <v>0</v>
      </c>
      <c r="Z48" s="377">
        <f t="shared" si="44"/>
        <v>0</v>
      </c>
      <c r="AA48" s="377">
        <f t="shared" si="45"/>
        <v>0</v>
      </c>
      <c r="AB48" s="377">
        <f t="shared" si="46"/>
        <v>0</v>
      </c>
      <c r="AC48" s="377">
        <f t="shared" si="47"/>
        <v>0</v>
      </c>
      <c r="AD48" s="361" t="str">
        <f t="shared" si="48"/>
        <v xml:space="preserve">          0</v>
      </c>
      <c r="AE48" s="361" t="str">
        <f t="shared" si="49"/>
        <v xml:space="preserve">          0</v>
      </c>
      <c r="AF48" s="361" t="str">
        <f t="shared" si="50"/>
        <v xml:space="preserve">          0</v>
      </c>
      <c r="AG48" s="361" t="str">
        <f t="shared" si="51"/>
        <v xml:space="preserve">          0</v>
      </c>
      <c r="AL48" s="388">
        <f>SUM(ANALYTIKAVUJ!E114)</f>
        <v>0</v>
      </c>
      <c r="AN48" s="388">
        <f t="shared" si="72"/>
        <v>0</v>
      </c>
      <c r="AP48" s="389">
        <f t="shared" si="73"/>
        <v>0</v>
      </c>
      <c r="AQ48" s="388"/>
      <c r="AR48" s="389">
        <f t="shared" si="74"/>
        <v>0</v>
      </c>
      <c r="AS48" s="388">
        <f t="shared" si="75"/>
        <v>0</v>
      </c>
    </row>
    <row r="49" spans="2:47" ht="14.25" customHeight="1" outlineLevel="1" x14ac:dyDescent="0.25">
      <c r="B49" s="369" t="s">
        <v>1220</v>
      </c>
      <c r="C49" s="85" t="s">
        <v>2167</v>
      </c>
      <c r="D49" s="362" t="str">
        <f>IF(VLOOKUP($B49,suvaha_p!$A:$G,1)=$B49,VLOOKUP($B49,suvaha_p!$A:$G,$B$1),0)</f>
        <v>Ostatné pohľadávky voči prepojeným účtovným jednotkám (351A) - /391A/</v>
      </c>
      <c r="E49" s="386" t="s">
        <v>1220</v>
      </c>
      <c r="G49" s="388">
        <f>SUM(ANALYTIKAVUJ!K8)</f>
        <v>0</v>
      </c>
      <c r="I49" s="388">
        <f t="shared" si="64"/>
        <v>0</v>
      </c>
      <c r="K49" s="389">
        <f t="shared" si="65"/>
        <v>0</v>
      </c>
      <c r="L49" s="388">
        <f>SUM(ANALYTIKAVUJ!K64)*-1</f>
        <v>0</v>
      </c>
      <c r="M49" s="389">
        <f t="shared" si="66"/>
        <v>0</v>
      </c>
      <c r="N49" s="389">
        <f t="shared" si="67"/>
        <v>0</v>
      </c>
      <c r="Q49" s="389">
        <f>SUM(ANALYTIKAVUJ!L8)</f>
        <v>0</v>
      </c>
      <c r="S49" s="389">
        <f t="shared" si="68"/>
        <v>0</v>
      </c>
      <c r="U49" s="389">
        <f t="shared" si="69"/>
        <v>0</v>
      </c>
      <c r="V49" s="389">
        <f>SUM(ANALYTIKAVUJ!L64)*-1</f>
        <v>0</v>
      </c>
      <c r="W49" s="389">
        <f t="shared" si="70"/>
        <v>0</v>
      </c>
      <c r="X49" s="389">
        <f t="shared" si="71"/>
        <v>0</v>
      </c>
      <c r="Z49" s="377">
        <f t="shared" si="44"/>
        <v>0</v>
      </c>
      <c r="AA49" s="377">
        <f t="shared" si="45"/>
        <v>0</v>
      </c>
      <c r="AB49" s="377">
        <f t="shared" si="46"/>
        <v>0</v>
      </c>
      <c r="AC49" s="377">
        <f t="shared" si="47"/>
        <v>0</v>
      </c>
      <c r="AD49" s="361" t="str">
        <f t="shared" si="48"/>
        <v xml:space="preserve">          0</v>
      </c>
      <c r="AE49" s="361" t="str">
        <f t="shared" si="49"/>
        <v xml:space="preserve">          0</v>
      </c>
      <c r="AF49" s="361" t="str">
        <f t="shared" si="50"/>
        <v xml:space="preserve">          0</v>
      </c>
      <c r="AG49" s="361" t="str">
        <f t="shared" si="51"/>
        <v xml:space="preserve">          0</v>
      </c>
      <c r="AL49" s="388">
        <f>SUM(ANALYTIKAVUJ!M8)</f>
        <v>0</v>
      </c>
      <c r="AN49" s="388">
        <f t="shared" si="72"/>
        <v>0</v>
      </c>
      <c r="AP49" s="389">
        <f t="shared" si="73"/>
        <v>0</v>
      </c>
      <c r="AQ49" s="388">
        <f>SUM(ANALYTIKAVUJ!AP64)*-1</f>
        <v>0</v>
      </c>
      <c r="AR49" s="389">
        <f t="shared" si="74"/>
        <v>0</v>
      </c>
      <c r="AS49" s="388">
        <f t="shared" si="75"/>
        <v>0</v>
      </c>
    </row>
    <row r="50" spans="2:47" outlineLevel="1" x14ac:dyDescent="0.25">
      <c r="B50" s="369" t="s">
        <v>1221</v>
      </c>
      <c r="C50" s="85" t="s">
        <v>2168</v>
      </c>
      <c r="D50" s="362" t="str">
        <f>IF(VLOOKUP($B50,suvaha_p!$A:$G,1)=$B50,VLOOKUP($B50,suvaha_p!$A:$G,$B$1),0)</f>
        <v>Ostatné pohľadávky v rámci podielovej účasti okrem pohľadávok voči prepojeným účtovným jednotkám (351A) - /391A/</v>
      </c>
      <c r="E50" s="386" t="s">
        <v>1221</v>
      </c>
      <c r="G50" s="388">
        <f>SUM(ANALYTIKAVUJ!K9)</f>
        <v>0</v>
      </c>
      <c r="I50" s="388">
        <f t="shared" si="64"/>
        <v>0</v>
      </c>
      <c r="K50" s="389">
        <f t="shared" si="65"/>
        <v>0</v>
      </c>
      <c r="L50" s="388">
        <f>SUM(ANALYTIKAVUJ!K65)*-1</f>
        <v>0</v>
      </c>
      <c r="M50" s="389">
        <f t="shared" si="66"/>
        <v>0</v>
      </c>
      <c r="N50" s="389">
        <f t="shared" si="67"/>
        <v>0</v>
      </c>
      <c r="Q50" s="389">
        <f>SUM(ANALYTIKAVUJ!L9)</f>
        <v>0</v>
      </c>
      <c r="S50" s="389">
        <f t="shared" si="68"/>
        <v>0</v>
      </c>
      <c r="U50" s="389">
        <f t="shared" si="69"/>
        <v>0</v>
      </c>
      <c r="V50" s="389">
        <f>SUM(ANALYTIKAVUJ!L65)*-1</f>
        <v>0</v>
      </c>
      <c r="W50" s="389">
        <f t="shared" si="70"/>
        <v>0</v>
      </c>
      <c r="X50" s="389">
        <f t="shared" si="71"/>
        <v>0</v>
      </c>
      <c r="Z50" s="377">
        <f t="shared" si="44"/>
        <v>0</v>
      </c>
      <c r="AA50" s="377">
        <f t="shared" si="45"/>
        <v>0</v>
      </c>
      <c r="AB50" s="377">
        <f t="shared" si="46"/>
        <v>0</v>
      </c>
      <c r="AC50" s="377">
        <f t="shared" si="47"/>
        <v>0</v>
      </c>
      <c r="AD50" s="361" t="str">
        <f t="shared" si="48"/>
        <v xml:space="preserve">          0</v>
      </c>
      <c r="AE50" s="361" t="str">
        <f t="shared" si="49"/>
        <v xml:space="preserve">          0</v>
      </c>
      <c r="AF50" s="361" t="str">
        <f t="shared" si="50"/>
        <v xml:space="preserve">          0</v>
      </c>
      <c r="AG50" s="361" t="str">
        <f t="shared" si="51"/>
        <v xml:space="preserve">          0</v>
      </c>
      <c r="AL50" s="388">
        <f>SUM(ANALYTIKAVUJ!M9)</f>
        <v>0</v>
      </c>
      <c r="AN50" s="388">
        <f t="shared" si="72"/>
        <v>0</v>
      </c>
      <c r="AP50" s="389">
        <f t="shared" si="73"/>
        <v>0</v>
      </c>
      <c r="AQ50" s="388">
        <f>SUM(ANALYTIKAVUJ!AP65)*-1</f>
        <v>0</v>
      </c>
      <c r="AR50" s="389">
        <f t="shared" si="74"/>
        <v>0</v>
      </c>
      <c r="AS50" s="388">
        <f t="shared" si="75"/>
        <v>0</v>
      </c>
    </row>
    <row r="51" spans="2:47" outlineLevel="1" x14ac:dyDescent="0.25">
      <c r="B51" s="369" t="s">
        <v>1228</v>
      </c>
      <c r="C51" s="85" t="s">
        <v>2169</v>
      </c>
      <c r="D51" s="362" t="str">
        <f>IF(VLOOKUP($B51,suvaha_p!$A:$G,1)=$B51,VLOOKUP($B51,suvaha_p!$A:$G,$B$1),0)</f>
        <v>Pohľadávky voči spoločníkom, členom a združeniu (354A, 355A, 358A, 35XA) - /391A/</v>
      </c>
      <c r="E51" s="386" t="s">
        <v>1228</v>
      </c>
      <c r="G51" s="388">
        <f>SUM(ANALYTIKAVUJ!K15+ANALYTIKAVUJ!K19+ANALYTIKAVUJ!K23)</f>
        <v>0</v>
      </c>
      <c r="I51" s="388">
        <f t="shared" si="64"/>
        <v>0</v>
      </c>
      <c r="K51" s="389">
        <f t="shared" si="65"/>
        <v>0</v>
      </c>
      <c r="L51" s="388">
        <f>SUM(ANALYTIKAVUJ!K66)*-1</f>
        <v>0</v>
      </c>
      <c r="M51" s="389">
        <f t="shared" si="66"/>
        <v>0</v>
      </c>
      <c r="N51" s="389">
        <f t="shared" si="67"/>
        <v>0</v>
      </c>
      <c r="Q51" s="389">
        <f>SUM(ANALYTIKAVUJ!L15+ANALYTIKAVUJ!L19+ANALYTIKAVUJ!L23)</f>
        <v>0</v>
      </c>
      <c r="S51" s="389">
        <f t="shared" si="68"/>
        <v>0</v>
      </c>
      <c r="U51" s="389">
        <f t="shared" si="69"/>
        <v>0</v>
      </c>
      <c r="V51" s="389">
        <f>SUM(ANALYTIKAVUJ!L66)*-1</f>
        <v>0</v>
      </c>
      <c r="W51" s="389">
        <f t="shared" si="70"/>
        <v>0</v>
      </c>
      <c r="X51" s="389">
        <f t="shared" si="71"/>
        <v>0</v>
      </c>
      <c r="Z51" s="377">
        <f t="shared" si="44"/>
        <v>0</v>
      </c>
      <c r="AA51" s="377">
        <f t="shared" si="45"/>
        <v>0</v>
      </c>
      <c r="AB51" s="377">
        <f t="shared" si="46"/>
        <v>0</v>
      </c>
      <c r="AC51" s="377">
        <f t="shared" si="47"/>
        <v>0</v>
      </c>
      <c r="AD51" s="361" t="str">
        <f t="shared" si="48"/>
        <v xml:space="preserve">          0</v>
      </c>
      <c r="AE51" s="361" t="str">
        <f t="shared" si="49"/>
        <v xml:space="preserve">          0</v>
      </c>
      <c r="AF51" s="361" t="str">
        <f t="shared" si="50"/>
        <v xml:space="preserve">          0</v>
      </c>
      <c r="AG51" s="361" t="str">
        <f t="shared" si="51"/>
        <v xml:space="preserve">          0</v>
      </c>
      <c r="AL51" s="388">
        <f>SUM(ANALYTIKAVUJ!M15+ANALYTIKAVUJ!M19+ANALYTIKAVUJ!M23)</f>
        <v>0</v>
      </c>
      <c r="AN51" s="388">
        <f t="shared" si="72"/>
        <v>0</v>
      </c>
      <c r="AP51" s="389">
        <f t="shared" si="73"/>
        <v>0</v>
      </c>
      <c r="AQ51" s="388">
        <f>SUM(ANALYTIKAVUJ!AP66)*-1</f>
        <v>0</v>
      </c>
      <c r="AR51" s="389">
        <f t="shared" si="74"/>
        <v>0</v>
      </c>
      <c r="AS51" s="388">
        <f t="shared" si="75"/>
        <v>0</v>
      </c>
    </row>
    <row r="52" spans="2:47" outlineLevel="1" x14ac:dyDescent="0.25">
      <c r="B52" s="369" t="s">
        <v>1243</v>
      </c>
      <c r="C52" s="85" t="s">
        <v>2171</v>
      </c>
      <c r="D52" s="362" t="str">
        <f>IF(VLOOKUP($B52,suvaha_p!$A:$G,1)=$B52,VLOOKUP($B52,suvaha_p!$A:$G,$B$1),0)</f>
        <v>Pohľadávky z derivátových operácií (373A, 376A)</v>
      </c>
      <c r="E52" s="386" t="s">
        <v>1243</v>
      </c>
      <c r="G52" s="388">
        <f>SUM(ANALYTIKAVUJ!K132+ANALYTIKAVUJ!K39)</f>
        <v>0</v>
      </c>
      <c r="I52" s="388">
        <f t="shared" si="64"/>
        <v>0</v>
      </c>
      <c r="K52" s="389">
        <f t="shared" si="65"/>
        <v>0</v>
      </c>
      <c r="M52" s="389">
        <f t="shared" si="66"/>
        <v>0</v>
      </c>
      <c r="N52" s="389">
        <f t="shared" si="67"/>
        <v>0</v>
      </c>
      <c r="Q52" s="389">
        <f>SUM(ANALYTIKAVUJ!L132+ANALYTIKAVUJ!L39)</f>
        <v>0</v>
      </c>
      <c r="S52" s="389">
        <f t="shared" si="68"/>
        <v>0</v>
      </c>
      <c r="U52" s="389">
        <f t="shared" si="69"/>
        <v>0</v>
      </c>
      <c r="W52" s="389">
        <f t="shared" si="70"/>
        <v>0</v>
      </c>
      <c r="X52" s="389">
        <f t="shared" si="71"/>
        <v>0</v>
      </c>
      <c r="Z52" s="377">
        <f t="shared" si="44"/>
        <v>0</v>
      </c>
      <c r="AA52" s="377">
        <f t="shared" si="45"/>
        <v>0</v>
      </c>
      <c r="AB52" s="377">
        <f t="shared" si="46"/>
        <v>0</v>
      </c>
      <c r="AC52" s="377">
        <f t="shared" si="47"/>
        <v>0</v>
      </c>
      <c r="AD52" s="361" t="str">
        <f t="shared" si="48"/>
        <v xml:space="preserve">          0</v>
      </c>
      <c r="AE52" s="361" t="str">
        <f t="shared" si="49"/>
        <v xml:space="preserve">          0</v>
      </c>
      <c r="AF52" s="361" t="str">
        <f t="shared" si="50"/>
        <v xml:space="preserve">          0</v>
      </c>
      <c r="AG52" s="361" t="str">
        <f t="shared" si="51"/>
        <v xml:space="preserve">          0</v>
      </c>
      <c r="AL52" s="388">
        <f>SUM(ANALYTIKAVUJ!M132+ANALYTIKAVUJ!M39)</f>
        <v>0</v>
      </c>
      <c r="AN52" s="388">
        <f t="shared" si="72"/>
        <v>0</v>
      </c>
      <c r="AP52" s="389">
        <f t="shared" si="73"/>
        <v>0</v>
      </c>
      <c r="AR52" s="389">
        <f t="shared" si="74"/>
        <v>0</v>
      </c>
      <c r="AS52" s="388">
        <f t="shared" si="75"/>
        <v>0</v>
      </c>
    </row>
    <row r="53" spans="2:47" outlineLevel="1" x14ac:dyDescent="0.25">
      <c r="B53" s="369" t="s">
        <v>1216</v>
      </c>
      <c r="C53" s="85" t="s">
        <v>2172</v>
      </c>
      <c r="D53" s="362" t="str">
        <f>IF(VLOOKUP($B53,suvaha_p!$A:$G,1)=$B53,VLOOKUP($B53,suvaha_p!$A:$G,$B$1),0)</f>
        <v>Iné pohľadávky (335A, 336A, 33XA, 371A, 374A, 375A, 378A) - /391A/</v>
      </c>
      <c r="E53" s="386" t="s">
        <v>1216</v>
      </c>
      <c r="G53" s="388">
        <f>SUM(ANALYTIKAVUJ!K4+ANALYTIKAVUJ!C122+ANALYTIKAVUJ!K27+ANALYTIKAVUJ!K31+ANALYTIKAVUJ!K35+ANALYTIKAVUJ!K44)</f>
        <v>0</v>
      </c>
      <c r="I53" s="388">
        <f t="shared" si="64"/>
        <v>0</v>
      </c>
      <c r="K53" s="389">
        <f t="shared" si="65"/>
        <v>0</v>
      </c>
      <c r="L53" s="388">
        <f>SUM(ANALYTIKAVUJ!K67)*-1</f>
        <v>0</v>
      </c>
      <c r="M53" s="389">
        <f t="shared" si="66"/>
        <v>0</v>
      </c>
      <c r="N53" s="389">
        <f t="shared" si="67"/>
        <v>0</v>
      </c>
      <c r="Q53" s="389">
        <f>SUM(ANALYTIKAVUJ!L4+ANALYTIKAVUJ!D122+ANALYTIKAVUJ!L27+ANALYTIKAVUJ!L31+ANALYTIKAVUJ!L35+ANALYTIKAVUJ!L44)</f>
        <v>0</v>
      </c>
      <c r="S53" s="389">
        <f t="shared" si="68"/>
        <v>0</v>
      </c>
      <c r="U53" s="389">
        <f t="shared" si="69"/>
        <v>0</v>
      </c>
      <c r="V53" s="389">
        <f>SUM(ANALYTIKAVUJ!L67)*-1</f>
        <v>0</v>
      </c>
      <c r="W53" s="389">
        <f t="shared" si="70"/>
        <v>0</v>
      </c>
      <c r="X53" s="389">
        <f t="shared" si="71"/>
        <v>0</v>
      </c>
      <c r="Z53" s="377">
        <f t="shared" si="44"/>
        <v>0</v>
      </c>
      <c r="AA53" s="377">
        <f t="shared" si="45"/>
        <v>0</v>
      </c>
      <c r="AB53" s="377">
        <f t="shared" si="46"/>
        <v>0</v>
      </c>
      <c r="AC53" s="377">
        <f t="shared" si="47"/>
        <v>0</v>
      </c>
      <c r="AD53" s="361" t="str">
        <f t="shared" si="48"/>
        <v xml:space="preserve">          0</v>
      </c>
      <c r="AE53" s="361" t="str">
        <f t="shared" si="49"/>
        <v xml:space="preserve">          0</v>
      </c>
      <c r="AF53" s="361" t="str">
        <f t="shared" si="50"/>
        <v xml:space="preserve">          0</v>
      </c>
      <c r="AG53" s="361" t="str">
        <f t="shared" si="51"/>
        <v xml:space="preserve">          0</v>
      </c>
      <c r="AL53" s="388">
        <f>SUM(ANALYTIKAVUJ!M4+ANALYTIKAVUJ!E122+ANALYTIKAVUJ!M27+ANALYTIKAVUJ!M31+ANALYTIKAVUJ!M35+ANALYTIKAVUJ!M44)</f>
        <v>0</v>
      </c>
      <c r="AN53" s="388">
        <f t="shared" si="72"/>
        <v>0</v>
      </c>
      <c r="AP53" s="389">
        <f t="shared" si="73"/>
        <v>0</v>
      </c>
      <c r="AQ53" s="388">
        <f>SUM(ANALYTIKAVUJ!AP67)*-1</f>
        <v>0</v>
      </c>
      <c r="AR53" s="389">
        <f t="shared" si="74"/>
        <v>0</v>
      </c>
      <c r="AS53" s="388">
        <f t="shared" si="75"/>
        <v>0</v>
      </c>
    </row>
    <row r="54" spans="2:47" outlineLevel="1" x14ac:dyDescent="0.25">
      <c r="B54" s="369" t="s">
        <v>1266</v>
      </c>
      <c r="C54" s="85" t="s">
        <v>2177</v>
      </c>
      <c r="D54" s="362" t="str">
        <f>IF(VLOOKUP($B54,suvaha_p!$A:$G,1)=$B54,VLOOKUP($B54,suvaha_p!$A:$G,$B$1),0)</f>
        <v>Odložená daňová pohľadávka (481A)</v>
      </c>
      <c r="E54" s="386" t="s">
        <v>1266</v>
      </c>
      <c r="G54" s="388">
        <f>SUM(ANALYTIKAVUJ!K140)</f>
        <v>0</v>
      </c>
      <c r="I54" s="388">
        <f t="shared" si="64"/>
        <v>0</v>
      </c>
      <c r="K54" s="389">
        <f t="shared" si="65"/>
        <v>0</v>
      </c>
      <c r="M54" s="389">
        <f t="shared" si="66"/>
        <v>0</v>
      </c>
      <c r="N54" s="389">
        <f t="shared" si="67"/>
        <v>0</v>
      </c>
      <c r="Q54" s="389">
        <f>SUM(ANALYTIKAVUJ!L140)</f>
        <v>0</v>
      </c>
      <c r="S54" s="389">
        <f t="shared" si="68"/>
        <v>0</v>
      </c>
      <c r="U54" s="389">
        <f t="shared" si="69"/>
        <v>0</v>
      </c>
      <c r="W54" s="389">
        <f t="shared" si="70"/>
        <v>0</v>
      </c>
      <c r="X54" s="389">
        <f t="shared" si="71"/>
        <v>0</v>
      </c>
      <c r="Z54" s="377">
        <f t="shared" si="44"/>
        <v>0</v>
      </c>
      <c r="AA54" s="377">
        <f t="shared" si="45"/>
        <v>0</v>
      </c>
      <c r="AB54" s="377">
        <f t="shared" si="46"/>
        <v>0</v>
      </c>
      <c r="AC54" s="377">
        <f t="shared" si="47"/>
        <v>0</v>
      </c>
      <c r="AD54" s="361" t="str">
        <f t="shared" si="48"/>
        <v xml:space="preserve">          0</v>
      </c>
      <c r="AE54" s="361" t="str">
        <f t="shared" si="49"/>
        <v xml:space="preserve">          0</v>
      </c>
      <c r="AF54" s="361" t="str">
        <f t="shared" si="50"/>
        <v xml:space="preserve">          0</v>
      </c>
      <c r="AG54" s="361" t="str">
        <f t="shared" si="51"/>
        <v xml:space="preserve">          0</v>
      </c>
      <c r="AL54" s="388">
        <f>SUM(ANALYTIKAVUJ!M140)</f>
        <v>0</v>
      </c>
      <c r="AN54" s="388">
        <f t="shared" si="72"/>
        <v>0</v>
      </c>
      <c r="AP54" s="389">
        <f t="shared" si="73"/>
        <v>0</v>
      </c>
      <c r="AR54" s="389">
        <f t="shared" si="74"/>
        <v>0</v>
      </c>
      <c r="AS54" s="388">
        <f t="shared" si="75"/>
        <v>0</v>
      </c>
    </row>
    <row r="55" spans="2:47" outlineLevel="1" x14ac:dyDescent="0.25">
      <c r="B55" s="369" t="s">
        <v>2202</v>
      </c>
      <c r="C55" s="85" t="s">
        <v>2203</v>
      </c>
      <c r="D55" s="384" t="str">
        <f>IF(VLOOKUP($B55,suvaha_p!$A:$G,1)=$B55,VLOOKUP($B55,suvaha_p!$A:$G,$B$1),0)</f>
        <v>Krátkodobé pohľadávky súčet (r. 54 + r. 58 až r. 65)</v>
      </c>
      <c r="E55" s="370" t="s">
        <v>2202</v>
      </c>
      <c r="F55" s="370"/>
      <c r="I55" s="379">
        <f>SUM(I56+I60+I61+I62+I63+I64+I65+I66+I67)</f>
        <v>26118</v>
      </c>
      <c r="K55" s="379">
        <f>SUM(K56+K60+K61+K62+K63+K64+K65+K66+K67)</f>
        <v>0</v>
      </c>
      <c r="L55" s="380"/>
      <c r="M55" s="379">
        <f>SUM(M56+M60+M61+M62+M63+M64+M65+M66+M67)</f>
        <v>0</v>
      </c>
      <c r="N55" s="382">
        <f>SUM(N56+N60+N61+N62+N63+N64+N65+N66+N67)</f>
        <v>26118</v>
      </c>
      <c r="P55" s="383"/>
      <c r="S55" s="382">
        <f>SUM(S56+S60+S61+S62+S63+S64+S65+S66+S67)</f>
        <v>19092.68</v>
      </c>
      <c r="U55" s="382">
        <f>SUM(U56+U60+U61+U62+U63+U64+U65+U66+U67)</f>
        <v>0</v>
      </c>
      <c r="V55" s="382"/>
      <c r="W55" s="382">
        <f>SUM(W56+W60+W61+W62+W63+W64+W65+W66+W67)</f>
        <v>0</v>
      </c>
      <c r="X55" s="382">
        <f>SUM(X56+X60+X61+X62+X63+X64+X65+X66+X67)</f>
        <v>19093</v>
      </c>
      <c r="Z55" s="377">
        <f t="shared" si="44"/>
        <v>26118</v>
      </c>
      <c r="AA55" s="377">
        <f t="shared" si="45"/>
        <v>0</v>
      </c>
      <c r="AB55" s="377">
        <f t="shared" si="46"/>
        <v>26118</v>
      </c>
      <c r="AC55" s="377">
        <f t="shared" si="47"/>
        <v>19093</v>
      </c>
      <c r="AD55" s="361" t="str">
        <f t="shared" si="48"/>
        <v xml:space="preserve">      26118</v>
      </c>
      <c r="AE55" s="361" t="str">
        <f t="shared" si="49"/>
        <v xml:space="preserve">          0</v>
      </c>
      <c r="AF55" s="361" t="str">
        <f t="shared" si="50"/>
        <v xml:space="preserve">      26118</v>
      </c>
      <c r="AG55" s="361" t="str">
        <f t="shared" si="51"/>
        <v xml:space="preserve">      19093</v>
      </c>
      <c r="AK55" s="370"/>
      <c r="AN55" s="379">
        <f>SUM(AN56+AN60+AN61+AN62+AN63+AN64+AN65+AN66+AN67)</f>
        <v>12720.329999999998</v>
      </c>
      <c r="AP55" s="379">
        <f>SUM(AP56+AP60+AP61+AP62+AP63+AP64+AP65+AP66+AP67)</f>
        <v>0</v>
      </c>
      <c r="AQ55" s="380"/>
      <c r="AR55" s="379">
        <f>SUM(AR56+AR60+AR61+AR62+AR63+AR64+AR65+AR66+AR67)</f>
        <v>0</v>
      </c>
      <c r="AS55" s="379">
        <f>SUM(AS56+AS60+AS61+AS62+AS63+AS64+AS65+AS66+AS67)</f>
        <v>12720</v>
      </c>
    </row>
    <row r="56" spans="2:47" outlineLevel="1" x14ac:dyDescent="0.25">
      <c r="B56" s="369" t="s">
        <v>2204</v>
      </c>
      <c r="C56" s="85" t="s">
        <v>2205</v>
      </c>
      <c r="D56" s="384" t="str">
        <f>IF(VLOOKUP($B56,suvaha_p!$A:$G,1)=$B56,VLOOKUP($B56,suvaha_p!$A:$G,$B$1),0)</f>
        <v>Pohľadávky z obchodného styku súčet (r. 55 až r. 57)</v>
      </c>
      <c r="E56" s="370" t="s">
        <v>2204</v>
      </c>
      <c r="F56" s="370"/>
      <c r="I56" s="388">
        <f>SUM(I57:I59)</f>
        <v>18724</v>
      </c>
      <c r="K56" s="388">
        <f>SUM(K57:K59)</f>
        <v>0</v>
      </c>
      <c r="L56" s="380"/>
      <c r="M56" s="388">
        <f>SUM(M57:M59)</f>
        <v>0</v>
      </c>
      <c r="N56" s="389">
        <f>SUM(N57:N59)</f>
        <v>18724</v>
      </c>
      <c r="P56" s="383"/>
      <c r="S56" s="389">
        <f>SUM(S57:S59)</f>
        <v>17991.16</v>
      </c>
      <c r="U56" s="389">
        <f>SUM(U57:U59)</f>
        <v>0</v>
      </c>
      <c r="V56" s="382"/>
      <c r="W56" s="389">
        <f>SUM(W57:W59)</f>
        <v>0</v>
      </c>
      <c r="X56" s="389">
        <f>SUM(X57:X59)</f>
        <v>17991</v>
      </c>
      <c r="Z56" s="377">
        <f t="shared" si="44"/>
        <v>18724</v>
      </c>
      <c r="AA56" s="377">
        <f t="shared" si="45"/>
        <v>0</v>
      </c>
      <c r="AB56" s="377">
        <f t="shared" si="46"/>
        <v>18724</v>
      </c>
      <c r="AC56" s="377">
        <f t="shared" si="47"/>
        <v>17991</v>
      </c>
      <c r="AD56" s="361" t="str">
        <f t="shared" si="48"/>
        <v xml:space="preserve">      18724</v>
      </c>
      <c r="AE56" s="361" t="str">
        <f t="shared" si="49"/>
        <v xml:space="preserve">          0</v>
      </c>
      <c r="AF56" s="361" t="str">
        <f t="shared" si="50"/>
        <v xml:space="preserve">      18724</v>
      </c>
      <c r="AG56" s="361" t="str">
        <f t="shared" si="51"/>
        <v xml:space="preserve">      17991</v>
      </c>
      <c r="AK56" s="370"/>
      <c r="AN56" s="388">
        <f>SUM(AN57:AN59)</f>
        <v>13122.439999999999</v>
      </c>
      <c r="AP56" s="388">
        <f>SUM(AP57:AP59)</f>
        <v>0</v>
      </c>
      <c r="AQ56" s="380"/>
      <c r="AR56" s="388">
        <f>SUM(AR57:AR59)</f>
        <v>0</v>
      </c>
      <c r="AS56" s="388">
        <f>SUM(AS57:AS59)</f>
        <v>13122</v>
      </c>
      <c r="AU56" s="389"/>
    </row>
    <row r="57" spans="2:47" outlineLevel="1" x14ac:dyDescent="0.25">
      <c r="B57" s="369" t="s">
        <v>1253</v>
      </c>
      <c r="C57" s="85" t="s">
        <v>2199</v>
      </c>
      <c r="D57" s="385" t="str">
        <f>IF(VLOOKUP($B57,suvaha_p!$A:$G,1)=$B57,VLOOKUP($B57,suvaha_p!$A:$G,$B$1),0)</f>
        <v>Pohľadávky z obchodného styku voči prepojeným účtovným jednotkám (311A, 312A, 313A, 314A, 315A, 31XA) - /391A/</v>
      </c>
      <c r="E57" s="386" t="s">
        <v>1253</v>
      </c>
      <c r="G57" s="388">
        <f>SUM(ANALYTIKAVUJ!C82+ANALYTIKAVUJ!C90+ANALYTIKAVUJ!K82+ANALYTIKAVUJ!K91+ANALYTIKAVUJ!K100)</f>
        <v>18723.639999999996</v>
      </c>
      <c r="I57" s="388">
        <f t="shared" ref="I57:I67" si="76">ROUND(SUM(F57:H57),0)</f>
        <v>18724</v>
      </c>
      <c r="K57" s="389">
        <f t="shared" ref="K57:K67" si="77">ROUND(SUM(J57),0)</f>
        <v>0</v>
      </c>
      <c r="L57" s="388">
        <f>SUM(ANALYTIKAVUJ!K68)*-1</f>
        <v>0</v>
      </c>
      <c r="M57" s="389">
        <f t="shared" ref="M57:M67" si="78">ROUND(SUM(L57),0)</f>
        <v>0</v>
      </c>
      <c r="N57" s="389">
        <f t="shared" ref="N57:N67" si="79">SUM(I57-K57-M57)</f>
        <v>18724</v>
      </c>
      <c r="Q57" s="389">
        <f>SUM(ANALYTIKAVUJ!D82+ANALYTIKAVUJ!D90+ANALYTIKAVUJ!L82+ANALYTIKAVUJ!L91+ANALYTIKAVUJ!L100)</f>
        <v>17991.16</v>
      </c>
      <c r="S57" s="389">
        <f t="shared" ref="S57:S67" si="80">SUM(P57:R57)</f>
        <v>17991.16</v>
      </c>
      <c r="U57" s="389">
        <f t="shared" ref="U57:U67" si="81">SUM(T57)</f>
        <v>0</v>
      </c>
      <c r="V57" s="389">
        <f>SUM(ANALYTIKAVUJ!L68)*-1</f>
        <v>0</v>
      </c>
      <c r="W57" s="389">
        <f t="shared" ref="W57:W67" si="82">SUM(V57)</f>
        <v>0</v>
      </c>
      <c r="X57" s="389">
        <f t="shared" ref="X57:X67" si="83">ROUND((S57-U57-W57),0)</f>
        <v>17991</v>
      </c>
      <c r="Z57" s="377">
        <f t="shared" si="44"/>
        <v>18724</v>
      </c>
      <c r="AA57" s="377">
        <f t="shared" si="45"/>
        <v>0</v>
      </c>
      <c r="AB57" s="377">
        <f t="shared" si="46"/>
        <v>18724</v>
      </c>
      <c r="AC57" s="377">
        <f t="shared" si="47"/>
        <v>17991</v>
      </c>
      <c r="AD57" s="361" t="str">
        <f t="shared" si="48"/>
        <v xml:space="preserve">      18724</v>
      </c>
      <c r="AE57" s="361" t="str">
        <f t="shared" si="49"/>
        <v xml:space="preserve">          0</v>
      </c>
      <c r="AF57" s="361" t="str">
        <f t="shared" si="50"/>
        <v xml:space="preserve">      18724</v>
      </c>
      <c r="AG57" s="361" t="str">
        <f t="shared" si="51"/>
        <v xml:space="preserve">      17991</v>
      </c>
      <c r="AL57" s="388">
        <f>SUM(ANALYTIKAVUJ!E82+ANALYTIKAVUJ!E90+ANALYTIKAVUJ!M82+ANALYTIKAVUJ!M91+ANALYTIKAVUJ!M100)</f>
        <v>13122.439999999999</v>
      </c>
      <c r="AN57" s="388">
        <f t="shared" ref="AN57:AN67" si="84">SUM(AK57:AM57)</f>
        <v>13122.439999999999</v>
      </c>
      <c r="AP57" s="389">
        <f t="shared" ref="AP57:AP67" si="85">SUM(AO57)</f>
        <v>0</v>
      </c>
      <c r="AQ57" s="388">
        <f>SUM(ANALYTIKAVUJ!AP68)*-1</f>
        <v>0</v>
      </c>
      <c r="AR57" s="389">
        <f t="shared" ref="AR57:AR67" si="86">SUM(AQ57)</f>
        <v>0</v>
      </c>
      <c r="AS57" s="388">
        <f t="shared" ref="AS57:AS67" si="87">ROUND((AN57-AP57-AR57),0)</f>
        <v>13122</v>
      </c>
    </row>
    <row r="58" spans="2:47" outlineLevel="1" x14ac:dyDescent="0.25">
      <c r="B58" s="369" t="s">
        <v>1254</v>
      </c>
      <c r="C58" s="85" t="s">
        <v>2200</v>
      </c>
      <c r="D58" s="385" t="str">
        <f>IF(VLOOKUP($B58,suvaha_p!$A:$G,1)=$B58,VLOOKUP($B58,suvaha_p!$A:$G,$B$1),0)</f>
        <v>Pohľadávky z obchodného styku v rámci podielovej účasti okrem pohľadávok voči prepojeným účtovným jednotkám (311A, 312A, 313A, 314A, 315A, 31XA)
- /391A/</v>
      </c>
      <c r="E58" s="386" t="s">
        <v>1254</v>
      </c>
      <c r="G58" s="388">
        <f>SUM(ANALYTIKAVUJ!C83+ANALYTIKAVUJ!C91+ANALYTIKAVUJ!K83+ANALYTIKAVUJ!K92+ANALYTIKAVUJ!K101)</f>
        <v>0</v>
      </c>
      <c r="I58" s="388">
        <f t="shared" si="76"/>
        <v>0</v>
      </c>
      <c r="K58" s="389">
        <f t="shared" si="77"/>
        <v>0</v>
      </c>
      <c r="L58" s="388">
        <f>SUM(ANALYTIKAVUJ!K69)*-1</f>
        <v>0</v>
      </c>
      <c r="M58" s="389">
        <f t="shared" si="78"/>
        <v>0</v>
      </c>
      <c r="N58" s="389">
        <f t="shared" si="79"/>
        <v>0</v>
      </c>
      <c r="Q58" s="389">
        <f>SUM(ANALYTIKAVUJ!D83+ANALYTIKAVUJ!D91+ANALYTIKAVUJ!L83+ANALYTIKAVUJ!L92+ANALYTIKAVUJ!L101)</f>
        <v>0</v>
      </c>
      <c r="S58" s="389">
        <f t="shared" si="80"/>
        <v>0</v>
      </c>
      <c r="U58" s="389">
        <f t="shared" si="81"/>
        <v>0</v>
      </c>
      <c r="V58" s="389">
        <f>SUM(ANALYTIKAVUJ!L69)*-1</f>
        <v>0</v>
      </c>
      <c r="W58" s="389">
        <f t="shared" si="82"/>
        <v>0</v>
      </c>
      <c r="X58" s="389">
        <f t="shared" si="83"/>
        <v>0</v>
      </c>
      <c r="Z58" s="377">
        <f t="shared" si="44"/>
        <v>0</v>
      </c>
      <c r="AA58" s="377">
        <f t="shared" si="45"/>
        <v>0</v>
      </c>
      <c r="AB58" s="377">
        <f t="shared" si="46"/>
        <v>0</v>
      </c>
      <c r="AC58" s="377">
        <f t="shared" si="47"/>
        <v>0</v>
      </c>
      <c r="AD58" s="361" t="str">
        <f t="shared" si="48"/>
        <v xml:space="preserve">          0</v>
      </c>
      <c r="AE58" s="361" t="str">
        <f t="shared" si="49"/>
        <v xml:space="preserve">          0</v>
      </c>
      <c r="AF58" s="361" t="str">
        <f t="shared" si="50"/>
        <v xml:space="preserve">          0</v>
      </c>
      <c r="AG58" s="361" t="str">
        <f t="shared" si="51"/>
        <v xml:space="preserve">          0</v>
      </c>
      <c r="AL58" s="388">
        <f>SUM(ANALYTIKAVUJ!E83+ANALYTIKAVUJ!E91+ANALYTIKAVUJ!M83+ANALYTIKAVUJ!M92+ANALYTIKAVUJ!M101)</f>
        <v>0</v>
      </c>
      <c r="AN58" s="388">
        <f t="shared" si="84"/>
        <v>0</v>
      </c>
      <c r="AP58" s="389">
        <f t="shared" si="85"/>
        <v>0</v>
      </c>
      <c r="AQ58" s="388">
        <f>SUM(ANALYTIKAVUJ!AP69)*-1</f>
        <v>0</v>
      </c>
      <c r="AR58" s="389">
        <f t="shared" si="86"/>
        <v>0</v>
      </c>
      <c r="AS58" s="388">
        <f t="shared" si="87"/>
        <v>0</v>
      </c>
    </row>
    <row r="59" spans="2:47" outlineLevel="1" x14ac:dyDescent="0.25">
      <c r="B59" s="369" t="s">
        <v>1255</v>
      </c>
      <c r="C59" s="85" t="s">
        <v>2201</v>
      </c>
      <c r="D59" s="385" t="str">
        <f>IF(VLOOKUP($B59,suvaha_p!$A:$G,1)=$B59,VLOOKUP($B59,suvaha_p!$A:$G,$B$1),0)</f>
        <v>Ostatné pohľadávky z obchodného styku (311A, 312A, 313A, 314A, 315A, 31XA) - /391A/</v>
      </c>
      <c r="E59" s="386" t="s">
        <v>1255</v>
      </c>
      <c r="G59" s="388">
        <f>SUM(ANALYTIKAVUJ!C84+ANALYTIKAVUJ!C92+ANALYTIKAVUJ!K84+ANALYTIKAVUJ!K93+ANALYTIKAVUJ!K102)</f>
        <v>0</v>
      </c>
      <c r="I59" s="388">
        <f t="shared" si="76"/>
        <v>0</v>
      </c>
      <c r="K59" s="389">
        <f t="shared" si="77"/>
        <v>0</v>
      </c>
      <c r="L59" s="388">
        <f>SUM(ANALYTIKAVUJ!K70)*-1</f>
        <v>0</v>
      </c>
      <c r="M59" s="389">
        <f t="shared" si="78"/>
        <v>0</v>
      </c>
      <c r="N59" s="389">
        <f t="shared" si="79"/>
        <v>0</v>
      </c>
      <c r="Q59" s="389">
        <f>SUM(ANALYTIKAVUJ!D84+ANALYTIKAVUJ!D92+ANALYTIKAVUJ!L84+ANALYTIKAVUJ!L93+ANALYTIKAVUJ!L102)</f>
        <v>0</v>
      </c>
      <c r="S59" s="389">
        <f t="shared" si="80"/>
        <v>0</v>
      </c>
      <c r="U59" s="389">
        <f t="shared" si="81"/>
        <v>0</v>
      </c>
      <c r="V59" s="389">
        <f>SUM(ANALYTIKAVUJ!L70)*-1</f>
        <v>0</v>
      </c>
      <c r="W59" s="389">
        <f t="shared" si="82"/>
        <v>0</v>
      </c>
      <c r="X59" s="389">
        <f t="shared" si="83"/>
        <v>0</v>
      </c>
      <c r="Z59" s="377">
        <f t="shared" si="44"/>
        <v>0</v>
      </c>
      <c r="AA59" s="377">
        <f t="shared" si="45"/>
        <v>0</v>
      </c>
      <c r="AB59" s="377">
        <f t="shared" si="46"/>
        <v>0</v>
      </c>
      <c r="AC59" s="377">
        <f t="shared" si="47"/>
        <v>0</v>
      </c>
      <c r="AD59" s="361" t="str">
        <f t="shared" si="48"/>
        <v xml:space="preserve">          0</v>
      </c>
      <c r="AE59" s="361" t="str">
        <f t="shared" si="49"/>
        <v xml:space="preserve">          0</v>
      </c>
      <c r="AF59" s="361" t="str">
        <f t="shared" si="50"/>
        <v xml:space="preserve">          0</v>
      </c>
      <c r="AG59" s="361" t="str">
        <f t="shared" si="51"/>
        <v xml:space="preserve">          0</v>
      </c>
      <c r="AL59" s="388">
        <f>SUM(ANALYTIKAVUJ!E84+ANALYTIKAVUJ!E92+ANALYTIKAVUJ!M84+ANALYTIKAVUJ!M93+ANALYTIKAVUJ!M102)</f>
        <v>0</v>
      </c>
      <c r="AN59" s="388">
        <f t="shared" si="84"/>
        <v>0</v>
      </c>
      <c r="AP59" s="389">
        <f t="shared" si="85"/>
        <v>0</v>
      </c>
      <c r="AQ59" s="388">
        <f>SUM(ANALYTIKAVUJ!AP70)*-1</f>
        <v>0</v>
      </c>
      <c r="AR59" s="389">
        <f t="shared" si="86"/>
        <v>0</v>
      </c>
      <c r="AS59" s="388">
        <f t="shared" si="87"/>
        <v>0</v>
      </c>
    </row>
    <row r="60" spans="2:47" outlineLevel="1" x14ac:dyDescent="0.25">
      <c r="B60" s="369" t="s">
        <v>1262</v>
      </c>
      <c r="C60" s="85" t="s">
        <v>2166</v>
      </c>
      <c r="D60" s="385" t="str">
        <f>IF(VLOOKUP($B60,suvaha_p!$A:$G,1)=$B60,VLOOKUP($B60,suvaha_p!$A:$G,$B$1),0)</f>
        <v>Čistá hodnota zákazky (316A)</v>
      </c>
      <c r="E60" s="386" t="s">
        <v>1262</v>
      </c>
      <c r="G60" s="388">
        <f>SUM(ANALYTIKAVUJ!C115)</f>
        <v>0</v>
      </c>
      <c r="I60" s="388">
        <f t="shared" si="76"/>
        <v>0</v>
      </c>
      <c r="K60" s="389">
        <f t="shared" si="77"/>
        <v>0</v>
      </c>
      <c r="M60" s="389">
        <f t="shared" si="78"/>
        <v>0</v>
      </c>
      <c r="N60" s="389">
        <f t="shared" si="79"/>
        <v>0</v>
      </c>
      <c r="Q60" s="389">
        <f>SUM(ANALYTIKAVUJ!D115)</f>
        <v>0</v>
      </c>
      <c r="S60" s="389">
        <f t="shared" si="80"/>
        <v>0</v>
      </c>
      <c r="U60" s="389">
        <f t="shared" si="81"/>
        <v>0</v>
      </c>
      <c r="W60" s="389">
        <f t="shared" si="82"/>
        <v>0</v>
      </c>
      <c r="X60" s="389">
        <f t="shared" si="83"/>
        <v>0</v>
      </c>
      <c r="Z60" s="377">
        <f t="shared" si="44"/>
        <v>0</v>
      </c>
      <c r="AA60" s="377">
        <f t="shared" si="45"/>
        <v>0</v>
      </c>
      <c r="AB60" s="377">
        <f t="shared" si="46"/>
        <v>0</v>
      </c>
      <c r="AC60" s="377">
        <f t="shared" si="47"/>
        <v>0</v>
      </c>
      <c r="AD60" s="361" t="str">
        <f t="shared" si="48"/>
        <v xml:space="preserve">          0</v>
      </c>
      <c r="AE60" s="361" t="str">
        <f t="shared" si="49"/>
        <v xml:space="preserve">          0</v>
      </c>
      <c r="AF60" s="361" t="str">
        <f t="shared" si="50"/>
        <v xml:space="preserve">          0</v>
      </c>
      <c r="AG60" s="361" t="str">
        <f t="shared" si="51"/>
        <v xml:space="preserve">          0</v>
      </c>
      <c r="AL60" s="388">
        <f>SUM(ANALYTIKAVUJ!E115)</f>
        <v>0</v>
      </c>
      <c r="AN60" s="388">
        <f t="shared" si="84"/>
        <v>0</v>
      </c>
      <c r="AP60" s="389">
        <f t="shared" si="85"/>
        <v>0</v>
      </c>
      <c r="AR60" s="389">
        <f t="shared" si="86"/>
        <v>0</v>
      </c>
      <c r="AS60" s="388">
        <f t="shared" si="87"/>
        <v>0</v>
      </c>
    </row>
    <row r="61" spans="2:47" ht="13.5" customHeight="1" outlineLevel="1" x14ac:dyDescent="0.25">
      <c r="B61" s="369" t="s">
        <v>1223</v>
      </c>
      <c r="C61" s="85" t="s">
        <v>2167</v>
      </c>
      <c r="D61" s="385" t="str">
        <f>IF(VLOOKUP($B61,suvaha_p!$A:$G,1)=$B61,VLOOKUP($B61,suvaha_p!$A:$G,$B$1),0)</f>
        <v>Ostatné pohľadávky voči prepojeným účtovným jednotkám  (351A) - /391A/</v>
      </c>
      <c r="E61" s="386" t="s">
        <v>1223</v>
      </c>
      <c r="G61" s="388">
        <f>SUM(ANALYTIKAVUJ!K10)</f>
        <v>0</v>
      </c>
      <c r="I61" s="388">
        <f t="shared" si="76"/>
        <v>0</v>
      </c>
      <c r="K61" s="389">
        <f t="shared" si="77"/>
        <v>0</v>
      </c>
      <c r="L61" s="388">
        <f>SUM(ANALYTIKAVUJ!K71)*-1</f>
        <v>0</v>
      </c>
      <c r="M61" s="389">
        <f t="shared" si="78"/>
        <v>0</v>
      </c>
      <c r="N61" s="389">
        <f t="shared" si="79"/>
        <v>0</v>
      </c>
      <c r="Q61" s="389">
        <f>SUM(ANALYTIKAVUJ!L10)</f>
        <v>0</v>
      </c>
      <c r="S61" s="389">
        <f t="shared" si="80"/>
        <v>0</v>
      </c>
      <c r="U61" s="389">
        <f t="shared" si="81"/>
        <v>0</v>
      </c>
      <c r="V61" s="389">
        <f>SUM(ANALYTIKAVUJ!L71)*-1</f>
        <v>0</v>
      </c>
      <c r="W61" s="389">
        <f t="shared" si="82"/>
        <v>0</v>
      </c>
      <c r="X61" s="389">
        <f t="shared" si="83"/>
        <v>0</v>
      </c>
      <c r="Z61" s="377">
        <f t="shared" si="44"/>
        <v>0</v>
      </c>
      <c r="AA61" s="377">
        <f t="shared" si="45"/>
        <v>0</v>
      </c>
      <c r="AB61" s="377">
        <f t="shared" si="46"/>
        <v>0</v>
      </c>
      <c r="AC61" s="377">
        <f t="shared" si="47"/>
        <v>0</v>
      </c>
      <c r="AD61" s="361" t="str">
        <f t="shared" si="48"/>
        <v xml:space="preserve">          0</v>
      </c>
      <c r="AE61" s="361" t="str">
        <f t="shared" si="49"/>
        <v xml:space="preserve">          0</v>
      </c>
      <c r="AF61" s="361" t="str">
        <f t="shared" si="50"/>
        <v xml:space="preserve">          0</v>
      </c>
      <c r="AG61" s="361" t="str">
        <f t="shared" si="51"/>
        <v xml:space="preserve">          0</v>
      </c>
      <c r="AL61" s="388">
        <f>SUM(ANALYTIKAVUJ!M10)</f>
        <v>0</v>
      </c>
      <c r="AN61" s="388">
        <f t="shared" si="84"/>
        <v>0</v>
      </c>
      <c r="AP61" s="389">
        <f t="shared" si="85"/>
        <v>0</v>
      </c>
      <c r="AQ61" s="388">
        <f>SUM(ANALYTIKAVUJ!AP71)*-1</f>
        <v>0</v>
      </c>
      <c r="AR61" s="389">
        <f t="shared" si="86"/>
        <v>0</v>
      </c>
      <c r="AS61" s="388">
        <f t="shared" si="87"/>
        <v>0</v>
      </c>
    </row>
    <row r="62" spans="2:47" outlineLevel="1" x14ac:dyDescent="0.25">
      <c r="B62" s="369" t="s">
        <v>1224</v>
      </c>
      <c r="C62" s="85" t="s">
        <v>2168</v>
      </c>
      <c r="D62" s="385" t="str">
        <f>IF(VLOOKUP($B62,suvaha_p!$A:$G,1)=$B62,VLOOKUP($B62,suvaha_p!$A:$G,$B$1),0)</f>
        <v>Ostatné pohľadávky v rámci podielovej účasti okrem pohľadávok voči prepojeným účtovným jednotkám  (351A) - /391A/</v>
      </c>
      <c r="E62" s="386" t="s">
        <v>1224</v>
      </c>
      <c r="G62" s="388">
        <f>SUM(ANALYTIKAVUJ!K11)</f>
        <v>0</v>
      </c>
      <c r="I62" s="388">
        <f t="shared" si="76"/>
        <v>0</v>
      </c>
      <c r="K62" s="389">
        <f t="shared" si="77"/>
        <v>0</v>
      </c>
      <c r="L62" s="388">
        <f>SUM(ANALYTIKAVUJ!K72)*-1</f>
        <v>0</v>
      </c>
      <c r="M62" s="389">
        <f t="shared" si="78"/>
        <v>0</v>
      </c>
      <c r="N62" s="389">
        <f t="shared" si="79"/>
        <v>0</v>
      </c>
      <c r="Q62" s="389">
        <f>SUM(ANALYTIKAVUJ!L11)</f>
        <v>0</v>
      </c>
      <c r="S62" s="389">
        <f t="shared" si="80"/>
        <v>0</v>
      </c>
      <c r="U62" s="389">
        <f t="shared" si="81"/>
        <v>0</v>
      </c>
      <c r="V62" s="389">
        <f>SUM(ANALYTIKAVUJ!L72)*-1</f>
        <v>0</v>
      </c>
      <c r="W62" s="389">
        <f t="shared" si="82"/>
        <v>0</v>
      </c>
      <c r="X62" s="389">
        <f t="shared" si="83"/>
        <v>0</v>
      </c>
      <c r="Z62" s="377">
        <f t="shared" si="44"/>
        <v>0</v>
      </c>
      <c r="AA62" s="377">
        <f t="shared" si="45"/>
        <v>0</v>
      </c>
      <c r="AB62" s="377">
        <f t="shared" si="46"/>
        <v>0</v>
      </c>
      <c r="AC62" s="377">
        <f t="shared" si="47"/>
        <v>0</v>
      </c>
      <c r="AD62" s="361" t="str">
        <f t="shared" si="48"/>
        <v xml:space="preserve">          0</v>
      </c>
      <c r="AE62" s="361" t="str">
        <f t="shared" si="49"/>
        <v xml:space="preserve">          0</v>
      </c>
      <c r="AF62" s="361" t="str">
        <f t="shared" si="50"/>
        <v xml:space="preserve">          0</v>
      </c>
      <c r="AG62" s="361" t="str">
        <f t="shared" si="51"/>
        <v xml:space="preserve">          0</v>
      </c>
      <c r="AL62" s="388">
        <f>SUM(ANALYTIKAVUJ!M11)</f>
        <v>0</v>
      </c>
      <c r="AN62" s="388">
        <f t="shared" si="84"/>
        <v>0</v>
      </c>
      <c r="AP62" s="389">
        <f t="shared" si="85"/>
        <v>0</v>
      </c>
      <c r="AQ62" s="388">
        <f>SUM(ANALYTIKAVUJ!AP72)*-1</f>
        <v>0</v>
      </c>
      <c r="AR62" s="389">
        <f t="shared" si="86"/>
        <v>0</v>
      </c>
      <c r="AS62" s="388">
        <f t="shared" si="87"/>
        <v>0</v>
      </c>
    </row>
    <row r="63" spans="2:47" outlineLevel="1" x14ac:dyDescent="0.25">
      <c r="B63" s="369" t="s">
        <v>1229</v>
      </c>
      <c r="C63" s="85" t="s">
        <v>2169</v>
      </c>
      <c r="D63" s="385" t="str">
        <f>IF(VLOOKUP($B63,suvaha_p!$A:$G,1)=$B63,VLOOKUP($B63,suvaha_p!$A:$G,$B$1),0)</f>
        <v>Pohľadávky voči spoločníkom, členom a združeniu (354A, 355A, 358A, 35XA, 398A) - /391A/</v>
      </c>
      <c r="E63" s="386" t="s">
        <v>1229</v>
      </c>
      <c r="G63" s="388">
        <f>SUM(ANALYTIKAVUJ!K16+ANALYTIKAVUJ!K20+ANALYTIKAVUJ!K24)</f>
        <v>0</v>
      </c>
      <c r="I63" s="388">
        <f t="shared" si="76"/>
        <v>0</v>
      </c>
      <c r="K63" s="389">
        <f t="shared" si="77"/>
        <v>0</v>
      </c>
      <c r="L63" s="388">
        <f>SUM(ANALYTIKAVUJ!K73)*-1</f>
        <v>0</v>
      </c>
      <c r="M63" s="389">
        <f t="shared" si="78"/>
        <v>0</v>
      </c>
      <c r="N63" s="389">
        <f t="shared" si="79"/>
        <v>0</v>
      </c>
      <c r="Q63" s="389">
        <f>SUM(ANALYTIKAVUJ!L16+ANALYTIKAVUJ!L20+ANALYTIKAVUJ!L24)</f>
        <v>0</v>
      </c>
      <c r="S63" s="389">
        <f t="shared" si="80"/>
        <v>0</v>
      </c>
      <c r="U63" s="389">
        <f t="shared" si="81"/>
        <v>0</v>
      </c>
      <c r="V63" s="389">
        <f>SUM(ANALYTIKAVUJ!L73)*-1</f>
        <v>0</v>
      </c>
      <c r="W63" s="389">
        <f t="shared" si="82"/>
        <v>0</v>
      </c>
      <c r="X63" s="389">
        <f t="shared" si="83"/>
        <v>0</v>
      </c>
      <c r="Z63" s="377">
        <f t="shared" si="44"/>
        <v>0</v>
      </c>
      <c r="AA63" s="377">
        <f t="shared" si="45"/>
        <v>0</v>
      </c>
      <c r="AB63" s="377">
        <f t="shared" si="46"/>
        <v>0</v>
      </c>
      <c r="AC63" s="377">
        <f t="shared" si="47"/>
        <v>0</v>
      </c>
      <c r="AD63" s="361" t="str">
        <f t="shared" si="48"/>
        <v xml:space="preserve">          0</v>
      </c>
      <c r="AE63" s="361" t="str">
        <f t="shared" si="49"/>
        <v xml:space="preserve">          0</v>
      </c>
      <c r="AF63" s="361" t="str">
        <f t="shared" si="50"/>
        <v xml:space="preserve">          0</v>
      </c>
      <c r="AG63" s="361" t="str">
        <f t="shared" si="51"/>
        <v xml:space="preserve">          0</v>
      </c>
      <c r="AL63" s="388">
        <f>SUM(ANALYTIKAVUJ!M16+ANALYTIKAVUJ!M20+ANALYTIKAVUJ!M24)</f>
        <v>0</v>
      </c>
      <c r="AN63" s="388">
        <f t="shared" si="84"/>
        <v>0</v>
      </c>
      <c r="AP63" s="389">
        <f t="shared" si="85"/>
        <v>0</v>
      </c>
      <c r="AQ63" s="388">
        <f>SUM(ANALYTIKAVUJ!AP73)*-1</f>
        <v>0</v>
      </c>
      <c r="AR63" s="389">
        <f t="shared" si="86"/>
        <v>0</v>
      </c>
      <c r="AS63" s="388">
        <f t="shared" si="87"/>
        <v>0</v>
      </c>
    </row>
    <row r="64" spans="2:47" outlineLevel="1" x14ac:dyDescent="0.25">
      <c r="B64" s="369" t="s">
        <v>1256</v>
      </c>
      <c r="C64" s="85" t="s">
        <v>2171</v>
      </c>
      <c r="D64" s="385" t="str">
        <f>IF(VLOOKUP($B64,suvaha_p!$A:$G,1)=$B64,VLOOKUP($B64,suvaha_p!$A:$G,$B$1),0)</f>
        <v>Sociálne poistenie (336A) - /391A/</v>
      </c>
      <c r="E64" s="386" t="s">
        <v>1256</v>
      </c>
      <c r="G64" s="388">
        <f>SUM(ANALYTIKAVUJ!C123)</f>
        <v>0</v>
      </c>
      <c r="I64" s="388">
        <f t="shared" si="76"/>
        <v>0</v>
      </c>
      <c r="K64" s="389">
        <f t="shared" si="77"/>
        <v>0</v>
      </c>
      <c r="L64" s="388">
        <f>SUM(ANALYTIKAVUJ!K74)*-1</f>
        <v>0</v>
      </c>
      <c r="M64" s="389">
        <f t="shared" si="78"/>
        <v>0</v>
      </c>
      <c r="N64" s="389">
        <f t="shared" si="79"/>
        <v>0</v>
      </c>
      <c r="Q64" s="389">
        <f>SUM(ANALYTIKAVUJ!D123)</f>
        <v>0</v>
      </c>
      <c r="S64" s="389">
        <f t="shared" si="80"/>
        <v>0</v>
      </c>
      <c r="U64" s="389">
        <f t="shared" si="81"/>
        <v>0</v>
      </c>
      <c r="V64" s="389">
        <f>SUM(ANALYTIKAVUJ!L74)*-1</f>
        <v>0</v>
      </c>
      <c r="W64" s="389">
        <f t="shared" si="82"/>
        <v>0</v>
      </c>
      <c r="X64" s="389">
        <f t="shared" si="83"/>
        <v>0</v>
      </c>
      <c r="Z64" s="377">
        <f t="shared" si="44"/>
        <v>0</v>
      </c>
      <c r="AA64" s="377">
        <f t="shared" si="45"/>
        <v>0</v>
      </c>
      <c r="AB64" s="377">
        <f t="shared" si="46"/>
        <v>0</v>
      </c>
      <c r="AC64" s="377">
        <f t="shared" si="47"/>
        <v>0</v>
      </c>
      <c r="AD64" s="361" t="str">
        <f t="shared" si="48"/>
        <v xml:space="preserve">          0</v>
      </c>
      <c r="AE64" s="361" t="str">
        <f t="shared" si="49"/>
        <v xml:space="preserve">          0</v>
      </c>
      <c r="AF64" s="361" t="str">
        <f t="shared" si="50"/>
        <v xml:space="preserve">          0</v>
      </c>
      <c r="AG64" s="361" t="str">
        <f t="shared" si="51"/>
        <v xml:space="preserve">          0</v>
      </c>
      <c r="AL64" s="388">
        <f>SUM(ANALYTIKAVUJ!E123)</f>
        <v>0</v>
      </c>
      <c r="AN64" s="388">
        <f t="shared" si="84"/>
        <v>0</v>
      </c>
      <c r="AP64" s="389">
        <f t="shared" si="85"/>
        <v>0</v>
      </c>
      <c r="AQ64" s="388">
        <f>SUM(ANALYTIKAVUJ!AP74)*-1</f>
        <v>0</v>
      </c>
      <c r="AR64" s="389">
        <f t="shared" si="86"/>
        <v>0</v>
      </c>
      <c r="AS64" s="388">
        <f t="shared" si="87"/>
        <v>0</v>
      </c>
    </row>
    <row r="65" spans="2:45" outlineLevel="1" x14ac:dyDescent="0.25">
      <c r="B65" s="369" t="s">
        <v>1258</v>
      </c>
      <c r="C65" s="85" t="s">
        <v>2172</v>
      </c>
      <c r="D65" s="385" t="str">
        <f>IF(VLOOKUP($B65,suvaha_p!$A:$G,1)=$B65,VLOOKUP($B65,suvaha_p!$A:$G,$B$1),0)</f>
        <v>Daňové pohľadávky a dotácie (341, 342, 343, 345, 346, 347) - /391A/</v>
      </c>
      <c r="E65" s="386" t="s">
        <v>1258</v>
      </c>
      <c r="G65" s="388">
        <f>SUM(ANALYTIKAVUJ!K107+ANALYTIKAVUJ!K111+ANALYTIKAVUJ!K115+ANALYTIKAVUJ!K119+ANALYTIKAVUJ!K123+ANALYTIKAVUJ!K127)</f>
        <v>4768.2299999999996</v>
      </c>
      <c r="I65" s="388">
        <f t="shared" si="76"/>
        <v>4768</v>
      </c>
      <c r="K65" s="389">
        <f t="shared" si="77"/>
        <v>0</v>
      </c>
      <c r="L65" s="388">
        <f>SUM(ANALYTIKAVUJ!K75)*-1</f>
        <v>0</v>
      </c>
      <c r="M65" s="389">
        <f t="shared" si="78"/>
        <v>0</v>
      </c>
      <c r="N65" s="389">
        <f t="shared" si="79"/>
        <v>4768</v>
      </c>
      <c r="Q65" s="389">
        <f>SUM(ANALYTIKAVUJ!L107+ANALYTIKAVUJ!L111+ANALYTIKAVUJ!L115+ANALYTIKAVUJ!L119+ANALYTIKAVUJ!L123+ANALYTIKAVUJ!L127)</f>
        <v>1435.94</v>
      </c>
      <c r="S65" s="389">
        <f t="shared" si="80"/>
        <v>1435.94</v>
      </c>
      <c r="U65" s="389">
        <f t="shared" si="81"/>
        <v>0</v>
      </c>
      <c r="V65" s="389">
        <f>SUM(ANALYTIKAVUJ!L75)*-1</f>
        <v>0</v>
      </c>
      <c r="W65" s="389">
        <f t="shared" si="82"/>
        <v>0</v>
      </c>
      <c r="X65" s="389">
        <f t="shared" si="83"/>
        <v>1436</v>
      </c>
      <c r="Z65" s="377">
        <f t="shared" si="44"/>
        <v>4768</v>
      </c>
      <c r="AA65" s="377">
        <f t="shared" si="45"/>
        <v>0</v>
      </c>
      <c r="AB65" s="377">
        <f t="shared" si="46"/>
        <v>4768</v>
      </c>
      <c r="AC65" s="377">
        <f t="shared" si="47"/>
        <v>1436</v>
      </c>
      <c r="AD65" s="361" t="str">
        <f t="shared" si="48"/>
        <v xml:space="preserve">       4768</v>
      </c>
      <c r="AE65" s="361" t="str">
        <f t="shared" si="49"/>
        <v xml:space="preserve">          0</v>
      </c>
      <c r="AF65" s="361" t="str">
        <f t="shared" si="50"/>
        <v xml:space="preserve">       4768</v>
      </c>
      <c r="AG65" s="361" t="str">
        <f t="shared" si="51"/>
        <v xml:space="preserve">       1436</v>
      </c>
      <c r="AL65" s="388">
        <f>SUM(ANALYTIKAVUJ!M107+ANALYTIKAVUJ!M111+ANALYTIKAVUJ!M115+ANALYTIKAVUJ!M119+ANALYTIKAVUJ!M123+ANALYTIKAVUJ!M127)</f>
        <v>0</v>
      </c>
      <c r="AN65" s="388">
        <f t="shared" si="84"/>
        <v>0</v>
      </c>
      <c r="AP65" s="389">
        <f t="shared" si="85"/>
        <v>0</v>
      </c>
      <c r="AQ65" s="388">
        <f>SUM(ANALYTIKAVUJ!AP75)*-1</f>
        <v>0</v>
      </c>
      <c r="AR65" s="389">
        <f t="shared" si="86"/>
        <v>0</v>
      </c>
      <c r="AS65" s="388">
        <f t="shared" si="87"/>
        <v>0</v>
      </c>
    </row>
    <row r="66" spans="2:45" outlineLevel="1" x14ac:dyDescent="0.25">
      <c r="B66" s="369" t="s">
        <v>1244</v>
      </c>
      <c r="C66" s="85" t="s">
        <v>2177</v>
      </c>
      <c r="D66" s="385" t="str">
        <f>IF(VLOOKUP($B66,suvaha_p!$A:$G,1)=$B66,VLOOKUP($B66,suvaha_p!$A:$G,$B$1),0)</f>
        <v>Pohľadávky z derivátových operácií (373A, 376A)</v>
      </c>
      <c r="E66" s="386" t="s">
        <v>1244</v>
      </c>
      <c r="G66" s="388">
        <f>SUM(ANALYTIKAVUJ!K133+ANALYTIKAVUJ!K40)</f>
        <v>0</v>
      </c>
      <c r="I66" s="388">
        <f t="shared" si="76"/>
        <v>0</v>
      </c>
      <c r="K66" s="389">
        <f t="shared" si="77"/>
        <v>0</v>
      </c>
      <c r="M66" s="389">
        <f t="shared" si="78"/>
        <v>0</v>
      </c>
      <c r="N66" s="389">
        <f t="shared" si="79"/>
        <v>0</v>
      </c>
      <c r="Q66" s="389">
        <f>SUM(ANALYTIKAVUJ!L133+ANALYTIKAVUJ!L40)</f>
        <v>0</v>
      </c>
      <c r="S66" s="389">
        <f t="shared" si="80"/>
        <v>0</v>
      </c>
      <c r="U66" s="389">
        <f t="shared" si="81"/>
        <v>0</v>
      </c>
      <c r="W66" s="389">
        <f t="shared" si="82"/>
        <v>0</v>
      </c>
      <c r="X66" s="389">
        <f t="shared" si="83"/>
        <v>0</v>
      </c>
      <c r="Z66" s="377">
        <f t="shared" si="44"/>
        <v>0</v>
      </c>
      <c r="AA66" s="377">
        <f t="shared" si="45"/>
        <v>0</v>
      </c>
      <c r="AB66" s="377">
        <f t="shared" si="46"/>
        <v>0</v>
      </c>
      <c r="AC66" s="377">
        <f t="shared" si="47"/>
        <v>0</v>
      </c>
      <c r="AD66" s="361" t="str">
        <f t="shared" si="48"/>
        <v xml:space="preserve">          0</v>
      </c>
      <c r="AE66" s="361" t="str">
        <f t="shared" si="49"/>
        <v xml:space="preserve">          0</v>
      </c>
      <c r="AF66" s="361" t="str">
        <f t="shared" si="50"/>
        <v xml:space="preserve">          0</v>
      </c>
      <c r="AG66" s="361" t="str">
        <f t="shared" si="51"/>
        <v xml:space="preserve">          0</v>
      </c>
      <c r="AL66" s="388">
        <f>SUM(ANALYTIKAVUJ!M133+ANALYTIKAVUJ!M40)</f>
        <v>0</v>
      </c>
      <c r="AN66" s="388">
        <f t="shared" si="84"/>
        <v>0</v>
      </c>
      <c r="AP66" s="389">
        <f t="shared" si="85"/>
        <v>0</v>
      </c>
      <c r="AR66" s="389">
        <f t="shared" si="86"/>
        <v>0</v>
      </c>
      <c r="AS66" s="388">
        <f t="shared" si="87"/>
        <v>0</v>
      </c>
    </row>
    <row r="67" spans="2:45" outlineLevel="1" x14ac:dyDescent="0.25">
      <c r="B67" s="369" t="s">
        <v>1218</v>
      </c>
      <c r="C67" s="85" t="s">
        <v>2178</v>
      </c>
      <c r="D67" s="385" t="str">
        <f>IF(VLOOKUP($B67,suvaha_p!$A:$G,1)=$B67,VLOOKUP($B67,suvaha_p!$A:$G,$B$1),0)</f>
        <v>Iné pohľadávky (335A, 33XA, 371A, 374A, 375A,  378A)
- /391A/</v>
      </c>
      <c r="E67" s="386" t="s">
        <v>1218</v>
      </c>
      <c r="G67" s="388">
        <f>SUM(ANALYTIKAVUJ!K5+ANALYTIKAVUJ!K28+ANALYTIKAVUJ!K32+ANALYTIKAVUJ!K36+ANALYTIKAVUJ!K41+ANALYTIKAVUJ!K45+ANALYTIKAVUJ!K134)</f>
        <v>2626.02</v>
      </c>
      <c r="I67" s="388">
        <f t="shared" si="76"/>
        <v>2626</v>
      </c>
      <c r="K67" s="389">
        <f t="shared" si="77"/>
        <v>0</v>
      </c>
      <c r="L67" s="388">
        <f>SUM(ANALYTIKAVUJ!K76)*-1</f>
        <v>0</v>
      </c>
      <c r="M67" s="389">
        <f t="shared" si="78"/>
        <v>0</v>
      </c>
      <c r="N67" s="389">
        <f t="shared" si="79"/>
        <v>2626</v>
      </c>
      <c r="Q67" s="389">
        <f>SUM(ANALYTIKAVUJ!L5+ANALYTIKAVUJ!L28+ANALYTIKAVUJ!L32+ANALYTIKAVUJ!L36+ANALYTIKAVUJ!L41+ANALYTIKAVUJ!L45+ANALYTIKAVUJ!L134)</f>
        <v>-334.42000000000007</v>
      </c>
      <c r="S67" s="389">
        <f t="shared" si="80"/>
        <v>-334.42000000000007</v>
      </c>
      <c r="U67" s="389">
        <f t="shared" si="81"/>
        <v>0</v>
      </c>
      <c r="V67" s="389">
        <f>SUM(ANALYTIKAVUJ!L76)*-1</f>
        <v>0</v>
      </c>
      <c r="W67" s="389">
        <f t="shared" si="82"/>
        <v>0</v>
      </c>
      <c r="X67" s="389">
        <f t="shared" si="83"/>
        <v>-334</v>
      </c>
      <c r="Z67" s="377">
        <f t="shared" ref="Z67:Z81" si="88">ROUND(I67,0)</f>
        <v>2626</v>
      </c>
      <c r="AA67" s="377">
        <f t="shared" ref="AA67:AA81" si="89">ROUND(K67+M67,0)</f>
        <v>0</v>
      </c>
      <c r="AB67" s="377">
        <f t="shared" ref="AB67:AB98" si="90">ROUND(N67,0)</f>
        <v>2626</v>
      </c>
      <c r="AC67" s="377">
        <f t="shared" ref="AC67:AC98" si="91">ROUND(X67,0)</f>
        <v>-334</v>
      </c>
      <c r="AD67" s="361" t="str">
        <f t="shared" ref="AD67:AD98" si="92">REPT(" ",11-LEN(Z67))&amp;Z67</f>
        <v xml:space="preserve">       2626</v>
      </c>
      <c r="AE67" s="361" t="str">
        <f t="shared" ref="AE67:AE98" si="93">REPT(" ",11-LEN(AA67))&amp;AA67</f>
        <v xml:space="preserve">          0</v>
      </c>
      <c r="AF67" s="361" t="str">
        <f t="shared" ref="AF67:AF98" si="94">REPT(" ",11-LEN(AB67))&amp;AB67</f>
        <v xml:space="preserve">       2626</v>
      </c>
      <c r="AG67" s="361" t="str">
        <f t="shared" ref="AG67:AG98" si="95">REPT(" ",11-LEN(AC67))&amp;AC67</f>
        <v xml:space="preserve">       -334</v>
      </c>
      <c r="AL67" s="388">
        <f>SUM(ANALYTIKAVUJ!M5+ANALYTIKAVUJ!M28+ANALYTIKAVUJ!M32+ANALYTIKAVUJ!M36+ANALYTIKAVUJ!M41+ANALYTIKAVUJ!M45+ANALYTIKAVUJ!M134)</f>
        <v>-402.11</v>
      </c>
      <c r="AN67" s="388">
        <f t="shared" si="84"/>
        <v>-402.11</v>
      </c>
      <c r="AP67" s="389">
        <f t="shared" si="85"/>
        <v>0</v>
      </c>
      <c r="AQ67" s="388">
        <f>SUM(ANALYTIKAVUJ!AP76)*-1</f>
        <v>0</v>
      </c>
      <c r="AR67" s="389">
        <f t="shared" si="86"/>
        <v>0</v>
      </c>
      <c r="AS67" s="388">
        <f t="shared" si="87"/>
        <v>-402</v>
      </c>
    </row>
    <row r="68" spans="2:45" outlineLevel="1" x14ac:dyDescent="0.25">
      <c r="B68" s="369" t="s">
        <v>2206</v>
      </c>
      <c r="C68" s="85" t="s">
        <v>2207</v>
      </c>
      <c r="D68" s="384" t="str">
        <f>IF(VLOOKUP($B68,suvaha_p!$A:$G,1)=$B68,VLOOKUP($B68,suvaha_p!$A:$G,$B$1),0)</f>
        <v>Krátkodobý finančný majetok súčet (r . 67 až r. 70)</v>
      </c>
      <c r="E68" s="370" t="s">
        <v>2206</v>
      </c>
      <c r="F68" s="370"/>
      <c r="I68" s="379">
        <f>SUM(I69:I72)</f>
        <v>0</v>
      </c>
      <c r="J68" s="380"/>
      <c r="K68" s="379">
        <f>SUM(K69:K72)</f>
        <v>0</v>
      </c>
      <c r="L68" s="379"/>
      <c r="M68" s="379">
        <f>SUM(M69:M72)</f>
        <v>0</v>
      </c>
      <c r="N68" s="382">
        <f>SUM(N69:N72)</f>
        <v>0</v>
      </c>
      <c r="P68" s="383"/>
      <c r="S68" s="382">
        <f>SUM(S69:S72)</f>
        <v>0</v>
      </c>
      <c r="T68" s="382"/>
      <c r="U68" s="382">
        <f>SUM(U69:U72)</f>
        <v>0</v>
      </c>
      <c r="V68" s="382"/>
      <c r="W68" s="382">
        <f>SUM(W69:W72)</f>
        <v>0</v>
      </c>
      <c r="X68" s="382">
        <f>SUM(X69:X72)</f>
        <v>0</v>
      </c>
      <c r="Z68" s="377">
        <f t="shared" si="88"/>
        <v>0</v>
      </c>
      <c r="AA68" s="377">
        <f t="shared" si="89"/>
        <v>0</v>
      </c>
      <c r="AB68" s="377">
        <f t="shared" si="90"/>
        <v>0</v>
      </c>
      <c r="AC68" s="377">
        <f t="shared" si="91"/>
        <v>0</v>
      </c>
      <c r="AD68" s="361" t="str">
        <f t="shared" si="92"/>
        <v xml:space="preserve">          0</v>
      </c>
      <c r="AE68" s="361" t="str">
        <f t="shared" si="93"/>
        <v xml:space="preserve">          0</v>
      </c>
      <c r="AF68" s="361" t="str">
        <f t="shared" si="94"/>
        <v xml:space="preserve">          0</v>
      </c>
      <c r="AG68" s="361" t="str">
        <f t="shared" si="95"/>
        <v xml:space="preserve">          0</v>
      </c>
      <c r="AK68" s="370"/>
      <c r="AN68" s="379">
        <f>SUM(AN69:AN72)</f>
        <v>0</v>
      </c>
      <c r="AO68" s="380"/>
      <c r="AP68" s="379">
        <f>SUM(AP69:AP72)</f>
        <v>0</v>
      </c>
      <c r="AQ68" s="379"/>
      <c r="AR68" s="379">
        <f>SUM(AR69:AR72)</f>
        <v>0</v>
      </c>
      <c r="AS68" s="379">
        <f>SUM(AS69:AS72)</f>
        <v>0</v>
      </c>
    </row>
    <row r="69" spans="2:45" outlineLevel="1" x14ac:dyDescent="0.25">
      <c r="B69" s="369" t="s">
        <v>2208</v>
      </c>
      <c r="C69" s="85" t="s">
        <v>2209</v>
      </c>
      <c r="D69" s="385" t="str">
        <f>IF(VLOOKUP($B69,suvaha_p!$A:$G,1)=$B69,VLOOKUP($B69,suvaha_p!$A:$G,$B$1),0)</f>
        <v>Krátkodobý finančný majetok v prepojených účtovných jednotkách (251A, 253A, 256A, 257A, 25XA)
- /291A, 29XA/</v>
      </c>
      <c r="E69" s="386" t="s">
        <v>2208</v>
      </c>
      <c r="G69" s="388">
        <f>SUM(ANALYTIKAVUJ!C57+ANALYTIKAVUJ!C61+ANALYTIKAVUJ!C65+ANALYTIKAVUJ!C69)</f>
        <v>0</v>
      </c>
      <c r="I69" s="388">
        <f>ROUND(SUM(F69:H69),0)</f>
        <v>0</v>
      </c>
      <c r="K69" s="389">
        <f>ROUND(SUM(J69),0)</f>
        <v>0</v>
      </c>
      <c r="L69" s="389">
        <f>SUM(ANALYTIKAVUJ!C73)*-1</f>
        <v>0</v>
      </c>
      <c r="M69" s="389">
        <f>ROUND(SUM(L69),0)</f>
        <v>0</v>
      </c>
      <c r="N69" s="389">
        <f>SUM(I69-K69-M69)</f>
        <v>0</v>
      </c>
      <c r="Q69" s="389">
        <f>SUM(ANALYTIKAVUJ!D57+ANALYTIKAVUJ!D61+ANALYTIKAVUJ!D65+ANALYTIKAVUJ!D69)</f>
        <v>0</v>
      </c>
      <c r="S69" s="389">
        <f>SUM(P69:R69)</f>
        <v>0</v>
      </c>
      <c r="U69" s="389">
        <f>SUM(T69)</f>
        <v>0</v>
      </c>
      <c r="V69" s="389">
        <f>SUM(ANALYTIKAVUJ!D73)*-1</f>
        <v>0</v>
      </c>
      <c r="W69" s="389">
        <f>SUM(V69)</f>
        <v>0</v>
      </c>
      <c r="X69" s="389">
        <f>ROUND((S69-U69-W69),0)</f>
        <v>0</v>
      </c>
      <c r="Z69" s="377">
        <f t="shared" si="88"/>
        <v>0</v>
      </c>
      <c r="AA69" s="377">
        <f t="shared" si="89"/>
        <v>0</v>
      </c>
      <c r="AB69" s="377">
        <f t="shared" si="90"/>
        <v>0</v>
      </c>
      <c r="AC69" s="377">
        <f t="shared" si="91"/>
        <v>0</v>
      </c>
      <c r="AD69" s="361" t="str">
        <f t="shared" si="92"/>
        <v xml:space="preserve">          0</v>
      </c>
      <c r="AE69" s="361" t="str">
        <f t="shared" si="93"/>
        <v xml:space="preserve">          0</v>
      </c>
      <c r="AF69" s="361" t="str">
        <f t="shared" si="94"/>
        <v xml:space="preserve">          0</v>
      </c>
      <c r="AG69" s="361" t="str">
        <f t="shared" si="95"/>
        <v xml:space="preserve">          0</v>
      </c>
      <c r="AL69" s="388">
        <f>SUM(ANALYTIKAVUJ!E57+ANALYTIKAVUJ!E61+ANALYTIKAVUJ!E65+ANALYTIKAVUJ!E69)</f>
        <v>0</v>
      </c>
      <c r="AN69" s="388">
        <f>SUM(AK69:AM69)</f>
        <v>0</v>
      </c>
      <c r="AP69" s="389">
        <f>SUM(AO69)</f>
        <v>0</v>
      </c>
      <c r="AQ69" s="389">
        <f>SUM(ANALYTIKAVUJ!E73)*-1</f>
        <v>0</v>
      </c>
      <c r="AR69" s="389">
        <f>SUM(AQ69)</f>
        <v>0</v>
      </c>
      <c r="AS69" s="388">
        <f>ROUND((AN69-AP69-AR69),0)</f>
        <v>0</v>
      </c>
    </row>
    <row r="70" spans="2:45" outlineLevel="1" x14ac:dyDescent="0.25">
      <c r="B70" s="369" t="s">
        <v>2210</v>
      </c>
      <c r="C70" s="85" t="s">
        <v>2166</v>
      </c>
      <c r="D70" s="385" t="str">
        <f>IF(VLOOKUP($B70,suvaha_p!$A:$G,1)=$B70,VLOOKUP($B70,suvaha_p!$A:$G,$B$1),0)</f>
        <v>Krátkodobý finančný majetok bez krátkodobého finančného majetku v prepojených účtovných jednotkách (251A, 253A, 256A, 257A, 25XA)
- /291A, 29XA/</v>
      </c>
      <c r="E70" s="386" t="s">
        <v>2210</v>
      </c>
      <c r="G70" s="388">
        <f>SUM(ANALYTIKAVUJ!C58+ANALYTIKAVUJ!C62+ANALYTIKAVUJ!C66+ANALYTIKAVUJ!C70)</f>
        <v>0</v>
      </c>
      <c r="I70" s="388">
        <f>ROUND(SUM(F70:H70),0)</f>
        <v>0</v>
      </c>
      <c r="K70" s="389">
        <f>ROUND(SUM(J70),0)</f>
        <v>0</v>
      </c>
      <c r="L70" s="389">
        <f>SUM(ANALYTIKAVUJ!C74)*-1</f>
        <v>0</v>
      </c>
      <c r="M70" s="389">
        <f>ROUND(SUM(L70),0)</f>
        <v>0</v>
      </c>
      <c r="N70" s="389">
        <f>SUM(I70-K70-M70)</f>
        <v>0</v>
      </c>
      <c r="Q70" s="389">
        <f>SUM(ANALYTIKAVUJ!D58+ANALYTIKAVUJ!D62+ANALYTIKAVUJ!D66+ANALYTIKAVUJ!D70)</f>
        <v>0</v>
      </c>
      <c r="S70" s="389">
        <f>SUM(P70:R70)</f>
        <v>0</v>
      </c>
      <c r="U70" s="389">
        <f>SUM(T70)</f>
        <v>0</v>
      </c>
      <c r="V70" s="389">
        <f>SUM(ANALYTIKAVUJ!D74)*-1</f>
        <v>0</v>
      </c>
      <c r="W70" s="389">
        <f>SUM(V70)</f>
        <v>0</v>
      </c>
      <c r="X70" s="389">
        <f>ROUND((S70-U70-W70),0)</f>
        <v>0</v>
      </c>
      <c r="Z70" s="377">
        <f t="shared" si="88"/>
        <v>0</v>
      </c>
      <c r="AA70" s="377">
        <f t="shared" si="89"/>
        <v>0</v>
      </c>
      <c r="AB70" s="377">
        <f t="shared" si="90"/>
        <v>0</v>
      </c>
      <c r="AC70" s="377">
        <f t="shared" si="91"/>
        <v>0</v>
      </c>
      <c r="AD70" s="361" t="str">
        <f t="shared" si="92"/>
        <v xml:space="preserve">          0</v>
      </c>
      <c r="AE70" s="361" t="str">
        <f t="shared" si="93"/>
        <v xml:space="preserve">          0</v>
      </c>
      <c r="AF70" s="361" t="str">
        <f t="shared" si="94"/>
        <v xml:space="preserve">          0</v>
      </c>
      <c r="AG70" s="361" t="str">
        <f t="shared" si="95"/>
        <v xml:space="preserve">          0</v>
      </c>
      <c r="AL70" s="388">
        <f>SUM(ANALYTIKAVUJ!E58+ANALYTIKAVUJ!E62+ANALYTIKAVUJ!E66+ANALYTIKAVUJ!E70)</f>
        <v>0</v>
      </c>
      <c r="AN70" s="388">
        <f>SUM(AK70:AM70)</f>
        <v>0</v>
      </c>
      <c r="AP70" s="389">
        <f>SUM(AO70)</f>
        <v>0</v>
      </c>
      <c r="AQ70" s="389">
        <f>SUM(ANALYTIKAVUJ!E74)*-1</f>
        <v>0</v>
      </c>
      <c r="AR70" s="389">
        <f>SUM(AQ70)</f>
        <v>0</v>
      </c>
      <c r="AS70" s="388">
        <f>ROUND((AN70-AP70-AR70),0)</f>
        <v>0</v>
      </c>
    </row>
    <row r="71" spans="2:45" outlineLevel="1" x14ac:dyDescent="0.25">
      <c r="B71" s="369" t="s">
        <v>2211</v>
      </c>
      <c r="C71" s="85" t="s">
        <v>2167</v>
      </c>
      <c r="D71" s="385" t="str">
        <f>IF(VLOOKUP($B71,suvaha_p!$A:$G,1)=$B71,VLOOKUP($B71,suvaha_p!$A:$G,$B$1),0)</f>
        <v>Vlastné akcie a vlastné obchodné podiely (252)</v>
      </c>
      <c r="E71" s="386" t="s">
        <v>2211</v>
      </c>
      <c r="F71" s="388">
        <f>SUM('HL KNIHA VYPOC'!G126)</f>
        <v>0</v>
      </c>
      <c r="I71" s="388">
        <f>ROUND(SUM(F71:H71),0)</f>
        <v>0</v>
      </c>
      <c r="K71" s="389">
        <f>ROUND(SUM(J71),0)</f>
        <v>0</v>
      </c>
      <c r="L71" s="389"/>
      <c r="M71" s="389">
        <f>ROUND(SUM(L71),0)</f>
        <v>0</v>
      </c>
      <c r="N71" s="389">
        <f>SUM(I71-K71-M71)</f>
        <v>0</v>
      </c>
      <c r="P71" s="389">
        <f>SUM('HL KNIHA VYPOC'!K126)</f>
        <v>0</v>
      </c>
      <c r="S71" s="389">
        <f>SUM(P71:R71)</f>
        <v>0</v>
      </c>
      <c r="U71" s="389">
        <f>SUM(T71)</f>
        <v>0</v>
      </c>
      <c r="W71" s="389">
        <f>SUM(V71)</f>
        <v>0</v>
      </c>
      <c r="X71" s="389">
        <f>ROUND((S71-U71-W71),0)</f>
        <v>0</v>
      </c>
      <c r="Z71" s="377">
        <f t="shared" si="88"/>
        <v>0</v>
      </c>
      <c r="AA71" s="377">
        <f t="shared" si="89"/>
        <v>0</v>
      </c>
      <c r="AB71" s="377">
        <f t="shared" si="90"/>
        <v>0</v>
      </c>
      <c r="AC71" s="377">
        <f t="shared" si="91"/>
        <v>0</v>
      </c>
      <c r="AD71" s="361" t="str">
        <f t="shared" si="92"/>
        <v xml:space="preserve">          0</v>
      </c>
      <c r="AE71" s="361" t="str">
        <f t="shared" si="93"/>
        <v xml:space="preserve">          0</v>
      </c>
      <c r="AF71" s="361" t="str">
        <f t="shared" si="94"/>
        <v xml:space="preserve">          0</v>
      </c>
      <c r="AG71" s="361" t="str">
        <f t="shared" si="95"/>
        <v xml:space="preserve">          0</v>
      </c>
      <c r="AK71" s="388">
        <f>SUM('HL KNIHA VYPOC'!H126)</f>
        <v>0</v>
      </c>
      <c r="AN71" s="388">
        <f>SUM(AK71:AM71)</f>
        <v>0</v>
      </c>
      <c r="AP71" s="389">
        <f>SUM(AO71)</f>
        <v>0</v>
      </c>
      <c r="AQ71" s="389"/>
      <c r="AR71" s="389">
        <f>SUM(AQ71)</f>
        <v>0</v>
      </c>
      <c r="AS71" s="388">
        <f>ROUND((AN71-AP71-AR71),0)</f>
        <v>0</v>
      </c>
    </row>
    <row r="72" spans="2:45" outlineLevel="1" x14ac:dyDescent="0.25">
      <c r="B72" s="369" t="s">
        <v>1257</v>
      </c>
      <c r="C72" s="85" t="s">
        <v>2168</v>
      </c>
      <c r="D72" s="385" t="str">
        <f>IF(VLOOKUP($B72,suvaha_p!$A:$G,1)=$B72,VLOOKUP($B72,suvaha_p!$A:$G,$B$1),0)</f>
        <v>Obstarávaný krátkodobý finančný majetok 
(259, 314A) - /291A/</v>
      </c>
      <c r="E72" s="386" t="s">
        <v>1257</v>
      </c>
      <c r="F72" s="387">
        <f>SUM('HL KNIHA VYPOC'!G131)</f>
        <v>0</v>
      </c>
      <c r="G72" s="388">
        <f>SUM(ANALYTIKAVUJ!K94)</f>
        <v>0</v>
      </c>
      <c r="I72" s="388">
        <f>ROUND(SUM(F72:H72),0)</f>
        <v>0</v>
      </c>
      <c r="K72" s="389">
        <f>ROUND(SUM(J72),0)</f>
        <v>0</v>
      </c>
      <c r="L72" s="389">
        <f>SUM(ANALYTIKAVUJ!C75)*-1</f>
        <v>0</v>
      </c>
      <c r="M72" s="389">
        <f>ROUND(SUM(L72),0)</f>
        <v>0</v>
      </c>
      <c r="N72" s="389">
        <f>SUM(I72-K72-M72)</f>
        <v>0</v>
      </c>
      <c r="P72" s="390">
        <f>SUM('HL KNIHA VYPOC'!K131)</f>
        <v>0</v>
      </c>
      <c r="Q72" s="389">
        <f>SUM(ANALYTIKAVUJ!L94)</f>
        <v>0</v>
      </c>
      <c r="S72" s="389">
        <f>SUM(P72:R72)</f>
        <v>0</v>
      </c>
      <c r="U72" s="389">
        <f>SUM(T72)</f>
        <v>0</v>
      </c>
      <c r="V72" s="389">
        <f>SUM(ANALYTIKAVUJ!D75)*-1</f>
        <v>0</v>
      </c>
      <c r="W72" s="389">
        <f>SUM(V72)</f>
        <v>0</v>
      </c>
      <c r="X72" s="389">
        <f>ROUND((S72-U72-W72),0)</f>
        <v>0</v>
      </c>
      <c r="Z72" s="377">
        <f t="shared" si="88"/>
        <v>0</v>
      </c>
      <c r="AA72" s="377">
        <f t="shared" si="89"/>
        <v>0</v>
      </c>
      <c r="AB72" s="377">
        <f t="shared" si="90"/>
        <v>0</v>
      </c>
      <c r="AC72" s="377">
        <f t="shared" si="91"/>
        <v>0</v>
      </c>
      <c r="AD72" s="361" t="str">
        <f t="shared" si="92"/>
        <v xml:space="preserve">          0</v>
      </c>
      <c r="AE72" s="361" t="str">
        <f t="shared" si="93"/>
        <v xml:space="preserve">          0</v>
      </c>
      <c r="AF72" s="361" t="str">
        <f t="shared" si="94"/>
        <v xml:space="preserve">          0</v>
      </c>
      <c r="AG72" s="361" t="str">
        <f t="shared" si="95"/>
        <v xml:space="preserve">          0</v>
      </c>
      <c r="AK72" s="387">
        <f>SUM('HL KNIHA VYPOC'!H131)</f>
        <v>0</v>
      </c>
      <c r="AL72" s="388">
        <f>SUM(ANALYTIKAVUJ!M94)</f>
        <v>0</v>
      </c>
      <c r="AN72" s="388">
        <f>SUM(AK72:AM72)</f>
        <v>0</v>
      </c>
      <c r="AP72" s="389">
        <f>SUM(AO72)</f>
        <v>0</v>
      </c>
      <c r="AQ72" s="389">
        <f>SUM(ANALYTIKAVUJ!E75)*-1</f>
        <v>0</v>
      </c>
      <c r="AR72" s="389">
        <f>SUM(AQ72)</f>
        <v>0</v>
      </c>
      <c r="AS72" s="388">
        <f>ROUND((AN72-AP72-AR72),0)</f>
        <v>0</v>
      </c>
    </row>
    <row r="73" spans="2:45" outlineLevel="1" x14ac:dyDescent="0.25">
      <c r="B73" s="369" t="s">
        <v>2212</v>
      </c>
      <c r="C73" s="85" t="s">
        <v>2213</v>
      </c>
      <c r="D73" s="359" t="str">
        <f>IF(VLOOKUP($B73,suvaha_p!$A:$G,1)=$B73,VLOOKUP($B73,suvaha_p!$A:$G,$B$1),0)</f>
        <v>Finančné účty r. 72 + r. 73</v>
      </c>
      <c r="E73" s="370" t="s">
        <v>2212</v>
      </c>
      <c r="F73" s="370"/>
      <c r="I73" s="379">
        <f>SUM(I74:I75)</f>
        <v>17088</v>
      </c>
      <c r="K73" s="379">
        <f>SUM(K74:K75)</f>
        <v>0</v>
      </c>
      <c r="L73" s="389"/>
      <c r="M73" s="379">
        <f>SUM(M74:M75)</f>
        <v>0</v>
      </c>
      <c r="N73" s="382">
        <f>SUM(N74:N75)</f>
        <v>17088</v>
      </c>
      <c r="P73" s="383"/>
      <c r="S73" s="382">
        <f>SUM(S74:S75)</f>
        <v>20278.18</v>
      </c>
      <c r="U73" s="382">
        <f>SUM(U74:U75)</f>
        <v>0</v>
      </c>
      <c r="W73" s="382">
        <f>SUM(W74:W75)</f>
        <v>0</v>
      </c>
      <c r="X73" s="382">
        <f>SUM(X74:X75)</f>
        <v>20278</v>
      </c>
      <c r="Z73" s="377">
        <f t="shared" si="88"/>
        <v>17088</v>
      </c>
      <c r="AA73" s="377">
        <f t="shared" si="89"/>
        <v>0</v>
      </c>
      <c r="AB73" s="377">
        <f t="shared" si="90"/>
        <v>17088</v>
      </c>
      <c r="AC73" s="377">
        <f t="shared" si="91"/>
        <v>20278</v>
      </c>
      <c r="AD73" s="361" t="str">
        <f t="shared" si="92"/>
        <v xml:space="preserve">      17088</v>
      </c>
      <c r="AE73" s="361" t="str">
        <f t="shared" si="93"/>
        <v xml:space="preserve">          0</v>
      </c>
      <c r="AF73" s="361" t="str">
        <f t="shared" si="94"/>
        <v xml:space="preserve">      17088</v>
      </c>
      <c r="AG73" s="361" t="str">
        <f t="shared" si="95"/>
        <v xml:space="preserve">      20278</v>
      </c>
      <c r="AK73" s="370"/>
      <c r="AN73" s="379">
        <f>SUM(AN74:AN75)</f>
        <v>-1131.23</v>
      </c>
      <c r="AP73" s="379">
        <f>SUM(AP74:AP75)</f>
        <v>0</v>
      </c>
      <c r="AQ73" s="389"/>
      <c r="AR73" s="379">
        <f>SUM(AR74:AR75)</f>
        <v>0</v>
      </c>
      <c r="AS73" s="379">
        <f>SUM(AS74:AS75)</f>
        <v>-1131</v>
      </c>
    </row>
    <row r="74" spans="2:45" outlineLevel="1" x14ac:dyDescent="0.25">
      <c r="B74" s="369" t="s">
        <v>2214</v>
      </c>
      <c r="C74" s="85" t="s">
        <v>2215</v>
      </c>
      <c r="D74" s="362" t="str">
        <f>IF(VLOOKUP($B74,suvaha_p!$A:$G,1)=$B74,VLOOKUP($B74,suvaha_p!$A:$G,$B$1),0)</f>
        <v>Peniaze (211, 213, 21X)</v>
      </c>
      <c r="E74" s="386" t="s">
        <v>2214</v>
      </c>
      <c r="F74" s="387">
        <f>SUM('HL KNIHA VYPOC'!G110+'HL KNIHA VYPOC'!G111)</f>
        <v>17088.290000000008</v>
      </c>
      <c r="I74" s="388">
        <f>ROUND(SUM(F74:H74),0)</f>
        <v>17088</v>
      </c>
      <c r="K74" s="389">
        <f>ROUND(SUM(J74),0)</f>
        <v>0</v>
      </c>
      <c r="L74" s="389"/>
      <c r="M74" s="389">
        <f>ROUND(SUM(L74),0)</f>
        <v>0</v>
      </c>
      <c r="N74" s="389">
        <f>SUM(I74-K74-M74)</f>
        <v>17088</v>
      </c>
      <c r="P74" s="390">
        <f>SUM('HL KNIHA VYPOC'!K110+'HL KNIHA VYPOC'!K111)</f>
        <v>20278.18</v>
      </c>
      <c r="S74" s="389">
        <f>SUM(P74:R74)</f>
        <v>20278.18</v>
      </c>
      <c r="U74" s="389">
        <f>SUM(T74)</f>
        <v>0</v>
      </c>
      <c r="W74" s="389">
        <f>SUM(V74)</f>
        <v>0</v>
      </c>
      <c r="X74" s="389">
        <f>ROUND((S74-U74-W74),0)</f>
        <v>20278</v>
      </c>
      <c r="Z74" s="377">
        <f t="shared" si="88"/>
        <v>17088</v>
      </c>
      <c r="AA74" s="377">
        <f t="shared" si="89"/>
        <v>0</v>
      </c>
      <c r="AB74" s="377">
        <f t="shared" si="90"/>
        <v>17088</v>
      </c>
      <c r="AC74" s="377">
        <f t="shared" si="91"/>
        <v>20278</v>
      </c>
      <c r="AD74" s="361" t="str">
        <f t="shared" si="92"/>
        <v xml:space="preserve">      17088</v>
      </c>
      <c r="AE74" s="361" t="str">
        <f t="shared" si="93"/>
        <v xml:space="preserve">          0</v>
      </c>
      <c r="AF74" s="361" t="str">
        <f t="shared" si="94"/>
        <v xml:space="preserve">      17088</v>
      </c>
      <c r="AG74" s="361" t="str">
        <f t="shared" si="95"/>
        <v xml:space="preserve">      20278</v>
      </c>
      <c r="AK74" s="387">
        <f>SUM('HL KNIHA VYPOC'!H110+'HL KNIHA VYPOC'!H111)</f>
        <v>-1131.23</v>
      </c>
      <c r="AN74" s="388">
        <f>SUM(AK74:AM74)</f>
        <v>-1131.23</v>
      </c>
      <c r="AP74" s="389">
        <f>SUM(AO74)</f>
        <v>0</v>
      </c>
      <c r="AQ74" s="389"/>
      <c r="AR74" s="389">
        <f>SUM(AQ74)</f>
        <v>0</v>
      </c>
      <c r="AS74" s="388">
        <f>ROUND((AN74-AP74-AR74),0)</f>
        <v>-1131</v>
      </c>
    </row>
    <row r="75" spans="2:45" outlineLevel="1" x14ac:dyDescent="0.25">
      <c r="B75" s="369" t="s">
        <v>2216</v>
      </c>
      <c r="C75" s="85" t="s">
        <v>2166</v>
      </c>
      <c r="D75" s="362" t="str">
        <f>IF(VLOOKUP($B75,suvaha_p!$A:$G,1)=$B75,VLOOKUP($B75,suvaha_p!$A:$G,$B$1),0)</f>
        <v>Účty v bankách (221A, 22X, +/- 261)</v>
      </c>
      <c r="E75" s="386" t="s">
        <v>2216</v>
      </c>
      <c r="F75" s="387">
        <f>SUM('HL KNIHA VYPOC'!G134)</f>
        <v>0</v>
      </c>
      <c r="G75" s="388">
        <f>SUM(ANALYTIKAVUJ!C109)</f>
        <v>0</v>
      </c>
      <c r="I75" s="388">
        <f>ROUND(SUM(F75:H75),0)</f>
        <v>0</v>
      </c>
      <c r="K75" s="389">
        <f>ROUND(SUM(J75),0)</f>
        <v>0</v>
      </c>
      <c r="L75" s="389"/>
      <c r="M75" s="389">
        <f>ROUND(SUM(L75),0)</f>
        <v>0</v>
      </c>
      <c r="N75" s="389">
        <f>SUM(I75-K75-M75)</f>
        <v>0</v>
      </c>
      <c r="P75" s="390">
        <f>SUM('HL KNIHA VYPOC'!K134)</f>
        <v>0</v>
      </c>
      <c r="Q75" s="389">
        <f>SUM(ANALYTIKAVUJ!D109)</f>
        <v>0</v>
      </c>
      <c r="S75" s="389">
        <f>SUM(P75:R75)</f>
        <v>0</v>
      </c>
      <c r="U75" s="389">
        <f>SUM(T75)</f>
        <v>0</v>
      </c>
      <c r="W75" s="389">
        <f>SUM(V75)</f>
        <v>0</v>
      </c>
      <c r="X75" s="389">
        <f>ROUND((S75-U75-W75),0)</f>
        <v>0</v>
      </c>
      <c r="Z75" s="377">
        <f t="shared" si="88"/>
        <v>0</v>
      </c>
      <c r="AA75" s="377">
        <f t="shared" si="89"/>
        <v>0</v>
      </c>
      <c r="AB75" s="377">
        <f t="shared" si="90"/>
        <v>0</v>
      </c>
      <c r="AC75" s="377">
        <f t="shared" si="91"/>
        <v>0</v>
      </c>
      <c r="AD75" s="361" t="str">
        <f t="shared" si="92"/>
        <v xml:space="preserve">          0</v>
      </c>
      <c r="AE75" s="361" t="str">
        <f t="shared" si="93"/>
        <v xml:space="preserve">          0</v>
      </c>
      <c r="AF75" s="361" t="str">
        <f t="shared" si="94"/>
        <v xml:space="preserve">          0</v>
      </c>
      <c r="AG75" s="361" t="str">
        <f t="shared" si="95"/>
        <v xml:space="preserve">          0</v>
      </c>
      <c r="AK75" s="387">
        <f>SUM('HL KNIHA VYPOC'!H134)</f>
        <v>0</v>
      </c>
      <c r="AL75" s="388">
        <f>SUM(ANALYTIKAVUJ!E109)</f>
        <v>0</v>
      </c>
      <c r="AN75" s="388">
        <f>SUM(AK75:AM75)</f>
        <v>0</v>
      </c>
      <c r="AP75" s="389">
        <f>SUM(AO75)</f>
        <v>0</v>
      </c>
      <c r="AQ75" s="389"/>
      <c r="AR75" s="389">
        <f>SUM(AQ75)</f>
        <v>0</v>
      </c>
      <c r="AS75" s="388">
        <f>ROUND((AN75-AP75-AR75),0)</f>
        <v>0</v>
      </c>
    </row>
    <row r="76" spans="2:45" x14ac:dyDescent="0.25">
      <c r="B76" s="369" t="s">
        <v>2217</v>
      </c>
      <c r="C76" s="85" t="s">
        <v>2218</v>
      </c>
      <c r="D76" s="384" t="str">
        <f>IF(VLOOKUP($B76,suvaha_p!$A:$G,1)=$B76,VLOOKUP($B76,suvaha_p!$A:$G,$B$1),0)</f>
        <v>Časové rozlíšenie súčet (r. 75 až r. 78)</v>
      </c>
      <c r="E76" s="370" t="s">
        <v>2217</v>
      </c>
      <c r="F76" s="370"/>
      <c r="I76" s="379">
        <f>SUM(I77:I80)</f>
        <v>45926</v>
      </c>
      <c r="J76" s="380"/>
      <c r="K76" s="379">
        <f>SUM(K77:K80)</f>
        <v>0</v>
      </c>
      <c r="L76" s="379"/>
      <c r="M76" s="379">
        <f>SUM(M77:M81)</f>
        <v>0</v>
      </c>
      <c r="N76" s="382">
        <f>SUM(N77:N80)</f>
        <v>45926</v>
      </c>
      <c r="P76" s="383"/>
      <c r="S76" s="382">
        <f>SUM(S77:S81)</f>
        <v>52135.519999999997</v>
      </c>
      <c r="T76" s="382"/>
      <c r="U76" s="382">
        <f>SUM(U77:U81)</f>
        <v>0</v>
      </c>
      <c r="V76" s="382"/>
      <c r="W76" s="382">
        <f>SUM(W77:W81)</f>
        <v>0</v>
      </c>
      <c r="X76" s="382">
        <f>SUM(X77:X80)</f>
        <v>52136</v>
      </c>
      <c r="Z76" s="377">
        <f t="shared" si="88"/>
        <v>45926</v>
      </c>
      <c r="AA76" s="377">
        <f t="shared" si="89"/>
        <v>0</v>
      </c>
      <c r="AB76" s="377">
        <f t="shared" si="90"/>
        <v>45926</v>
      </c>
      <c r="AC76" s="377">
        <f t="shared" si="91"/>
        <v>52136</v>
      </c>
      <c r="AD76" s="361" t="str">
        <f t="shared" si="92"/>
        <v xml:space="preserve">      45926</v>
      </c>
      <c r="AE76" s="361" t="str">
        <f t="shared" si="93"/>
        <v xml:space="preserve">          0</v>
      </c>
      <c r="AF76" s="361" t="str">
        <f t="shared" si="94"/>
        <v xml:space="preserve">      45926</v>
      </c>
      <c r="AG76" s="361" t="str">
        <f t="shared" si="95"/>
        <v xml:space="preserve">      52136</v>
      </c>
      <c r="AK76" s="370"/>
      <c r="AN76" s="379">
        <f>SUM(AN77:AN81)</f>
        <v>0</v>
      </c>
      <c r="AO76" s="380"/>
      <c r="AP76" s="379">
        <f>SUM(AP77:AP81)</f>
        <v>0</v>
      </c>
      <c r="AQ76" s="379"/>
      <c r="AR76" s="379">
        <f>SUM(AR77:AR81)</f>
        <v>0</v>
      </c>
      <c r="AS76" s="379">
        <f>SUM(AS77:AS80)</f>
        <v>0</v>
      </c>
    </row>
    <row r="77" spans="2:45" outlineLevel="1" x14ac:dyDescent="0.25">
      <c r="B77" s="369" t="s">
        <v>2219</v>
      </c>
      <c r="C77" s="85" t="s">
        <v>2220</v>
      </c>
      <c r="D77" s="362" t="str">
        <f>IF(VLOOKUP($B77,suvaha_p!$A:$G,1)=$B77,VLOOKUP($B77,suvaha_p!$A:$G,$B$1),0)</f>
        <v>Náklady budúcich období dlhodobé (381A, 382A)</v>
      </c>
      <c r="E77" s="386" t="s">
        <v>2219</v>
      </c>
      <c r="G77" s="387">
        <f>SUM(ANALYTIKAVUJ!K48+ANALYTIKAVUJ!K52)</f>
        <v>0</v>
      </c>
      <c r="I77" s="388">
        <f>ROUND(SUM(F77:H77),0)</f>
        <v>0</v>
      </c>
      <c r="K77" s="389">
        <f>ROUND(SUM(J77),0)</f>
        <v>0</v>
      </c>
      <c r="L77" s="389"/>
      <c r="M77" s="389">
        <f>ROUND(SUM(L77),0)</f>
        <v>0</v>
      </c>
      <c r="N77" s="389">
        <f>SUM(I77-K77-M77)</f>
        <v>0</v>
      </c>
      <c r="Q77" s="390">
        <f>SUM(ANALYTIKAVUJ!L48+ANALYTIKAVUJ!L52)</f>
        <v>0</v>
      </c>
      <c r="S77" s="389">
        <f>SUM(P77:R77)</f>
        <v>0</v>
      </c>
      <c r="U77" s="389">
        <f>SUM(T77)</f>
        <v>0</v>
      </c>
      <c r="W77" s="389">
        <f>SUM(V77)</f>
        <v>0</v>
      </c>
      <c r="X77" s="389">
        <f>ROUND((S77-U77-W77),0)</f>
        <v>0</v>
      </c>
      <c r="Z77" s="377">
        <f t="shared" si="88"/>
        <v>0</v>
      </c>
      <c r="AA77" s="377">
        <f t="shared" si="89"/>
        <v>0</v>
      </c>
      <c r="AB77" s="377">
        <f t="shared" si="90"/>
        <v>0</v>
      </c>
      <c r="AC77" s="377">
        <f t="shared" si="91"/>
        <v>0</v>
      </c>
      <c r="AD77" s="361" t="str">
        <f t="shared" si="92"/>
        <v xml:space="preserve">          0</v>
      </c>
      <c r="AE77" s="361" t="str">
        <f t="shared" si="93"/>
        <v xml:space="preserve">          0</v>
      </c>
      <c r="AF77" s="361" t="str">
        <f t="shared" si="94"/>
        <v xml:space="preserve">          0</v>
      </c>
      <c r="AG77" s="361" t="str">
        <f t="shared" si="95"/>
        <v xml:space="preserve">          0</v>
      </c>
      <c r="AL77" s="387">
        <f>SUM(ANALYTIKAVUJ!M48+ANALYTIKAVUJ!M52)</f>
        <v>0</v>
      </c>
      <c r="AN77" s="388">
        <f>SUM(AK77:AM77)</f>
        <v>0</v>
      </c>
      <c r="AP77" s="389">
        <f>SUM(AO77)</f>
        <v>0</v>
      </c>
      <c r="AQ77" s="389"/>
      <c r="AR77" s="389">
        <f>SUM(AQ77)</f>
        <v>0</v>
      </c>
      <c r="AS77" s="388">
        <f>ROUND((AN77-AP77-AR77),0)</f>
        <v>0</v>
      </c>
    </row>
    <row r="78" spans="2:45" outlineLevel="1" x14ac:dyDescent="0.25">
      <c r="B78" s="369" t="s">
        <v>2221</v>
      </c>
      <c r="C78" s="85" t="s">
        <v>2166</v>
      </c>
      <c r="D78" s="362" t="str">
        <f>IF(VLOOKUP($B78,suvaha_p!$A:$G,1)=$B78,VLOOKUP($B78,suvaha_p!$A:$G,$B$1),0)</f>
        <v>Náklady budúcich období krátkodobé (381A, 382A)</v>
      </c>
      <c r="E78" s="386" t="s">
        <v>2221</v>
      </c>
      <c r="G78" s="388">
        <f>SUM(ANALYTIKAVUJ!K49+ANALYTIKAVUJ!K53)</f>
        <v>0</v>
      </c>
      <c r="I78" s="388">
        <f>ROUND(SUM(F78:H78),0)</f>
        <v>0</v>
      </c>
      <c r="K78" s="389">
        <f>ROUND(SUM(J78),0)</f>
        <v>0</v>
      </c>
      <c r="L78" s="389"/>
      <c r="M78" s="389">
        <f>ROUND(SUM(L78),0)</f>
        <v>0</v>
      </c>
      <c r="N78" s="389">
        <f>SUM(I78-K78-M78)</f>
        <v>0</v>
      </c>
      <c r="Q78" s="389">
        <f>SUM(ANALYTIKAVUJ!L49+ANALYTIKAVUJ!L53)</f>
        <v>0</v>
      </c>
      <c r="S78" s="389">
        <f>SUM(P78:R78)</f>
        <v>0</v>
      </c>
      <c r="U78" s="389">
        <f>SUM(T78)</f>
        <v>0</v>
      </c>
      <c r="W78" s="389">
        <f>SUM(V78)</f>
        <v>0</v>
      </c>
      <c r="X78" s="389">
        <f>ROUND((S78-U78-W78),0)</f>
        <v>0</v>
      </c>
      <c r="Z78" s="377">
        <f t="shared" si="88"/>
        <v>0</v>
      </c>
      <c r="AA78" s="377">
        <f t="shared" si="89"/>
        <v>0</v>
      </c>
      <c r="AB78" s="377">
        <f t="shared" si="90"/>
        <v>0</v>
      </c>
      <c r="AC78" s="377">
        <f t="shared" si="91"/>
        <v>0</v>
      </c>
      <c r="AD78" s="361" t="str">
        <f t="shared" si="92"/>
        <v xml:space="preserve">          0</v>
      </c>
      <c r="AE78" s="361" t="str">
        <f t="shared" si="93"/>
        <v xml:space="preserve">          0</v>
      </c>
      <c r="AF78" s="361" t="str">
        <f t="shared" si="94"/>
        <v xml:space="preserve">          0</v>
      </c>
      <c r="AG78" s="361" t="str">
        <f t="shared" si="95"/>
        <v xml:space="preserve">          0</v>
      </c>
      <c r="AL78" s="388">
        <f>SUM(ANALYTIKAVUJ!M49+ANALYTIKAVUJ!M53)</f>
        <v>0</v>
      </c>
      <c r="AN78" s="388">
        <f>SUM(AK78:AM78)</f>
        <v>0</v>
      </c>
      <c r="AP78" s="389">
        <f>SUM(AO78)</f>
        <v>0</v>
      </c>
      <c r="AQ78" s="389"/>
      <c r="AR78" s="389">
        <f>SUM(AQ78)</f>
        <v>0</v>
      </c>
      <c r="AS78" s="388">
        <f>ROUND((AN78-AP78-AR78),0)</f>
        <v>0</v>
      </c>
    </row>
    <row r="79" spans="2:45" outlineLevel="1" x14ac:dyDescent="0.25">
      <c r="B79" s="369" t="s">
        <v>2222</v>
      </c>
      <c r="C79" s="85" t="s">
        <v>2167</v>
      </c>
      <c r="D79" s="362" t="str">
        <f>IF(VLOOKUP($B79,suvaha_p!$A:$G,1)=$B79,VLOOKUP($B79,suvaha_p!$A:$G,$B$1),0)</f>
        <v>Príjmy budúcich období dlhodobé (385A)</v>
      </c>
      <c r="E79" s="386" t="s">
        <v>2222</v>
      </c>
      <c r="G79" s="388">
        <f>SUM(ANALYTIKAVUJ!K56)</f>
        <v>0</v>
      </c>
      <c r="I79" s="388">
        <f>ROUND(SUM(F79:H79),0)</f>
        <v>0</v>
      </c>
      <c r="K79" s="389">
        <f>ROUND(SUM(J79),0)</f>
        <v>0</v>
      </c>
      <c r="L79" s="389"/>
      <c r="M79" s="389">
        <f>ROUND(SUM(L79),0)</f>
        <v>0</v>
      </c>
      <c r="N79" s="389">
        <f>SUM(I79-K79-M79)</f>
        <v>0</v>
      </c>
      <c r="Q79" s="389">
        <f>SUM(ANALYTIKAVUJ!L56)</f>
        <v>0</v>
      </c>
      <c r="S79" s="389">
        <f>SUM(P79:R79)</f>
        <v>0</v>
      </c>
      <c r="U79" s="389">
        <f>SUM(T79)</f>
        <v>0</v>
      </c>
      <c r="W79" s="389">
        <f>SUM(V79)</f>
        <v>0</v>
      </c>
      <c r="X79" s="389">
        <f>ROUND((S79-U79-W79),0)</f>
        <v>0</v>
      </c>
      <c r="Z79" s="377">
        <f t="shared" si="88"/>
        <v>0</v>
      </c>
      <c r="AA79" s="377">
        <f t="shared" si="89"/>
        <v>0</v>
      </c>
      <c r="AB79" s="377">
        <f t="shared" si="90"/>
        <v>0</v>
      </c>
      <c r="AC79" s="377">
        <f t="shared" si="91"/>
        <v>0</v>
      </c>
      <c r="AD79" s="361" t="str">
        <f t="shared" si="92"/>
        <v xml:space="preserve">          0</v>
      </c>
      <c r="AE79" s="361" t="str">
        <f t="shared" si="93"/>
        <v xml:space="preserve">          0</v>
      </c>
      <c r="AF79" s="361" t="str">
        <f t="shared" si="94"/>
        <v xml:space="preserve">          0</v>
      </c>
      <c r="AG79" s="361" t="str">
        <f t="shared" si="95"/>
        <v xml:space="preserve">          0</v>
      </c>
      <c r="AL79" s="388">
        <f>SUM(ANALYTIKAVUJ!M56)</f>
        <v>0</v>
      </c>
      <c r="AN79" s="388">
        <f>SUM(AK79:AM79)</f>
        <v>0</v>
      </c>
      <c r="AP79" s="389">
        <f>SUM(AO79)</f>
        <v>0</v>
      </c>
      <c r="AQ79" s="389"/>
      <c r="AR79" s="389">
        <f>SUM(AQ79)</f>
        <v>0</v>
      </c>
      <c r="AS79" s="388">
        <f>ROUND((AN79-AP79-AR79),0)</f>
        <v>0</v>
      </c>
    </row>
    <row r="80" spans="2:45" outlineLevel="1" x14ac:dyDescent="0.25">
      <c r="B80" s="369" t="s">
        <v>2223</v>
      </c>
      <c r="C80" s="85" t="s">
        <v>2168</v>
      </c>
      <c r="D80" s="362" t="str">
        <f>IF(VLOOKUP($B80,suvaha_p!$A:$G,1)=$B80,VLOOKUP($B80,suvaha_p!$A:$G,$B$1),0)</f>
        <v>Príjmy budúcich období krátkodobé (385A)</v>
      </c>
      <c r="E80" s="386" t="s">
        <v>2223</v>
      </c>
      <c r="G80" s="388">
        <f>SUM(ANALYTIKAVUJ!K57)</f>
        <v>45926.02</v>
      </c>
      <c r="I80" s="388">
        <f>ROUND(SUM(F80:H80),0)</f>
        <v>45926</v>
      </c>
      <c r="K80" s="389">
        <f>ROUND(SUM(J80),0)</f>
        <v>0</v>
      </c>
      <c r="L80" s="389"/>
      <c r="M80" s="389">
        <f>ROUND(SUM(L80),0)</f>
        <v>0</v>
      </c>
      <c r="N80" s="389">
        <f>SUM(I80-K80-M80)</f>
        <v>45926</v>
      </c>
      <c r="Q80" s="389">
        <f>SUM(ANALYTIKAVUJ!L57)</f>
        <v>52135.519999999997</v>
      </c>
      <c r="S80" s="389">
        <f>SUM(P80:R80)</f>
        <v>52135.519999999997</v>
      </c>
      <c r="U80" s="389">
        <f>SUM(T80)</f>
        <v>0</v>
      </c>
      <c r="W80" s="389">
        <f>SUM(V80)</f>
        <v>0</v>
      </c>
      <c r="X80" s="389">
        <f>ROUND((S80-U80-W80),0)</f>
        <v>52136</v>
      </c>
      <c r="Z80" s="377">
        <f t="shared" si="88"/>
        <v>45926</v>
      </c>
      <c r="AA80" s="377">
        <f t="shared" si="89"/>
        <v>0</v>
      </c>
      <c r="AB80" s="377">
        <f t="shared" si="90"/>
        <v>45926</v>
      </c>
      <c r="AC80" s="377">
        <f t="shared" si="91"/>
        <v>52136</v>
      </c>
      <c r="AD80" s="361" t="str">
        <f t="shared" si="92"/>
        <v xml:space="preserve">      45926</v>
      </c>
      <c r="AE80" s="361" t="str">
        <f t="shared" si="93"/>
        <v xml:space="preserve">          0</v>
      </c>
      <c r="AF80" s="361" t="str">
        <f t="shared" si="94"/>
        <v xml:space="preserve">      45926</v>
      </c>
      <c r="AG80" s="361" t="str">
        <f t="shared" si="95"/>
        <v xml:space="preserve">      52136</v>
      </c>
      <c r="AL80" s="388">
        <f>SUM(ANALYTIKAVUJ!M57)</f>
        <v>0</v>
      </c>
      <c r="AN80" s="388">
        <f>SUM(AK80:AM80)</f>
        <v>0</v>
      </c>
      <c r="AP80" s="389">
        <f>SUM(AO80)</f>
        <v>0</v>
      </c>
      <c r="AQ80" s="389"/>
      <c r="AR80" s="389">
        <f>SUM(AQ80)</f>
        <v>0</v>
      </c>
      <c r="AS80" s="388">
        <f>ROUND((AN80-AP80-AR80),0)</f>
        <v>0</v>
      </c>
    </row>
    <row r="81" spans="2:45" x14ac:dyDescent="0.25">
      <c r="B81" s="391">
        <v>79</v>
      </c>
      <c r="D81" s="359" t="str">
        <f>IF(VLOOKUP($B81,suvaha_p!$A:$G,1)=$B81,VLOOKUP($B81,suvaha_p!$A:$G,$B$1),0)</f>
        <v>Spolu vlastné imanie a záväzky r. 80 + r. 101 + r. 141</v>
      </c>
      <c r="E81" s="370" t="s">
        <v>2224</v>
      </c>
      <c r="F81" s="370"/>
      <c r="I81" s="388">
        <f>SUM(F81:H81)</f>
        <v>0</v>
      </c>
      <c r="K81" s="389">
        <f>SUM(J81)</f>
        <v>0</v>
      </c>
      <c r="L81" s="389"/>
      <c r="M81" s="389">
        <f>SUM(L81)</f>
        <v>0</v>
      </c>
      <c r="N81" s="392">
        <f>SUM(N82+N103+N143)</f>
        <v>503332</v>
      </c>
      <c r="O81" s="374"/>
      <c r="P81" s="375"/>
      <c r="Q81" s="374"/>
      <c r="R81" s="374"/>
      <c r="S81" s="374">
        <f>SUM(P81:R81)</f>
        <v>0</v>
      </c>
      <c r="T81" s="374"/>
      <c r="U81" s="374">
        <f>SUM(T81)</f>
        <v>0</v>
      </c>
      <c r="V81" s="374"/>
      <c r="W81" s="374">
        <f>SUM(V81)</f>
        <v>0</v>
      </c>
      <c r="X81" s="393">
        <f>SUM(X82+X103+X143)</f>
        <v>548144</v>
      </c>
      <c r="Z81" s="377">
        <f t="shared" si="88"/>
        <v>0</v>
      </c>
      <c r="AA81" s="377">
        <f t="shared" si="89"/>
        <v>0</v>
      </c>
      <c r="AB81" s="378">
        <f t="shared" si="90"/>
        <v>503332</v>
      </c>
      <c r="AC81" s="377">
        <f t="shared" si="91"/>
        <v>548144</v>
      </c>
      <c r="AD81" s="361" t="str">
        <f t="shared" si="92"/>
        <v xml:space="preserve">          0</v>
      </c>
      <c r="AE81" s="361" t="str">
        <f t="shared" si="93"/>
        <v xml:space="preserve">          0</v>
      </c>
      <c r="AF81" s="361" t="str">
        <f t="shared" si="94"/>
        <v xml:space="preserve">     503332</v>
      </c>
      <c r="AG81" s="361" t="str">
        <f t="shared" si="95"/>
        <v xml:space="preserve">     548144</v>
      </c>
      <c r="AK81" s="370"/>
      <c r="AN81" s="388">
        <f>SUM(AK81:AM81)</f>
        <v>0</v>
      </c>
      <c r="AP81" s="389">
        <f>SUM(AO81)</f>
        <v>0</v>
      </c>
      <c r="AR81" s="389">
        <f>SUM(AQ81)</f>
        <v>0</v>
      </c>
      <c r="AS81" s="388">
        <f>SUM(AS82+AS103+AS143)</f>
        <v>528662</v>
      </c>
    </row>
    <row r="82" spans="2:45" ht="18.75" customHeight="1" x14ac:dyDescent="0.25">
      <c r="B82" s="391">
        <v>80</v>
      </c>
      <c r="C82" s="85" t="s">
        <v>2162</v>
      </c>
      <c r="D82" s="359" t="str">
        <f>IF(VLOOKUP($B82,suvaha_p!$A:$G,1)=$B82,VLOOKUP($B82,suvaha_p!$A:$G,$B$1),0)</f>
        <v>Vlastné imanie r. 81 + r. 85 + r. 86 + r. 87 + r. 90 + r. 93
+ r. 97 + r. 100</v>
      </c>
      <c r="E82" s="370" t="s">
        <v>2225</v>
      </c>
      <c r="F82" s="370"/>
      <c r="I82" s="394"/>
      <c r="J82" s="394"/>
      <c r="K82" s="394"/>
      <c r="L82" s="395"/>
      <c r="M82" s="396"/>
      <c r="N82" s="382">
        <f>SUM(N83+N87+N88+N89+N92+N95+N99+N102)</f>
        <v>267760</v>
      </c>
      <c r="P82" s="383"/>
      <c r="W82" s="382"/>
      <c r="X82" s="382">
        <f>SUM(X83+X87+X88+X89+X92+X95+X99+X102)</f>
        <v>269404</v>
      </c>
      <c r="Z82" s="377"/>
      <c r="AB82" s="377">
        <f t="shared" si="90"/>
        <v>267760</v>
      </c>
      <c r="AC82" s="377">
        <f t="shared" si="91"/>
        <v>269404</v>
      </c>
      <c r="AD82" s="361" t="str">
        <f t="shared" si="92"/>
        <v xml:space="preserve">           </v>
      </c>
      <c r="AE82" s="361" t="str">
        <f t="shared" si="93"/>
        <v xml:space="preserve">           </v>
      </c>
      <c r="AF82" s="361" t="str">
        <f t="shared" si="94"/>
        <v xml:space="preserve">     267760</v>
      </c>
      <c r="AG82" s="361" t="str">
        <f t="shared" si="95"/>
        <v xml:space="preserve">     269404</v>
      </c>
      <c r="AK82" s="370"/>
      <c r="AR82" s="379"/>
      <c r="AS82" s="379">
        <f>SUM(AS83+AS87+AS88+AS89+AS92+AS95+AS99+AS102)</f>
        <v>96412</v>
      </c>
    </row>
    <row r="83" spans="2:45" outlineLevel="1" x14ac:dyDescent="0.25">
      <c r="B83" s="391">
        <v>81</v>
      </c>
      <c r="C83" s="85" t="s">
        <v>2164</v>
      </c>
      <c r="D83" s="359" t="str">
        <f>IF(VLOOKUP($B83,suvaha_p!$A:$G,1)=$B83,VLOOKUP($B83,suvaha_p!$A:$G,$B$1),0)</f>
        <v>Základné imanie súčet (r. 82 až r. 84)</v>
      </c>
      <c r="E83" s="370" t="s">
        <v>2226</v>
      </c>
      <c r="F83" s="370"/>
      <c r="I83" s="394"/>
      <c r="J83" s="394"/>
      <c r="K83" s="394"/>
      <c r="L83" s="395"/>
      <c r="M83" s="395"/>
      <c r="N83" s="382">
        <f>SUM(N84:N86)</f>
        <v>92667</v>
      </c>
      <c r="P83" s="383"/>
      <c r="W83" s="382"/>
      <c r="X83" s="382">
        <f>SUM(X84:X86)</f>
        <v>92667</v>
      </c>
      <c r="Z83" s="377"/>
      <c r="AB83" s="377">
        <f t="shared" si="90"/>
        <v>92667</v>
      </c>
      <c r="AC83" s="377">
        <f t="shared" si="91"/>
        <v>92667</v>
      </c>
      <c r="AD83" s="361" t="str">
        <f t="shared" si="92"/>
        <v xml:space="preserve">           </v>
      </c>
      <c r="AE83" s="361" t="str">
        <f t="shared" si="93"/>
        <v xml:space="preserve">           </v>
      </c>
      <c r="AF83" s="361" t="str">
        <f t="shared" si="94"/>
        <v xml:space="preserve">      92667</v>
      </c>
      <c r="AG83" s="361" t="str">
        <f t="shared" si="95"/>
        <v xml:space="preserve">      92667</v>
      </c>
      <c r="AK83" s="370"/>
      <c r="AR83" s="379"/>
      <c r="AS83" s="379">
        <f>SUM(AS84:AS86)</f>
        <v>92667</v>
      </c>
    </row>
    <row r="84" spans="2:45" outlineLevel="1" x14ac:dyDescent="0.25">
      <c r="B84" s="391">
        <v>82</v>
      </c>
      <c r="C84" s="85" t="s">
        <v>2165</v>
      </c>
      <c r="D84" s="362" t="str">
        <f>IF(VLOOKUP($B84,suvaha_p!$A:$G,1)=$B84,VLOOKUP($B84,suvaha_p!$A:$G,$B$1),0)</f>
        <v>Základné imanie (411 alebo +/- 491)</v>
      </c>
      <c r="E84" s="386" t="s">
        <v>2227</v>
      </c>
      <c r="F84" s="387">
        <f>SUM('HL KNIHA VYPOC'!G215+'HL KNIHA VYPOC'!G260)</f>
        <v>-92666.77</v>
      </c>
      <c r="I84" s="394">
        <f t="shared" ref="I84:I115" si="96">SUM(F84:H84)</f>
        <v>-92666.77</v>
      </c>
      <c r="J84" s="394"/>
      <c r="K84" s="394"/>
      <c r="L84" s="395"/>
      <c r="M84" s="395"/>
      <c r="N84" s="389">
        <f>ROUND((I84*-1),0)</f>
        <v>92667</v>
      </c>
      <c r="P84" s="390">
        <f>SUM('HL KNIHA VYPOC'!K215+'HL KNIHA VYPOC'!K260)</f>
        <v>-92666.77</v>
      </c>
      <c r="S84" s="389">
        <f t="shared" ref="S84:S115" si="97">SUM(P84:R84)</f>
        <v>-92666.77</v>
      </c>
      <c r="X84" s="389">
        <f>ROUND((S84*-1),0)</f>
        <v>92667</v>
      </c>
      <c r="Z84" s="397"/>
      <c r="AB84" s="377">
        <f t="shared" si="90"/>
        <v>92667</v>
      </c>
      <c r="AC84" s="377">
        <f t="shared" si="91"/>
        <v>92667</v>
      </c>
      <c r="AD84" s="361" t="str">
        <f t="shared" si="92"/>
        <v xml:space="preserve">           </v>
      </c>
      <c r="AE84" s="361" t="str">
        <f t="shared" si="93"/>
        <v xml:space="preserve">           </v>
      </c>
      <c r="AF84" s="361" t="str">
        <f t="shared" si="94"/>
        <v xml:space="preserve">      92667</v>
      </c>
      <c r="AG84" s="361" t="str">
        <f t="shared" si="95"/>
        <v xml:space="preserve">      92667</v>
      </c>
      <c r="AK84" s="387">
        <f>SUM('HL KNIHA VYPOC'!H215+'HL KNIHA VYPOC'!H260)</f>
        <v>-92666.77</v>
      </c>
      <c r="AN84" s="388">
        <f t="shared" ref="AN84:AN115" si="98">SUM(AK84:AM84)</f>
        <v>-92666.77</v>
      </c>
      <c r="AR84" s="388"/>
      <c r="AS84" s="388">
        <f>ROUND((AN84*-1),0)</f>
        <v>92667</v>
      </c>
    </row>
    <row r="85" spans="2:45" outlineLevel="1" x14ac:dyDescent="0.25">
      <c r="B85" s="391">
        <v>83</v>
      </c>
      <c r="C85" s="85" t="s">
        <v>2166</v>
      </c>
      <c r="D85" s="362" t="str">
        <f>IF(VLOOKUP($B85,suvaha_p!$A:$G,1)=$B85,VLOOKUP($B85,suvaha_p!$A:$G,$B$1),0)</f>
        <v>Zmena základného imania +/- 419</v>
      </c>
      <c r="E85" s="386" t="s">
        <v>2228</v>
      </c>
      <c r="F85" s="387">
        <f>SUM('HL KNIHA VYPOC'!G223)</f>
        <v>0</v>
      </c>
      <c r="I85" s="394">
        <f t="shared" si="96"/>
        <v>0</v>
      </c>
      <c r="J85" s="394"/>
      <c r="K85" s="394"/>
      <c r="L85" s="395"/>
      <c r="M85" s="395"/>
      <c r="N85" s="389">
        <f>ROUND((I85*-1),0)</f>
        <v>0</v>
      </c>
      <c r="P85" s="390">
        <f>SUM('HL KNIHA VYPOC'!K223)</f>
        <v>0</v>
      </c>
      <c r="S85" s="389">
        <f t="shared" si="97"/>
        <v>0</v>
      </c>
      <c r="X85" s="389">
        <f>ROUND((S85*-1),0)</f>
        <v>0</v>
      </c>
      <c r="Z85" s="397"/>
      <c r="AB85" s="377">
        <f t="shared" si="90"/>
        <v>0</v>
      </c>
      <c r="AC85" s="377">
        <f t="shared" si="91"/>
        <v>0</v>
      </c>
      <c r="AD85" s="361" t="str">
        <f t="shared" si="92"/>
        <v xml:space="preserve">           </v>
      </c>
      <c r="AE85" s="361" t="str">
        <f t="shared" si="93"/>
        <v xml:space="preserve">           </v>
      </c>
      <c r="AF85" s="361" t="str">
        <f t="shared" si="94"/>
        <v xml:space="preserve">          0</v>
      </c>
      <c r="AG85" s="361" t="str">
        <f t="shared" si="95"/>
        <v xml:space="preserve">          0</v>
      </c>
      <c r="AK85" s="387">
        <f>SUM('HL KNIHA VYPOC'!H223)</f>
        <v>0</v>
      </c>
      <c r="AN85" s="388">
        <f t="shared" si="98"/>
        <v>0</v>
      </c>
      <c r="AR85" s="388"/>
      <c r="AS85" s="388">
        <f>ROUND((AN85*-1),0)</f>
        <v>0</v>
      </c>
    </row>
    <row r="86" spans="2:45" outlineLevel="1" x14ac:dyDescent="0.25">
      <c r="B86" s="391">
        <v>84</v>
      </c>
      <c r="C86" s="85" t="s">
        <v>2167</v>
      </c>
      <c r="D86" s="362" t="str">
        <f>IF(VLOOKUP($B86,suvaha_p!$A:$G,1)=$B86,VLOOKUP($B86,suvaha_p!$A:$G,$B$1),0)</f>
        <v>Pohľadávky za upísané vlastné imanie (/-/353)</v>
      </c>
      <c r="E86" s="386" t="s">
        <v>2229</v>
      </c>
      <c r="F86" s="387">
        <f>SUM('HL KNIHA VYPOC'!G172)</f>
        <v>0</v>
      </c>
      <c r="I86" s="394">
        <f t="shared" si="96"/>
        <v>0</v>
      </c>
      <c r="J86" s="394"/>
      <c r="K86" s="394"/>
      <c r="L86" s="395"/>
      <c r="M86" s="395"/>
      <c r="N86" s="389">
        <f>ROUND((I86*-1),0)</f>
        <v>0</v>
      </c>
      <c r="P86" s="390">
        <f>SUM('HL KNIHA VYPOC'!K172)</f>
        <v>0</v>
      </c>
      <c r="S86" s="389">
        <f t="shared" si="97"/>
        <v>0</v>
      </c>
      <c r="X86" s="389">
        <f>ROUND((S86*-1),0)</f>
        <v>0</v>
      </c>
      <c r="Z86" s="397"/>
      <c r="AB86" s="377">
        <f t="shared" si="90"/>
        <v>0</v>
      </c>
      <c r="AC86" s="377">
        <f t="shared" si="91"/>
        <v>0</v>
      </c>
      <c r="AD86" s="361" t="str">
        <f t="shared" si="92"/>
        <v xml:space="preserve">           </v>
      </c>
      <c r="AE86" s="361" t="str">
        <f t="shared" si="93"/>
        <v xml:space="preserve">           </v>
      </c>
      <c r="AF86" s="361" t="str">
        <f t="shared" si="94"/>
        <v xml:space="preserve">          0</v>
      </c>
      <c r="AG86" s="361" t="str">
        <f t="shared" si="95"/>
        <v xml:space="preserve">          0</v>
      </c>
      <c r="AK86" s="387">
        <f>SUM('HL KNIHA VYPOC'!H172)</f>
        <v>0</v>
      </c>
      <c r="AN86" s="388">
        <f t="shared" si="98"/>
        <v>0</v>
      </c>
      <c r="AR86" s="388"/>
      <c r="AS86" s="388">
        <f>ROUND((AN86*-1),0)</f>
        <v>0</v>
      </c>
    </row>
    <row r="87" spans="2:45" outlineLevel="1" x14ac:dyDescent="0.25">
      <c r="B87" s="391">
        <v>85</v>
      </c>
      <c r="C87" s="85" t="s">
        <v>2173</v>
      </c>
      <c r="D87" s="359" t="str">
        <f>IF(VLOOKUP($B87,suvaha_p!$A:$G,1)=$B87,VLOOKUP($B87,suvaha_p!$A:$G,$B$1),0)</f>
        <v>Emisné ážio (412)</v>
      </c>
      <c r="E87" s="370" t="s">
        <v>2230</v>
      </c>
      <c r="F87" s="398">
        <f>SUM('HL KNIHA VYPOC'!G216)</f>
        <v>0</v>
      </c>
      <c r="I87" s="394">
        <f t="shared" si="96"/>
        <v>0</v>
      </c>
      <c r="J87" s="394"/>
      <c r="K87" s="394"/>
      <c r="L87" s="395"/>
      <c r="M87" s="395"/>
      <c r="N87" s="389">
        <f>ROUND((I87*-1),0)</f>
        <v>0</v>
      </c>
      <c r="P87" s="383">
        <f>SUM('HL KNIHA VYPOC'!K216)</f>
        <v>0</v>
      </c>
      <c r="S87" s="389">
        <f t="shared" si="97"/>
        <v>0</v>
      </c>
      <c r="X87" s="389">
        <f>ROUND((S87*-1),0)</f>
        <v>0</v>
      </c>
      <c r="Z87" s="377"/>
      <c r="AB87" s="377">
        <f t="shared" si="90"/>
        <v>0</v>
      </c>
      <c r="AC87" s="377">
        <f t="shared" si="91"/>
        <v>0</v>
      </c>
      <c r="AD87" s="361" t="str">
        <f t="shared" si="92"/>
        <v xml:space="preserve">           </v>
      </c>
      <c r="AE87" s="361" t="str">
        <f t="shared" si="93"/>
        <v xml:space="preserve">           </v>
      </c>
      <c r="AF87" s="361" t="str">
        <f t="shared" si="94"/>
        <v xml:space="preserve">          0</v>
      </c>
      <c r="AG87" s="361" t="str">
        <f t="shared" si="95"/>
        <v xml:space="preserve">          0</v>
      </c>
      <c r="AK87" s="398">
        <f>SUM('HL KNIHA VYPOC'!H216)</f>
        <v>0</v>
      </c>
      <c r="AN87" s="388">
        <f t="shared" si="98"/>
        <v>0</v>
      </c>
      <c r="AR87" s="388"/>
      <c r="AS87" s="388">
        <f>ROUND((AN87*-1),0)</f>
        <v>0</v>
      </c>
    </row>
    <row r="88" spans="2:45" outlineLevel="1" x14ac:dyDescent="0.25">
      <c r="B88" s="391">
        <v>86</v>
      </c>
      <c r="C88" s="85" t="s">
        <v>2231</v>
      </c>
      <c r="D88" s="359" t="str">
        <f>IF(VLOOKUP($B88,suvaha_p!$A:$G,1)=$B88,VLOOKUP($B88,suvaha_p!$A:$G,$B$1),0)</f>
        <v>Ostatné kapitálové fondy (413)</v>
      </c>
      <c r="E88" s="370" t="s">
        <v>2232</v>
      </c>
      <c r="F88" s="398">
        <f>SUM('HL KNIHA VYPOC'!G217)</f>
        <v>-100010.42</v>
      </c>
      <c r="I88" s="394">
        <f t="shared" si="96"/>
        <v>-100010.42</v>
      </c>
      <c r="J88" s="394"/>
      <c r="K88" s="394"/>
      <c r="L88" s="395"/>
      <c r="M88" s="395"/>
      <c r="N88" s="389">
        <f>ROUND((I88*-1),0)</f>
        <v>100010</v>
      </c>
      <c r="P88" s="383">
        <f>SUM('HL KNIHA VYPOC'!K217)</f>
        <v>-100010.42</v>
      </c>
      <c r="S88" s="389">
        <f t="shared" si="97"/>
        <v>-100010.42</v>
      </c>
      <c r="X88" s="389">
        <f>ROUND((S88*-1),0)</f>
        <v>100010</v>
      </c>
      <c r="Z88" s="377"/>
      <c r="AB88" s="377">
        <f t="shared" si="90"/>
        <v>100010</v>
      </c>
      <c r="AC88" s="377">
        <f t="shared" si="91"/>
        <v>100010</v>
      </c>
      <c r="AD88" s="361" t="str">
        <f t="shared" si="92"/>
        <v xml:space="preserve">           </v>
      </c>
      <c r="AE88" s="361" t="str">
        <f t="shared" si="93"/>
        <v xml:space="preserve">           </v>
      </c>
      <c r="AF88" s="361" t="str">
        <f t="shared" si="94"/>
        <v xml:space="preserve">     100010</v>
      </c>
      <c r="AG88" s="361" t="str">
        <f t="shared" si="95"/>
        <v xml:space="preserve">     100010</v>
      </c>
      <c r="AK88" s="398">
        <f>SUM('HL KNIHA VYPOC'!H217)</f>
        <v>-100010.42</v>
      </c>
      <c r="AN88" s="388">
        <f t="shared" si="98"/>
        <v>-100010.42</v>
      </c>
      <c r="AR88" s="388"/>
      <c r="AS88" s="388">
        <f>ROUND((AN88*-1),0)</f>
        <v>100010</v>
      </c>
    </row>
    <row r="89" spans="2:45" outlineLevel="1" x14ac:dyDescent="0.25">
      <c r="B89" s="391">
        <v>87</v>
      </c>
      <c r="C89" s="85" t="s">
        <v>2233</v>
      </c>
      <c r="D89" s="359" t="str">
        <f>IF(VLOOKUP($B89,suvaha_p!$A:$G,1)=$B89,VLOOKUP($B89,suvaha_p!$A:$G,$B$1),0)</f>
        <v>Zákonné rezervné fondy r. 88 + r. 89</v>
      </c>
      <c r="E89" s="370" t="s">
        <v>2234</v>
      </c>
      <c r="F89" s="370"/>
      <c r="I89" s="394">
        <f t="shared" si="96"/>
        <v>0</v>
      </c>
      <c r="J89" s="394"/>
      <c r="K89" s="394"/>
      <c r="L89" s="395"/>
      <c r="M89" s="395"/>
      <c r="N89" s="382">
        <f>SUM(N90:N91)</f>
        <v>34698</v>
      </c>
      <c r="P89" s="383"/>
      <c r="S89" s="389">
        <f t="shared" si="97"/>
        <v>0</v>
      </c>
      <c r="W89" s="382"/>
      <c r="X89" s="382">
        <f>SUM(X90:X91)</f>
        <v>34698</v>
      </c>
      <c r="Z89" s="377"/>
      <c r="AB89" s="377">
        <f t="shared" si="90"/>
        <v>34698</v>
      </c>
      <c r="AC89" s="377">
        <f t="shared" si="91"/>
        <v>34698</v>
      </c>
      <c r="AD89" s="361" t="str">
        <f t="shared" si="92"/>
        <v xml:space="preserve">           </v>
      </c>
      <c r="AE89" s="361" t="str">
        <f t="shared" si="93"/>
        <v xml:space="preserve">           </v>
      </c>
      <c r="AF89" s="361" t="str">
        <f t="shared" si="94"/>
        <v xml:space="preserve">      34698</v>
      </c>
      <c r="AG89" s="361" t="str">
        <f t="shared" si="95"/>
        <v xml:space="preserve">      34698</v>
      </c>
      <c r="AK89" s="370"/>
      <c r="AN89" s="388">
        <f t="shared" si="98"/>
        <v>0</v>
      </c>
      <c r="AR89" s="379"/>
      <c r="AS89" s="379">
        <f>SUM(AS90:AS91)</f>
        <v>34698</v>
      </c>
    </row>
    <row r="90" spans="2:45" outlineLevel="1" x14ac:dyDescent="0.25">
      <c r="B90" s="391">
        <v>88</v>
      </c>
      <c r="C90" s="85" t="s">
        <v>2235</v>
      </c>
      <c r="D90" s="362" t="str">
        <f>IF(VLOOKUP($B90,suvaha_p!$A:$G,1)=$B90,VLOOKUP($B90,suvaha_p!$A:$G,$B$1),0)</f>
        <v>Zákonný rezervný fond a nedeliteľný fond (417A, 418, 421A, 422)</v>
      </c>
      <c r="E90" s="386" t="s">
        <v>2236</v>
      </c>
      <c r="F90" s="387">
        <f>SUM('HL KNIHA VYPOC'!G222+'HL KNIHA VYPOC'!G227)</f>
        <v>-19085.28</v>
      </c>
      <c r="G90" s="388">
        <f>SUM(ANALYTIKAVUJ!K146+ANALYTIKAVUJ!K150)</f>
        <v>-15612.46</v>
      </c>
      <c r="I90" s="394">
        <f t="shared" si="96"/>
        <v>-34697.74</v>
      </c>
      <c r="J90" s="394"/>
      <c r="K90" s="394"/>
      <c r="L90" s="395"/>
      <c r="M90" s="395"/>
      <c r="N90" s="389">
        <f>ROUND((I90*-1),0)</f>
        <v>34698</v>
      </c>
      <c r="P90" s="390">
        <f>SUM('HL KNIHA VYPOC'!K222+'HL KNIHA VYPOC'!K227)</f>
        <v>-19085.28</v>
      </c>
      <c r="Q90" s="389">
        <f>SUM(ANALYTIKAVUJ!L146+ANALYTIKAVUJ!L150)</f>
        <v>-15612.46</v>
      </c>
      <c r="S90" s="389">
        <f t="shared" si="97"/>
        <v>-34697.74</v>
      </c>
      <c r="X90" s="389">
        <f>ROUND((S90*-1),0)</f>
        <v>34698</v>
      </c>
      <c r="Z90" s="397"/>
      <c r="AB90" s="377">
        <f t="shared" si="90"/>
        <v>34698</v>
      </c>
      <c r="AC90" s="377">
        <f t="shared" si="91"/>
        <v>34698</v>
      </c>
      <c r="AD90" s="361" t="str">
        <f t="shared" si="92"/>
        <v xml:space="preserve">           </v>
      </c>
      <c r="AE90" s="361" t="str">
        <f t="shared" si="93"/>
        <v xml:space="preserve">           </v>
      </c>
      <c r="AF90" s="361" t="str">
        <f t="shared" si="94"/>
        <v xml:space="preserve">      34698</v>
      </c>
      <c r="AG90" s="361" t="str">
        <f t="shared" si="95"/>
        <v xml:space="preserve">      34698</v>
      </c>
      <c r="AK90" s="387">
        <f>SUM('HL KNIHA VYPOC'!H222+'HL KNIHA VYPOC'!H227)</f>
        <v>-19085.28</v>
      </c>
      <c r="AL90" s="388">
        <f>SUM(ANALYTIKAVUJ!M146+ANALYTIKAVUJ!M150)</f>
        <v>-15612.46</v>
      </c>
      <c r="AN90" s="388">
        <f t="shared" si="98"/>
        <v>-34697.74</v>
      </c>
      <c r="AR90" s="388"/>
      <c r="AS90" s="388">
        <f>ROUND((AN90*-1),0)</f>
        <v>34698</v>
      </c>
    </row>
    <row r="91" spans="2:45" outlineLevel="1" x14ac:dyDescent="0.25">
      <c r="B91" s="391">
        <v>89</v>
      </c>
      <c r="C91" s="85" t="s">
        <v>2166</v>
      </c>
      <c r="D91" s="362" t="str">
        <f>IF(VLOOKUP($B91,suvaha_p!$A:$G,1)=$B91,VLOOKUP($B91,suvaha_p!$A:$G,$B$1),0)</f>
        <v>Rezervný fond na vlastné akcie a vlastné podiely (417A, 421A)</v>
      </c>
      <c r="E91" s="386" t="s">
        <v>2237</v>
      </c>
      <c r="G91" s="388">
        <f>SUM(ANALYTIKAVUJ!K147+ANALYTIKAVUJ!K151)</f>
        <v>0</v>
      </c>
      <c r="I91" s="394">
        <f t="shared" si="96"/>
        <v>0</v>
      </c>
      <c r="J91" s="394"/>
      <c r="K91" s="394"/>
      <c r="L91" s="395"/>
      <c r="M91" s="395"/>
      <c r="N91" s="389">
        <f>ROUND((I91*-1),0)</f>
        <v>0</v>
      </c>
      <c r="Q91" s="389">
        <f>SUM(ANALYTIKAVUJ!L147+ANALYTIKAVUJ!L151)</f>
        <v>0</v>
      </c>
      <c r="S91" s="389">
        <f t="shared" si="97"/>
        <v>0</v>
      </c>
      <c r="X91" s="389">
        <f>ROUND((S91*-1),0)</f>
        <v>0</v>
      </c>
      <c r="Z91" s="397"/>
      <c r="AB91" s="377">
        <f t="shared" si="90"/>
        <v>0</v>
      </c>
      <c r="AC91" s="377">
        <f t="shared" si="91"/>
        <v>0</v>
      </c>
      <c r="AD91" s="361" t="str">
        <f t="shared" si="92"/>
        <v xml:space="preserve">           </v>
      </c>
      <c r="AE91" s="361" t="str">
        <f t="shared" si="93"/>
        <v xml:space="preserve">           </v>
      </c>
      <c r="AF91" s="361" t="str">
        <f t="shared" si="94"/>
        <v xml:space="preserve">          0</v>
      </c>
      <c r="AG91" s="361" t="str">
        <f t="shared" si="95"/>
        <v xml:space="preserve">          0</v>
      </c>
      <c r="AL91" s="388">
        <f>SUM(ANALYTIKAVUJ!M147+ANALYTIKAVUJ!M151)</f>
        <v>0</v>
      </c>
      <c r="AN91" s="388">
        <f t="shared" si="98"/>
        <v>0</v>
      </c>
      <c r="AR91" s="388"/>
      <c r="AS91" s="388">
        <f>ROUND((AN91*-1),0)</f>
        <v>0</v>
      </c>
    </row>
    <row r="92" spans="2:45" outlineLevel="1" x14ac:dyDescent="0.25">
      <c r="B92" s="391">
        <v>90</v>
      </c>
      <c r="C92" s="85" t="s">
        <v>2238</v>
      </c>
      <c r="D92" s="359" t="str">
        <f>IF(VLOOKUP($B92,suvaha_p!$A:$G,1)=$B92,VLOOKUP($B92,suvaha_p!$A:$G,$B$1),0)</f>
        <v>Ostatné fondy zo zisku r. 91 + r. 92</v>
      </c>
      <c r="E92" s="370" t="s">
        <v>2239</v>
      </c>
      <c r="F92" s="370"/>
      <c r="I92" s="394">
        <f t="shared" si="96"/>
        <v>0</v>
      </c>
      <c r="J92" s="394"/>
      <c r="K92" s="394"/>
      <c r="L92" s="395"/>
      <c r="M92" s="395"/>
      <c r="N92" s="382">
        <f>SUM(N93:N94)</f>
        <v>93424</v>
      </c>
      <c r="P92" s="383"/>
      <c r="S92" s="389">
        <f t="shared" si="97"/>
        <v>0</v>
      </c>
      <c r="X92" s="382">
        <f>SUM(X93:X94)</f>
        <v>93424</v>
      </c>
      <c r="Z92" s="377"/>
      <c r="AB92" s="377">
        <f t="shared" si="90"/>
        <v>93424</v>
      </c>
      <c r="AC92" s="377">
        <f t="shared" si="91"/>
        <v>93424</v>
      </c>
      <c r="AD92" s="361" t="str">
        <f t="shared" si="92"/>
        <v xml:space="preserve">           </v>
      </c>
      <c r="AE92" s="361" t="str">
        <f t="shared" si="93"/>
        <v xml:space="preserve">           </v>
      </c>
      <c r="AF92" s="361" t="str">
        <f t="shared" si="94"/>
        <v xml:space="preserve">      93424</v>
      </c>
      <c r="AG92" s="361" t="str">
        <f t="shared" si="95"/>
        <v xml:space="preserve">      93424</v>
      </c>
      <c r="AK92" s="370"/>
      <c r="AN92" s="388">
        <f t="shared" si="98"/>
        <v>0</v>
      </c>
      <c r="AR92" s="388"/>
      <c r="AS92" s="379">
        <f>SUM(AS93:AS94)</f>
        <v>93424</v>
      </c>
    </row>
    <row r="93" spans="2:45" outlineLevel="1" x14ac:dyDescent="0.25">
      <c r="B93" s="391">
        <v>91</v>
      </c>
      <c r="C93" s="85" t="s">
        <v>2240</v>
      </c>
      <c r="D93" s="362" t="str">
        <f>IF(VLOOKUP($B93,suvaha_p!$A:$G,1)=$B93,VLOOKUP($B93,suvaha_p!$A:$G,$B$1),0)</f>
        <v>Štatutárne fondy (423, 42X)</v>
      </c>
      <c r="E93" s="386" t="s">
        <v>2241</v>
      </c>
      <c r="F93" s="387">
        <f>SUM('HL KNIHA VYPOC'!G228)</f>
        <v>0</v>
      </c>
      <c r="I93" s="394">
        <f t="shared" si="96"/>
        <v>0</v>
      </c>
      <c r="J93" s="394"/>
      <c r="K93" s="394"/>
      <c r="L93" s="395"/>
      <c r="M93" s="395"/>
      <c r="N93" s="389">
        <f>ROUND((I93*-1),0)</f>
        <v>0</v>
      </c>
      <c r="P93" s="390">
        <f>SUM('HL KNIHA VYPOC'!K228)</f>
        <v>0</v>
      </c>
      <c r="S93" s="389">
        <f t="shared" si="97"/>
        <v>0</v>
      </c>
      <c r="X93" s="389">
        <f>ROUND((S93*-1),0)</f>
        <v>0</v>
      </c>
      <c r="Z93" s="397"/>
      <c r="AB93" s="377">
        <f t="shared" si="90"/>
        <v>0</v>
      </c>
      <c r="AC93" s="377">
        <f t="shared" si="91"/>
        <v>0</v>
      </c>
      <c r="AD93" s="361" t="str">
        <f t="shared" si="92"/>
        <v xml:space="preserve">           </v>
      </c>
      <c r="AE93" s="361" t="str">
        <f t="shared" si="93"/>
        <v xml:space="preserve">           </v>
      </c>
      <c r="AF93" s="361" t="str">
        <f t="shared" si="94"/>
        <v xml:space="preserve">          0</v>
      </c>
      <c r="AG93" s="361" t="str">
        <f t="shared" si="95"/>
        <v xml:space="preserve">          0</v>
      </c>
      <c r="AK93" s="387">
        <f>SUM('HL KNIHA VYPOC'!H228)</f>
        <v>0</v>
      </c>
      <c r="AN93" s="388">
        <f t="shared" si="98"/>
        <v>0</v>
      </c>
      <c r="AR93" s="388"/>
      <c r="AS93" s="388">
        <f>ROUND((AN93*-1),0)</f>
        <v>0</v>
      </c>
    </row>
    <row r="94" spans="2:45" outlineLevel="1" x14ac:dyDescent="0.25">
      <c r="B94" s="391">
        <v>92</v>
      </c>
      <c r="C94" s="85" t="s">
        <v>2166</v>
      </c>
      <c r="D94" s="362" t="str">
        <f>IF(VLOOKUP($B94,suvaha_p!$A:$G,1)=$B94,VLOOKUP($B94,suvaha_p!$A:$G,$B$1),0)</f>
        <v>Ostatné fondy (427, 42X)</v>
      </c>
      <c r="E94" s="386" t="s">
        <v>2242</v>
      </c>
      <c r="F94" s="387">
        <f>SUM('HL KNIHA VYPOC'!G229)</f>
        <v>-93424.19</v>
      </c>
      <c r="I94" s="394">
        <f t="shared" si="96"/>
        <v>-93424.19</v>
      </c>
      <c r="J94" s="394"/>
      <c r="K94" s="394"/>
      <c r="L94" s="395"/>
      <c r="M94" s="395"/>
      <c r="N94" s="389">
        <f>ROUND((I94*-1),0)</f>
        <v>93424</v>
      </c>
      <c r="P94" s="390">
        <f>SUM('HL KNIHA VYPOC'!K229)</f>
        <v>-93424.19</v>
      </c>
      <c r="S94" s="389">
        <f t="shared" si="97"/>
        <v>-93424.19</v>
      </c>
      <c r="X94" s="389">
        <f>ROUND((S94*-1),0)</f>
        <v>93424</v>
      </c>
      <c r="Z94" s="397"/>
      <c r="AB94" s="377">
        <f t="shared" si="90"/>
        <v>93424</v>
      </c>
      <c r="AC94" s="377">
        <f t="shared" si="91"/>
        <v>93424</v>
      </c>
      <c r="AD94" s="361" t="str">
        <f t="shared" si="92"/>
        <v xml:space="preserve">           </v>
      </c>
      <c r="AE94" s="361" t="str">
        <f t="shared" si="93"/>
        <v xml:space="preserve">           </v>
      </c>
      <c r="AF94" s="361" t="str">
        <f t="shared" si="94"/>
        <v xml:space="preserve">      93424</v>
      </c>
      <c r="AG94" s="361" t="str">
        <f t="shared" si="95"/>
        <v xml:space="preserve">      93424</v>
      </c>
      <c r="AK94" s="387">
        <f>SUM('HL KNIHA VYPOC'!H229)</f>
        <v>-93424.19</v>
      </c>
      <c r="AN94" s="388">
        <f t="shared" si="98"/>
        <v>-93424.19</v>
      </c>
      <c r="AR94" s="388"/>
      <c r="AS94" s="388">
        <f>ROUND((AN94*-1),0)</f>
        <v>93424</v>
      </c>
    </row>
    <row r="95" spans="2:45" outlineLevel="1" x14ac:dyDescent="0.25">
      <c r="B95" s="391">
        <v>93</v>
      </c>
      <c r="C95" s="85" t="s">
        <v>2243</v>
      </c>
      <c r="D95" s="359" t="str">
        <f>IF(VLOOKUP($B95,suvaha_p!$A:$G,1)=$B95,VLOOKUP($B95,suvaha_p!$A:$G,$B$1),0)</f>
        <v>Oceňovacie rozdiely z precenenia súčet (r. 94 až r. 96)</v>
      </c>
      <c r="E95" s="370" t="s">
        <v>2244</v>
      </c>
      <c r="F95" s="370"/>
      <c r="I95" s="394">
        <f t="shared" si="96"/>
        <v>0</v>
      </c>
      <c r="J95" s="394"/>
      <c r="K95" s="394"/>
      <c r="L95" s="395"/>
      <c r="M95" s="395"/>
      <c r="N95" s="382">
        <f>SUM(N96:N98)</f>
        <v>0</v>
      </c>
      <c r="P95" s="383"/>
      <c r="S95" s="389">
        <f t="shared" si="97"/>
        <v>0</v>
      </c>
      <c r="X95" s="382">
        <f>SUM(X96:X98)</f>
        <v>0</v>
      </c>
      <c r="Z95" s="377"/>
      <c r="AB95" s="377">
        <f t="shared" si="90"/>
        <v>0</v>
      </c>
      <c r="AC95" s="377">
        <f t="shared" si="91"/>
        <v>0</v>
      </c>
      <c r="AD95" s="361" t="str">
        <f t="shared" si="92"/>
        <v xml:space="preserve">           </v>
      </c>
      <c r="AE95" s="361" t="str">
        <f t="shared" si="93"/>
        <v xml:space="preserve">           </v>
      </c>
      <c r="AF95" s="361" t="str">
        <f t="shared" si="94"/>
        <v xml:space="preserve">          0</v>
      </c>
      <c r="AG95" s="361" t="str">
        <f t="shared" si="95"/>
        <v xml:space="preserve">          0</v>
      </c>
      <c r="AK95" s="370"/>
      <c r="AN95" s="388">
        <f t="shared" si="98"/>
        <v>0</v>
      </c>
      <c r="AR95" s="388"/>
      <c r="AS95" s="379">
        <f>SUM(AS96:AS98)</f>
        <v>0</v>
      </c>
    </row>
    <row r="96" spans="2:45" outlineLevel="1" x14ac:dyDescent="0.25">
      <c r="B96" s="391">
        <v>94</v>
      </c>
      <c r="C96" s="85" t="s">
        <v>2245</v>
      </c>
      <c r="D96" s="362" t="str">
        <f>IF(VLOOKUP($B96,suvaha_p!$A:$G,1)=$B96,VLOOKUP($B96,suvaha_p!$A:$G,$B$1),0)</f>
        <v>Oceňovacie rozdiely z precenenia majetku a záväzkov (+/- 414)</v>
      </c>
      <c r="E96" s="386" t="s">
        <v>2246</v>
      </c>
      <c r="F96" s="387">
        <f>SUM('HL KNIHA VYPOC'!G218)</f>
        <v>0</v>
      </c>
      <c r="I96" s="394">
        <f t="shared" si="96"/>
        <v>0</v>
      </c>
      <c r="J96" s="394"/>
      <c r="K96" s="394"/>
      <c r="L96" s="395"/>
      <c r="M96" s="395"/>
      <c r="N96" s="389">
        <f>ROUND((I96*-1),0)</f>
        <v>0</v>
      </c>
      <c r="P96" s="390">
        <f>SUM('HL KNIHA VYPOC'!K218)</f>
        <v>0</v>
      </c>
      <c r="S96" s="389">
        <f t="shared" si="97"/>
        <v>0</v>
      </c>
      <c r="X96" s="389">
        <f>ROUND((S96*-1),0)</f>
        <v>0</v>
      </c>
      <c r="Z96" s="397"/>
      <c r="AB96" s="377">
        <f t="shared" si="90"/>
        <v>0</v>
      </c>
      <c r="AC96" s="377">
        <f t="shared" si="91"/>
        <v>0</v>
      </c>
      <c r="AD96" s="361" t="str">
        <f t="shared" si="92"/>
        <v xml:space="preserve">           </v>
      </c>
      <c r="AE96" s="361" t="str">
        <f t="shared" si="93"/>
        <v xml:space="preserve">           </v>
      </c>
      <c r="AF96" s="361" t="str">
        <f t="shared" si="94"/>
        <v xml:space="preserve">          0</v>
      </c>
      <c r="AG96" s="361" t="str">
        <f t="shared" si="95"/>
        <v xml:space="preserve">          0</v>
      </c>
      <c r="AK96" s="387">
        <f>SUM('HL KNIHA VYPOC'!H218)</f>
        <v>0</v>
      </c>
      <c r="AN96" s="388">
        <f t="shared" si="98"/>
        <v>0</v>
      </c>
      <c r="AR96" s="388"/>
      <c r="AS96" s="388">
        <f>ROUND((AN96*-1),0)</f>
        <v>0</v>
      </c>
    </row>
    <row r="97" spans="2:45" outlineLevel="1" x14ac:dyDescent="0.25">
      <c r="B97" s="391">
        <v>95</v>
      </c>
      <c r="C97" s="85" t="s">
        <v>2166</v>
      </c>
      <c r="D97" s="362" t="str">
        <f>IF(VLOOKUP($B97,suvaha_p!$A:$G,1)=$B97,VLOOKUP($B97,suvaha_p!$A:$G,$B$1),0)</f>
        <v>Oceňovacie rozdiely z kapitálových účastín
(+/- 415)</v>
      </c>
      <c r="E97" s="386" t="s">
        <v>2247</v>
      </c>
      <c r="F97" s="387">
        <f>SUM('HL KNIHA VYPOC'!G219)</f>
        <v>0</v>
      </c>
      <c r="I97" s="394">
        <f t="shared" si="96"/>
        <v>0</v>
      </c>
      <c r="J97" s="394"/>
      <c r="K97" s="394"/>
      <c r="L97" s="395"/>
      <c r="M97" s="395"/>
      <c r="N97" s="389">
        <f>ROUND((I97*-1),0)</f>
        <v>0</v>
      </c>
      <c r="P97" s="390">
        <f>SUM('HL KNIHA VYPOC'!K219)</f>
        <v>0</v>
      </c>
      <c r="S97" s="389">
        <f t="shared" si="97"/>
        <v>0</v>
      </c>
      <c r="X97" s="389">
        <f>ROUND((S97*-1),0)</f>
        <v>0</v>
      </c>
      <c r="Z97" s="397"/>
      <c r="AB97" s="377">
        <f t="shared" si="90"/>
        <v>0</v>
      </c>
      <c r="AC97" s="377">
        <f t="shared" si="91"/>
        <v>0</v>
      </c>
      <c r="AD97" s="361" t="str">
        <f t="shared" si="92"/>
        <v xml:space="preserve">           </v>
      </c>
      <c r="AE97" s="361" t="str">
        <f t="shared" si="93"/>
        <v xml:space="preserve">           </v>
      </c>
      <c r="AF97" s="361" t="str">
        <f t="shared" si="94"/>
        <v xml:space="preserve">          0</v>
      </c>
      <c r="AG97" s="361" t="str">
        <f t="shared" si="95"/>
        <v xml:space="preserve">          0</v>
      </c>
      <c r="AK97" s="387">
        <f>SUM('HL KNIHA VYPOC'!H219)</f>
        <v>0</v>
      </c>
      <c r="AN97" s="388">
        <f t="shared" si="98"/>
        <v>0</v>
      </c>
      <c r="AR97" s="388"/>
      <c r="AS97" s="388">
        <f>ROUND((AN97*-1),0)</f>
        <v>0</v>
      </c>
    </row>
    <row r="98" spans="2:45" ht="12" customHeight="1" outlineLevel="1" x14ac:dyDescent="0.25">
      <c r="B98" s="391">
        <v>96</v>
      </c>
      <c r="C98" s="85" t="s">
        <v>2167</v>
      </c>
      <c r="D98" s="362" t="str">
        <f>IF(VLOOKUP($B98,suvaha_p!$A:$G,1)=$B98,VLOOKUP($B98,suvaha_p!$A:$G,$B$1),0)</f>
        <v>Oceňovacie rozdiely z precenenia pri zlúčení, splynutí a rozdelení (+/- 416)</v>
      </c>
      <c r="E98" s="386" t="s">
        <v>2248</v>
      </c>
      <c r="F98" s="387">
        <f>SUM('HL KNIHA VYPOC'!G220)</f>
        <v>0</v>
      </c>
      <c r="I98" s="394">
        <f t="shared" si="96"/>
        <v>0</v>
      </c>
      <c r="J98" s="394"/>
      <c r="K98" s="394"/>
      <c r="L98" s="395"/>
      <c r="M98" s="395"/>
      <c r="N98" s="389">
        <f>ROUND((I98*-1),0)</f>
        <v>0</v>
      </c>
      <c r="P98" s="390">
        <f>SUM('HL KNIHA VYPOC'!K220)</f>
        <v>0</v>
      </c>
      <c r="S98" s="389">
        <f t="shared" si="97"/>
        <v>0</v>
      </c>
      <c r="X98" s="389">
        <f>ROUND((S98*-1),0)</f>
        <v>0</v>
      </c>
      <c r="Z98" s="397"/>
      <c r="AB98" s="377">
        <f t="shared" si="90"/>
        <v>0</v>
      </c>
      <c r="AC98" s="377">
        <f t="shared" si="91"/>
        <v>0</v>
      </c>
      <c r="AD98" s="361" t="str">
        <f t="shared" si="92"/>
        <v xml:space="preserve">           </v>
      </c>
      <c r="AE98" s="361" t="str">
        <f t="shared" si="93"/>
        <v xml:space="preserve">           </v>
      </c>
      <c r="AF98" s="361" t="str">
        <f t="shared" si="94"/>
        <v xml:space="preserve">          0</v>
      </c>
      <c r="AG98" s="361" t="str">
        <f t="shared" si="95"/>
        <v xml:space="preserve">          0</v>
      </c>
      <c r="AK98" s="387">
        <f>SUM('HL KNIHA VYPOC'!H220)</f>
        <v>0</v>
      </c>
      <c r="AN98" s="388">
        <f t="shared" si="98"/>
        <v>0</v>
      </c>
      <c r="AR98" s="388"/>
      <c r="AS98" s="388">
        <f>ROUND((AN98*-1),0)</f>
        <v>0</v>
      </c>
    </row>
    <row r="99" spans="2:45" outlineLevel="1" x14ac:dyDescent="0.25">
      <c r="B99" s="391">
        <v>97</v>
      </c>
      <c r="C99" s="85" t="s">
        <v>2249</v>
      </c>
      <c r="D99" s="359" t="str">
        <f>IF(VLOOKUP($B99,suvaha_p!$A:$G,1)=$B99,VLOOKUP($B99,suvaha_p!$A:$G,$B$1),0)</f>
        <v>Výsledok hospodárenia minulých rokov r. 98 + r. 99</v>
      </c>
      <c r="E99" s="370" t="s">
        <v>2250</v>
      </c>
      <c r="F99" s="370"/>
      <c r="I99" s="394">
        <f t="shared" si="96"/>
        <v>0</v>
      </c>
      <c r="J99" s="394"/>
      <c r="K99" s="394"/>
      <c r="L99" s="395"/>
      <c r="M99" s="395"/>
      <c r="N99" s="382">
        <f>SUM(N100:N101)</f>
        <v>-208441</v>
      </c>
      <c r="P99" s="383"/>
      <c r="S99" s="389">
        <f t="shared" si="97"/>
        <v>0</v>
      </c>
      <c r="W99" s="382"/>
      <c r="X99" s="382">
        <f>SUM(X100:X101)</f>
        <v>-224384</v>
      </c>
      <c r="Z99" s="377"/>
      <c r="AB99" s="377">
        <f t="shared" ref="AB99:AB130" si="99">ROUND(N99,0)</f>
        <v>-208441</v>
      </c>
      <c r="AC99" s="377">
        <f t="shared" ref="AC99:AC130" si="100">ROUND(X99,0)</f>
        <v>-224384</v>
      </c>
      <c r="AD99" s="361" t="str">
        <f t="shared" ref="AD99:AD130" si="101">REPT(" ",11-LEN(Z99))&amp;Z99</f>
        <v xml:space="preserve">           </v>
      </c>
      <c r="AE99" s="361" t="str">
        <f t="shared" ref="AE99:AE130" si="102">REPT(" ",11-LEN(AA99))&amp;AA99</f>
        <v xml:space="preserve">           </v>
      </c>
      <c r="AF99" s="361" t="str">
        <f t="shared" ref="AF99:AF130" si="103">REPT(" ",11-LEN(AB99))&amp;AB99</f>
        <v xml:space="preserve">    -208441</v>
      </c>
      <c r="AG99" s="361" t="str">
        <f t="shared" ref="AG99:AG130" si="104">REPT(" ",11-LEN(AC99))&amp;AC99</f>
        <v xml:space="preserve">    -224384</v>
      </c>
      <c r="AK99" s="370"/>
      <c r="AN99" s="388">
        <f t="shared" si="98"/>
        <v>0</v>
      </c>
      <c r="AR99" s="379"/>
      <c r="AS99" s="379">
        <f>SUM(AS100:AS101)</f>
        <v>-225646</v>
      </c>
    </row>
    <row r="100" spans="2:45" outlineLevel="1" x14ac:dyDescent="0.25">
      <c r="B100" s="391">
        <v>98</v>
      </c>
      <c r="C100" s="85" t="s">
        <v>2251</v>
      </c>
      <c r="D100" s="362" t="str">
        <f>IF(VLOOKUP($B100,suvaha_p!$A:$G,1)=$B100,VLOOKUP($B100,suvaha_p!$A:$G,$B$1),0)</f>
        <v>Nerozdelený zisk minulých rokov (428)</v>
      </c>
      <c r="E100" s="386" t="s">
        <v>2252</v>
      </c>
      <c r="F100" s="387">
        <f>SUM('HL KNIHA VYPOC'!G230)</f>
        <v>0</v>
      </c>
      <c r="I100" s="394">
        <f t="shared" si="96"/>
        <v>0</v>
      </c>
      <c r="J100" s="394"/>
      <c r="K100" s="394"/>
      <c r="L100" s="395"/>
      <c r="M100" s="395"/>
      <c r="N100" s="389">
        <f>ROUND((I100*-1),0)</f>
        <v>0</v>
      </c>
      <c r="P100" s="390">
        <f>SUM('HL KNIHA VYPOC'!K230)</f>
        <v>0</v>
      </c>
      <c r="S100" s="389">
        <f t="shared" si="97"/>
        <v>0</v>
      </c>
      <c r="X100" s="389">
        <f>ROUND((S100*-1),0)</f>
        <v>0</v>
      </c>
      <c r="Z100" s="397"/>
      <c r="AB100" s="377">
        <f t="shared" si="99"/>
        <v>0</v>
      </c>
      <c r="AC100" s="377">
        <f t="shared" si="100"/>
        <v>0</v>
      </c>
      <c r="AD100" s="361" t="str">
        <f t="shared" si="101"/>
        <v xml:space="preserve">           </v>
      </c>
      <c r="AE100" s="361" t="str">
        <f t="shared" si="102"/>
        <v xml:space="preserve">           </v>
      </c>
      <c r="AF100" s="361" t="str">
        <f t="shared" si="103"/>
        <v xml:space="preserve">          0</v>
      </c>
      <c r="AG100" s="361" t="str">
        <f t="shared" si="104"/>
        <v xml:space="preserve">          0</v>
      </c>
      <c r="AK100" s="387">
        <f>SUM('HL KNIHA VYPOC'!H230)</f>
        <v>0</v>
      </c>
      <c r="AN100" s="388">
        <f t="shared" si="98"/>
        <v>0</v>
      </c>
      <c r="AR100" s="388"/>
      <c r="AS100" s="388">
        <f>ROUND((AN100*-1),0)</f>
        <v>0</v>
      </c>
    </row>
    <row r="101" spans="2:45" outlineLevel="1" x14ac:dyDescent="0.25">
      <c r="B101" s="391">
        <v>99</v>
      </c>
      <c r="C101" s="85" t="s">
        <v>2166</v>
      </c>
      <c r="D101" s="362" t="str">
        <f>IF(VLOOKUP($B101,suvaha_p!$A:$G,1)=$B101,VLOOKUP($B101,suvaha_p!$A:$G,$B$1),0)</f>
        <v>Neuhradená strata minulých rokov (/-/429)</v>
      </c>
      <c r="E101" s="386" t="s">
        <v>2253</v>
      </c>
      <c r="F101" s="387">
        <f>SUM('HL KNIHA VYPOC'!G231)</f>
        <v>208440.78000000003</v>
      </c>
      <c r="I101" s="394">
        <f t="shared" si="96"/>
        <v>208440.78000000003</v>
      </c>
      <c r="J101" s="394"/>
      <c r="K101" s="394"/>
      <c r="L101" s="395"/>
      <c r="M101" s="395"/>
      <c r="N101" s="389">
        <f>ROUND((I101*-1),0)</f>
        <v>-208441</v>
      </c>
      <c r="P101" s="390">
        <f>SUM('HL KNIHA VYPOC'!K231)</f>
        <v>224383.92</v>
      </c>
      <c r="S101" s="389">
        <f t="shared" si="97"/>
        <v>224383.92</v>
      </c>
      <c r="X101" s="389">
        <f>ROUND((S101*-1),0)</f>
        <v>-224384</v>
      </c>
      <c r="Z101" s="397"/>
      <c r="AB101" s="377">
        <f t="shared" si="99"/>
        <v>-208441</v>
      </c>
      <c r="AC101" s="377">
        <f t="shared" si="100"/>
        <v>-224384</v>
      </c>
      <c r="AD101" s="361" t="str">
        <f t="shared" si="101"/>
        <v xml:space="preserve">           </v>
      </c>
      <c r="AE101" s="361" t="str">
        <f t="shared" si="102"/>
        <v xml:space="preserve">           </v>
      </c>
      <c r="AF101" s="361" t="str">
        <f t="shared" si="103"/>
        <v xml:space="preserve">    -208441</v>
      </c>
      <c r="AG101" s="361" t="str">
        <f t="shared" si="104"/>
        <v xml:space="preserve">    -224384</v>
      </c>
      <c r="AK101" s="387">
        <f>SUM('HL KNIHA VYPOC'!H231)</f>
        <v>225645.5</v>
      </c>
      <c r="AN101" s="388">
        <f t="shared" si="98"/>
        <v>225645.5</v>
      </c>
      <c r="AR101" s="388"/>
      <c r="AS101" s="388">
        <f>ROUND((AN101*-1),0)</f>
        <v>-225646</v>
      </c>
    </row>
    <row r="102" spans="2:45" x14ac:dyDescent="0.25">
      <c r="B102" s="391">
        <v>100</v>
      </c>
      <c r="C102" s="85" t="s">
        <v>2254</v>
      </c>
      <c r="D102" s="359" t="str">
        <f>IF(VLOOKUP($B102,suvaha_p!$A:$G,1)=$B102,VLOOKUP($B102,suvaha_p!$A:$G,$B$1),0)</f>
        <v>Výsledok hospodárenia za účtovné obdobie po zdanení /+-/  r. 01 - (r. 81 + r. 85 + r. 86 + r. 87 + r. 90 + r. 93 + r. 97
+ r. 101 + r. 141)</v>
      </c>
      <c r="E102" s="370" t="s">
        <v>2255</v>
      </c>
      <c r="F102" s="370"/>
      <c r="I102" s="394">
        <f t="shared" si="96"/>
        <v>0</v>
      </c>
      <c r="J102" s="394"/>
      <c r="K102" s="394"/>
      <c r="L102" s="395"/>
      <c r="M102" s="395"/>
      <c r="N102" s="382">
        <f>SUM(N3-N83-N87-N88-N89-N92-N95-N99-N103-N143)</f>
        <v>155402</v>
      </c>
      <c r="P102" s="383"/>
      <c r="S102" s="389">
        <f t="shared" si="97"/>
        <v>0</v>
      </c>
      <c r="W102" s="382"/>
      <c r="X102" s="382">
        <f>SUM(X3-X83-X87-X88-X89-X92-X95-X99-X103-X143)</f>
        <v>172989</v>
      </c>
      <c r="Z102" s="377"/>
      <c r="AB102" s="377">
        <f t="shared" si="99"/>
        <v>155402</v>
      </c>
      <c r="AC102" s="377">
        <f t="shared" si="100"/>
        <v>172989</v>
      </c>
      <c r="AD102" s="361" t="str">
        <f t="shared" si="101"/>
        <v xml:space="preserve">           </v>
      </c>
      <c r="AE102" s="361" t="str">
        <f t="shared" si="102"/>
        <v xml:space="preserve">           </v>
      </c>
      <c r="AF102" s="399" t="str">
        <f t="shared" si="103"/>
        <v xml:space="preserve">     155402</v>
      </c>
      <c r="AG102" s="399" t="str">
        <f t="shared" si="104"/>
        <v xml:space="preserve">     172989</v>
      </c>
      <c r="AK102" s="370"/>
      <c r="AN102" s="388">
        <f t="shared" si="98"/>
        <v>0</v>
      </c>
      <c r="AR102" s="379"/>
      <c r="AS102" s="379">
        <f>SUM(AS3-AS83-AS87-AS88-AS89-AS92-AS95-AS99-AS103-AS143)</f>
        <v>1259</v>
      </c>
    </row>
    <row r="103" spans="2:45" x14ac:dyDescent="0.25">
      <c r="B103" s="391">
        <v>101</v>
      </c>
      <c r="C103" s="85" t="s">
        <v>2186</v>
      </c>
      <c r="D103" s="359" t="str">
        <f>IF(VLOOKUP($B103,suvaha_p!$A:$G,1)=$B103,VLOOKUP($B103,suvaha_p!$A:$G,$B$1),0)</f>
        <v>Záväzky r. 102 + r. 118 + r. 121 + r. 122 + r. 136 + r. 139
 + r. 140</v>
      </c>
      <c r="E103" s="370" t="s">
        <v>2256</v>
      </c>
      <c r="F103" s="370"/>
      <c r="I103" s="394">
        <f t="shared" si="96"/>
        <v>0</v>
      </c>
      <c r="J103" s="394"/>
      <c r="K103" s="394"/>
      <c r="L103" s="395"/>
      <c r="M103" s="395"/>
      <c r="N103" s="382">
        <f>SUM(N104+N120+N123+N124+N138+N141+N142)</f>
        <v>132157</v>
      </c>
      <c r="P103" s="383"/>
      <c r="S103" s="389">
        <f t="shared" si="97"/>
        <v>0</v>
      </c>
      <c r="W103" s="382"/>
      <c r="X103" s="382">
        <f>SUM(X104+X120+X123+X124+X138+X141+X142)</f>
        <v>161891</v>
      </c>
      <c r="Z103" s="377"/>
      <c r="AB103" s="377">
        <f t="shared" si="99"/>
        <v>132157</v>
      </c>
      <c r="AC103" s="377">
        <f t="shared" si="100"/>
        <v>161891</v>
      </c>
      <c r="AD103" s="361" t="str">
        <f t="shared" si="101"/>
        <v xml:space="preserve">           </v>
      </c>
      <c r="AE103" s="361" t="str">
        <f t="shared" si="102"/>
        <v xml:space="preserve">           </v>
      </c>
      <c r="AF103" s="361" t="str">
        <f t="shared" si="103"/>
        <v xml:space="preserve">     132157</v>
      </c>
      <c r="AG103" s="361" t="str">
        <f t="shared" si="104"/>
        <v xml:space="preserve">     161891</v>
      </c>
      <c r="AK103" s="370"/>
      <c r="AN103" s="388">
        <f t="shared" si="98"/>
        <v>0</v>
      </c>
      <c r="AR103" s="379"/>
      <c r="AS103" s="379">
        <f>SUM(AS104+AS120+AS123+AS124+AS138+AS141+AS142)</f>
        <v>301601</v>
      </c>
    </row>
    <row r="104" spans="2:45" outlineLevel="1" x14ac:dyDescent="0.25">
      <c r="B104" s="391">
        <v>102</v>
      </c>
      <c r="C104" s="85" t="s">
        <v>2188</v>
      </c>
      <c r="D104" s="359" t="str">
        <f>IF(VLOOKUP($B104,suvaha_p!$A:$G,1)=$B104,VLOOKUP($B104,suvaha_p!$A:$G,$B$1),0)</f>
        <v>Dlhodobé záväzky súčet (r. 103 + r. 107 až r. 117)</v>
      </c>
      <c r="E104" s="370" t="s">
        <v>2257</v>
      </c>
      <c r="F104" s="370"/>
      <c r="I104" s="394">
        <f t="shared" si="96"/>
        <v>0</v>
      </c>
      <c r="J104" s="394"/>
      <c r="K104" s="394"/>
      <c r="L104" s="395"/>
      <c r="M104" s="395"/>
      <c r="N104" s="382">
        <f>SUM(N105+N109+N110+N111+N112+N113+N114+N115+N116+N117+N118+N119)</f>
        <v>1323</v>
      </c>
      <c r="P104" s="383"/>
      <c r="S104" s="389">
        <f t="shared" si="97"/>
        <v>0</v>
      </c>
      <c r="W104" s="382"/>
      <c r="X104" s="382">
        <f>SUM(X105+X109+X110+X111+X112+X113+X114+X115+X116+X117+X118+X119)</f>
        <v>1238</v>
      </c>
      <c r="Z104" s="377"/>
      <c r="AB104" s="377">
        <f t="shared" si="99"/>
        <v>1323</v>
      </c>
      <c r="AC104" s="377">
        <f t="shared" si="100"/>
        <v>1238</v>
      </c>
      <c r="AD104" s="361" t="str">
        <f t="shared" si="101"/>
        <v xml:space="preserve">           </v>
      </c>
      <c r="AE104" s="361" t="str">
        <f t="shared" si="102"/>
        <v xml:space="preserve">           </v>
      </c>
      <c r="AF104" s="361" t="str">
        <f t="shared" si="103"/>
        <v xml:space="preserve">       1323</v>
      </c>
      <c r="AG104" s="361" t="str">
        <f t="shared" si="104"/>
        <v xml:space="preserve">       1238</v>
      </c>
      <c r="AK104" s="370"/>
      <c r="AN104" s="388">
        <f t="shared" si="98"/>
        <v>0</v>
      </c>
      <c r="AP104" s="388"/>
      <c r="AR104" s="379"/>
      <c r="AS104" s="379">
        <f>SUM(AS105+AS109+AS110+AS111+AS112+AS113+AS114+AS115+AS116+AS117+AS118+AS119)</f>
        <v>1516</v>
      </c>
    </row>
    <row r="105" spans="2:45" outlineLevel="1" x14ac:dyDescent="0.25">
      <c r="B105" s="391">
        <v>103</v>
      </c>
      <c r="C105" s="85" t="s">
        <v>2190</v>
      </c>
      <c r="D105" s="359" t="str">
        <f>IF(VLOOKUP($B105,suvaha_p!$A:$G,1)=$B105,VLOOKUP($B105,suvaha_p!$A:$G,$B$1),0)</f>
        <v>Dlhodobé záväzky z obchodného styku súčet
(r. 104 až r. 106)</v>
      </c>
      <c r="E105" s="370" t="s">
        <v>2258</v>
      </c>
      <c r="F105" s="370"/>
      <c r="I105" s="394">
        <f t="shared" si="96"/>
        <v>0</v>
      </c>
      <c r="J105" s="394"/>
      <c r="K105" s="394"/>
      <c r="L105" s="395"/>
      <c r="M105" s="395"/>
      <c r="N105" s="382">
        <f>SUM(N106:N108)</f>
        <v>0</v>
      </c>
      <c r="P105" s="383"/>
      <c r="S105" s="389">
        <f t="shared" si="97"/>
        <v>0</v>
      </c>
      <c r="W105" s="382"/>
      <c r="X105" s="382">
        <f>SUM(X106:X108)</f>
        <v>0</v>
      </c>
      <c r="Z105" s="377"/>
      <c r="AB105" s="377">
        <f t="shared" si="99"/>
        <v>0</v>
      </c>
      <c r="AC105" s="377">
        <f t="shared" si="100"/>
        <v>0</v>
      </c>
      <c r="AD105" s="361" t="str">
        <f t="shared" si="101"/>
        <v xml:space="preserve">           </v>
      </c>
      <c r="AE105" s="361" t="str">
        <f t="shared" si="102"/>
        <v xml:space="preserve">           </v>
      </c>
      <c r="AF105" s="361" t="str">
        <f t="shared" si="103"/>
        <v xml:space="preserve">          0</v>
      </c>
      <c r="AG105" s="361" t="str">
        <f t="shared" si="104"/>
        <v xml:space="preserve">          0</v>
      </c>
      <c r="AK105" s="370"/>
      <c r="AN105" s="388">
        <f t="shared" si="98"/>
        <v>0</v>
      </c>
      <c r="AR105" s="379"/>
      <c r="AS105" s="379">
        <f>SUM(AS106:AS108)</f>
        <v>0</v>
      </c>
    </row>
    <row r="106" spans="2:45" outlineLevel="1" x14ac:dyDescent="0.25">
      <c r="B106" s="391">
        <v>104</v>
      </c>
      <c r="C106" s="85" t="s">
        <v>2199</v>
      </c>
      <c r="D106" s="362" t="str">
        <f>IF(VLOOKUP($B106,suvaha_p!$A:$G,1)=$B106,VLOOKUP($B106,suvaha_p!$A:$G,$B$1),0)</f>
        <v>Záväzky z obchodného styku voči prepojeným účtovným jednotkám (321A, 475A, 476A)</v>
      </c>
      <c r="E106" s="386" t="s">
        <v>2259</v>
      </c>
      <c r="G106" s="388">
        <f>SUM(ANALYTIKAVUJ!C150+ANALYTIKAVUJ!K180+ANALYTIKAVUJ!K190)</f>
        <v>0</v>
      </c>
      <c r="I106" s="394">
        <f t="shared" si="96"/>
        <v>0</v>
      </c>
      <c r="J106" s="394"/>
      <c r="K106" s="394"/>
      <c r="L106" s="395"/>
      <c r="M106" s="395"/>
      <c r="N106" s="389">
        <f t="shared" ref="N106:N119" si="105">ROUND((I106*-1),0)</f>
        <v>0</v>
      </c>
      <c r="Q106" s="389">
        <f>SUM(ANALYTIKAVUJ!D150+ANALYTIKAVUJ!L180+ANALYTIKAVUJ!L190)</f>
        <v>0</v>
      </c>
      <c r="S106" s="389">
        <f t="shared" si="97"/>
        <v>0</v>
      </c>
      <c r="X106" s="389">
        <f t="shared" ref="X106:X119" si="106">ROUND((S106*-1),0)</f>
        <v>0</v>
      </c>
      <c r="Z106" s="397"/>
      <c r="AB106" s="377">
        <f t="shared" si="99"/>
        <v>0</v>
      </c>
      <c r="AC106" s="377">
        <f t="shared" si="100"/>
        <v>0</v>
      </c>
      <c r="AD106" s="361" t="str">
        <f t="shared" si="101"/>
        <v xml:space="preserve">           </v>
      </c>
      <c r="AE106" s="361" t="str">
        <f t="shared" si="102"/>
        <v xml:space="preserve">           </v>
      </c>
      <c r="AF106" s="361" t="str">
        <f t="shared" si="103"/>
        <v xml:space="preserve">          0</v>
      </c>
      <c r="AG106" s="361" t="str">
        <f t="shared" si="104"/>
        <v xml:space="preserve">          0</v>
      </c>
      <c r="AL106" s="388">
        <f>SUM(ANALYTIKAVUJ!E150+ANALYTIKAVUJ!M180+ANALYTIKAVUJ!M190)</f>
        <v>0</v>
      </c>
      <c r="AN106" s="388">
        <f t="shared" si="98"/>
        <v>0</v>
      </c>
      <c r="AR106" s="388"/>
      <c r="AS106" s="388">
        <f t="shared" ref="AS106:AS119" si="107">ROUND((AN106*-1),0)</f>
        <v>0</v>
      </c>
    </row>
    <row r="107" spans="2:45" outlineLevel="1" x14ac:dyDescent="0.25">
      <c r="B107" s="391">
        <v>105</v>
      </c>
      <c r="C107" s="85" t="s">
        <v>2200</v>
      </c>
      <c r="D107" s="362" t="str">
        <f>IF(VLOOKUP($B107,suvaha_p!$A:$G,1)=$B107,VLOOKUP($B107,suvaha_p!$A:$G,$B$1),0)</f>
        <v>Záväzky z obchodného styku v rámci podielovej účasti okrem záväzkov voči prepojeným účtovným jednotkám (321A, 475A, 476A)</v>
      </c>
      <c r="E107" s="386" t="s">
        <v>2260</v>
      </c>
      <c r="G107" s="388">
        <f>SUM(ANALYTIKAVUJ!K191+ANALYTIKAVUJ!K181+ANALYTIKAVUJ!C151)</f>
        <v>0</v>
      </c>
      <c r="I107" s="394">
        <f t="shared" si="96"/>
        <v>0</v>
      </c>
      <c r="J107" s="394"/>
      <c r="K107" s="394"/>
      <c r="L107" s="395"/>
      <c r="M107" s="395"/>
      <c r="N107" s="389">
        <f t="shared" si="105"/>
        <v>0</v>
      </c>
      <c r="Q107" s="389">
        <f>SUM(ANALYTIKAVUJ!L191+ANALYTIKAVUJ!L181+ANALYTIKAVUJ!D151)</f>
        <v>0</v>
      </c>
      <c r="S107" s="389">
        <f t="shared" si="97"/>
        <v>0</v>
      </c>
      <c r="X107" s="389">
        <f t="shared" si="106"/>
        <v>0</v>
      </c>
      <c r="Z107" s="397"/>
      <c r="AB107" s="377">
        <f t="shared" si="99"/>
        <v>0</v>
      </c>
      <c r="AC107" s="377">
        <f t="shared" si="100"/>
        <v>0</v>
      </c>
      <c r="AD107" s="361" t="str">
        <f t="shared" si="101"/>
        <v xml:space="preserve">           </v>
      </c>
      <c r="AE107" s="361" t="str">
        <f t="shared" si="102"/>
        <v xml:space="preserve">           </v>
      </c>
      <c r="AF107" s="361" t="str">
        <f t="shared" si="103"/>
        <v xml:space="preserve">          0</v>
      </c>
      <c r="AG107" s="361" t="str">
        <f t="shared" si="104"/>
        <v xml:space="preserve">          0</v>
      </c>
      <c r="AL107" s="388">
        <f>SUM(ANALYTIKAVUJ!M191+ANALYTIKAVUJ!M181+ANALYTIKAVUJ!E151)</f>
        <v>0</v>
      </c>
      <c r="AN107" s="388">
        <f t="shared" si="98"/>
        <v>0</v>
      </c>
      <c r="AR107" s="388"/>
      <c r="AS107" s="388">
        <f t="shared" si="107"/>
        <v>0</v>
      </c>
    </row>
    <row r="108" spans="2:45" outlineLevel="1" x14ac:dyDescent="0.25">
      <c r="B108" s="391">
        <v>106</v>
      </c>
      <c r="C108" s="85" t="s">
        <v>2201</v>
      </c>
      <c r="D108" s="362" t="str">
        <f>IF(VLOOKUP($B108,suvaha_p!$A:$G,1)=$B108,VLOOKUP($B108,suvaha_p!$A:$G,$B$1),0)</f>
        <v>Ostatné záväzky z obchodného styku (321A, 475A, 476A)</v>
      </c>
      <c r="E108" s="386" t="s">
        <v>2261</v>
      </c>
      <c r="G108" s="388">
        <f>SUM(ANALYTIKAVUJ!C152+ANALYTIKAVUJ!K182+ANALYTIKAVUJ!K192)</f>
        <v>0</v>
      </c>
      <c r="I108" s="394">
        <f t="shared" si="96"/>
        <v>0</v>
      </c>
      <c r="J108" s="394"/>
      <c r="K108" s="394"/>
      <c r="L108" s="395"/>
      <c r="M108" s="395"/>
      <c r="N108" s="389">
        <f t="shared" si="105"/>
        <v>0</v>
      </c>
      <c r="Q108" s="389">
        <f>SUM(ANALYTIKAVUJ!D152+ANALYTIKAVUJ!L182+ANALYTIKAVUJ!L192)</f>
        <v>0</v>
      </c>
      <c r="S108" s="389">
        <f t="shared" si="97"/>
        <v>0</v>
      </c>
      <c r="X108" s="389">
        <f t="shared" si="106"/>
        <v>0</v>
      </c>
      <c r="Z108" s="397"/>
      <c r="AB108" s="377">
        <f t="shared" si="99"/>
        <v>0</v>
      </c>
      <c r="AC108" s="377">
        <f t="shared" si="100"/>
        <v>0</v>
      </c>
      <c r="AD108" s="361" t="str">
        <f t="shared" si="101"/>
        <v xml:space="preserve">           </v>
      </c>
      <c r="AE108" s="361" t="str">
        <f t="shared" si="102"/>
        <v xml:space="preserve">           </v>
      </c>
      <c r="AF108" s="361" t="str">
        <f t="shared" si="103"/>
        <v xml:space="preserve">          0</v>
      </c>
      <c r="AG108" s="361" t="str">
        <f t="shared" si="104"/>
        <v xml:space="preserve">          0</v>
      </c>
      <c r="AL108" s="388">
        <f>SUM(ANALYTIKAVUJ!E152+ANALYTIKAVUJ!M182+ANALYTIKAVUJ!M192)</f>
        <v>0</v>
      </c>
      <c r="AN108" s="388">
        <f t="shared" si="98"/>
        <v>0</v>
      </c>
      <c r="AR108" s="388"/>
      <c r="AS108" s="388">
        <f t="shared" si="107"/>
        <v>0</v>
      </c>
    </row>
    <row r="109" spans="2:45" outlineLevel="1" x14ac:dyDescent="0.25">
      <c r="B109" s="391">
        <v>107</v>
      </c>
      <c r="C109" s="85" t="s">
        <v>2166</v>
      </c>
      <c r="D109" s="362" t="str">
        <f>IF(VLOOKUP($B109,suvaha_p!$A:$G,1)=$B109,VLOOKUP($B109,suvaha_p!$A:$G,$B$1),0)</f>
        <v>Čistá hodnota zákazky (316A)</v>
      </c>
      <c r="E109" s="386" t="s">
        <v>1263</v>
      </c>
      <c r="G109" s="388">
        <f>SUM(ANALYTIKAVUJ!C117)</f>
        <v>0</v>
      </c>
      <c r="I109" s="394">
        <f t="shared" si="96"/>
        <v>0</v>
      </c>
      <c r="J109" s="394"/>
      <c r="K109" s="394"/>
      <c r="L109" s="395"/>
      <c r="M109" s="395"/>
      <c r="N109" s="389">
        <f t="shared" si="105"/>
        <v>0</v>
      </c>
      <c r="Q109" s="389">
        <f>SUM(ANALYTIKAVUJ!D117)</f>
        <v>0</v>
      </c>
      <c r="S109" s="389">
        <f t="shared" si="97"/>
        <v>0</v>
      </c>
      <c r="X109" s="389">
        <f t="shared" si="106"/>
        <v>0</v>
      </c>
      <c r="Z109" s="397"/>
      <c r="AB109" s="377">
        <f t="shared" si="99"/>
        <v>0</v>
      </c>
      <c r="AC109" s="377">
        <f t="shared" si="100"/>
        <v>0</v>
      </c>
      <c r="AD109" s="361" t="str">
        <f t="shared" si="101"/>
        <v xml:space="preserve">           </v>
      </c>
      <c r="AE109" s="361" t="str">
        <f t="shared" si="102"/>
        <v xml:space="preserve">           </v>
      </c>
      <c r="AF109" s="361" t="str">
        <f t="shared" si="103"/>
        <v xml:space="preserve">          0</v>
      </c>
      <c r="AG109" s="361" t="str">
        <f t="shared" si="104"/>
        <v xml:space="preserve">          0</v>
      </c>
      <c r="AL109" s="388">
        <f>SUM(ANALYTIKAVUJ!E117)</f>
        <v>0</v>
      </c>
      <c r="AN109" s="388">
        <f t="shared" si="98"/>
        <v>0</v>
      </c>
      <c r="AR109" s="388"/>
      <c r="AS109" s="388">
        <f t="shared" si="107"/>
        <v>0</v>
      </c>
    </row>
    <row r="110" spans="2:45" outlineLevel="1" x14ac:dyDescent="0.25">
      <c r="B110" s="391">
        <v>108</v>
      </c>
      <c r="C110" s="85" t="s">
        <v>2167</v>
      </c>
      <c r="D110" s="362" t="str">
        <f>IF(VLOOKUP($B110,suvaha_p!$A:$G,1)=$B110,VLOOKUP($B110,suvaha_p!$A:$G,$B$1),0)</f>
        <v>Ostatné záväzky voči prepojeným účtovným jednotkám (471A, 47XA)</v>
      </c>
      <c r="E110" s="386" t="s">
        <v>2262</v>
      </c>
      <c r="G110" s="388">
        <f>SUM(ANALYTIKAVUJ!K166)</f>
        <v>0</v>
      </c>
      <c r="I110" s="394">
        <f t="shared" si="96"/>
        <v>0</v>
      </c>
      <c r="J110" s="394"/>
      <c r="K110" s="394"/>
      <c r="L110" s="395"/>
      <c r="M110" s="395"/>
      <c r="N110" s="389">
        <f t="shared" si="105"/>
        <v>0</v>
      </c>
      <c r="Q110" s="389">
        <f>SUM(ANALYTIKAVUJ!L166)</f>
        <v>0</v>
      </c>
      <c r="S110" s="389">
        <f t="shared" si="97"/>
        <v>0</v>
      </c>
      <c r="X110" s="389">
        <f t="shared" si="106"/>
        <v>0</v>
      </c>
      <c r="Z110" s="397"/>
      <c r="AB110" s="377">
        <f t="shared" si="99"/>
        <v>0</v>
      </c>
      <c r="AC110" s="377">
        <f t="shared" si="100"/>
        <v>0</v>
      </c>
      <c r="AD110" s="361" t="str">
        <f t="shared" si="101"/>
        <v xml:space="preserve">           </v>
      </c>
      <c r="AE110" s="361" t="str">
        <f t="shared" si="102"/>
        <v xml:space="preserve">           </v>
      </c>
      <c r="AF110" s="361" t="str">
        <f t="shared" si="103"/>
        <v xml:space="preserve">          0</v>
      </c>
      <c r="AG110" s="361" t="str">
        <f t="shared" si="104"/>
        <v xml:space="preserve">          0</v>
      </c>
      <c r="AL110" s="388">
        <f>SUM(ANALYTIKAVUJ!M166)</f>
        <v>0</v>
      </c>
      <c r="AN110" s="388">
        <f t="shared" si="98"/>
        <v>0</v>
      </c>
      <c r="AR110" s="388"/>
      <c r="AS110" s="388">
        <f t="shared" si="107"/>
        <v>0</v>
      </c>
    </row>
    <row r="111" spans="2:45" outlineLevel="1" x14ac:dyDescent="0.25">
      <c r="B111" s="391">
        <v>109</v>
      </c>
      <c r="C111" s="85" t="s">
        <v>2168</v>
      </c>
      <c r="D111" s="362" t="str">
        <f>IF(VLOOKUP($B111,suvaha_p!$A:$G,1)=$B111,VLOOKUP($B111,suvaha_p!$A:$G,$B$1),0)</f>
        <v>Ostatné záväzky v rámci podielovej účasti okrem záväzkov voči prepojeným účtovným jednotkám (471A, 47XA)</v>
      </c>
      <c r="E111" s="386" t="s">
        <v>2263</v>
      </c>
      <c r="G111" s="388">
        <f>SUM(ANALYTIKAVUJ!K167)</f>
        <v>0</v>
      </c>
      <c r="I111" s="394">
        <f t="shared" si="96"/>
        <v>0</v>
      </c>
      <c r="J111" s="394"/>
      <c r="K111" s="394"/>
      <c r="L111" s="395"/>
      <c r="M111" s="395"/>
      <c r="N111" s="389">
        <f t="shared" si="105"/>
        <v>0</v>
      </c>
      <c r="Q111" s="389">
        <f>SUM(ANALYTIKAVUJ!L167)</f>
        <v>0</v>
      </c>
      <c r="S111" s="389">
        <f t="shared" si="97"/>
        <v>0</v>
      </c>
      <c r="X111" s="389">
        <f t="shared" si="106"/>
        <v>0</v>
      </c>
      <c r="Z111" s="397"/>
      <c r="AB111" s="377">
        <f t="shared" si="99"/>
        <v>0</v>
      </c>
      <c r="AC111" s="377">
        <f t="shared" si="100"/>
        <v>0</v>
      </c>
      <c r="AD111" s="361" t="str">
        <f t="shared" si="101"/>
        <v xml:space="preserve">           </v>
      </c>
      <c r="AE111" s="361" t="str">
        <f t="shared" si="102"/>
        <v xml:space="preserve">           </v>
      </c>
      <c r="AF111" s="361" t="str">
        <f t="shared" si="103"/>
        <v xml:space="preserve">          0</v>
      </c>
      <c r="AG111" s="361" t="str">
        <f t="shared" si="104"/>
        <v xml:space="preserve">          0</v>
      </c>
      <c r="AL111" s="388">
        <f>SUM(ANALYTIKAVUJ!M167)</f>
        <v>0</v>
      </c>
      <c r="AN111" s="388">
        <f t="shared" si="98"/>
        <v>0</v>
      </c>
      <c r="AR111" s="388"/>
      <c r="AS111" s="388">
        <f t="shared" si="107"/>
        <v>0</v>
      </c>
    </row>
    <row r="112" spans="2:45" outlineLevel="1" x14ac:dyDescent="0.25">
      <c r="B112" s="391">
        <v>110</v>
      </c>
      <c r="C112" s="85" t="s">
        <v>2169</v>
      </c>
      <c r="D112" s="362" t="str">
        <f>IF(VLOOKUP($B112,suvaha_p!$A:$G,1)=$B112,VLOOKUP($B112,suvaha_p!$A:$G,$B$1),0)</f>
        <v>Ostatné dlhodobé záväzky (479A, 47XA)</v>
      </c>
      <c r="E112" s="386" t="s">
        <v>342</v>
      </c>
      <c r="G112" s="388">
        <f>SUM(ANALYTIKAVUJ!K205)</f>
        <v>0</v>
      </c>
      <c r="I112" s="394">
        <f t="shared" si="96"/>
        <v>0</v>
      </c>
      <c r="J112" s="394"/>
      <c r="K112" s="394"/>
      <c r="L112" s="395"/>
      <c r="M112" s="395"/>
      <c r="N112" s="389">
        <f t="shared" si="105"/>
        <v>0</v>
      </c>
      <c r="Q112" s="389">
        <f>SUM(ANALYTIKAVUJ!L205)</f>
        <v>0</v>
      </c>
      <c r="S112" s="389">
        <f t="shared" si="97"/>
        <v>0</v>
      </c>
      <c r="X112" s="389">
        <f t="shared" si="106"/>
        <v>0</v>
      </c>
      <c r="Z112" s="397"/>
      <c r="AB112" s="377">
        <f t="shared" si="99"/>
        <v>0</v>
      </c>
      <c r="AC112" s="377">
        <f t="shared" si="100"/>
        <v>0</v>
      </c>
      <c r="AD112" s="361" t="str">
        <f t="shared" si="101"/>
        <v xml:space="preserve">           </v>
      </c>
      <c r="AE112" s="361" t="str">
        <f t="shared" si="102"/>
        <v xml:space="preserve">           </v>
      </c>
      <c r="AF112" s="361" t="str">
        <f t="shared" si="103"/>
        <v xml:space="preserve">          0</v>
      </c>
      <c r="AG112" s="361" t="str">
        <f t="shared" si="104"/>
        <v xml:space="preserve">          0</v>
      </c>
      <c r="AL112" s="388">
        <f>SUM(ANALYTIKAVUJ!M205)</f>
        <v>0</v>
      </c>
      <c r="AN112" s="388">
        <f t="shared" si="98"/>
        <v>0</v>
      </c>
      <c r="AR112" s="388"/>
      <c r="AS112" s="388">
        <f t="shared" si="107"/>
        <v>0</v>
      </c>
    </row>
    <row r="113" spans="2:45" outlineLevel="1" x14ac:dyDescent="0.25">
      <c r="B113" s="391">
        <v>111</v>
      </c>
      <c r="C113" s="85" t="s">
        <v>2171</v>
      </c>
      <c r="D113" s="362" t="str">
        <f>IF(VLOOKUP($B113,suvaha_p!$A:$G,1)=$B113,VLOOKUP($B113,suvaha_p!$A:$G,$B$1),0)</f>
        <v>Dlhodobé prijaté preddavky (475A)</v>
      </c>
      <c r="E113" s="386" t="s">
        <v>72</v>
      </c>
      <c r="G113" s="388">
        <f>SUM(ANALYTIKAVUJ!K183)</f>
        <v>0</v>
      </c>
      <c r="I113" s="394">
        <f t="shared" si="96"/>
        <v>0</v>
      </c>
      <c r="J113" s="394"/>
      <c r="K113" s="394"/>
      <c r="L113" s="395"/>
      <c r="M113" s="395"/>
      <c r="N113" s="389">
        <f t="shared" si="105"/>
        <v>0</v>
      </c>
      <c r="Q113" s="389">
        <f>SUM(ANALYTIKAVUJ!L183)</f>
        <v>0</v>
      </c>
      <c r="S113" s="389">
        <f t="shared" si="97"/>
        <v>0</v>
      </c>
      <c r="X113" s="389">
        <f t="shared" si="106"/>
        <v>0</v>
      </c>
      <c r="Z113" s="397"/>
      <c r="AB113" s="377">
        <f t="shared" si="99"/>
        <v>0</v>
      </c>
      <c r="AC113" s="377">
        <f t="shared" si="100"/>
        <v>0</v>
      </c>
      <c r="AD113" s="361" t="str">
        <f t="shared" si="101"/>
        <v xml:space="preserve">           </v>
      </c>
      <c r="AE113" s="361" t="str">
        <f t="shared" si="102"/>
        <v xml:space="preserve">           </v>
      </c>
      <c r="AF113" s="361" t="str">
        <f t="shared" si="103"/>
        <v xml:space="preserve">          0</v>
      </c>
      <c r="AG113" s="361" t="str">
        <f t="shared" si="104"/>
        <v xml:space="preserve">          0</v>
      </c>
      <c r="AL113" s="388">
        <f>SUM(ANALYTIKAVUJ!M183)</f>
        <v>0</v>
      </c>
      <c r="AN113" s="388">
        <f t="shared" si="98"/>
        <v>0</v>
      </c>
      <c r="AR113" s="388"/>
      <c r="AS113" s="388">
        <f t="shared" si="107"/>
        <v>0</v>
      </c>
    </row>
    <row r="114" spans="2:45" outlineLevel="1" x14ac:dyDescent="0.25">
      <c r="B114" s="391">
        <v>112</v>
      </c>
      <c r="C114" s="85" t="s">
        <v>2172</v>
      </c>
      <c r="D114" s="362" t="str">
        <f>IF(VLOOKUP($B114,suvaha_p!$A:$G,1)=$B114,VLOOKUP($B114,suvaha_p!$A:$G,$B$1),0)</f>
        <v>Dlhodobé zmenky na úhradu (478A)</v>
      </c>
      <c r="E114" s="386" t="s">
        <v>73</v>
      </c>
      <c r="G114" s="388">
        <f>SUM(ANALYTIKAVUJ!K198)</f>
        <v>0</v>
      </c>
      <c r="I114" s="394">
        <f t="shared" si="96"/>
        <v>0</v>
      </c>
      <c r="J114" s="394"/>
      <c r="K114" s="394"/>
      <c r="L114" s="395"/>
      <c r="M114" s="395"/>
      <c r="N114" s="389">
        <f t="shared" si="105"/>
        <v>0</v>
      </c>
      <c r="Q114" s="389">
        <f>SUM(ANALYTIKAVUJ!L198)</f>
        <v>0</v>
      </c>
      <c r="S114" s="389">
        <f t="shared" si="97"/>
        <v>0</v>
      </c>
      <c r="X114" s="389">
        <f t="shared" si="106"/>
        <v>0</v>
      </c>
      <c r="Z114" s="397"/>
      <c r="AB114" s="377">
        <f t="shared" si="99"/>
        <v>0</v>
      </c>
      <c r="AC114" s="377">
        <f t="shared" si="100"/>
        <v>0</v>
      </c>
      <c r="AD114" s="361" t="str">
        <f t="shared" si="101"/>
        <v xml:space="preserve">           </v>
      </c>
      <c r="AE114" s="361" t="str">
        <f t="shared" si="102"/>
        <v xml:space="preserve">           </v>
      </c>
      <c r="AF114" s="361" t="str">
        <f t="shared" si="103"/>
        <v xml:space="preserve">          0</v>
      </c>
      <c r="AG114" s="361" t="str">
        <f t="shared" si="104"/>
        <v xml:space="preserve">          0</v>
      </c>
      <c r="AL114" s="388">
        <f>SUM(ANALYTIKAVUJ!M198)</f>
        <v>0</v>
      </c>
      <c r="AN114" s="388">
        <f t="shared" si="98"/>
        <v>0</v>
      </c>
      <c r="AR114" s="388"/>
      <c r="AS114" s="388">
        <f t="shared" si="107"/>
        <v>0</v>
      </c>
    </row>
    <row r="115" spans="2:45" outlineLevel="1" x14ac:dyDescent="0.25">
      <c r="B115" s="391">
        <v>113</v>
      </c>
      <c r="C115" s="85" t="s">
        <v>2177</v>
      </c>
      <c r="D115" s="362" t="str">
        <f>IF(VLOOKUP($B115,suvaha_p!$A:$G,1)=$B115,VLOOKUP($B115,suvaha_p!$A:$G,$B$1),0)</f>
        <v>Vydané dlhopisy (473A/-/255A)</v>
      </c>
      <c r="E115" s="386" t="s">
        <v>2264</v>
      </c>
      <c r="G115" s="388">
        <f>SUM(ANALYTIKAVUJ!K172+ANALYTIKAVUJ!C146)</f>
        <v>0</v>
      </c>
      <c r="I115" s="394">
        <f t="shared" si="96"/>
        <v>0</v>
      </c>
      <c r="J115" s="394"/>
      <c r="K115" s="394"/>
      <c r="L115" s="395"/>
      <c r="M115" s="395"/>
      <c r="N115" s="389">
        <f t="shared" si="105"/>
        <v>0</v>
      </c>
      <c r="Q115" s="389">
        <f>SUM(ANALYTIKAVUJ!L172+ANALYTIKAVUJ!D146)</f>
        <v>0</v>
      </c>
      <c r="S115" s="389">
        <f t="shared" si="97"/>
        <v>0</v>
      </c>
      <c r="X115" s="389">
        <f t="shared" si="106"/>
        <v>0</v>
      </c>
      <c r="Z115" s="397"/>
      <c r="AB115" s="377">
        <f t="shared" si="99"/>
        <v>0</v>
      </c>
      <c r="AC115" s="377">
        <f t="shared" si="100"/>
        <v>0</v>
      </c>
      <c r="AD115" s="361" t="str">
        <f t="shared" si="101"/>
        <v xml:space="preserve">           </v>
      </c>
      <c r="AE115" s="361" t="str">
        <f t="shared" si="102"/>
        <v xml:space="preserve">           </v>
      </c>
      <c r="AF115" s="361" t="str">
        <f t="shared" si="103"/>
        <v xml:space="preserve">          0</v>
      </c>
      <c r="AG115" s="361" t="str">
        <f t="shared" si="104"/>
        <v xml:space="preserve">          0</v>
      </c>
      <c r="AL115" s="388">
        <f>SUM(ANALYTIKAVUJ!M172+ANALYTIKAVUJ!E146)</f>
        <v>0</v>
      </c>
      <c r="AN115" s="388">
        <f t="shared" si="98"/>
        <v>0</v>
      </c>
      <c r="AR115" s="388"/>
      <c r="AS115" s="388">
        <f t="shared" si="107"/>
        <v>0</v>
      </c>
    </row>
    <row r="116" spans="2:45" outlineLevel="1" x14ac:dyDescent="0.25">
      <c r="B116" s="391">
        <v>114</v>
      </c>
      <c r="C116" s="85" t="s">
        <v>2178</v>
      </c>
      <c r="D116" s="362" t="str">
        <f>IF(VLOOKUP($B116,suvaha_p!$A:$G,1)=$B116,VLOOKUP($B116,suvaha_p!$A:$G,$B$1),0)</f>
        <v>Záväzky zo sociálneho fondu (472)</v>
      </c>
      <c r="E116" s="386" t="s">
        <v>2265</v>
      </c>
      <c r="F116" s="388">
        <f>SUM('HL KNIHA VYPOC'!G248)</f>
        <v>-1322.65</v>
      </c>
      <c r="I116" s="394">
        <f t="shared" ref="I116:I147" si="108">SUM(F116:H116)</f>
        <v>-1322.65</v>
      </c>
      <c r="J116" s="394"/>
      <c r="K116" s="394"/>
      <c r="L116" s="395"/>
      <c r="M116" s="395"/>
      <c r="N116" s="389">
        <f t="shared" si="105"/>
        <v>1323</v>
      </c>
      <c r="P116" s="389">
        <f>SUM('HL KNIHA VYPOC'!K248)</f>
        <v>-1238.21</v>
      </c>
      <c r="S116" s="389">
        <f t="shared" ref="S116:S147" si="109">SUM(P116:R116)</f>
        <v>-1238.21</v>
      </c>
      <c r="X116" s="389">
        <f t="shared" si="106"/>
        <v>1238</v>
      </c>
      <c r="Z116" s="397"/>
      <c r="AB116" s="377">
        <f t="shared" si="99"/>
        <v>1323</v>
      </c>
      <c r="AC116" s="377">
        <f t="shared" si="100"/>
        <v>1238</v>
      </c>
      <c r="AD116" s="361" t="str">
        <f t="shared" si="101"/>
        <v xml:space="preserve">           </v>
      </c>
      <c r="AE116" s="361" t="str">
        <f t="shared" si="102"/>
        <v xml:space="preserve">           </v>
      </c>
      <c r="AF116" s="361" t="str">
        <f t="shared" si="103"/>
        <v xml:space="preserve">       1323</v>
      </c>
      <c r="AG116" s="361" t="str">
        <f t="shared" si="104"/>
        <v xml:space="preserve">       1238</v>
      </c>
      <c r="AK116" s="388">
        <f>SUM('HL KNIHA VYPOC'!H248)</f>
        <v>-1515.54</v>
      </c>
      <c r="AN116" s="388">
        <f t="shared" ref="AN116:AN147" si="110">SUM(AK116:AM116)</f>
        <v>-1515.54</v>
      </c>
      <c r="AR116" s="388"/>
      <c r="AS116" s="388">
        <f t="shared" si="107"/>
        <v>1516</v>
      </c>
    </row>
    <row r="117" spans="2:45" outlineLevel="1" x14ac:dyDescent="0.25">
      <c r="B117" s="391">
        <v>115</v>
      </c>
      <c r="C117" s="85" t="s">
        <v>2183</v>
      </c>
      <c r="D117" s="362" t="str">
        <f>IF(VLOOKUP($B117,suvaha_p!$A:$G,1)=$B117,VLOOKUP($B117,suvaha_p!$A:$G,$B$1),0)</f>
        <v>Iné dlhodobé záväzky (336A, 372A, 474A, 47XA)</v>
      </c>
      <c r="E117" s="386" t="s">
        <v>1264</v>
      </c>
      <c r="G117" s="388">
        <f>SUM(ANALYTIKAVUJ!C125+ANALYTIKAVUJ!C182+ANALYTIKAVUJ!K176)</f>
        <v>0</v>
      </c>
      <c r="I117" s="394">
        <f t="shared" si="108"/>
        <v>0</v>
      </c>
      <c r="J117" s="394"/>
      <c r="K117" s="394"/>
      <c r="L117" s="395"/>
      <c r="M117" s="395"/>
      <c r="N117" s="389">
        <f t="shared" si="105"/>
        <v>0</v>
      </c>
      <c r="Q117" s="389">
        <f>SUM(ANALYTIKAVUJ!D125+ANALYTIKAVUJ!D182+ANALYTIKAVUJ!L176)</f>
        <v>0</v>
      </c>
      <c r="S117" s="389">
        <f t="shared" si="109"/>
        <v>0</v>
      </c>
      <c r="X117" s="389">
        <f t="shared" si="106"/>
        <v>0</v>
      </c>
      <c r="Z117" s="397"/>
      <c r="AB117" s="377">
        <f t="shared" si="99"/>
        <v>0</v>
      </c>
      <c r="AC117" s="377">
        <f t="shared" si="100"/>
        <v>0</v>
      </c>
      <c r="AD117" s="361" t="str">
        <f t="shared" si="101"/>
        <v xml:space="preserve">           </v>
      </c>
      <c r="AE117" s="361" t="str">
        <f t="shared" si="102"/>
        <v xml:space="preserve">           </v>
      </c>
      <c r="AF117" s="361" t="str">
        <f t="shared" si="103"/>
        <v xml:space="preserve">          0</v>
      </c>
      <c r="AG117" s="361" t="str">
        <f t="shared" si="104"/>
        <v xml:space="preserve">          0</v>
      </c>
      <c r="AL117" s="388">
        <f>SUM(ANALYTIKAVUJ!E125+ANALYTIKAVUJ!E182+ANALYTIKAVUJ!M176)</f>
        <v>0</v>
      </c>
      <c r="AN117" s="388">
        <f t="shared" si="110"/>
        <v>0</v>
      </c>
      <c r="AR117" s="388"/>
      <c r="AS117" s="388">
        <f t="shared" si="107"/>
        <v>0</v>
      </c>
    </row>
    <row r="118" spans="2:45" outlineLevel="1" x14ac:dyDescent="0.25">
      <c r="B118" s="391">
        <v>116</v>
      </c>
      <c r="C118" s="85" t="s">
        <v>2184</v>
      </c>
      <c r="D118" s="362" t="str">
        <f>IF(VLOOKUP($B118,suvaha_p!$A:$G,1)=$B118,VLOOKUP($B118,suvaha_p!$A:$G,$B$1),0)</f>
        <v>Dlhodobé záväzky z derivátových operácií (373A, 377A)</v>
      </c>
      <c r="E118" s="386" t="s">
        <v>1265</v>
      </c>
      <c r="G118" s="388">
        <f>SUM(ANALYTIKAVUJ!K136+ANALYTIKAVUJ!C186)</f>
        <v>0</v>
      </c>
      <c r="I118" s="394">
        <f t="shared" si="108"/>
        <v>0</v>
      </c>
      <c r="J118" s="394"/>
      <c r="K118" s="394"/>
      <c r="L118" s="395"/>
      <c r="M118" s="395"/>
      <c r="N118" s="389">
        <f t="shared" si="105"/>
        <v>0</v>
      </c>
      <c r="Q118" s="389">
        <f>SUM(ANALYTIKAVUJ!L136+ANALYTIKAVUJ!D186)</f>
        <v>0</v>
      </c>
      <c r="S118" s="389">
        <f t="shared" si="109"/>
        <v>0</v>
      </c>
      <c r="X118" s="389">
        <f t="shared" si="106"/>
        <v>0</v>
      </c>
      <c r="Z118" s="397"/>
      <c r="AB118" s="377">
        <f t="shared" si="99"/>
        <v>0</v>
      </c>
      <c r="AC118" s="377">
        <f t="shared" si="100"/>
        <v>0</v>
      </c>
      <c r="AD118" s="361" t="str">
        <f t="shared" si="101"/>
        <v xml:space="preserve">           </v>
      </c>
      <c r="AE118" s="361" t="str">
        <f t="shared" si="102"/>
        <v xml:space="preserve">           </v>
      </c>
      <c r="AF118" s="361" t="str">
        <f t="shared" si="103"/>
        <v xml:space="preserve">          0</v>
      </c>
      <c r="AG118" s="361" t="str">
        <f t="shared" si="104"/>
        <v xml:space="preserve">          0</v>
      </c>
      <c r="AL118" s="388">
        <f>SUM(ANALYTIKAVUJ!M136+ANALYTIKAVUJ!E186)</f>
        <v>0</v>
      </c>
      <c r="AN118" s="388">
        <f t="shared" si="110"/>
        <v>0</v>
      </c>
      <c r="AR118" s="388"/>
      <c r="AS118" s="388">
        <f t="shared" si="107"/>
        <v>0</v>
      </c>
    </row>
    <row r="119" spans="2:45" outlineLevel="1" x14ac:dyDescent="0.25">
      <c r="B119" s="391">
        <v>117</v>
      </c>
      <c r="C119" s="85" t="s">
        <v>2266</v>
      </c>
      <c r="D119" s="362" t="str">
        <f>IF(VLOOKUP($B119,suvaha_p!$A:$G,1)=$B119,VLOOKUP($B119,suvaha_p!$A:$G,$B$1),0)</f>
        <v>Odložený daňový záväzok (481A)</v>
      </c>
      <c r="E119" s="386" t="s">
        <v>1267</v>
      </c>
      <c r="G119" s="388">
        <f>SUM(ANALYTIKAVUJ!K141)</f>
        <v>0</v>
      </c>
      <c r="I119" s="394">
        <f t="shared" si="108"/>
        <v>0</v>
      </c>
      <c r="J119" s="394"/>
      <c r="K119" s="394"/>
      <c r="L119" s="395"/>
      <c r="M119" s="395"/>
      <c r="N119" s="389">
        <f t="shared" si="105"/>
        <v>0</v>
      </c>
      <c r="Q119" s="389">
        <f>SUM(ANALYTIKAVUJ!L141)</f>
        <v>0</v>
      </c>
      <c r="S119" s="389">
        <f t="shared" si="109"/>
        <v>0</v>
      </c>
      <c r="X119" s="389">
        <f t="shared" si="106"/>
        <v>0</v>
      </c>
      <c r="Z119" s="397"/>
      <c r="AB119" s="377">
        <f t="shared" si="99"/>
        <v>0</v>
      </c>
      <c r="AC119" s="377">
        <f t="shared" si="100"/>
        <v>0</v>
      </c>
      <c r="AD119" s="361" t="str">
        <f t="shared" si="101"/>
        <v xml:space="preserve">           </v>
      </c>
      <c r="AE119" s="361" t="str">
        <f t="shared" si="102"/>
        <v xml:space="preserve">           </v>
      </c>
      <c r="AF119" s="361" t="str">
        <f t="shared" si="103"/>
        <v xml:space="preserve">          0</v>
      </c>
      <c r="AG119" s="361" t="str">
        <f t="shared" si="104"/>
        <v xml:space="preserve">          0</v>
      </c>
      <c r="AL119" s="388">
        <f>SUM(ANALYTIKAVUJ!M141)</f>
        <v>0</v>
      </c>
      <c r="AN119" s="388">
        <f t="shared" si="110"/>
        <v>0</v>
      </c>
      <c r="AR119" s="388"/>
      <c r="AS119" s="388">
        <f t="shared" si="107"/>
        <v>0</v>
      </c>
    </row>
    <row r="120" spans="2:45" outlineLevel="1" x14ac:dyDescent="0.25">
      <c r="B120" s="391">
        <v>118</v>
      </c>
      <c r="C120" s="85" t="s">
        <v>2196</v>
      </c>
      <c r="D120" s="400" t="str">
        <f>IF(VLOOKUP($B120,suvaha_p!$A:$G,1)=$B120,VLOOKUP($B120,suvaha_p!$A:$G,$B$1),0)</f>
        <v>Dlhodobé rezervy r. 119 + r. 120</v>
      </c>
      <c r="E120" s="370" t="s">
        <v>2267</v>
      </c>
      <c r="F120" s="370"/>
      <c r="I120" s="394">
        <f t="shared" si="108"/>
        <v>0</v>
      </c>
      <c r="J120" s="394"/>
      <c r="K120" s="394"/>
      <c r="L120" s="395"/>
      <c r="M120" s="395"/>
      <c r="N120" s="382">
        <f>SUM(N121:N122)</f>
        <v>0</v>
      </c>
      <c r="P120" s="383"/>
      <c r="S120" s="389">
        <f t="shared" si="109"/>
        <v>0</v>
      </c>
      <c r="X120" s="382">
        <f>SUM(X121:X122)</f>
        <v>0</v>
      </c>
      <c r="Z120" s="377"/>
      <c r="AB120" s="377">
        <f t="shared" si="99"/>
        <v>0</v>
      </c>
      <c r="AC120" s="377">
        <f t="shared" si="100"/>
        <v>0</v>
      </c>
      <c r="AD120" s="361" t="str">
        <f t="shared" si="101"/>
        <v xml:space="preserve">           </v>
      </c>
      <c r="AE120" s="361" t="str">
        <f t="shared" si="102"/>
        <v xml:space="preserve">           </v>
      </c>
      <c r="AF120" s="361" t="str">
        <f t="shared" si="103"/>
        <v xml:space="preserve">          0</v>
      </c>
      <c r="AG120" s="361" t="str">
        <f t="shared" si="104"/>
        <v xml:space="preserve">          0</v>
      </c>
      <c r="AK120" s="370"/>
      <c r="AN120" s="388">
        <f t="shared" si="110"/>
        <v>0</v>
      </c>
      <c r="AR120" s="388"/>
      <c r="AS120" s="379">
        <f>SUM(AS121:AS122)</f>
        <v>0</v>
      </c>
    </row>
    <row r="121" spans="2:45" outlineLevel="1" x14ac:dyDescent="0.25">
      <c r="B121" s="391">
        <v>119</v>
      </c>
      <c r="C121" s="85" t="s">
        <v>2198</v>
      </c>
      <c r="D121" s="401" t="str">
        <f>IF(VLOOKUP($B121,suvaha_p!$A:$G,1)=$B121,VLOOKUP($B121,suvaha_p!$A:$G,$B$1),0)</f>
        <v>Zákonné rezervy  (451A)</v>
      </c>
      <c r="E121" s="386" t="s">
        <v>350</v>
      </c>
      <c r="G121" s="388">
        <f>SUM(ANALYTIKAVUJ!K154)</f>
        <v>0</v>
      </c>
      <c r="I121" s="394">
        <f t="shared" si="108"/>
        <v>0</v>
      </c>
      <c r="J121" s="394"/>
      <c r="K121" s="394"/>
      <c r="L121" s="395"/>
      <c r="M121" s="395"/>
      <c r="N121" s="389">
        <f>ROUND((I121*-1),0)</f>
        <v>0</v>
      </c>
      <c r="Q121" s="389">
        <f>SUM(ANALYTIKAVUJ!L154)</f>
        <v>0</v>
      </c>
      <c r="S121" s="389">
        <f t="shared" si="109"/>
        <v>0</v>
      </c>
      <c r="X121" s="389">
        <f>ROUND((S121*-1),0)</f>
        <v>0</v>
      </c>
      <c r="Z121" s="397"/>
      <c r="AB121" s="377">
        <f t="shared" si="99"/>
        <v>0</v>
      </c>
      <c r="AC121" s="377">
        <f t="shared" si="100"/>
        <v>0</v>
      </c>
      <c r="AD121" s="361" t="str">
        <f t="shared" si="101"/>
        <v xml:space="preserve">           </v>
      </c>
      <c r="AE121" s="361" t="str">
        <f t="shared" si="102"/>
        <v xml:space="preserve">           </v>
      </c>
      <c r="AF121" s="361" t="str">
        <f t="shared" si="103"/>
        <v xml:space="preserve">          0</v>
      </c>
      <c r="AG121" s="361" t="str">
        <f t="shared" si="104"/>
        <v xml:space="preserve">          0</v>
      </c>
      <c r="AL121" s="388">
        <f>SUM(ANALYTIKAVUJ!M154)</f>
        <v>0</v>
      </c>
      <c r="AN121" s="388">
        <f t="shared" si="110"/>
        <v>0</v>
      </c>
      <c r="AR121" s="388"/>
      <c r="AS121" s="388">
        <f>ROUND((AN121*-1),0)</f>
        <v>0</v>
      </c>
    </row>
    <row r="122" spans="2:45" outlineLevel="1" x14ac:dyDescent="0.25">
      <c r="B122" s="391">
        <v>120</v>
      </c>
      <c r="C122" s="85" t="s">
        <v>2166</v>
      </c>
      <c r="D122" s="401" t="str">
        <f>IF(VLOOKUP($B122,suvaha_p!$A:$G,1)=$B122,VLOOKUP($B122,suvaha_p!$A:$G,$B$1),0)</f>
        <v>Ostatné rezervy (459A, 45XA)</v>
      </c>
      <c r="E122" s="386" t="s">
        <v>354</v>
      </c>
      <c r="G122" s="388">
        <f>SUM(ANALYTIKAVUJ!K158)</f>
        <v>0</v>
      </c>
      <c r="I122" s="394">
        <f t="shared" si="108"/>
        <v>0</v>
      </c>
      <c r="J122" s="394"/>
      <c r="K122" s="394"/>
      <c r="L122" s="395"/>
      <c r="M122" s="395"/>
      <c r="N122" s="389">
        <f>ROUND((I122*-1),0)</f>
        <v>0</v>
      </c>
      <c r="Q122" s="389">
        <f>SUM(ANALYTIKAVUJ!L158)</f>
        <v>0</v>
      </c>
      <c r="S122" s="389">
        <f t="shared" si="109"/>
        <v>0</v>
      </c>
      <c r="X122" s="389">
        <f>ROUND((S122*-1),0)</f>
        <v>0</v>
      </c>
      <c r="Z122" s="397"/>
      <c r="AB122" s="377">
        <f t="shared" si="99"/>
        <v>0</v>
      </c>
      <c r="AC122" s="377">
        <f t="shared" si="100"/>
        <v>0</v>
      </c>
      <c r="AD122" s="361" t="str">
        <f t="shared" si="101"/>
        <v xml:space="preserve">           </v>
      </c>
      <c r="AE122" s="361" t="str">
        <f t="shared" si="102"/>
        <v xml:space="preserve">           </v>
      </c>
      <c r="AF122" s="361" t="str">
        <f t="shared" si="103"/>
        <v xml:space="preserve">          0</v>
      </c>
      <c r="AG122" s="361" t="str">
        <f t="shared" si="104"/>
        <v xml:space="preserve">          0</v>
      </c>
      <c r="AL122" s="388">
        <f>SUM(ANALYTIKAVUJ!M158)</f>
        <v>0</v>
      </c>
      <c r="AN122" s="388">
        <f t="shared" si="110"/>
        <v>0</v>
      </c>
      <c r="AR122" s="388"/>
      <c r="AS122" s="388">
        <f>ROUND((AN122*-1),0)</f>
        <v>0</v>
      </c>
    </row>
    <row r="123" spans="2:45" outlineLevel="1" x14ac:dyDescent="0.25">
      <c r="B123" s="391">
        <v>121</v>
      </c>
      <c r="C123" s="85" t="s">
        <v>2203</v>
      </c>
      <c r="D123" s="359" t="str">
        <f>IF(VLOOKUP($B123,suvaha_p!$A:$G,1)=$B123,VLOOKUP($B123,suvaha_p!$A:$G,$B$1),0)</f>
        <v>Dlhodobé bankové úvery (461A, 46XA)</v>
      </c>
      <c r="E123" s="402" t="s">
        <v>74</v>
      </c>
      <c r="F123" s="370"/>
      <c r="G123" s="388">
        <f>SUM(ANALYTIKAVUJ!K162)</f>
        <v>0</v>
      </c>
      <c r="I123" s="394">
        <f t="shared" si="108"/>
        <v>0</v>
      </c>
      <c r="J123" s="394"/>
      <c r="K123" s="394"/>
      <c r="L123" s="395"/>
      <c r="M123" s="395"/>
      <c r="N123" s="389">
        <f>ROUND((I123*-1),0)</f>
        <v>0</v>
      </c>
      <c r="P123" s="383"/>
      <c r="Q123" s="389">
        <f>SUM(ANALYTIKAVUJ!L162)</f>
        <v>0</v>
      </c>
      <c r="S123" s="389">
        <f t="shared" si="109"/>
        <v>0</v>
      </c>
      <c r="X123" s="389">
        <f>ROUND((S123*-1),0)</f>
        <v>0</v>
      </c>
      <c r="Z123" s="377"/>
      <c r="AB123" s="377">
        <f t="shared" si="99"/>
        <v>0</v>
      </c>
      <c r="AC123" s="377">
        <f t="shared" si="100"/>
        <v>0</v>
      </c>
      <c r="AD123" s="361" t="str">
        <f t="shared" si="101"/>
        <v xml:space="preserve">           </v>
      </c>
      <c r="AE123" s="361" t="str">
        <f t="shared" si="102"/>
        <v xml:space="preserve">           </v>
      </c>
      <c r="AF123" s="361" t="str">
        <f t="shared" si="103"/>
        <v xml:space="preserve">          0</v>
      </c>
      <c r="AG123" s="361" t="str">
        <f t="shared" si="104"/>
        <v xml:space="preserve">          0</v>
      </c>
      <c r="AK123" s="370"/>
      <c r="AL123" s="388">
        <f>SUM(ANALYTIKAVUJ!M162)</f>
        <v>0</v>
      </c>
      <c r="AN123" s="388">
        <f t="shared" si="110"/>
        <v>0</v>
      </c>
      <c r="AR123" s="388"/>
      <c r="AS123" s="388">
        <f>ROUND((AN123*-1),0)</f>
        <v>0</v>
      </c>
    </row>
    <row r="124" spans="2:45" outlineLevel="1" x14ac:dyDescent="0.25">
      <c r="B124" s="391">
        <v>122</v>
      </c>
      <c r="C124" s="85" t="s">
        <v>2207</v>
      </c>
      <c r="D124" s="400" t="str">
        <f>IF(VLOOKUP($B124,suvaha_p!$A:$G,1)=$B124,VLOOKUP($B124,suvaha_p!$A:$G,$B$1),0)</f>
        <v>Krátkodobé záväzky súčet (r. 123 + r. 127 až r. 135)</v>
      </c>
      <c r="E124" s="370" t="s">
        <v>359</v>
      </c>
      <c r="F124" s="370"/>
      <c r="I124" s="394">
        <f t="shared" si="108"/>
        <v>0</v>
      </c>
      <c r="J124" s="394"/>
      <c r="K124" s="394"/>
      <c r="L124" s="395"/>
      <c r="M124" s="395"/>
      <c r="N124" s="382">
        <f>SUM(N129:N137)+N125</f>
        <v>113360</v>
      </c>
      <c r="P124" s="383"/>
      <c r="S124" s="389">
        <f t="shared" si="109"/>
        <v>0</v>
      </c>
      <c r="W124" s="382"/>
      <c r="X124" s="382">
        <f>SUM(X129:X137)+X125</f>
        <v>134935</v>
      </c>
      <c r="Z124" s="377"/>
      <c r="AB124" s="377">
        <f t="shared" si="99"/>
        <v>113360</v>
      </c>
      <c r="AC124" s="377">
        <f t="shared" si="100"/>
        <v>134935</v>
      </c>
      <c r="AD124" s="361" t="str">
        <f t="shared" si="101"/>
        <v xml:space="preserve">           </v>
      </c>
      <c r="AE124" s="361" t="str">
        <f t="shared" si="102"/>
        <v xml:space="preserve">           </v>
      </c>
      <c r="AF124" s="361" t="str">
        <f t="shared" si="103"/>
        <v xml:space="preserve">     113360</v>
      </c>
      <c r="AG124" s="361" t="str">
        <f t="shared" si="104"/>
        <v xml:space="preserve">     134935</v>
      </c>
      <c r="AK124" s="370"/>
      <c r="AN124" s="388">
        <f t="shared" si="110"/>
        <v>0</v>
      </c>
      <c r="AR124" s="379"/>
      <c r="AS124" s="379">
        <f>SUM(AS129:AS137)+AS125</f>
        <v>163066</v>
      </c>
    </row>
    <row r="125" spans="2:45" outlineLevel="1" x14ac:dyDescent="0.25">
      <c r="B125" s="391">
        <v>123</v>
      </c>
      <c r="C125" s="85" t="s">
        <v>2209</v>
      </c>
      <c r="D125" s="400" t="str">
        <f>IF(VLOOKUP($B125,suvaha_p!$A:$G,1)=$B125,VLOOKUP($B125,suvaha_p!$A:$G,$B$1),0)</f>
        <v>Záväzky z obchodného styku súčet (r.124 až r. 126)</v>
      </c>
      <c r="E125" s="370" t="s">
        <v>75</v>
      </c>
      <c r="F125" s="370"/>
      <c r="I125" s="394">
        <f t="shared" si="108"/>
        <v>0</v>
      </c>
      <c r="J125" s="394"/>
      <c r="K125" s="394"/>
      <c r="L125" s="395"/>
      <c r="M125" s="395"/>
      <c r="N125" s="382">
        <f>SUM(N126:N128)</f>
        <v>42848</v>
      </c>
      <c r="P125" s="383"/>
      <c r="S125" s="389">
        <f t="shared" si="109"/>
        <v>0</v>
      </c>
      <c r="W125" s="382"/>
      <c r="X125" s="382">
        <f>SUM(X126:X128)</f>
        <v>35044</v>
      </c>
      <c r="Z125" s="377"/>
      <c r="AB125" s="377">
        <f t="shared" si="99"/>
        <v>42848</v>
      </c>
      <c r="AC125" s="377">
        <f t="shared" si="100"/>
        <v>35044</v>
      </c>
      <c r="AD125" s="361" t="str">
        <f t="shared" si="101"/>
        <v xml:space="preserve">           </v>
      </c>
      <c r="AE125" s="361" t="str">
        <f t="shared" si="102"/>
        <v xml:space="preserve">           </v>
      </c>
      <c r="AF125" s="361" t="str">
        <f t="shared" si="103"/>
        <v xml:space="preserve">      42848</v>
      </c>
      <c r="AG125" s="361" t="str">
        <f t="shared" si="104"/>
        <v xml:space="preserve">      35044</v>
      </c>
      <c r="AK125" s="370"/>
      <c r="AN125" s="388">
        <f t="shared" si="110"/>
        <v>0</v>
      </c>
      <c r="AR125" s="379"/>
      <c r="AS125" s="379">
        <f>SUM(AS126:AS128)</f>
        <v>37146</v>
      </c>
    </row>
    <row r="126" spans="2:45" outlineLevel="1" x14ac:dyDescent="0.25">
      <c r="B126" s="391">
        <v>124</v>
      </c>
      <c r="C126" s="85" t="s">
        <v>2199</v>
      </c>
      <c r="D126" s="401" t="str">
        <f>IF(VLOOKUP($B126,suvaha_p!$A:$G,1)=$B126,VLOOKUP($B126,suvaha_p!$A:$G,$B$1),0)</f>
        <v>Záväzky z obchodného styku voči prepojeným účtovným jednotkám (321A, 322A, 324A, 325A, 326A, 32XA, 475A, 476A, 478A, 47XA)</v>
      </c>
      <c r="E126" s="386" t="s">
        <v>76</v>
      </c>
      <c r="G126" s="388">
        <f>SUM(ANALYTIKAVUJ!C153+ANALYTIKAVUJ!K184+ANALYTIKAVUJ!K193+ANALYTIKAVUJ!C158+ANALYTIKAVUJ!C167+ANALYTIKAVUJ!C172+ANALYTIKAVUJ!C177+ANALYTIKAVUJ!K199)</f>
        <v>-42847.749999999985</v>
      </c>
      <c r="I126" s="394">
        <f t="shared" si="108"/>
        <v>-42847.749999999985</v>
      </c>
      <c r="J126" s="394"/>
      <c r="K126" s="394"/>
      <c r="L126" s="395"/>
      <c r="M126" s="395"/>
      <c r="N126" s="389">
        <f t="shared" ref="N126:N137" si="111">ROUND((I126*-1),0)</f>
        <v>42848</v>
      </c>
      <c r="Q126" s="389">
        <f>SUM(ANALYTIKAVUJ!D153+ANALYTIKAVUJ!L184+ANALYTIKAVUJ!L193+ANALYTIKAVUJ!D158+ANALYTIKAVUJ!D167+ANALYTIKAVUJ!D172+ANALYTIKAVUJ!D177+ANALYTIKAVUJ!L199)</f>
        <v>-35043.840000000011</v>
      </c>
      <c r="S126" s="389">
        <f t="shared" si="109"/>
        <v>-35043.840000000011</v>
      </c>
      <c r="X126" s="389">
        <f t="shared" ref="X126:X137" si="112">ROUND((S126*-1),0)</f>
        <v>35044</v>
      </c>
      <c r="Z126" s="397"/>
      <c r="AB126" s="377">
        <f t="shared" si="99"/>
        <v>42848</v>
      </c>
      <c r="AC126" s="377">
        <f t="shared" si="100"/>
        <v>35044</v>
      </c>
      <c r="AD126" s="361" t="str">
        <f t="shared" si="101"/>
        <v xml:space="preserve">           </v>
      </c>
      <c r="AE126" s="361" t="str">
        <f t="shared" si="102"/>
        <v xml:space="preserve">           </v>
      </c>
      <c r="AF126" s="361" t="str">
        <f t="shared" si="103"/>
        <v xml:space="preserve">      42848</v>
      </c>
      <c r="AG126" s="361" t="str">
        <f t="shared" si="104"/>
        <v xml:space="preserve">      35044</v>
      </c>
      <c r="AL126" s="388">
        <f>SUM(ANALYTIKAVUJ!E153+ANALYTIKAVUJ!M184+ANALYTIKAVUJ!M193+ANALYTIKAVUJ!E158+ANALYTIKAVUJ!E167+ANALYTIKAVUJ!E172+ANALYTIKAVUJ!E177+ANALYTIKAVUJ!M199)</f>
        <v>-37145.520000000004</v>
      </c>
      <c r="AN126" s="388">
        <f t="shared" si="110"/>
        <v>-37145.520000000004</v>
      </c>
      <c r="AR126" s="388"/>
      <c r="AS126" s="388">
        <f t="shared" ref="AS126:AS137" si="113">ROUND((AN126*-1),0)</f>
        <v>37146</v>
      </c>
    </row>
    <row r="127" spans="2:45" outlineLevel="1" x14ac:dyDescent="0.25">
      <c r="B127" s="391">
        <v>125</v>
      </c>
      <c r="C127" s="85" t="s">
        <v>2200</v>
      </c>
      <c r="D127" s="401" t="str">
        <f>IF(VLOOKUP($B127,suvaha_p!$A:$G,1)=$B127,VLOOKUP($B127,suvaha_p!$A:$G,$B$1),0)</f>
        <v>Záväzky z obchodného styku v rámci podielovej účasti okrem záväzkov voči prepojeným účtovným jednotkám (321A, 322A, 324A, 325A, 326A, 32XA, 475A, 476A, 478A, 47XA)</v>
      </c>
      <c r="E127" s="386" t="s">
        <v>2268</v>
      </c>
      <c r="G127" s="388">
        <f>SUM(ANALYTIKAVUJ!K194+ANALYTIKAVUJ!K185+ANALYTIKAVUJ!C154+ANALYTIKAVUJ!K200+ANALYTIKAVUJ!C159+ANALYTIKAVUJ!C168+ANALYTIKAVUJ!C173+ANALYTIKAVUJ!C178)</f>
        <v>0</v>
      </c>
      <c r="I127" s="394">
        <f t="shared" si="108"/>
        <v>0</v>
      </c>
      <c r="J127" s="394"/>
      <c r="K127" s="394"/>
      <c r="L127" s="395"/>
      <c r="M127" s="395"/>
      <c r="N127" s="389">
        <f t="shared" si="111"/>
        <v>0</v>
      </c>
      <c r="Q127" s="389">
        <f>SUM(ANALYTIKAVUJ!L194+ANALYTIKAVUJ!L185+ANALYTIKAVUJ!D154+ANALYTIKAVUJ!L200+ANALYTIKAVUJ!D159+ANALYTIKAVUJ!D168+ANALYTIKAVUJ!D173+ANALYTIKAVUJ!D178)</f>
        <v>0</v>
      </c>
      <c r="S127" s="389">
        <f t="shared" si="109"/>
        <v>0</v>
      </c>
      <c r="X127" s="389">
        <f t="shared" si="112"/>
        <v>0</v>
      </c>
      <c r="Z127" s="397"/>
      <c r="AB127" s="377">
        <f t="shared" si="99"/>
        <v>0</v>
      </c>
      <c r="AC127" s="377">
        <f t="shared" si="100"/>
        <v>0</v>
      </c>
      <c r="AD127" s="361" t="str">
        <f t="shared" si="101"/>
        <v xml:space="preserve">           </v>
      </c>
      <c r="AE127" s="361" t="str">
        <f t="shared" si="102"/>
        <v xml:space="preserve">           </v>
      </c>
      <c r="AF127" s="361" t="str">
        <f t="shared" si="103"/>
        <v xml:space="preserve">          0</v>
      </c>
      <c r="AG127" s="361" t="str">
        <f t="shared" si="104"/>
        <v xml:space="preserve">          0</v>
      </c>
      <c r="AL127" s="388">
        <f>SUM(ANALYTIKAVUJ!M194+ANALYTIKAVUJ!M185+ANALYTIKAVUJ!E154+ANALYTIKAVUJ!M200+ANALYTIKAVUJ!E159+ANALYTIKAVUJ!E168+ANALYTIKAVUJ!E173+ANALYTIKAVUJ!E178)</f>
        <v>0</v>
      </c>
      <c r="AN127" s="388">
        <f t="shared" si="110"/>
        <v>0</v>
      </c>
      <c r="AR127" s="388"/>
      <c r="AS127" s="388">
        <f t="shared" si="113"/>
        <v>0</v>
      </c>
    </row>
    <row r="128" spans="2:45" outlineLevel="1" x14ac:dyDescent="0.25">
      <c r="B128" s="391">
        <v>126</v>
      </c>
      <c r="C128" s="85" t="s">
        <v>2201</v>
      </c>
      <c r="D128" s="401" t="str">
        <f>IF(VLOOKUP($B128,suvaha_p!$A:$G,1)=$B128,VLOOKUP($B128,suvaha_p!$A:$G,$B$1),0)</f>
        <v>Ostatné záväzky z obchodného styku (321A, 322A, 324A, 325A, 326A, 32XA, 475A, 476A, 478A, 47XA)</v>
      </c>
      <c r="E128" s="386" t="s">
        <v>2269</v>
      </c>
      <c r="G128" s="388">
        <f>SUM(ANALYTIKAVUJ!C155+ANALYTIKAVUJ!K186+ANALYTIKAVUJ!K195+ANALYTIKAVUJ!C160+ANALYTIKAVUJ!C169+ANALYTIKAVUJ!C174+ANALYTIKAVUJ!C179+ANALYTIKAVUJ!K201)</f>
        <v>0</v>
      </c>
      <c r="I128" s="394">
        <f t="shared" si="108"/>
        <v>0</v>
      </c>
      <c r="J128" s="394"/>
      <c r="K128" s="394"/>
      <c r="L128" s="395"/>
      <c r="M128" s="395"/>
      <c r="N128" s="389">
        <f t="shared" si="111"/>
        <v>0</v>
      </c>
      <c r="Q128" s="389">
        <f>SUM(ANALYTIKAVUJ!D155+ANALYTIKAVUJ!L186+ANALYTIKAVUJ!L195+ANALYTIKAVUJ!D160+ANALYTIKAVUJ!D169+ANALYTIKAVUJ!D174+ANALYTIKAVUJ!D179+ANALYTIKAVUJ!L201)</f>
        <v>0</v>
      </c>
      <c r="S128" s="389">
        <f t="shared" si="109"/>
        <v>0</v>
      </c>
      <c r="X128" s="389">
        <f t="shared" si="112"/>
        <v>0</v>
      </c>
      <c r="Z128" s="397"/>
      <c r="AB128" s="377">
        <f t="shared" si="99"/>
        <v>0</v>
      </c>
      <c r="AC128" s="377">
        <f t="shared" si="100"/>
        <v>0</v>
      </c>
      <c r="AD128" s="361" t="str">
        <f t="shared" si="101"/>
        <v xml:space="preserve">           </v>
      </c>
      <c r="AE128" s="361" t="str">
        <f t="shared" si="102"/>
        <v xml:space="preserve">           </v>
      </c>
      <c r="AF128" s="361" t="str">
        <f t="shared" si="103"/>
        <v xml:space="preserve">          0</v>
      </c>
      <c r="AG128" s="361" t="str">
        <f t="shared" si="104"/>
        <v xml:space="preserve">          0</v>
      </c>
      <c r="AL128" s="388">
        <f>SUM(ANALYTIKAVUJ!E155+ANALYTIKAVUJ!M186+ANALYTIKAVUJ!M195+ANALYTIKAVUJ!E160+ANALYTIKAVUJ!E169+ANALYTIKAVUJ!E174+ANALYTIKAVUJ!E179+ANALYTIKAVUJ!M201)</f>
        <v>0</v>
      </c>
      <c r="AN128" s="388">
        <f t="shared" si="110"/>
        <v>0</v>
      </c>
      <c r="AR128" s="388"/>
      <c r="AS128" s="388">
        <f t="shared" si="113"/>
        <v>0</v>
      </c>
    </row>
    <row r="129" spans="2:45" outlineLevel="1" x14ac:dyDescent="0.25">
      <c r="B129" s="391">
        <v>127</v>
      </c>
      <c r="C129" s="85" t="s">
        <v>2166</v>
      </c>
      <c r="D129" s="401" t="str">
        <f>IF(VLOOKUP($B129,suvaha_p!$A:$G,1)=$B129,VLOOKUP($B129,suvaha_p!$A:$G,$B$1),0)</f>
        <v>Čistá hodnota zákazky (316A)</v>
      </c>
      <c r="E129" s="386" t="s">
        <v>2270</v>
      </c>
      <c r="G129" s="388">
        <f>SUM(ANALYTIKAVUJ!C118)</f>
        <v>0</v>
      </c>
      <c r="I129" s="394">
        <f t="shared" si="108"/>
        <v>0</v>
      </c>
      <c r="J129" s="394"/>
      <c r="K129" s="394"/>
      <c r="L129" s="395"/>
      <c r="M129" s="395"/>
      <c r="N129" s="389">
        <f t="shared" si="111"/>
        <v>0</v>
      </c>
      <c r="Q129" s="389">
        <f>SUM(ANALYTIKAVUJ!D118)</f>
        <v>0</v>
      </c>
      <c r="S129" s="389">
        <f t="shared" si="109"/>
        <v>0</v>
      </c>
      <c r="X129" s="389">
        <f t="shared" si="112"/>
        <v>0</v>
      </c>
      <c r="Z129" s="397"/>
      <c r="AB129" s="377">
        <f t="shared" si="99"/>
        <v>0</v>
      </c>
      <c r="AC129" s="377">
        <f t="shared" si="100"/>
        <v>0</v>
      </c>
      <c r="AD129" s="361" t="str">
        <f t="shared" si="101"/>
        <v xml:space="preserve">           </v>
      </c>
      <c r="AE129" s="361" t="str">
        <f t="shared" si="102"/>
        <v xml:space="preserve">           </v>
      </c>
      <c r="AF129" s="361" t="str">
        <f t="shared" si="103"/>
        <v xml:space="preserve">          0</v>
      </c>
      <c r="AG129" s="361" t="str">
        <f t="shared" si="104"/>
        <v xml:space="preserve">          0</v>
      </c>
      <c r="AL129" s="388">
        <f>SUM(ANALYTIKAVUJ!E118)</f>
        <v>0</v>
      </c>
      <c r="AN129" s="388">
        <f t="shared" si="110"/>
        <v>0</v>
      </c>
      <c r="AR129" s="388"/>
      <c r="AS129" s="388">
        <f t="shared" si="113"/>
        <v>0</v>
      </c>
    </row>
    <row r="130" spans="2:45" outlineLevel="1" x14ac:dyDescent="0.25">
      <c r="B130" s="391">
        <v>128</v>
      </c>
      <c r="C130" s="85" t="s">
        <v>2167</v>
      </c>
      <c r="D130" s="401" t="str">
        <f>IF(VLOOKUP($B130,suvaha_p!$A:$G,1)=$B130,VLOOKUP($B130,suvaha_p!$A:$G,$B$1),0)</f>
        <v>Ostatné záväzky voči prepojeným účtovným jednotkám (361A, 36XA, 471A, 47XA)</v>
      </c>
      <c r="E130" s="386" t="s">
        <v>2271</v>
      </c>
      <c r="F130" s="387">
        <f>ANALYTIKAVUJ!$C$95</f>
        <v>0</v>
      </c>
      <c r="G130" s="388">
        <f>SUM(ANALYTIKAVUJ!K168)</f>
        <v>0</v>
      </c>
      <c r="I130" s="394">
        <f t="shared" si="108"/>
        <v>0</v>
      </c>
      <c r="J130" s="394"/>
      <c r="K130" s="394"/>
      <c r="L130" s="395"/>
      <c r="M130" s="395"/>
      <c r="N130" s="389">
        <f t="shared" si="111"/>
        <v>0</v>
      </c>
      <c r="P130" s="390">
        <f>ANALYTIKAVUJ!$D$95</f>
        <v>0</v>
      </c>
      <c r="Q130" s="389">
        <f>SUM(ANALYTIKAVUJ!L168)</f>
        <v>0</v>
      </c>
      <c r="S130" s="389">
        <f t="shared" si="109"/>
        <v>0</v>
      </c>
      <c r="X130" s="389">
        <f t="shared" si="112"/>
        <v>0</v>
      </c>
      <c r="Z130" s="397"/>
      <c r="AB130" s="377">
        <f t="shared" si="99"/>
        <v>0</v>
      </c>
      <c r="AC130" s="377">
        <f t="shared" si="100"/>
        <v>0</v>
      </c>
      <c r="AD130" s="361" t="str">
        <f t="shared" si="101"/>
        <v xml:space="preserve">           </v>
      </c>
      <c r="AE130" s="361" t="str">
        <f t="shared" si="102"/>
        <v xml:space="preserve">           </v>
      </c>
      <c r="AF130" s="361" t="str">
        <f t="shared" si="103"/>
        <v xml:space="preserve">          0</v>
      </c>
      <c r="AG130" s="361" t="str">
        <f t="shared" si="104"/>
        <v xml:space="preserve">          0</v>
      </c>
      <c r="AK130" s="387">
        <f>ANALYTIKAVUJ!$E$95</f>
        <v>0</v>
      </c>
      <c r="AL130" s="388">
        <f>SUM(ANALYTIKAVUJ!M168)</f>
        <v>0</v>
      </c>
      <c r="AN130" s="388">
        <f t="shared" si="110"/>
        <v>0</v>
      </c>
      <c r="AR130" s="388"/>
      <c r="AS130" s="388">
        <f t="shared" si="113"/>
        <v>0</v>
      </c>
    </row>
    <row r="131" spans="2:45" outlineLevel="1" x14ac:dyDescent="0.25">
      <c r="B131" s="391">
        <v>129</v>
      </c>
      <c r="C131" s="85" t="s">
        <v>2168</v>
      </c>
      <c r="D131" s="401" t="str">
        <f>IF(VLOOKUP($B131,suvaha_p!$A:$G,1)=$B131,VLOOKUP($B131,suvaha_p!$A:$G,$B$1),0)</f>
        <v>Ostatné záväzky v rámci podielovej účasti okrem záväzkov voči prepojeným účtovným jednotkám (361A, 36XA, 471A, 47XA)</v>
      </c>
      <c r="E131" s="386" t="s">
        <v>2272</v>
      </c>
      <c r="F131" s="387">
        <f>ANALYTIKAVUJ!$C$96</f>
        <v>0</v>
      </c>
      <c r="G131" s="388">
        <f>SUM(ANALYTIKAVUJ!K169)</f>
        <v>0</v>
      </c>
      <c r="I131" s="394">
        <f t="shared" si="108"/>
        <v>0</v>
      </c>
      <c r="J131" s="394"/>
      <c r="K131" s="394"/>
      <c r="L131" s="395"/>
      <c r="M131" s="395"/>
      <c r="N131" s="389">
        <f t="shared" si="111"/>
        <v>0</v>
      </c>
      <c r="P131" s="390">
        <f>ANALYTIKAVUJ!$D$96</f>
        <v>0</v>
      </c>
      <c r="Q131" s="389">
        <f>SUM(ANALYTIKAVUJ!L169)</f>
        <v>0</v>
      </c>
      <c r="S131" s="389">
        <f t="shared" si="109"/>
        <v>0</v>
      </c>
      <c r="X131" s="389">
        <f t="shared" si="112"/>
        <v>0</v>
      </c>
      <c r="Z131" s="397"/>
      <c r="AB131" s="377">
        <f t="shared" ref="AB131:AB147" si="114">ROUND(N131,0)</f>
        <v>0</v>
      </c>
      <c r="AC131" s="377">
        <f t="shared" ref="AC131:AC147" si="115">ROUND(X131,0)</f>
        <v>0</v>
      </c>
      <c r="AD131" s="361" t="str">
        <f t="shared" ref="AD131:AD147" si="116">REPT(" ",11-LEN(Z131))&amp;Z131</f>
        <v xml:space="preserve">           </v>
      </c>
      <c r="AE131" s="361" t="str">
        <f t="shared" ref="AE131:AE147" si="117">REPT(" ",11-LEN(AA131))&amp;AA131</f>
        <v xml:space="preserve">           </v>
      </c>
      <c r="AF131" s="361" t="str">
        <f t="shared" ref="AF131:AF147" si="118">REPT(" ",11-LEN(AB131))&amp;AB131</f>
        <v xml:space="preserve">          0</v>
      </c>
      <c r="AG131" s="361" t="str">
        <f t="shared" ref="AG131:AG147" si="119">REPT(" ",11-LEN(AC131))&amp;AC131</f>
        <v xml:space="preserve">          0</v>
      </c>
      <c r="AK131" s="387">
        <f>ANALYTIKAVUJ!$E$96</f>
        <v>0</v>
      </c>
      <c r="AL131" s="388">
        <f>SUM(ANALYTIKAVUJ!M169)</f>
        <v>0</v>
      </c>
      <c r="AN131" s="388">
        <f t="shared" si="110"/>
        <v>0</v>
      </c>
      <c r="AR131" s="388"/>
      <c r="AS131" s="388">
        <f t="shared" si="113"/>
        <v>0</v>
      </c>
    </row>
    <row r="132" spans="2:45" outlineLevel="1" x14ac:dyDescent="0.25">
      <c r="B132" s="391">
        <v>130</v>
      </c>
      <c r="C132" s="85" t="s">
        <v>2169</v>
      </c>
      <c r="D132" s="401" t="str">
        <f>IF(VLOOKUP($B132,suvaha_p!$A:$G,1)=$B132,VLOOKUP($B132,suvaha_p!$A:$G,$B$1),0)</f>
        <v>Záväzky voči spoločníkom a združeniu (364, 365, 366, 367, 368, 398A, 478A, 479A)</v>
      </c>
      <c r="E132" s="386" t="s">
        <v>369</v>
      </c>
      <c r="F132" s="388">
        <f>SUM('HL KNIHA VYPOC'!G179:G183)+'HL KNIHA VYPOC'!G210</f>
        <v>-11000</v>
      </c>
      <c r="G132" s="388">
        <f>SUM(ANALYTIKAVUJ!K202+ANALYTIKAVUJ!K206)</f>
        <v>-0.34000000000014552</v>
      </c>
      <c r="I132" s="394">
        <f t="shared" si="108"/>
        <v>-11000.34</v>
      </c>
      <c r="J132" s="394"/>
      <c r="K132" s="394"/>
      <c r="L132" s="395"/>
      <c r="M132" s="395"/>
      <c r="N132" s="389">
        <f t="shared" si="111"/>
        <v>11000</v>
      </c>
      <c r="P132" s="389">
        <f>SUM('HL KNIHA VYPOC'!K179:Q183)+'HL KNIHA VYPOC'!K210</f>
        <v>-11000</v>
      </c>
      <c r="Q132" s="389">
        <f>SUM(ANALYTIKAVUJ!L202+ANALYTIKAVUJ!L206)</f>
        <v>-29417.760000000002</v>
      </c>
      <c r="S132" s="389">
        <f t="shared" si="109"/>
        <v>-40417.760000000002</v>
      </c>
      <c r="X132" s="389">
        <f t="shared" si="112"/>
        <v>40418</v>
      </c>
      <c r="Z132" s="397"/>
      <c r="AB132" s="377">
        <f t="shared" si="114"/>
        <v>11000</v>
      </c>
      <c r="AC132" s="377">
        <f t="shared" si="115"/>
        <v>40418</v>
      </c>
      <c r="AD132" s="361" t="str">
        <f t="shared" si="116"/>
        <v xml:space="preserve">           </v>
      </c>
      <c r="AE132" s="361" t="str">
        <f t="shared" si="117"/>
        <v xml:space="preserve">           </v>
      </c>
      <c r="AF132" s="361" t="str">
        <f t="shared" si="118"/>
        <v xml:space="preserve">      11000</v>
      </c>
      <c r="AG132" s="361" t="str">
        <f t="shared" si="119"/>
        <v xml:space="preserve">      40418</v>
      </c>
      <c r="AK132" s="388">
        <f>SUM('HL KNIHA VYPOC'!H179:H183)+'HL KNIHA VYPOC'!H210</f>
        <v>-11000</v>
      </c>
      <c r="AL132" s="388">
        <f>SUM(ANALYTIKAVUJ!M202+ANALYTIKAVUJ!M206)</f>
        <v>-58190.720000000001</v>
      </c>
      <c r="AN132" s="388">
        <f t="shared" si="110"/>
        <v>-69190.720000000001</v>
      </c>
      <c r="AR132" s="388"/>
      <c r="AS132" s="388">
        <f t="shared" si="113"/>
        <v>69191</v>
      </c>
    </row>
    <row r="133" spans="2:45" outlineLevel="1" x14ac:dyDescent="0.25">
      <c r="B133" s="391">
        <v>131</v>
      </c>
      <c r="C133" s="85" t="s">
        <v>2171</v>
      </c>
      <c r="D133" s="401" t="str">
        <f>IF(VLOOKUP($B133,suvaha_p!$A:$G,1)=$B133,VLOOKUP($B133,suvaha_p!$A:$G,$B$1),0)</f>
        <v>Záväzky voči zamestnancom (331, 333, 33X, 479A)</v>
      </c>
      <c r="E133" s="386" t="s">
        <v>371</v>
      </c>
      <c r="F133" s="387">
        <f>SUM('HL KNIHA VYPOC'!G157+'HL KNIHA VYPOC'!G158)</f>
        <v>-13753.270000000024</v>
      </c>
      <c r="G133" s="388">
        <f>SUM(ANALYTIKAVUJ!K207)</f>
        <v>0</v>
      </c>
      <c r="I133" s="394">
        <f t="shared" si="108"/>
        <v>-13753.270000000024</v>
      </c>
      <c r="J133" s="394"/>
      <c r="K133" s="394"/>
      <c r="L133" s="395"/>
      <c r="M133" s="395"/>
      <c r="N133" s="389">
        <f t="shared" si="111"/>
        <v>13753</v>
      </c>
      <c r="P133" s="390">
        <f>SUM('HL KNIHA VYPOC'!K157+'HL KNIHA VYPOC'!K158)</f>
        <v>-14425.569999999983</v>
      </c>
      <c r="Q133" s="389">
        <f>SUM(ANALYTIKAVUJ!L207)</f>
        <v>0</v>
      </c>
      <c r="S133" s="389">
        <f t="shared" si="109"/>
        <v>-14425.569999999983</v>
      </c>
      <c r="X133" s="389">
        <f t="shared" si="112"/>
        <v>14426</v>
      </c>
      <c r="Z133" s="397"/>
      <c r="AB133" s="377">
        <f t="shared" si="114"/>
        <v>13753</v>
      </c>
      <c r="AC133" s="377">
        <f t="shared" si="115"/>
        <v>14426</v>
      </c>
      <c r="AD133" s="361" t="str">
        <f t="shared" si="116"/>
        <v xml:space="preserve">           </v>
      </c>
      <c r="AE133" s="361" t="str">
        <f t="shared" si="117"/>
        <v xml:space="preserve">           </v>
      </c>
      <c r="AF133" s="361" t="str">
        <f t="shared" si="118"/>
        <v xml:space="preserve">      13753</v>
      </c>
      <c r="AG133" s="361" t="str">
        <f t="shared" si="119"/>
        <v xml:space="preserve">      14426</v>
      </c>
      <c r="AK133" s="387">
        <f>SUM('HL KNIHA VYPOC'!H157+'HL KNIHA VYPOC'!H158)</f>
        <v>-21098.010000000002</v>
      </c>
      <c r="AL133" s="388">
        <f>SUM(ANALYTIKAVUJ!M207)</f>
        <v>0</v>
      </c>
      <c r="AN133" s="388">
        <f t="shared" si="110"/>
        <v>-21098.010000000002</v>
      </c>
      <c r="AR133" s="388"/>
      <c r="AS133" s="388">
        <f t="shared" si="113"/>
        <v>21098</v>
      </c>
    </row>
    <row r="134" spans="2:45" outlineLevel="1" x14ac:dyDescent="0.25">
      <c r="B134" s="391">
        <v>132</v>
      </c>
      <c r="C134" s="85" t="s">
        <v>2172</v>
      </c>
      <c r="D134" s="401" t="str">
        <f>IF(VLOOKUP($B134,suvaha_p!$A:$G,1)=$B134,VLOOKUP($B134,suvaha_p!$A:$G,$B$1),0)</f>
        <v>Záväzky zo sociálneho poistenia (336A)</v>
      </c>
      <c r="E134" s="386" t="s">
        <v>375</v>
      </c>
      <c r="G134" s="388">
        <f>SUM(ANALYTIKAVUJ!C126)</f>
        <v>-10612.990000000005</v>
      </c>
      <c r="I134" s="394">
        <f t="shared" si="108"/>
        <v>-10612.990000000005</v>
      </c>
      <c r="J134" s="394"/>
      <c r="K134" s="394"/>
      <c r="L134" s="395"/>
      <c r="M134" s="395"/>
      <c r="N134" s="389">
        <f t="shared" si="111"/>
        <v>10613</v>
      </c>
      <c r="Q134" s="389">
        <f>SUM(ANALYTIKAVUJ!D126)</f>
        <v>-9544</v>
      </c>
      <c r="S134" s="389">
        <f t="shared" si="109"/>
        <v>-9544</v>
      </c>
      <c r="X134" s="389">
        <f t="shared" si="112"/>
        <v>9544</v>
      </c>
      <c r="Z134" s="397"/>
      <c r="AB134" s="377">
        <f t="shared" si="114"/>
        <v>10613</v>
      </c>
      <c r="AC134" s="377">
        <f t="shared" si="115"/>
        <v>9544</v>
      </c>
      <c r="AD134" s="361" t="str">
        <f t="shared" si="116"/>
        <v xml:space="preserve">           </v>
      </c>
      <c r="AE134" s="361" t="str">
        <f t="shared" si="117"/>
        <v xml:space="preserve">           </v>
      </c>
      <c r="AF134" s="361" t="str">
        <f t="shared" si="118"/>
        <v xml:space="preserve">      10613</v>
      </c>
      <c r="AG134" s="361" t="str">
        <f t="shared" si="119"/>
        <v xml:space="preserve">       9544</v>
      </c>
      <c r="AL134" s="388">
        <f>SUM(ANALYTIKAVUJ!E126)</f>
        <v>-8401.36</v>
      </c>
      <c r="AN134" s="388">
        <f t="shared" si="110"/>
        <v>-8401.36</v>
      </c>
      <c r="AR134" s="388"/>
      <c r="AS134" s="388">
        <f t="shared" si="113"/>
        <v>8401</v>
      </c>
    </row>
    <row r="135" spans="2:45" outlineLevel="1" x14ac:dyDescent="0.25">
      <c r="B135" s="391">
        <v>133</v>
      </c>
      <c r="C135" s="85" t="s">
        <v>2177</v>
      </c>
      <c r="D135" s="401" t="str">
        <f>IF(VLOOKUP($B135,suvaha_p!$A:$G,1)=$B135,VLOOKUP($B135,suvaha_p!$A:$G,$B$1),0)</f>
        <v>Daňové záväzky a dotácie (341, 342, 343, 345, 346, 347, 34X)</v>
      </c>
      <c r="E135" s="386" t="s">
        <v>379</v>
      </c>
      <c r="G135" s="388">
        <f>SUM(ANALYTIKAVUJ!K108+ANALYTIKAVUJ!K112+ANALYTIKAVUJ!K116+ANALYTIKAVUJ!K120+ANALYTIKAVUJ!K124+ANALYTIKAVUJ!K128)</f>
        <v>-21649.21</v>
      </c>
      <c r="I135" s="394">
        <f t="shared" si="108"/>
        <v>-21649.21</v>
      </c>
      <c r="J135" s="394"/>
      <c r="K135" s="394"/>
      <c r="L135" s="395"/>
      <c r="M135" s="395"/>
      <c r="N135" s="389">
        <f t="shared" si="111"/>
        <v>21649</v>
      </c>
      <c r="Q135" s="389">
        <f>SUM(ANALYTIKAVUJ!L108+ANALYTIKAVUJ!L112+ANALYTIKAVUJ!L116+ANALYTIKAVUJ!L120+ANALYTIKAVUJ!L124+ANALYTIKAVUJ!L128)</f>
        <v>-19892.91</v>
      </c>
      <c r="S135" s="389">
        <f t="shared" si="109"/>
        <v>-19892.91</v>
      </c>
      <c r="X135" s="389">
        <f t="shared" si="112"/>
        <v>19893</v>
      </c>
      <c r="AB135" s="377">
        <f t="shared" si="114"/>
        <v>21649</v>
      </c>
      <c r="AC135" s="377">
        <f t="shared" si="115"/>
        <v>19893</v>
      </c>
      <c r="AD135" s="361" t="str">
        <f t="shared" si="116"/>
        <v xml:space="preserve">           </v>
      </c>
      <c r="AE135" s="361" t="str">
        <f t="shared" si="117"/>
        <v xml:space="preserve">           </v>
      </c>
      <c r="AF135" s="361" t="str">
        <f t="shared" si="118"/>
        <v xml:space="preserve">      21649</v>
      </c>
      <c r="AG135" s="361" t="str">
        <f t="shared" si="119"/>
        <v xml:space="preserve">      19893</v>
      </c>
      <c r="AL135" s="388">
        <f>SUM(ANALYTIKAVUJ!M108+ANALYTIKAVUJ!M112+ANALYTIKAVUJ!M116+ANALYTIKAVUJ!M120+ANALYTIKAVUJ!M124+ANALYTIKAVUJ!M128)</f>
        <v>-20212.439999999999</v>
      </c>
      <c r="AN135" s="388">
        <f t="shared" si="110"/>
        <v>-20212.439999999999</v>
      </c>
      <c r="AR135" s="388"/>
      <c r="AS135" s="388">
        <f t="shared" si="113"/>
        <v>20212</v>
      </c>
    </row>
    <row r="136" spans="2:45" outlineLevel="1" x14ac:dyDescent="0.25">
      <c r="B136" s="391">
        <v>134</v>
      </c>
      <c r="C136" s="85" t="s">
        <v>2178</v>
      </c>
      <c r="D136" s="401" t="str">
        <f>IF(VLOOKUP($B136,suvaha_p!$A:$G,1)=$B136,VLOOKUP($B136,suvaha_p!$A:$G,$B$1),0)</f>
        <v>Záväzky z derivátových operácií (373A, 377A)</v>
      </c>
      <c r="E136" s="386" t="s">
        <v>2273</v>
      </c>
      <c r="G136" s="388">
        <f>SUM(ANALYTIKAVUJ!K137+ANALYTIKAVUJ!C187)</f>
        <v>0</v>
      </c>
      <c r="I136" s="394">
        <f t="shared" si="108"/>
        <v>0</v>
      </c>
      <c r="J136" s="394"/>
      <c r="K136" s="394"/>
      <c r="L136" s="395"/>
      <c r="M136" s="395"/>
      <c r="N136" s="389">
        <f t="shared" si="111"/>
        <v>0</v>
      </c>
      <c r="Q136" s="389">
        <f>SUM(ANALYTIKAVUJ!L137+ANALYTIKAVUJ!D187)</f>
        <v>0</v>
      </c>
      <c r="S136" s="389">
        <f t="shared" si="109"/>
        <v>0</v>
      </c>
      <c r="X136" s="389">
        <f t="shared" si="112"/>
        <v>0</v>
      </c>
      <c r="Z136" s="397"/>
      <c r="AB136" s="377">
        <f t="shared" si="114"/>
        <v>0</v>
      </c>
      <c r="AC136" s="377">
        <f t="shared" si="115"/>
        <v>0</v>
      </c>
      <c r="AD136" s="361" t="str">
        <f t="shared" si="116"/>
        <v xml:space="preserve">           </v>
      </c>
      <c r="AE136" s="361" t="str">
        <f t="shared" si="117"/>
        <v xml:space="preserve">           </v>
      </c>
      <c r="AF136" s="361" t="str">
        <f t="shared" si="118"/>
        <v xml:space="preserve">          0</v>
      </c>
      <c r="AG136" s="361" t="str">
        <f t="shared" si="119"/>
        <v xml:space="preserve">          0</v>
      </c>
      <c r="AL136" s="388">
        <f>SUM(ANALYTIKAVUJ!M137+ANALYTIKAVUJ!E187)</f>
        <v>0</v>
      </c>
      <c r="AN136" s="388">
        <f t="shared" si="110"/>
        <v>0</v>
      </c>
      <c r="AR136" s="388"/>
      <c r="AS136" s="388">
        <f t="shared" si="113"/>
        <v>0</v>
      </c>
    </row>
    <row r="137" spans="2:45" outlineLevel="1" x14ac:dyDescent="0.25">
      <c r="B137" s="391">
        <v>135</v>
      </c>
      <c r="C137" s="85" t="s">
        <v>2183</v>
      </c>
      <c r="D137" s="401" t="str">
        <f>IF(VLOOKUP($B137,suvaha_p!$A:$G,1)=$B137,VLOOKUP($B137,suvaha_p!$A:$G,$B$1),0)</f>
        <v>Iné záväzky (372A, 379A, 474A, 475A, 479A, 47XA)</v>
      </c>
      <c r="E137" s="386" t="s">
        <v>2274</v>
      </c>
      <c r="F137" s="387">
        <f>SUM('HL KNIHA VYPOC'!G194)</f>
        <v>-13496.570000000003</v>
      </c>
      <c r="G137" s="388">
        <f>SUM(ANALYTIKAVUJ!C183+ANALYTIKAVUJ!K177+ANALYTIKAVUJ!K187+ANALYTIKAVUJ!K208)</f>
        <v>0</v>
      </c>
      <c r="I137" s="394">
        <f t="shared" si="108"/>
        <v>-13496.570000000003</v>
      </c>
      <c r="J137" s="394"/>
      <c r="K137" s="394"/>
      <c r="L137" s="395"/>
      <c r="M137" s="395"/>
      <c r="N137" s="389">
        <f t="shared" si="111"/>
        <v>13497</v>
      </c>
      <c r="P137" s="390">
        <f>SUM('HL KNIHA VYPOC'!K194)</f>
        <v>-15609.55</v>
      </c>
      <c r="Q137" s="389">
        <f>SUM(ANALYTIKAVUJ!D183+ANALYTIKAVUJ!L177+ANALYTIKAVUJ!L187+ANALYTIKAVUJ!L208)</f>
        <v>0</v>
      </c>
      <c r="S137" s="389">
        <f t="shared" si="109"/>
        <v>-15609.55</v>
      </c>
      <c r="X137" s="389">
        <f t="shared" si="112"/>
        <v>15610</v>
      </c>
      <c r="AB137" s="377">
        <f t="shared" si="114"/>
        <v>13497</v>
      </c>
      <c r="AC137" s="377">
        <f t="shared" si="115"/>
        <v>15610</v>
      </c>
      <c r="AD137" s="361" t="str">
        <f t="shared" si="116"/>
        <v xml:space="preserve">           </v>
      </c>
      <c r="AE137" s="361" t="str">
        <f t="shared" si="117"/>
        <v xml:space="preserve">           </v>
      </c>
      <c r="AF137" s="361" t="str">
        <f t="shared" si="118"/>
        <v xml:space="preserve">      13497</v>
      </c>
      <c r="AG137" s="361" t="str">
        <f t="shared" si="119"/>
        <v xml:space="preserve">      15610</v>
      </c>
      <c r="AK137" s="387">
        <f>SUM('HL KNIHA VYPOC'!H194)</f>
        <v>-7018.22</v>
      </c>
      <c r="AL137" s="388">
        <f>SUM(ANALYTIKAVUJ!E183+ANALYTIKAVUJ!M177+ANALYTIKAVUJ!M187+ANALYTIKAVUJ!M208)</f>
        <v>0</v>
      </c>
      <c r="AN137" s="388">
        <f t="shared" si="110"/>
        <v>-7018.22</v>
      </c>
      <c r="AR137" s="388"/>
      <c r="AS137" s="388">
        <f t="shared" si="113"/>
        <v>7018</v>
      </c>
    </row>
    <row r="138" spans="2:45" outlineLevel="1" x14ac:dyDescent="0.25">
      <c r="B138" s="391">
        <v>136</v>
      </c>
      <c r="C138" s="85" t="s">
        <v>2213</v>
      </c>
      <c r="D138" s="359" t="str">
        <f>IF(VLOOKUP($B138,suvaha_p!$A:$G,1)=$B138,VLOOKUP($B138,suvaha_p!$A:$G,$B$1),0)</f>
        <v>Krátkodobé rezervy r. 137 + r. 138</v>
      </c>
      <c r="E138" s="386" t="s">
        <v>2275</v>
      </c>
      <c r="I138" s="394">
        <f t="shared" si="108"/>
        <v>0</v>
      </c>
      <c r="J138" s="394"/>
      <c r="K138" s="394"/>
      <c r="L138" s="395"/>
      <c r="M138" s="395"/>
      <c r="N138" s="382">
        <f>SUM(N139:N140)</f>
        <v>14434</v>
      </c>
      <c r="S138" s="389">
        <f t="shared" si="109"/>
        <v>0</v>
      </c>
      <c r="W138" s="382"/>
      <c r="X138" s="382">
        <f>SUM(X139:X140)</f>
        <v>19678</v>
      </c>
      <c r="Z138" s="377"/>
      <c r="AB138" s="377">
        <f t="shared" si="114"/>
        <v>14434</v>
      </c>
      <c r="AC138" s="377">
        <f t="shared" si="115"/>
        <v>19678</v>
      </c>
      <c r="AD138" s="361" t="str">
        <f t="shared" si="116"/>
        <v xml:space="preserve">           </v>
      </c>
      <c r="AE138" s="361" t="str">
        <f t="shared" si="117"/>
        <v xml:space="preserve">           </v>
      </c>
      <c r="AF138" s="361" t="str">
        <f t="shared" si="118"/>
        <v xml:space="preserve">      14434</v>
      </c>
      <c r="AG138" s="361" t="str">
        <f t="shared" si="119"/>
        <v xml:space="preserve">      19678</v>
      </c>
      <c r="AN138" s="388">
        <f t="shared" si="110"/>
        <v>0</v>
      </c>
      <c r="AR138" s="379"/>
      <c r="AS138" s="379">
        <f>SUM(AS139:AS140)</f>
        <v>11673</v>
      </c>
    </row>
    <row r="139" spans="2:45" outlineLevel="1" x14ac:dyDescent="0.25">
      <c r="B139" s="391">
        <v>137</v>
      </c>
      <c r="C139" s="85" t="s">
        <v>2215</v>
      </c>
      <c r="D139" s="362" t="str">
        <f>IF(VLOOKUP($B139,suvaha_p!$A:$G,1)=$B139,VLOOKUP($B139,suvaha_p!$A:$G,$B$1),0)</f>
        <v>Zákonné rezervy (323A, 451A)</v>
      </c>
      <c r="E139" s="386" t="s">
        <v>2276</v>
      </c>
      <c r="G139" s="388">
        <f>SUM(ANALYTIKAVUJ!K155+ANALYTIKAVUJ!C163)</f>
        <v>-14434.230000000003</v>
      </c>
      <c r="I139" s="394">
        <f t="shared" si="108"/>
        <v>-14434.230000000003</v>
      </c>
      <c r="J139" s="394"/>
      <c r="K139" s="394"/>
      <c r="L139" s="395"/>
      <c r="M139" s="395"/>
      <c r="N139" s="389">
        <f>ROUND((I139*-1),0)</f>
        <v>14434</v>
      </c>
      <c r="Q139" s="389">
        <f>SUM(ANALYTIKAVUJ!L155+ANALYTIKAVUJ!D163)</f>
        <v>-19677.560000000001</v>
      </c>
      <c r="S139" s="389">
        <f t="shared" si="109"/>
        <v>-19677.560000000001</v>
      </c>
      <c r="W139" s="382"/>
      <c r="X139" s="389">
        <f>ROUND((S139*-1),0)</f>
        <v>19678</v>
      </c>
      <c r="AB139" s="377">
        <f t="shared" si="114"/>
        <v>14434</v>
      </c>
      <c r="AC139" s="377">
        <f t="shared" si="115"/>
        <v>19678</v>
      </c>
      <c r="AD139" s="361" t="str">
        <f t="shared" si="116"/>
        <v xml:space="preserve">           </v>
      </c>
      <c r="AE139" s="361" t="str">
        <f t="shared" si="117"/>
        <v xml:space="preserve">           </v>
      </c>
      <c r="AF139" s="361" t="str">
        <f t="shared" si="118"/>
        <v xml:space="preserve">      14434</v>
      </c>
      <c r="AG139" s="361" t="str">
        <f t="shared" si="119"/>
        <v xml:space="preserve">      19678</v>
      </c>
      <c r="AL139" s="388">
        <f>SUM(ANALYTIKAVUJ!M155+ANALYTIKAVUJ!E163)</f>
        <v>-11672.53</v>
      </c>
      <c r="AN139" s="388">
        <f t="shared" si="110"/>
        <v>-11672.53</v>
      </c>
      <c r="AR139" s="379"/>
      <c r="AS139" s="388">
        <f>ROUND((AN139*-1),0)</f>
        <v>11673</v>
      </c>
    </row>
    <row r="140" spans="2:45" outlineLevel="1" x14ac:dyDescent="0.25">
      <c r="B140" s="391">
        <v>138</v>
      </c>
      <c r="C140" s="85" t="s">
        <v>2166</v>
      </c>
      <c r="D140" s="362" t="str">
        <f>IF(VLOOKUP($B140,suvaha_p!$A:$G,1)=$B140,VLOOKUP($B140,suvaha_p!$A:$G,$B$1),0)</f>
        <v>Ostatné rezervy (323A, 32X, 459A, 45XA)</v>
      </c>
      <c r="E140" s="386" t="s">
        <v>2277</v>
      </c>
      <c r="G140" s="388">
        <f>SUM(ANALYTIKAVUJ!C164+ANALYTIKAVUJ!K159)</f>
        <v>0</v>
      </c>
      <c r="I140" s="394">
        <f t="shared" si="108"/>
        <v>0</v>
      </c>
      <c r="J140" s="394"/>
      <c r="K140" s="394"/>
      <c r="L140" s="395"/>
      <c r="M140" s="395"/>
      <c r="N140" s="389">
        <f>ROUND((I140*-1),0)</f>
        <v>0</v>
      </c>
      <c r="Q140" s="389">
        <f>SUM(ANALYTIKAVUJ!D164+ANALYTIKAVUJ!L159)</f>
        <v>0</v>
      </c>
      <c r="S140" s="389">
        <f t="shared" si="109"/>
        <v>0</v>
      </c>
      <c r="X140" s="389">
        <f>ROUND((S140*-1),0)</f>
        <v>0</v>
      </c>
      <c r="AB140" s="377">
        <f t="shared" si="114"/>
        <v>0</v>
      </c>
      <c r="AC140" s="377">
        <f t="shared" si="115"/>
        <v>0</v>
      </c>
      <c r="AD140" s="361" t="str">
        <f t="shared" si="116"/>
        <v xml:space="preserve">           </v>
      </c>
      <c r="AE140" s="361" t="str">
        <f t="shared" si="117"/>
        <v xml:space="preserve">           </v>
      </c>
      <c r="AF140" s="361" t="str">
        <f t="shared" si="118"/>
        <v xml:space="preserve">          0</v>
      </c>
      <c r="AG140" s="361" t="str">
        <f t="shared" si="119"/>
        <v xml:space="preserve">          0</v>
      </c>
      <c r="AL140" s="388">
        <f>SUM(ANALYTIKAVUJ!E164+ANALYTIKAVUJ!M159)</f>
        <v>0</v>
      </c>
      <c r="AN140" s="388">
        <f t="shared" si="110"/>
        <v>0</v>
      </c>
      <c r="AR140" s="388"/>
      <c r="AS140" s="388">
        <f>ROUND((AN140*-1),0)</f>
        <v>0</v>
      </c>
    </row>
    <row r="141" spans="2:45" outlineLevel="1" x14ac:dyDescent="0.25">
      <c r="B141" s="391">
        <v>139</v>
      </c>
      <c r="C141" s="85" t="s">
        <v>2278</v>
      </c>
      <c r="D141" s="359" t="str">
        <f>IF(VLOOKUP($B141,suvaha_p!$A:$G,1)=$B141,VLOOKUP($B141,suvaha_p!$A:$G,$B$1),0)</f>
        <v>Bežné bankové úvery (221A, 231, 232, 23X, 461A, 46XA)</v>
      </c>
      <c r="E141" s="402" t="s">
        <v>382</v>
      </c>
      <c r="F141" s="388">
        <f>SUM('HL KNIHA VYPOC'!G117+'HL KNIHA VYPOC'!G118)</f>
        <v>0</v>
      </c>
      <c r="G141" s="403">
        <f>SUM(ANALYTIKAVUJ!C110+ANALYTIKAVUJ!K163)</f>
        <v>0</v>
      </c>
      <c r="I141" s="394">
        <f t="shared" si="108"/>
        <v>0</v>
      </c>
      <c r="J141" s="394"/>
      <c r="K141" s="394"/>
      <c r="L141" s="395"/>
      <c r="M141" s="395"/>
      <c r="N141" s="389">
        <f>ROUND((I141*-1),0)</f>
        <v>0</v>
      </c>
      <c r="P141" s="389">
        <f>SUM('HL KNIHA VYPOC'!K117+'HL KNIHA VYPOC'!K118)</f>
        <v>0</v>
      </c>
      <c r="Q141" s="404">
        <f>SUM(ANALYTIKAVUJ!D110+ANALYTIKAVUJ!L163)</f>
        <v>0</v>
      </c>
      <c r="S141" s="389">
        <f t="shared" si="109"/>
        <v>0</v>
      </c>
      <c r="X141" s="389">
        <f>ROUND((S141*-1),0)</f>
        <v>0</v>
      </c>
      <c r="Z141" s="377"/>
      <c r="AB141" s="377">
        <f t="shared" si="114"/>
        <v>0</v>
      </c>
      <c r="AC141" s="377">
        <f t="shared" si="115"/>
        <v>0</v>
      </c>
      <c r="AD141" s="361" t="str">
        <f t="shared" si="116"/>
        <v xml:space="preserve">           </v>
      </c>
      <c r="AE141" s="361" t="str">
        <f t="shared" si="117"/>
        <v xml:space="preserve">           </v>
      </c>
      <c r="AF141" s="361" t="str">
        <f t="shared" si="118"/>
        <v xml:space="preserve">          0</v>
      </c>
      <c r="AG141" s="361" t="str">
        <f t="shared" si="119"/>
        <v xml:space="preserve">          0</v>
      </c>
      <c r="AK141" s="388">
        <f>SUM('HL KNIHA VYPOC'!H117+'HL KNIHA VYPOC'!H118)</f>
        <v>0</v>
      </c>
      <c r="AL141" s="403">
        <f>SUM(ANALYTIKAVUJ!E110+ANALYTIKAVUJ!M163)</f>
        <v>-119305.90999999999</v>
      </c>
      <c r="AN141" s="388">
        <f t="shared" si="110"/>
        <v>-119305.90999999999</v>
      </c>
      <c r="AR141" s="388"/>
      <c r="AS141" s="388">
        <f>ROUND((AN141*-1),0)</f>
        <v>119306</v>
      </c>
    </row>
    <row r="142" spans="2:45" x14ac:dyDescent="0.25">
      <c r="B142" s="391">
        <v>140</v>
      </c>
      <c r="C142" s="85" t="s">
        <v>2279</v>
      </c>
      <c r="D142" s="359" t="str">
        <f>IF(VLOOKUP($B142,suvaha_p!$A:$G,1)=$B142,VLOOKUP($B142,suvaha_p!$A:$G,$B$1),0)</f>
        <v>Krátkodobé finančné výpomoci (241, 249, 24X, 473A,
 /-/255A)</v>
      </c>
      <c r="E142" s="402" t="s">
        <v>2280</v>
      </c>
      <c r="F142" s="403">
        <f>SUM(ANALYTIKAVUJ!K173+ANALYTIKAVUJ!C147)</f>
        <v>0</v>
      </c>
      <c r="G142" s="388">
        <f>SUM('HL KNIHA VYPOC'!G121+'HL KNIHA VYPOC'!G122)</f>
        <v>-3040</v>
      </c>
      <c r="I142" s="394">
        <f t="shared" si="108"/>
        <v>-3040</v>
      </c>
      <c r="J142" s="394"/>
      <c r="K142" s="394"/>
      <c r="L142" s="395"/>
      <c r="M142" s="395"/>
      <c r="N142" s="389">
        <f>ROUND((I142*-1),0)</f>
        <v>3040</v>
      </c>
      <c r="P142" s="404">
        <f>SUM(ANALYTIKAVUJ!L173+ANALYTIKAVUJ!D147)</f>
        <v>0</v>
      </c>
      <c r="Q142" s="389">
        <f>SUM('HL KNIHA VYPOC'!K121+'HL KNIHA VYPOC'!K122)</f>
        <v>-6040</v>
      </c>
      <c r="S142" s="389">
        <f t="shared" si="109"/>
        <v>-6040</v>
      </c>
      <c r="X142" s="389">
        <f>ROUND((S142*-1),0)</f>
        <v>6040</v>
      </c>
      <c r="Z142" s="377"/>
      <c r="AB142" s="377">
        <f t="shared" si="114"/>
        <v>3040</v>
      </c>
      <c r="AC142" s="377">
        <f t="shared" si="115"/>
        <v>6040</v>
      </c>
      <c r="AD142" s="361" t="str">
        <f t="shared" si="116"/>
        <v xml:space="preserve">           </v>
      </c>
      <c r="AE142" s="361" t="str">
        <f t="shared" si="117"/>
        <v xml:space="preserve">           </v>
      </c>
      <c r="AF142" s="361" t="str">
        <f t="shared" si="118"/>
        <v xml:space="preserve">       3040</v>
      </c>
      <c r="AG142" s="361" t="str">
        <f t="shared" si="119"/>
        <v xml:space="preserve">       6040</v>
      </c>
      <c r="AK142" s="403">
        <f>SUM(ANALYTIKAVUJ!M173+ANALYTIKAVUJ!E147)</f>
        <v>0</v>
      </c>
      <c r="AL142" s="388">
        <f>SUM('HL KNIHA VYPOC'!H121+'HL KNIHA VYPOC'!H122)</f>
        <v>-6040</v>
      </c>
      <c r="AN142" s="388">
        <f t="shared" si="110"/>
        <v>-6040</v>
      </c>
      <c r="AR142" s="388"/>
      <c r="AS142" s="388">
        <f>ROUND((AN142*-1),0)</f>
        <v>6040</v>
      </c>
    </row>
    <row r="143" spans="2:45" x14ac:dyDescent="0.25">
      <c r="B143" s="391">
        <v>141</v>
      </c>
      <c r="C143" s="85" t="s">
        <v>2218</v>
      </c>
      <c r="D143" s="400" t="str">
        <f>IF(VLOOKUP($B143,suvaha_p!$A:$G,1)=$B143,VLOOKUP($B143,suvaha_p!$A:$G,$B$1),0)</f>
        <v>Časové rozlíšenie súčet (r. 142 až r. 145)</v>
      </c>
      <c r="E143" s="402" t="s">
        <v>2281</v>
      </c>
      <c r="F143" s="405"/>
      <c r="I143" s="394">
        <f t="shared" si="108"/>
        <v>0</v>
      </c>
      <c r="J143" s="394"/>
      <c r="K143" s="394"/>
      <c r="L143" s="395"/>
      <c r="M143" s="395"/>
      <c r="N143" s="382">
        <f>SUM(N144:N147)</f>
        <v>103415</v>
      </c>
      <c r="P143" s="404"/>
      <c r="S143" s="389">
        <f t="shared" si="109"/>
        <v>0</v>
      </c>
      <c r="W143" s="382"/>
      <c r="X143" s="382">
        <f>SUM(X144:X147)</f>
        <v>116849</v>
      </c>
      <c r="Z143" s="377"/>
      <c r="AB143" s="377">
        <f t="shared" si="114"/>
        <v>103415</v>
      </c>
      <c r="AC143" s="377">
        <f t="shared" si="115"/>
        <v>116849</v>
      </c>
      <c r="AD143" s="361" t="str">
        <f t="shared" si="116"/>
        <v xml:space="preserve">           </v>
      </c>
      <c r="AE143" s="361" t="str">
        <f t="shared" si="117"/>
        <v xml:space="preserve">           </v>
      </c>
      <c r="AF143" s="361" t="str">
        <f t="shared" si="118"/>
        <v xml:space="preserve">     103415</v>
      </c>
      <c r="AG143" s="361" t="str">
        <f t="shared" si="119"/>
        <v xml:space="preserve">     116849</v>
      </c>
      <c r="AK143" s="405"/>
      <c r="AN143" s="388">
        <f t="shared" si="110"/>
        <v>0</v>
      </c>
      <c r="AR143" s="379"/>
      <c r="AS143" s="379">
        <f>SUM(AS144:AS147)</f>
        <v>130649</v>
      </c>
    </row>
    <row r="144" spans="2:45" outlineLevel="1" x14ac:dyDescent="0.25">
      <c r="B144" s="391">
        <v>142</v>
      </c>
      <c r="C144" s="85" t="s">
        <v>2220</v>
      </c>
      <c r="D144" s="362" t="str">
        <f>IF(VLOOKUP($B144,suvaha_p!$A:$G,1)=$B144,VLOOKUP($B144,suvaha_p!$A:$G,$B$1),0)</f>
        <v>Výdavky budúcich období dlhodobé (383A)</v>
      </c>
      <c r="E144" s="386" t="s">
        <v>2282</v>
      </c>
      <c r="G144" s="388">
        <f>SUM(ANALYTIKAVUJ!C190)</f>
        <v>0</v>
      </c>
      <c r="I144" s="394">
        <f t="shared" si="108"/>
        <v>0</v>
      </c>
      <c r="J144" s="394"/>
      <c r="K144" s="394"/>
      <c r="L144" s="395"/>
      <c r="M144" s="395"/>
      <c r="N144" s="389">
        <f>ROUND((I144*-1),0)</f>
        <v>0</v>
      </c>
      <c r="Q144" s="389">
        <f>SUM(ANALYTIKAVUJ!D190)</f>
        <v>0</v>
      </c>
      <c r="S144" s="389">
        <f t="shared" si="109"/>
        <v>0</v>
      </c>
      <c r="X144" s="389">
        <f>ROUND((S144*-1),0)</f>
        <v>0</v>
      </c>
      <c r="AB144" s="377">
        <f t="shared" si="114"/>
        <v>0</v>
      </c>
      <c r="AC144" s="377">
        <f t="shared" si="115"/>
        <v>0</v>
      </c>
      <c r="AD144" s="361" t="str">
        <f t="shared" si="116"/>
        <v xml:space="preserve">           </v>
      </c>
      <c r="AE144" s="361" t="str">
        <f t="shared" si="117"/>
        <v xml:space="preserve">           </v>
      </c>
      <c r="AF144" s="361" t="str">
        <f t="shared" si="118"/>
        <v xml:space="preserve">          0</v>
      </c>
      <c r="AG144" s="361" t="str">
        <f t="shared" si="119"/>
        <v xml:space="preserve">          0</v>
      </c>
      <c r="AL144" s="388">
        <f>SUM(ANALYTIKAVUJ!E190)</f>
        <v>0</v>
      </c>
      <c r="AN144" s="388">
        <f t="shared" si="110"/>
        <v>0</v>
      </c>
      <c r="AR144" s="388"/>
      <c r="AS144" s="388">
        <f>ROUND((AN144*-1),0)</f>
        <v>0</v>
      </c>
    </row>
    <row r="145" spans="1:45" outlineLevel="1" x14ac:dyDescent="0.25">
      <c r="B145" s="391">
        <v>143</v>
      </c>
      <c r="C145" s="85" t="s">
        <v>2166</v>
      </c>
      <c r="D145" s="362" t="str">
        <f>IF(VLOOKUP($B145,suvaha_p!$A:$G,1)=$B145,VLOOKUP($B145,suvaha_p!$A:$G,$B$1),0)</f>
        <v>Výdavky budúcich období krátkodobé (383A)</v>
      </c>
      <c r="E145" s="386" t="s">
        <v>2283</v>
      </c>
      <c r="G145" s="388">
        <f>SUM(ANALYTIKAVUJ!C191)</f>
        <v>0</v>
      </c>
      <c r="I145" s="394">
        <f t="shared" si="108"/>
        <v>0</v>
      </c>
      <c r="J145" s="394"/>
      <c r="K145" s="394"/>
      <c r="L145" s="395"/>
      <c r="M145" s="395"/>
      <c r="N145" s="389">
        <f>ROUND((I145*-1),0)</f>
        <v>0</v>
      </c>
      <c r="Q145" s="389">
        <f>SUM(ANALYTIKAVUJ!D191)</f>
        <v>0</v>
      </c>
      <c r="S145" s="389">
        <f t="shared" si="109"/>
        <v>0</v>
      </c>
      <c r="X145" s="389">
        <f>ROUND((S145*-1),0)</f>
        <v>0</v>
      </c>
      <c r="AB145" s="377">
        <f t="shared" si="114"/>
        <v>0</v>
      </c>
      <c r="AC145" s="377">
        <f t="shared" si="115"/>
        <v>0</v>
      </c>
      <c r="AD145" s="361" t="str">
        <f t="shared" si="116"/>
        <v xml:space="preserve">           </v>
      </c>
      <c r="AE145" s="361" t="str">
        <f t="shared" si="117"/>
        <v xml:space="preserve">           </v>
      </c>
      <c r="AF145" s="361" t="str">
        <f t="shared" si="118"/>
        <v xml:space="preserve">          0</v>
      </c>
      <c r="AG145" s="361" t="str">
        <f t="shared" si="119"/>
        <v xml:space="preserve">          0</v>
      </c>
      <c r="AL145" s="388">
        <f>SUM(ANALYTIKAVUJ!E191)</f>
        <v>-250.6</v>
      </c>
      <c r="AN145" s="388">
        <f t="shared" si="110"/>
        <v>-250.6</v>
      </c>
      <c r="AR145" s="388"/>
      <c r="AS145" s="388">
        <f>ROUND((AN145*-1),0)</f>
        <v>251</v>
      </c>
    </row>
    <row r="146" spans="1:45" outlineLevel="1" x14ac:dyDescent="0.25">
      <c r="B146" s="391">
        <v>144</v>
      </c>
      <c r="C146" s="85" t="s">
        <v>2167</v>
      </c>
      <c r="D146" s="362" t="str">
        <f>IF(VLOOKUP($B146,suvaha_p!$A:$G,1)=$B146,VLOOKUP($B146,suvaha_p!$A:$G,$B$1),0)</f>
        <v>Výnosy budúcich období dlhodobé (384A)</v>
      </c>
      <c r="E146" s="386" t="s">
        <v>2284</v>
      </c>
      <c r="G146" s="388">
        <f>SUM(ANALYTIKAVUJ!C194)</f>
        <v>0</v>
      </c>
      <c r="I146" s="394">
        <f t="shared" si="108"/>
        <v>0</v>
      </c>
      <c r="J146" s="394"/>
      <c r="K146" s="394"/>
      <c r="L146" s="395"/>
      <c r="M146" s="395"/>
      <c r="N146" s="389">
        <f>ROUND((I146*-1),0)</f>
        <v>0</v>
      </c>
      <c r="Q146" s="389">
        <f>SUM(ANALYTIKAVUJ!D194)</f>
        <v>0</v>
      </c>
      <c r="S146" s="389">
        <f t="shared" si="109"/>
        <v>0</v>
      </c>
      <c r="X146" s="389">
        <f>ROUND((S146*-1),0)</f>
        <v>0</v>
      </c>
      <c r="AB146" s="377">
        <f t="shared" si="114"/>
        <v>0</v>
      </c>
      <c r="AC146" s="377">
        <f t="shared" si="115"/>
        <v>0</v>
      </c>
      <c r="AD146" s="361" t="str">
        <f t="shared" si="116"/>
        <v xml:space="preserve">           </v>
      </c>
      <c r="AE146" s="361" t="str">
        <f t="shared" si="117"/>
        <v xml:space="preserve">           </v>
      </c>
      <c r="AF146" s="361" t="str">
        <f t="shared" si="118"/>
        <v xml:space="preserve">          0</v>
      </c>
      <c r="AG146" s="361" t="str">
        <f t="shared" si="119"/>
        <v xml:space="preserve">          0</v>
      </c>
      <c r="AL146" s="388">
        <f>SUM(ANALYTIKAVUJ!E194)</f>
        <v>0</v>
      </c>
      <c r="AN146" s="388">
        <f t="shared" si="110"/>
        <v>0</v>
      </c>
      <c r="AR146" s="388"/>
      <c r="AS146" s="388">
        <f>ROUND((AN146*-1),0)</f>
        <v>0</v>
      </c>
    </row>
    <row r="147" spans="1:45" outlineLevel="1" x14ac:dyDescent="0.25">
      <c r="B147" s="391">
        <v>145</v>
      </c>
      <c r="C147" s="85" t="s">
        <v>2168</v>
      </c>
      <c r="D147" s="362" t="str">
        <f>IF(VLOOKUP($B147,suvaha_p!$A:$G,1)=$B147,VLOOKUP($B147,suvaha_p!$A:$G,$B$1),0)</f>
        <v>Výnosy budúcich období krátkodobé (384A)</v>
      </c>
      <c r="E147" s="386" t="s">
        <v>2285</v>
      </c>
      <c r="G147" s="388">
        <f>SUM(ANALYTIKAVUJ!C195)</f>
        <v>-103415.42000000001</v>
      </c>
      <c r="I147" s="394">
        <f t="shared" si="108"/>
        <v>-103415.42000000001</v>
      </c>
      <c r="J147" s="394"/>
      <c r="K147" s="394"/>
      <c r="L147" s="395"/>
      <c r="M147" s="395"/>
      <c r="N147" s="389">
        <f>ROUND((I147*-1),0)</f>
        <v>103415</v>
      </c>
      <c r="Q147" s="389">
        <f>SUM(ANALYTIKAVUJ!D195)</f>
        <v>-116849.45999999999</v>
      </c>
      <c r="S147" s="389">
        <f t="shared" si="109"/>
        <v>-116849.45999999999</v>
      </c>
      <c r="X147" s="389">
        <f>ROUND((S147*-1),0)</f>
        <v>116849</v>
      </c>
      <c r="AB147" s="377">
        <f t="shared" si="114"/>
        <v>103415</v>
      </c>
      <c r="AC147" s="377">
        <f t="shared" si="115"/>
        <v>116849</v>
      </c>
      <c r="AD147" s="361" t="str">
        <f t="shared" si="116"/>
        <v xml:space="preserve">           </v>
      </c>
      <c r="AE147" s="361" t="str">
        <f t="shared" si="117"/>
        <v xml:space="preserve">           </v>
      </c>
      <c r="AF147" s="361" t="str">
        <f t="shared" si="118"/>
        <v xml:space="preserve">     103415</v>
      </c>
      <c r="AG147" s="361" t="str">
        <f t="shared" si="119"/>
        <v xml:space="preserve">     116849</v>
      </c>
      <c r="AL147" s="388">
        <f>SUM(ANALYTIKAVUJ!E195)</f>
        <v>-130397.67</v>
      </c>
      <c r="AN147" s="388">
        <f t="shared" si="110"/>
        <v>-130397.67</v>
      </c>
      <c r="AR147" s="388"/>
      <c r="AS147" s="388">
        <f>ROUND((AN147*-1),0)</f>
        <v>130398</v>
      </c>
    </row>
    <row r="148" spans="1:45" ht="12.75" customHeight="1" x14ac:dyDescent="0.25">
      <c r="D148" s="362"/>
      <c r="I148" s="394"/>
      <c r="J148" s="394"/>
      <c r="K148" s="394"/>
      <c r="L148" s="395"/>
      <c r="M148" s="395"/>
      <c r="N148" s="377" t="str">
        <f>$D$216</f>
        <v>Bežné účtovné obdobie</v>
      </c>
      <c r="O148" s="406"/>
      <c r="P148" s="407"/>
      <c r="Q148" s="406"/>
      <c r="R148" s="406"/>
      <c r="S148" s="931" t="str">
        <f>$D$217</f>
        <v>Bezprostredne predchádzajúce účtovné obdobie</v>
      </c>
      <c r="T148" s="931"/>
      <c r="U148" s="931"/>
      <c r="V148" s="931"/>
      <c r="W148" s="931"/>
      <c r="X148" s="931"/>
      <c r="AF148" s="361" t="str">
        <f>REPT(" ",11-LEN(AB148))&amp;AB148</f>
        <v xml:space="preserve">           </v>
      </c>
      <c r="AG148" s="361" t="str">
        <f>REPT(" ",11-LEN(AC148))&amp;AC148</f>
        <v xml:space="preserve">           </v>
      </c>
      <c r="AN148" s="932" t="str">
        <f>$D$217</f>
        <v>Bezprostredne predchádzajúce účtovné obdobie</v>
      </c>
      <c r="AO148" s="932"/>
      <c r="AP148" s="932"/>
      <c r="AQ148" s="932"/>
      <c r="AR148" s="932"/>
      <c r="AS148" s="932"/>
    </row>
    <row r="149" spans="1:45" x14ac:dyDescent="0.25">
      <c r="A149" s="408">
        <v>1</v>
      </c>
      <c r="C149" s="391" t="s">
        <v>2286</v>
      </c>
      <c r="D149" s="359" t="str">
        <f>IF(VLOOKUP($A149,vykaz_p!$A:$G,1)=$A149,VLOOKUP($A149,vykaz_p!$A:$G,$B$1),0)</f>
        <v>Čistý obrat (časť účt. tr. 6 podľa zákona)</v>
      </c>
      <c r="E149" s="402" t="s">
        <v>2160</v>
      </c>
      <c r="F149" s="405"/>
      <c r="I149" s="394"/>
      <c r="J149" s="409"/>
      <c r="K149" s="409"/>
      <c r="L149" s="410"/>
      <c r="M149" s="411"/>
      <c r="N149" s="389">
        <f>SUM(N151+N152+N153+N156+N178)</f>
        <v>43528</v>
      </c>
      <c r="P149" s="404"/>
      <c r="X149" s="389">
        <f>SUM(X151+X152+X153+X156+X178)</f>
        <v>46170</v>
      </c>
      <c r="Z149" s="377"/>
      <c r="AF149" s="361" t="str">
        <f t="shared" ref="AF149:AF180" si="120">REPT(" ",11-LEN(N149))&amp;N149</f>
        <v xml:space="preserve">      43528</v>
      </c>
      <c r="AG149" s="361" t="str">
        <f t="shared" ref="AG149:AG180" si="121">REPT(" ",11-LEN(X149))&amp;X149</f>
        <v xml:space="preserve">      46170</v>
      </c>
      <c r="AK149" s="405"/>
    </row>
    <row r="150" spans="1:45" x14ac:dyDescent="0.25">
      <c r="A150" s="408">
        <v>2</v>
      </c>
      <c r="C150" s="391" t="s">
        <v>2287</v>
      </c>
      <c r="D150" s="359" t="str">
        <f>IF(VLOOKUP($A150,vykaz_p!$A:$G,1)=$A150,VLOOKUP($A150,vykaz_p!$A:$G,$B$1),0)</f>
        <v xml:space="preserve">Výnosy z hospodárskej činnosti spolu súčet
(r. 03 až r. 09) </v>
      </c>
      <c r="E150" s="402" t="s">
        <v>2161</v>
      </c>
      <c r="F150" s="405"/>
      <c r="I150" s="412"/>
      <c r="J150" s="413"/>
      <c r="K150" s="413"/>
      <c r="L150" s="414">
        <f>SUM(L151:L157)</f>
        <v>-365606.93</v>
      </c>
      <c r="M150" s="415"/>
      <c r="N150" s="382">
        <f>SUM(N151:N157)</f>
        <v>365607</v>
      </c>
      <c r="P150" s="404"/>
      <c r="V150" s="382">
        <f>SUM(V151:V157)</f>
        <v>-401782.91000000003</v>
      </c>
      <c r="X150" s="382">
        <f>SUM(X151:X157)</f>
        <v>401784</v>
      </c>
      <c r="Z150" s="377"/>
      <c r="AF150" s="361" t="str">
        <f t="shared" si="120"/>
        <v xml:space="preserve">     365607</v>
      </c>
      <c r="AG150" s="361" t="str">
        <f t="shared" si="121"/>
        <v xml:space="preserve">     401784</v>
      </c>
      <c r="AK150" s="405"/>
      <c r="AQ150" s="379">
        <f>SUM(AQ151:AQ157)</f>
        <v>0</v>
      </c>
      <c r="AS150" s="379">
        <f>SUM(AS151:AS157)</f>
        <v>0</v>
      </c>
    </row>
    <row r="151" spans="1:45" outlineLevel="1" x14ac:dyDescent="0.25">
      <c r="A151" s="408">
        <v>3</v>
      </c>
      <c r="C151" s="391" t="s">
        <v>2288</v>
      </c>
      <c r="D151" s="362" t="str">
        <f>IF(VLOOKUP($A151,vykaz_p!$A:$G,1)=$A151,VLOOKUP($A151,vykaz_p!$A:$G,$B$1),0)</f>
        <v>Tržby z predaja tovaru (604, 607)</v>
      </c>
      <c r="E151" s="386" t="s">
        <v>2163</v>
      </c>
      <c r="G151" s="387"/>
      <c r="I151" s="412"/>
      <c r="J151" s="413"/>
      <c r="K151" s="413"/>
      <c r="L151" s="416">
        <f>SUM('HL KNIHA VYPOC'!G354+'HL KNIHA VYPOC'!G356)</f>
        <v>0</v>
      </c>
      <c r="M151" s="415"/>
      <c r="N151" s="389">
        <f t="shared" ref="N151:N157" si="122">ROUND((L151*-1),0)</f>
        <v>0</v>
      </c>
      <c r="Q151" s="390"/>
      <c r="V151" s="389">
        <f>SUM('HL KNIHA VYPOC'!K354+'HL KNIHA VYPOC'!K356)</f>
        <v>0</v>
      </c>
      <c r="X151" s="389">
        <f t="shared" ref="X151:X157" si="123">ROUND((V151*-1),0)</f>
        <v>0</v>
      </c>
      <c r="AF151" s="361" t="str">
        <f t="shared" si="120"/>
        <v xml:space="preserve">          0</v>
      </c>
      <c r="AG151" s="361" t="str">
        <f t="shared" si="121"/>
        <v xml:space="preserve">          0</v>
      </c>
      <c r="AL151" s="387"/>
      <c r="AQ151" s="388">
        <f>SUM('HL KNIHA VYPOC'!M354+'HL KNIHA VYPOC'!M356)</f>
        <v>0</v>
      </c>
      <c r="AS151" s="85">
        <f t="shared" ref="AS151:AS157" si="124">ROUND((AQ151*-1),0)</f>
        <v>0</v>
      </c>
    </row>
    <row r="152" spans="1:45" outlineLevel="1" x14ac:dyDescent="0.25">
      <c r="A152" s="408">
        <v>4</v>
      </c>
      <c r="C152" s="391" t="s">
        <v>2289</v>
      </c>
      <c r="D152" s="362" t="str">
        <f>IF(VLOOKUP($A152,vykaz_p!$A:$G,1)=$A152,VLOOKUP($A152,vykaz_p!$A:$G,$B$1),0)</f>
        <v>Tržby z predaja vlastných výrobkov (601)</v>
      </c>
      <c r="E152" s="386" t="s">
        <v>1232</v>
      </c>
      <c r="I152" s="412"/>
      <c r="J152" s="413"/>
      <c r="K152" s="413"/>
      <c r="L152" s="416">
        <f>SUM('HL KNIHA VYPOC'!G352)</f>
        <v>-32713.86</v>
      </c>
      <c r="M152" s="415"/>
      <c r="N152" s="389">
        <f t="shared" si="122"/>
        <v>32714</v>
      </c>
      <c r="V152" s="389">
        <f>SUM('HL KNIHA VYPOC'!K352)</f>
        <v>-42721.78</v>
      </c>
      <c r="X152" s="389">
        <f t="shared" si="123"/>
        <v>42722</v>
      </c>
      <c r="AF152" s="361" t="str">
        <f t="shared" si="120"/>
        <v xml:space="preserve">      32714</v>
      </c>
      <c r="AG152" s="361" t="str">
        <f t="shared" si="121"/>
        <v xml:space="preserve">      42722</v>
      </c>
      <c r="AQ152" s="388">
        <f>SUM('HL KNIHA VYPOC'!M352)</f>
        <v>0</v>
      </c>
      <c r="AS152" s="85">
        <f t="shared" si="124"/>
        <v>0</v>
      </c>
    </row>
    <row r="153" spans="1:45" outlineLevel="1" x14ac:dyDescent="0.25">
      <c r="A153" s="408">
        <v>5</v>
      </c>
      <c r="C153" s="391" t="s">
        <v>2290</v>
      </c>
      <c r="D153" s="362" t="str">
        <f>IF(VLOOKUP($A153,vykaz_p!$A:$G,1)=$A153,VLOOKUP($A153,vykaz_p!$A:$G,$B$1),0)</f>
        <v>Tržby z predaja služieb (602, 606)</v>
      </c>
      <c r="E153" s="386" t="s">
        <v>1233</v>
      </c>
      <c r="I153" s="412"/>
      <c r="J153" s="413"/>
      <c r="K153" s="413"/>
      <c r="L153" s="416">
        <f>SUM('HL KNIHA VYPOC'!G353+'HL KNIHA VYPOC'!G355)</f>
        <v>-10073.34</v>
      </c>
      <c r="M153" s="415"/>
      <c r="N153" s="389">
        <f t="shared" si="122"/>
        <v>10073</v>
      </c>
      <c r="V153" s="389">
        <f>SUM('HL KNIHA VYPOC'!K353+'HL KNIHA VYPOC'!K355)</f>
        <v>-2130.5700000000002</v>
      </c>
      <c r="X153" s="389">
        <f t="shared" si="123"/>
        <v>2131</v>
      </c>
      <c r="AF153" s="361" t="str">
        <f t="shared" si="120"/>
        <v xml:space="preserve">      10073</v>
      </c>
      <c r="AG153" s="361" t="str">
        <f t="shared" si="121"/>
        <v xml:space="preserve">       2131</v>
      </c>
      <c r="AQ153" s="388">
        <f>SUM('HL KNIHA VYPOC'!M353+'HL KNIHA VYPOC'!M355)</f>
        <v>0</v>
      </c>
      <c r="AS153" s="85">
        <f t="shared" si="124"/>
        <v>0</v>
      </c>
    </row>
    <row r="154" spans="1:45" outlineLevel="1" x14ac:dyDescent="0.25">
      <c r="A154" s="408">
        <v>6</v>
      </c>
      <c r="C154" s="391" t="s">
        <v>2291</v>
      </c>
      <c r="D154" s="362" t="str">
        <f>IF(VLOOKUP($A154,vykaz_p!$A:$G,1)=$A154,VLOOKUP($A154,vykaz_p!$A:$G,$B$1),0)</f>
        <v>Zmeny stavu vnútroorganizačných zásob (+/-)
(účtová skupina 61)</v>
      </c>
      <c r="E154" s="386" t="s">
        <v>1234</v>
      </c>
      <c r="I154" s="412"/>
      <c r="J154" s="413"/>
      <c r="K154" s="413"/>
      <c r="L154" s="416">
        <f>SUM('HL KNIHA VYPOC'!G357)</f>
        <v>-4500.8399999999965</v>
      </c>
      <c r="M154" s="415"/>
      <c r="N154" s="389">
        <f t="shared" si="122"/>
        <v>4501</v>
      </c>
      <c r="V154" s="389">
        <f>SUM('HL KNIHA VYPOC'!K357)</f>
        <v>19810.43</v>
      </c>
      <c r="X154" s="389">
        <f t="shared" si="123"/>
        <v>-19810</v>
      </c>
      <c r="AF154" s="361" t="str">
        <f t="shared" si="120"/>
        <v xml:space="preserve">       4501</v>
      </c>
      <c r="AG154" s="361" t="str">
        <f t="shared" si="121"/>
        <v xml:space="preserve">     -19810</v>
      </c>
      <c r="AQ154" s="388">
        <f>SUM('HL KNIHA VYPOC'!M357)</f>
        <v>0</v>
      </c>
      <c r="AS154" s="85">
        <f t="shared" si="124"/>
        <v>0</v>
      </c>
    </row>
    <row r="155" spans="1:45" outlineLevel="1" x14ac:dyDescent="0.25">
      <c r="A155" s="408">
        <v>7</v>
      </c>
      <c r="C155" s="391" t="s">
        <v>2292</v>
      </c>
      <c r="D155" s="362" t="str">
        <f>IF(VLOOKUP($A155,vykaz_p!$A:$G,1)=$A155,VLOOKUP($A155,vykaz_p!$A:$G,$B$1),0)</f>
        <v>Aktivácia (účtová skupina 62)</v>
      </c>
      <c r="E155" s="386" t="s">
        <v>1235</v>
      </c>
      <c r="I155" s="412"/>
      <c r="J155" s="413"/>
      <c r="K155" s="413"/>
      <c r="L155" s="416">
        <f>SUM('HL KNIHA VYPOC'!G364)</f>
        <v>-4524.6000000000004</v>
      </c>
      <c r="M155" s="415"/>
      <c r="N155" s="389">
        <f t="shared" si="122"/>
        <v>4525</v>
      </c>
      <c r="V155" s="389">
        <f>SUM('HL KNIHA VYPOC'!K364)</f>
        <v>-12048.1</v>
      </c>
      <c r="X155" s="389">
        <f t="shared" si="123"/>
        <v>12048</v>
      </c>
      <c r="AF155" s="361" t="str">
        <f t="shared" si="120"/>
        <v xml:space="preserve">       4525</v>
      </c>
      <c r="AG155" s="361" t="str">
        <f t="shared" si="121"/>
        <v xml:space="preserve">      12048</v>
      </c>
      <c r="AQ155" s="388">
        <f>SUM('HL KNIHA VYPOC'!M364)</f>
        <v>0</v>
      </c>
      <c r="AS155" s="85">
        <f t="shared" si="124"/>
        <v>0</v>
      </c>
    </row>
    <row r="156" spans="1:45" outlineLevel="1" x14ac:dyDescent="0.25">
      <c r="A156" s="408">
        <v>8</v>
      </c>
      <c r="C156" s="391" t="s">
        <v>2293</v>
      </c>
      <c r="D156" s="362" t="str">
        <f>IF(VLOOKUP($A156,vykaz_p!$A:$G,1)=$A156,VLOOKUP($A156,vykaz_p!$A:$G,$B$1),0)</f>
        <v>Tržby z predaja dlhodobého nehmotného majetku, dlhodobého hmotného majetku a materiálu (641, 642)</v>
      </c>
      <c r="E156" s="386" t="s">
        <v>1236</v>
      </c>
      <c r="I156" s="412"/>
      <c r="J156" s="413"/>
      <c r="K156" s="413"/>
      <c r="L156" s="416">
        <f>SUM('HL KNIHA VYPOC'!G373+'HL KNIHA VYPOC'!G374)</f>
        <v>-741</v>
      </c>
      <c r="M156" s="415"/>
      <c r="N156" s="389">
        <f t="shared" si="122"/>
        <v>741</v>
      </c>
      <c r="V156" s="389">
        <f>SUM('HL KNIHA VYPOC'!K373+'HL KNIHA VYPOC'!K374)</f>
        <v>-1317</v>
      </c>
      <c r="X156" s="389">
        <f t="shared" si="123"/>
        <v>1317</v>
      </c>
      <c r="Z156" s="397"/>
      <c r="AF156" s="361" t="str">
        <f t="shared" si="120"/>
        <v xml:space="preserve">        741</v>
      </c>
      <c r="AG156" s="361" t="str">
        <f t="shared" si="121"/>
        <v xml:space="preserve">       1317</v>
      </c>
      <c r="AQ156" s="388">
        <f>SUM('HL KNIHA VYPOC'!M373+'HL KNIHA VYPOC'!M374)</f>
        <v>0</v>
      </c>
      <c r="AS156" s="85">
        <f t="shared" si="124"/>
        <v>0</v>
      </c>
    </row>
    <row r="157" spans="1:45" outlineLevel="1" x14ac:dyDescent="0.25">
      <c r="A157" s="408">
        <v>9</v>
      </c>
      <c r="C157" s="391" t="s">
        <v>2294</v>
      </c>
      <c r="D157" s="362" t="str">
        <f>IF(VLOOKUP($A157,vykaz_p!$A:$G,1)=$A157,VLOOKUP($A157,vykaz_p!$A:$G,$B$1),0)</f>
        <v>Ostatné výnosy z hospodárskej činnosti (644, 645, 646, 648, 655, 657)</v>
      </c>
      <c r="E157" s="386" t="s">
        <v>2170</v>
      </c>
      <c r="I157" s="412"/>
      <c r="J157" s="413"/>
      <c r="K157" s="413"/>
      <c r="L157" s="416">
        <f>SUM('HL KNIHA VYPOC'!G375:G378)+'HL KNIHA VYPOC'!G383+'HL KNIHA VYPOC'!G384</f>
        <v>-313053.28999999998</v>
      </c>
      <c r="M157" s="415"/>
      <c r="N157" s="389">
        <f t="shared" si="122"/>
        <v>313053</v>
      </c>
      <c r="V157" s="389">
        <f>SUM('HL KNIHA VYPOC'!K375:Q378)+'HL KNIHA VYPOC'!K383+'HL KNIHA VYPOC'!K384</f>
        <v>-363375.89</v>
      </c>
      <c r="X157" s="389">
        <f t="shared" si="123"/>
        <v>363376</v>
      </c>
      <c r="AF157" s="361" t="str">
        <f t="shared" si="120"/>
        <v xml:space="preserve">     313053</v>
      </c>
      <c r="AG157" s="361" t="str">
        <f t="shared" si="121"/>
        <v xml:space="preserve">     363376</v>
      </c>
      <c r="AQ157" s="388">
        <f>SUM('HL KNIHA VYPOC'!M375:AL378)+'HL KNIHA VYPOC'!M383+'HL KNIHA VYPOC'!M384</f>
        <v>0</v>
      </c>
      <c r="AS157" s="85">
        <f t="shared" si="124"/>
        <v>0</v>
      </c>
    </row>
    <row r="158" spans="1:45" x14ac:dyDescent="0.25">
      <c r="A158" s="408">
        <v>10</v>
      </c>
      <c r="C158" s="391" t="s">
        <v>2287</v>
      </c>
      <c r="D158" s="359" t="str">
        <f>IF(VLOOKUP($A158,vykaz_p!$A:$G,1)=$A158,VLOOKUP($A158,vykaz_p!$A:$G,$B$1),0)</f>
        <v>Náklady na hospodársku činnosť spolu r. 11 + r. 12
+ r. 13 + r. 14 + r. 15 + r. 20 +r. 21 + r. 24 + r. 25 + r. 26</v>
      </c>
      <c r="E158" s="402" t="s">
        <v>1245</v>
      </c>
      <c r="F158" s="405"/>
      <c r="I158" s="412"/>
      <c r="J158" s="413"/>
      <c r="K158" s="413"/>
      <c r="L158" s="414">
        <f>SUM(L159+L160+L161+L162+L163+L168+L169+L172+L173+L174)</f>
        <v>319959.84000000003</v>
      </c>
      <c r="M158" s="415"/>
      <c r="N158" s="382">
        <f>SUM(N159+N160+N161+N162+N163+N168+N169+N172+N173+N174)</f>
        <v>372032</v>
      </c>
      <c r="P158" s="404"/>
      <c r="V158" s="382">
        <f>SUM(V159+V160+V161+V162+V163+V168+V169+V172+V173+V174)</f>
        <v>318218.68</v>
      </c>
      <c r="X158" s="382">
        <f>SUM(X159+X160+X161+X162+X163+X168+X169+X172+X173+X174)</f>
        <v>374634</v>
      </c>
      <c r="Z158" s="377"/>
      <c r="AF158" s="361" t="str">
        <f t="shared" si="120"/>
        <v xml:space="preserve">     372032</v>
      </c>
      <c r="AG158" s="361" t="str">
        <f t="shared" si="121"/>
        <v xml:space="preserve">     374634</v>
      </c>
      <c r="AK158" s="405"/>
      <c r="AQ158" s="379">
        <f>SUM(AQ159+AQ160+AQ161+AQ162+AQ163+AQ168+AQ169+AQ172+AQ173+AQ174)</f>
        <v>0</v>
      </c>
      <c r="AS158" s="379">
        <f>SUM(AS159+AS160+AS161+AS162+AS163+AS168+AS169+AS172+AS173+AS174)</f>
        <v>0</v>
      </c>
    </row>
    <row r="159" spans="1:45" outlineLevel="1" x14ac:dyDescent="0.25">
      <c r="A159" s="408">
        <v>11</v>
      </c>
      <c r="C159" s="391" t="s">
        <v>2162</v>
      </c>
      <c r="D159" s="362" t="str">
        <f>IF(VLOOKUP($A159,vykaz_p!$A:$G,1)=$A159,VLOOKUP($A159,vykaz_p!$A:$G,$B$1),0)</f>
        <v>Náklady vynaložené na obstaranie predaného tovaru (504, 507)</v>
      </c>
      <c r="E159" s="386" t="s">
        <v>2174</v>
      </c>
      <c r="I159" s="412"/>
      <c r="J159" s="413"/>
      <c r="K159" s="413"/>
      <c r="L159" s="416">
        <f>SUM('HL KNIHA VYPOC'!G268+'HL KNIHA VYPOC'!G270)</f>
        <v>0</v>
      </c>
      <c r="M159" s="415"/>
      <c r="N159" s="389">
        <f>ROUND((L159),0)</f>
        <v>0</v>
      </c>
      <c r="V159" s="389">
        <f>SUM('HL KNIHA VYPOC'!K268+'HL KNIHA VYPOC'!K270)</f>
        <v>0</v>
      </c>
      <c r="X159" s="389">
        <f>ROUND((V159),0)</f>
        <v>0</v>
      </c>
      <c r="AF159" s="361" t="str">
        <f t="shared" si="120"/>
        <v xml:space="preserve">          0</v>
      </c>
      <c r="AG159" s="361" t="str">
        <f t="shared" si="121"/>
        <v xml:space="preserve">          0</v>
      </c>
      <c r="AQ159" s="388">
        <f>SUM('HL KNIHA VYPOC'!M268+'HL KNIHA VYPOC'!M270)</f>
        <v>0</v>
      </c>
      <c r="AS159" s="388">
        <f>ROUND((AQ159),0)</f>
        <v>0</v>
      </c>
    </row>
    <row r="160" spans="1:45" outlineLevel="1" x14ac:dyDescent="0.25">
      <c r="A160" s="408">
        <v>12</v>
      </c>
      <c r="C160" s="391" t="s">
        <v>2186</v>
      </c>
      <c r="D160" s="362" t="str">
        <f>IF(VLOOKUP($A160,vykaz_p!$A:$G,1)=$A160,VLOOKUP($A160,vykaz_p!$A:$G,$B$1),0)</f>
        <v>Spotreba materiálu, energie a ostatných neskladovateľných dodávok (501, 502, 503)</v>
      </c>
      <c r="E160" s="386" t="s">
        <v>1237</v>
      </c>
      <c r="I160" s="412"/>
      <c r="J160" s="413"/>
      <c r="K160" s="413"/>
      <c r="L160" s="416">
        <f>SUM('HL KNIHA VYPOC'!G265:G267)</f>
        <v>70447.92</v>
      </c>
      <c r="M160" s="415"/>
      <c r="N160" s="389">
        <f>ROUND((L160),0)</f>
        <v>70448</v>
      </c>
      <c r="V160" s="389">
        <f>SUM('HL KNIHA VYPOC'!K265:Q267)</f>
        <v>59807.31</v>
      </c>
      <c r="X160" s="389">
        <f>ROUND((V160),0)</f>
        <v>59807</v>
      </c>
      <c r="Z160" s="397"/>
      <c r="AF160" s="361" t="str">
        <f t="shared" si="120"/>
        <v xml:space="preserve">      70448</v>
      </c>
      <c r="AG160" s="361" t="str">
        <f t="shared" si="121"/>
        <v xml:space="preserve">      59807</v>
      </c>
      <c r="AQ160" s="388">
        <f>SUM('HL KNIHA VYPOC'!M265:AL267)</f>
        <v>0</v>
      </c>
      <c r="AS160" s="388">
        <f>ROUND((AQ160),0)</f>
        <v>0</v>
      </c>
    </row>
    <row r="161" spans="1:45" outlineLevel="1" x14ac:dyDescent="0.25">
      <c r="A161" s="408">
        <v>13</v>
      </c>
      <c r="C161" s="391" t="s">
        <v>2218</v>
      </c>
      <c r="D161" s="362" t="str">
        <f>IF(VLOOKUP($A161,vykaz_p!$A:$G,1)=$A161,VLOOKUP($A161,vykaz_p!$A:$G,$B$1),0)</f>
        <v>Opravné položky k zásobám (+/-) (505)</v>
      </c>
      <c r="E161" s="386" t="s">
        <v>1238</v>
      </c>
      <c r="I161" s="412"/>
      <c r="J161" s="413"/>
      <c r="K161" s="413"/>
      <c r="L161" s="416">
        <f>SUM('HL KNIHA VYPOC'!G269)</f>
        <v>0</v>
      </c>
      <c r="M161" s="415"/>
      <c r="N161" s="389">
        <f>ROUND((L161),0)</f>
        <v>0</v>
      </c>
      <c r="V161" s="389">
        <f>SUM('HL KNIHA VYPOC'!K269)</f>
        <v>0</v>
      </c>
      <c r="X161" s="389">
        <f>ROUND((V161),0)</f>
        <v>0</v>
      </c>
      <c r="AF161" s="361" t="str">
        <f t="shared" si="120"/>
        <v xml:space="preserve">          0</v>
      </c>
      <c r="AG161" s="361" t="str">
        <f t="shared" si="121"/>
        <v xml:space="preserve">          0</v>
      </c>
      <c r="AQ161" s="388">
        <f>SUM('HL KNIHA VYPOC'!M269)</f>
        <v>0</v>
      </c>
      <c r="AS161" s="388">
        <f>ROUND((AQ161),0)</f>
        <v>0</v>
      </c>
    </row>
    <row r="162" spans="1:45" outlineLevel="1" x14ac:dyDescent="0.25">
      <c r="A162" s="408">
        <v>14</v>
      </c>
      <c r="C162" s="391" t="s">
        <v>2295</v>
      </c>
      <c r="D162" s="362" t="str">
        <f>IF(VLOOKUP($A162,vykaz_p!$A:$G,1)=$A162,VLOOKUP($A162,vykaz_p!$A:$G,$B$1),0)</f>
        <v>Služby (účtová skupina 51)</v>
      </c>
      <c r="E162" s="386" t="s">
        <v>1239</v>
      </c>
      <c r="I162" s="412"/>
      <c r="J162" s="413"/>
      <c r="K162" s="413"/>
      <c r="L162" s="416">
        <f>SUM('HL KNIHA VYPOC'!G271)</f>
        <v>39967.040000000001</v>
      </c>
      <c r="M162" s="415"/>
      <c r="N162" s="389">
        <f>ROUND((L162),0)</f>
        <v>39967</v>
      </c>
      <c r="V162" s="389">
        <f>SUM('HL KNIHA VYPOC'!K271)</f>
        <v>37603.879999999997</v>
      </c>
      <c r="X162" s="389">
        <f>ROUND((V162),0)</f>
        <v>37604</v>
      </c>
      <c r="AF162" s="361" t="str">
        <f t="shared" si="120"/>
        <v xml:space="preserve">      39967</v>
      </c>
      <c r="AG162" s="361" t="str">
        <f t="shared" si="121"/>
        <v xml:space="preserve">      37604</v>
      </c>
      <c r="AQ162" s="388">
        <f>SUM('HL KNIHA VYPOC'!M271)</f>
        <v>0</v>
      </c>
      <c r="AS162" s="388">
        <f>ROUND((AQ162),0)</f>
        <v>0</v>
      </c>
    </row>
    <row r="163" spans="1:45" outlineLevel="1" x14ac:dyDescent="0.25">
      <c r="A163" s="408">
        <v>15</v>
      </c>
      <c r="C163" s="391" t="s">
        <v>2296</v>
      </c>
      <c r="D163" s="362" t="str">
        <f>IF(VLOOKUP($A163,vykaz_p!$A:$G,1)=$A163,VLOOKUP($A163,vykaz_p!$A:$G,$B$1),0)</f>
        <v>Osobné náklady súčet (r. 16 až r. 19)</v>
      </c>
      <c r="E163" s="386" t="s">
        <v>1240</v>
      </c>
      <c r="F163" s="405"/>
      <c r="I163" s="412"/>
      <c r="J163" s="413"/>
      <c r="K163" s="413"/>
      <c r="L163" s="414">
        <f>SUM(L164:L167)</f>
        <v>208493.22</v>
      </c>
      <c r="M163" s="415"/>
      <c r="N163" s="382">
        <f>SUM(N164:N167)</f>
        <v>208493</v>
      </c>
      <c r="P163" s="404"/>
      <c r="V163" s="382">
        <f>SUM(V164:V167)</f>
        <v>218760.06</v>
      </c>
      <c r="X163" s="382">
        <f>SUM(X164:X167)</f>
        <v>218760</v>
      </c>
      <c r="Z163" s="397"/>
      <c r="AF163" s="361" t="str">
        <f t="shared" si="120"/>
        <v xml:space="preserve">     208493</v>
      </c>
      <c r="AG163" s="361" t="str">
        <f t="shared" si="121"/>
        <v xml:space="preserve">     218760</v>
      </c>
      <c r="AK163" s="405"/>
      <c r="AQ163" s="379">
        <f>SUM(AQ164:AQ167)</f>
        <v>0</v>
      </c>
      <c r="AS163" s="379">
        <f>SUM(AS164:AS167)</f>
        <v>0</v>
      </c>
    </row>
    <row r="164" spans="1:45" outlineLevel="1" x14ac:dyDescent="0.25">
      <c r="A164" s="408">
        <v>16</v>
      </c>
      <c r="C164" s="391" t="s">
        <v>2297</v>
      </c>
      <c r="D164" s="362" t="str">
        <f>IF(VLOOKUP($A164,vykaz_p!$A:$G,1)=$A164,VLOOKUP($A164,vykaz_p!$A:$G,$B$1),0)</f>
        <v>Mzdové náklady (521, 522)</v>
      </c>
      <c r="E164" s="386" t="s">
        <v>1241</v>
      </c>
      <c r="I164" s="412"/>
      <c r="J164" s="413"/>
      <c r="K164" s="413"/>
      <c r="L164" s="416">
        <f>SUM('HL KNIHA VYPOC'!G280:G281)</f>
        <v>145727.84</v>
      </c>
      <c r="M164" s="415"/>
      <c r="N164" s="389">
        <f>ROUND((L164),0)</f>
        <v>145728</v>
      </c>
      <c r="V164" s="389">
        <f>SUM('HL KNIHA VYPOC'!K280:Q281)</f>
        <v>154126.04</v>
      </c>
      <c r="X164" s="389">
        <f>ROUND((V164),0)</f>
        <v>154126</v>
      </c>
      <c r="AF164" s="361" t="str">
        <f t="shared" si="120"/>
        <v xml:space="preserve">     145728</v>
      </c>
      <c r="AG164" s="361" t="str">
        <f t="shared" si="121"/>
        <v xml:space="preserve">     154126</v>
      </c>
      <c r="AQ164" s="388">
        <f>SUM('HL KNIHA VYPOC'!M280:AL281)</f>
        <v>0</v>
      </c>
      <c r="AS164" s="388">
        <f>ROUND((AQ164),0)</f>
        <v>0</v>
      </c>
    </row>
    <row r="165" spans="1:45" outlineLevel="1" x14ac:dyDescent="0.25">
      <c r="A165" s="408">
        <v>17</v>
      </c>
      <c r="C165" s="391" t="s">
        <v>2166</v>
      </c>
      <c r="D165" s="362" t="str">
        <f>IF(VLOOKUP($A165,vykaz_p!$A:$G,1)=$A165,VLOOKUP($A165,vykaz_p!$A:$G,$B$1),0)</f>
        <v>Odmeny členom orgánov spoločnosti a družstva (523)</v>
      </c>
      <c r="E165" s="386" t="s">
        <v>1242</v>
      </c>
      <c r="I165" s="412"/>
      <c r="J165" s="413"/>
      <c r="K165" s="413"/>
      <c r="L165" s="416">
        <f>SUM('HL KNIHA VYPOC'!G282)</f>
        <v>0</v>
      </c>
      <c r="M165" s="415"/>
      <c r="N165" s="389">
        <f>ROUND((L165),0)</f>
        <v>0</v>
      </c>
      <c r="V165" s="389">
        <f>SUM('HL KNIHA VYPOC'!K282)</f>
        <v>0</v>
      </c>
      <c r="X165" s="389">
        <f>ROUND((V165),0)</f>
        <v>0</v>
      </c>
      <c r="AF165" s="361" t="str">
        <f t="shared" si="120"/>
        <v xml:space="preserve">          0</v>
      </c>
      <c r="AG165" s="361" t="str">
        <f t="shared" si="121"/>
        <v xml:space="preserve">          0</v>
      </c>
      <c r="AQ165" s="388">
        <f>SUM('HL KNIHA VYPOC'!M282)</f>
        <v>0</v>
      </c>
      <c r="AS165" s="388">
        <f>ROUND((AQ165),0)</f>
        <v>0</v>
      </c>
    </row>
    <row r="166" spans="1:45" outlineLevel="1" x14ac:dyDescent="0.25">
      <c r="A166" s="408">
        <v>18</v>
      </c>
      <c r="C166" s="391" t="s">
        <v>2167</v>
      </c>
      <c r="D166" s="362" t="str">
        <f>IF(VLOOKUP($A166,vykaz_p!$A:$G,1)=$A166,VLOOKUP($A166,vykaz_p!$A:$G,$B$1),0)</f>
        <v>Náklady na sociálne poistenie (524, 525, 526)</v>
      </c>
      <c r="E166" s="386" t="s">
        <v>2176</v>
      </c>
      <c r="I166" s="412"/>
      <c r="J166" s="413"/>
      <c r="K166" s="413"/>
      <c r="L166" s="416">
        <f>SUM('HL KNIHA VYPOC'!G283:G285)</f>
        <v>50467.19</v>
      </c>
      <c r="M166" s="415"/>
      <c r="N166" s="389">
        <f>ROUND((L166),0)</f>
        <v>50467</v>
      </c>
      <c r="V166" s="389">
        <f>SUM('HL KNIHA VYPOC'!K283:Q285)</f>
        <v>55886.759999999995</v>
      </c>
      <c r="X166" s="389">
        <f>ROUND((V166),0)</f>
        <v>55887</v>
      </c>
      <c r="AF166" s="361" t="str">
        <f t="shared" si="120"/>
        <v xml:space="preserve">      50467</v>
      </c>
      <c r="AG166" s="361" t="str">
        <f t="shared" si="121"/>
        <v xml:space="preserve">      55887</v>
      </c>
      <c r="AQ166" s="388">
        <f>SUM('HL KNIHA VYPOC'!M283:AL285)</f>
        <v>0</v>
      </c>
      <c r="AS166" s="388">
        <f>ROUND((AQ166),0)</f>
        <v>0</v>
      </c>
    </row>
    <row r="167" spans="1:45" outlineLevel="1" x14ac:dyDescent="0.25">
      <c r="A167" s="408">
        <v>19</v>
      </c>
      <c r="C167" s="391" t="s">
        <v>2168</v>
      </c>
      <c r="D167" s="362" t="str">
        <f>IF(VLOOKUP($A167,vykaz_p!$A:$G,1)=$A167,VLOOKUP($A167,vykaz_p!$A:$G,$B$1),0)</f>
        <v>Sociálne náklady (527, 528)</v>
      </c>
      <c r="E167" s="386" t="s">
        <v>1246</v>
      </c>
      <c r="I167" s="412"/>
      <c r="J167" s="413"/>
      <c r="K167" s="413"/>
      <c r="L167" s="416">
        <f>SUM('HL KNIHA VYPOC'!G286:G287)</f>
        <v>12298.19</v>
      </c>
      <c r="M167" s="415"/>
      <c r="N167" s="389">
        <f>ROUND((L167),0)</f>
        <v>12298</v>
      </c>
      <c r="V167" s="389">
        <f>SUM('HL KNIHA VYPOC'!K286:Q287)</f>
        <v>8747.26</v>
      </c>
      <c r="X167" s="389">
        <f>ROUND((V167),0)</f>
        <v>8747</v>
      </c>
      <c r="AF167" s="361" t="str">
        <f t="shared" si="120"/>
        <v xml:space="preserve">      12298</v>
      </c>
      <c r="AG167" s="361" t="str">
        <f t="shared" si="121"/>
        <v xml:space="preserve">       8747</v>
      </c>
      <c r="AQ167" s="388">
        <f>SUM('HL KNIHA VYPOC'!M286:AL287)</f>
        <v>0</v>
      </c>
      <c r="AS167" s="388">
        <f>ROUND((AQ167),0)</f>
        <v>0</v>
      </c>
    </row>
    <row r="168" spans="1:45" outlineLevel="1" x14ac:dyDescent="0.25">
      <c r="A168" s="408">
        <v>20</v>
      </c>
      <c r="C168" s="391" t="s">
        <v>2298</v>
      </c>
      <c r="D168" s="362" t="str">
        <f>IF(VLOOKUP($A168,vykaz_p!$A:$G,1)=$A168,VLOOKUP($A168,vykaz_p!$A:$G,$B$1),0)</f>
        <v>Dane a poplatky (účtová skupina 53)</v>
      </c>
      <c r="E168" s="386" t="s">
        <v>2179</v>
      </c>
      <c r="I168" s="412"/>
      <c r="J168" s="413"/>
      <c r="K168" s="413"/>
      <c r="L168" s="416">
        <f>SUM('HL KNIHA VYPOC'!G289)</f>
        <v>888.59</v>
      </c>
      <c r="M168" s="415"/>
      <c r="N168" s="389">
        <f>ROUND((L168),0)</f>
        <v>889</v>
      </c>
      <c r="V168" s="389">
        <f>SUM('HL KNIHA VYPOC'!K289)</f>
        <v>1636.46</v>
      </c>
      <c r="X168" s="389">
        <f>ROUND((V168),0)</f>
        <v>1636</v>
      </c>
      <c r="AF168" s="361" t="str">
        <f t="shared" si="120"/>
        <v xml:space="preserve">        889</v>
      </c>
      <c r="AG168" s="361" t="str">
        <f t="shared" si="121"/>
        <v xml:space="preserve">       1636</v>
      </c>
      <c r="AQ168" s="388">
        <f>SUM('HL KNIHA VYPOC'!M289)</f>
        <v>0</v>
      </c>
      <c r="AS168" s="388">
        <f>ROUND((AQ168),0)</f>
        <v>0</v>
      </c>
    </row>
    <row r="169" spans="1:45" outlineLevel="1" x14ac:dyDescent="0.25">
      <c r="A169" s="408">
        <v>21</v>
      </c>
      <c r="C169" s="391" t="s">
        <v>2299</v>
      </c>
      <c r="D169" s="362" t="str">
        <f>IF(VLOOKUP($A169,vykaz_p!$A:$G,1)=$A169,VLOOKUP($A169,vykaz_p!$A:$G,$B$1),0)</f>
        <v>Odpisy a opravné položky k dlhodobému nehmotnému majetku a dlhodobému hmotnému majetku (r. 22 + r. 23)</v>
      </c>
      <c r="E169" s="386" t="s">
        <v>2181</v>
      </c>
      <c r="I169" s="412"/>
      <c r="J169" s="413"/>
      <c r="K169" s="413"/>
      <c r="L169" s="417"/>
      <c r="M169" s="415"/>
      <c r="N169" s="382">
        <f>SUM(N170:N171)</f>
        <v>52072</v>
      </c>
      <c r="X169" s="382">
        <f>SUM(X170:X171)</f>
        <v>56416</v>
      </c>
      <c r="Z169" s="397"/>
      <c r="AF169" s="361" t="str">
        <f t="shared" si="120"/>
        <v xml:space="preserve">      52072</v>
      </c>
      <c r="AG169" s="361" t="str">
        <f t="shared" si="121"/>
        <v xml:space="preserve">      56416</v>
      </c>
      <c r="AS169" s="379">
        <f>SUM(AS170:AS171)</f>
        <v>0</v>
      </c>
    </row>
    <row r="170" spans="1:45" outlineLevel="1" x14ac:dyDescent="0.25">
      <c r="A170" s="408">
        <v>22</v>
      </c>
      <c r="C170" s="391" t="s">
        <v>2300</v>
      </c>
      <c r="D170" s="362" t="str">
        <f>IF(VLOOKUP($A170,vykaz_p!$A:$G,1)=$A170,VLOOKUP($A170,vykaz_p!$A:$G,$B$1),0)</f>
        <v>Odpisy dlhodobého nehmotného majetku a dlhodobého hmotného majetku (551)</v>
      </c>
      <c r="E170" s="386" t="s">
        <v>1217</v>
      </c>
      <c r="I170" s="412"/>
      <c r="J170" s="413"/>
      <c r="K170" s="413"/>
      <c r="L170" s="416">
        <f>SUM('HL KNIHA VYPOC'!G307)</f>
        <v>52071.56</v>
      </c>
      <c r="M170" s="415"/>
      <c r="N170" s="389">
        <f>ROUND((L170),0)</f>
        <v>52072</v>
      </c>
      <c r="V170" s="389">
        <f>SUM('HL KNIHA VYPOC'!K307)</f>
        <v>56416.29</v>
      </c>
      <c r="X170" s="389">
        <f>ROUND((V170),0)</f>
        <v>56416</v>
      </c>
      <c r="Z170" s="397"/>
      <c r="AF170" s="361" t="str">
        <f t="shared" si="120"/>
        <v xml:space="preserve">      52072</v>
      </c>
      <c r="AG170" s="361" t="str">
        <f t="shared" si="121"/>
        <v xml:space="preserve">      56416</v>
      </c>
      <c r="AQ170" s="388">
        <f>SUM('HL KNIHA VYPOC'!M307)</f>
        <v>0</v>
      </c>
      <c r="AS170" s="388">
        <f>ROUND((AQ170),0)</f>
        <v>0</v>
      </c>
    </row>
    <row r="171" spans="1:45" outlineLevel="1" x14ac:dyDescent="0.25">
      <c r="A171" s="408">
        <v>23</v>
      </c>
      <c r="C171" s="391" t="s">
        <v>2166</v>
      </c>
      <c r="D171" s="362" t="str">
        <f>IF(VLOOKUP($A171,vykaz_p!$A:$G,1)=$A171,VLOOKUP($A171,vykaz_p!$A:$G,$B$1),0)</f>
        <v>Opravné položky  k dlhodobému nehmotnému majetku a dlhodobému hmotnému majetku (+/-) (553)</v>
      </c>
      <c r="E171" s="386" t="s">
        <v>1219</v>
      </c>
      <c r="I171" s="412"/>
      <c r="J171" s="413"/>
      <c r="K171" s="413"/>
      <c r="L171" s="416">
        <f>SUM('HL KNIHA VYPOC'!G309)</f>
        <v>0</v>
      </c>
      <c r="M171" s="415"/>
      <c r="N171" s="389">
        <f>ROUND((L171),0)</f>
        <v>0</v>
      </c>
      <c r="V171" s="389">
        <f>SUM('HL KNIHA VYPOC'!K309)</f>
        <v>0</v>
      </c>
      <c r="X171" s="389">
        <f>ROUND((V171),0)</f>
        <v>0</v>
      </c>
      <c r="Z171" s="397"/>
      <c r="AF171" s="361" t="str">
        <f t="shared" si="120"/>
        <v xml:space="preserve">          0</v>
      </c>
      <c r="AG171" s="361" t="str">
        <f t="shared" si="121"/>
        <v xml:space="preserve">          0</v>
      </c>
      <c r="AQ171" s="388">
        <f>SUM('HL KNIHA VYPOC'!M309)</f>
        <v>0</v>
      </c>
      <c r="AS171" s="388">
        <f>ROUND((AQ171),0)</f>
        <v>0</v>
      </c>
    </row>
    <row r="172" spans="1:45" outlineLevel="1" x14ac:dyDescent="0.25">
      <c r="A172" s="408">
        <v>24</v>
      </c>
      <c r="C172" s="391" t="s">
        <v>2301</v>
      </c>
      <c r="D172" s="362" t="str">
        <f>IF(VLOOKUP($A172,vykaz_p!$A:$G,1)=$A172,VLOOKUP($A172,vykaz_p!$A:$G,$B$1),0)</f>
        <v>Zostatková cena predaného dlhodobého majetku a predaného materiálu (541, 542)</v>
      </c>
      <c r="E172" s="386" t="s">
        <v>1222</v>
      </c>
      <c r="I172" s="412"/>
      <c r="J172" s="413"/>
      <c r="K172" s="413"/>
      <c r="L172" s="416">
        <f>SUM('HL KNIHA VYPOC'!G297:G298)</f>
        <v>0</v>
      </c>
      <c r="M172" s="415"/>
      <c r="N172" s="389">
        <f>ROUND((L172),0)</f>
        <v>0</v>
      </c>
      <c r="V172" s="389">
        <f>SUM('HL KNIHA VYPOC'!K297:Q298)</f>
        <v>0</v>
      </c>
      <c r="X172" s="389">
        <f>ROUND((V172),0)</f>
        <v>0</v>
      </c>
      <c r="Z172" s="397"/>
      <c r="AF172" s="361" t="str">
        <f t="shared" si="120"/>
        <v xml:space="preserve">          0</v>
      </c>
      <c r="AG172" s="361" t="str">
        <f t="shared" si="121"/>
        <v xml:space="preserve">          0</v>
      </c>
      <c r="AQ172" s="388">
        <f>SUM('HL KNIHA VYPOC'!M297:AL298)</f>
        <v>0</v>
      </c>
      <c r="AS172" s="388">
        <f>ROUND((AQ172),0)</f>
        <v>0</v>
      </c>
    </row>
    <row r="173" spans="1:45" outlineLevel="1" x14ac:dyDescent="0.25">
      <c r="A173" s="408">
        <v>25</v>
      </c>
      <c r="C173" s="391" t="s">
        <v>2288</v>
      </c>
      <c r="D173" s="362" t="str">
        <f>IF(VLOOKUP($A173,vykaz_p!$A:$G,1)=$A173,VLOOKUP($A173,vykaz_p!$A:$G,$B$1),0)</f>
        <v>Opravné položky k pohľadávkam (+/-) (547)</v>
      </c>
      <c r="E173" s="386" t="s">
        <v>1225</v>
      </c>
      <c r="I173" s="412"/>
      <c r="J173" s="413"/>
      <c r="K173" s="413"/>
      <c r="L173" s="416">
        <f>SUM('HL KNIHA VYPOC'!G303)</f>
        <v>0</v>
      </c>
      <c r="M173" s="415"/>
      <c r="N173" s="389">
        <f>ROUND((L173),0)</f>
        <v>0</v>
      </c>
      <c r="V173" s="389">
        <f>SUM('HL KNIHA VYPOC'!K303)</f>
        <v>0</v>
      </c>
      <c r="X173" s="389">
        <f>ROUND((V173),0)</f>
        <v>0</v>
      </c>
      <c r="Z173" s="397"/>
      <c r="AF173" s="361" t="str">
        <f t="shared" si="120"/>
        <v xml:space="preserve">          0</v>
      </c>
      <c r="AG173" s="361" t="str">
        <f t="shared" si="121"/>
        <v xml:space="preserve">          0</v>
      </c>
      <c r="AQ173" s="388">
        <f>SUM('HL KNIHA VYPOC'!M303)</f>
        <v>0</v>
      </c>
      <c r="AS173" s="388">
        <f>ROUND((AQ173),0)</f>
        <v>0</v>
      </c>
    </row>
    <row r="174" spans="1:45" outlineLevel="1" x14ac:dyDescent="0.25">
      <c r="A174" s="408">
        <v>26</v>
      </c>
      <c r="C174" s="391" t="s">
        <v>2302</v>
      </c>
      <c r="D174" s="362" t="str">
        <f>IF(VLOOKUP($A174,vykaz_p!$A:$G,1)=$A174,VLOOKUP($A174,vykaz_p!$A:$G,$B$1),0)</f>
        <v>Ostatné náklady na hospodársku činnosť 
(543, 544, 545, 546, 548, 549, 555, 557)</v>
      </c>
      <c r="E174" s="386" t="s">
        <v>1226</v>
      </c>
      <c r="I174" s="412"/>
      <c r="J174" s="413"/>
      <c r="K174" s="413"/>
      <c r="L174" s="416">
        <f>SUM('HL KNIHA VYPOC'!G299+'HL KNIHA VYPOC'!G300+'HL KNIHA VYPOC'!G301+'HL KNIHA VYPOC'!G302+'HL KNIHA VYPOC'!G304+'HL KNIHA VYPOC'!G305+'HL KNIHA VYPOC'!G310+'HL KNIHA VYPOC'!G311)</f>
        <v>163.07</v>
      </c>
      <c r="M174" s="415"/>
      <c r="N174" s="389">
        <f>ROUND((L174),0)</f>
        <v>163</v>
      </c>
      <c r="V174" s="389">
        <f>SUM('HL KNIHA VYPOC'!K299+'HL KNIHA VYPOC'!K300+'HL KNIHA VYPOC'!K301+'HL KNIHA VYPOC'!K302+'HL KNIHA VYPOC'!K304+'HL KNIHA VYPOC'!K305+'HL KNIHA VYPOC'!K310+'HL KNIHA VYPOC'!K311)</f>
        <v>410.96999999999997</v>
      </c>
      <c r="X174" s="389">
        <f>ROUND((V174),0)</f>
        <v>411</v>
      </c>
      <c r="Z174" s="397"/>
      <c r="AF174" s="361" t="str">
        <f t="shared" si="120"/>
        <v xml:space="preserve">        163</v>
      </c>
      <c r="AG174" s="361" t="str">
        <f t="shared" si="121"/>
        <v xml:space="preserve">        411</v>
      </c>
      <c r="AQ174" s="388">
        <f>SUM('HL KNIHA VYPOC'!M299+'HL KNIHA VYPOC'!M300+'HL KNIHA VYPOC'!M301+'HL KNIHA VYPOC'!M302+'HL KNIHA VYPOC'!M304+'HL KNIHA VYPOC'!M305+'HL KNIHA VYPOC'!M310+'HL KNIHA VYPOC'!M311)</f>
        <v>0</v>
      </c>
      <c r="AS174" s="388">
        <f>ROUND((AQ174),0)</f>
        <v>0</v>
      </c>
    </row>
    <row r="175" spans="1:45" ht="15.75" customHeight="1" x14ac:dyDescent="0.25">
      <c r="A175" s="408">
        <v>27</v>
      </c>
      <c r="C175" s="391" t="s">
        <v>2303</v>
      </c>
      <c r="D175" s="359" t="str">
        <f>IF(VLOOKUP($A175,vykaz_p!$A:$G,1)=$A175,VLOOKUP($A175,vykaz_p!$A:$G,$B$1),0)</f>
        <v>Výsledok hospodárenia z hospodárskej činnosti (+/-) (r. 02 - r. 10)</v>
      </c>
      <c r="E175" s="402" t="s">
        <v>1230</v>
      </c>
      <c r="F175" s="405"/>
      <c r="I175" s="412"/>
      <c r="J175" s="413"/>
      <c r="K175" s="413"/>
      <c r="L175" s="417"/>
      <c r="M175" s="415"/>
      <c r="N175" s="382">
        <f>SUM(N150-N158)</f>
        <v>-6425</v>
      </c>
      <c r="P175" s="404"/>
      <c r="X175" s="382">
        <f>SUM(X150-X158)</f>
        <v>27150</v>
      </c>
      <c r="Z175" s="377"/>
      <c r="AF175" s="399" t="str">
        <f t="shared" si="120"/>
        <v xml:space="preserve">      -6425</v>
      </c>
      <c r="AG175" s="399" t="str">
        <f t="shared" si="121"/>
        <v xml:space="preserve">      27150</v>
      </c>
      <c r="AK175" s="405"/>
      <c r="AS175" s="379">
        <f>SUM(AS150-AS158)</f>
        <v>0</v>
      </c>
    </row>
    <row r="176" spans="1:45" x14ac:dyDescent="0.25">
      <c r="A176" s="408">
        <v>28</v>
      </c>
      <c r="C176" s="391" t="s">
        <v>2286</v>
      </c>
      <c r="D176" s="359" t="str">
        <f>IF(VLOOKUP($A176,vykaz_p!$A:$G,1)=$A176,VLOOKUP($A176,vykaz_p!$A:$G,$B$1),0)</f>
        <v>Pridaná hodnota (r. 03 + r. 04 + r. 05 + r. 06 + r. 07)
- (r. 11 + r. 12 + r. 13 + r. 14)</v>
      </c>
      <c r="E176" s="402" t="s">
        <v>1231</v>
      </c>
      <c r="F176" s="405"/>
      <c r="I176" s="412"/>
      <c r="J176" s="413"/>
      <c r="K176" s="413"/>
      <c r="L176" s="417"/>
      <c r="M176" s="415"/>
      <c r="N176" s="389">
        <f>SUM(N151+N152+N153+N154+N155)-(N159+N160+N161+N162)</f>
        <v>-58602</v>
      </c>
      <c r="P176" s="404"/>
      <c r="X176" s="389">
        <f>SUM(X151+X152+X153+X154+X155)-(X159+X160+X161+X162)</f>
        <v>-60320</v>
      </c>
      <c r="Z176" s="377"/>
      <c r="AF176" s="361" t="str">
        <f t="shared" si="120"/>
        <v xml:space="preserve">     -58602</v>
      </c>
      <c r="AG176" s="361" t="str">
        <f t="shared" si="121"/>
        <v xml:space="preserve">     -60320</v>
      </c>
      <c r="AK176" s="405"/>
      <c r="AS176" s="388">
        <f>SUM(AS151+AS152+AS153+AS154+AS155)-(AS159+AS160+AS161+AS162)</f>
        <v>0</v>
      </c>
    </row>
    <row r="177" spans="1:45" x14ac:dyDescent="0.25">
      <c r="A177" s="408">
        <v>29</v>
      </c>
      <c r="C177" s="391" t="s">
        <v>2287</v>
      </c>
      <c r="D177" s="359" t="str">
        <f>IF(VLOOKUP($A177,vykaz_p!$A:$G,1)=$A177,VLOOKUP($A177,vykaz_p!$A:$G,$B$1),0)</f>
        <v>Výnosy z finančnej činnosti spolu r. 30 + r. 31 + r. 35
+ r. 39 + r. 42 + r. 43 + r. 44</v>
      </c>
      <c r="E177" s="402" t="s">
        <v>1227</v>
      </c>
      <c r="F177" s="405"/>
      <c r="I177" s="412"/>
      <c r="J177" s="413"/>
      <c r="K177" s="413"/>
      <c r="L177" s="417"/>
      <c r="M177" s="415"/>
      <c r="N177" s="389">
        <f>SUM(N178+N179+N183+N187+N190+N191+N192)</f>
        <v>0</v>
      </c>
      <c r="P177" s="404"/>
      <c r="X177" s="389">
        <f>SUM(X178+X179+X183+X187+X190+X191+X192)</f>
        <v>0</v>
      </c>
      <c r="Z177" s="377"/>
      <c r="AF177" s="361" t="str">
        <f t="shared" si="120"/>
        <v xml:space="preserve">          0</v>
      </c>
      <c r="AG177" s="361" t="str">
        <f t="shared" si="121"/>
        <v xml:space="preserve">          0</v>
      </c>
      <c r="AK177" s="405"/>
      <c r="AS177" s="388">
        <f>SUM(AS178+AS179+AS183+AS187+AS190+AS191+AS192)</f>
        <v>0</v>
      </c>
    </row>
    <row r="178" spans="1:45" outlineLevel="1" x14ac:dyDescent="0.25">
      <c r="A178" s="408">
        <v>30</v>
      </c>
      <c r="C178" s="391" t="s">
        <v>2304</v>
      </c>
      <c r="D178" s="362" t="str">
        <f>IF(VLOOKUP($A178,vykaz_p!$A:$G,1)=$A178,VLOOKUP($A178,vykaz_p!$A:$G,$B$1),0)</f>
        <v>Tržby z predaja cenných papierov a podielov (661)</v>
      </c>
      <c r="E178" s="386" t="s">
        <v>1260</v>
      </c>
      <c r="I178" s="412"/>
      <c r="J178" s="413"/>
      <c r="K178" s="413"/>
      <c r="L178" s="416">
        <f>SUM('HL KNIHA VYPOC'!G390)</f>
        <v>0</v>
      </c>
      <c r="M178" s="415"/>
      <c r="N178" s="389">
        <f>ROUND((L178*-1),0)</f>
        <v>0</v>
      </c>
      <c r="V178" s="389">
        <f>SUM('HL KNIHA VYPOC'!K390)</f>
        <v>0</v>
      </c>
      <c r="X178" s="389">
        <f>ROUND((V178*-1),0)</f>
        <v>0</v>
      </c>
      <c r="Z178" s="397"/>
      <c r="AF178" s="361" t="str">
        <f t="shared" si="120"/>
        <v xml:space="preserve">          0</v>
      </c>
      <c r="AG178" s="361" t="str">
        <f t="shared" si="121"/>
        <v xml:space="preserve">          0</v>
      </c>
      <c r="AQ178" s="388">
        <f>SUM('HL KNIHA VYPOC'!M390)</f>
        <v>0</v>
      </c>
      <c r="AS178" s="85">
        <f>ROUND((AQ178*-1),0)</f>
        <v>0</v>
      </c>
    </row>
    <row r="179" spans="1:45" outlineLevel="1" x14ac:dyDescent="0.25">
      <c r="A179" s="408">
        <v>31</v>
      </c>
      <c r="C179" s="391" t="s">
        <v>2305</v>
      </c>
      <c r="D179" s="362" t="str">
        <f>IF(VLOOKUP($A179,vykaz_p!$A:$G,1)=$A179,VLOOKUP($A179,vykaz_p!$A:$G,$B$1),0)</f>
        <v>Výnosy z dlhodobého finančného majetku súčet
(r. 32 až r. 34)</v>
      </c>
      <c r="E179" s="402" t="s">
        <v>1248</v>
      </c>
      <c r="I179" s="412"/>
      <c r="J179" s="413"/>
      <c r="K179" s="413"/>
      <c r="L179" s="417"/>
      <c r="M179" s="415"/>
      <c r="N179" s="382">
        <f>SUM(N180:N182)</f>
        <v>0</v>
      </c>
      <c r="X179" s="382">
        <f>SUM(X180:X182)</f>
        <v>0</v>
      </c>
      <c r="Z179" s="397"/>
      <c r="AF179" s="361" t="str">
        <f t="shared" si="120"/>
        <v xml:space="preserve">          0</v>
      </c>
      <c r="AG179" s="361" t="str">
        <f t="shared" si="121"/>
        <v xml:space="preserve">          0</v>
      </c>
      <c r="AS179" s="379">
        <f>SUM(AS180:AS182)</f>
        <v>0</v>
      </c>
    </row>
    <row r="180" spans="1:45" outlineLevel="1" x14ac:dyDescent="0.25">
      <c r="A180" s="408">
        <v>32</v>
      </c>
      <c r="C180" s="391" t="s">
        <v>2306</v>
      </c>
      <c r="D180" s="362" t="str">
        <f>IF(VLOOKUP($A180,vykaz_p!$A:$G,1)=$A180,VLOOKUP($A180,vykaz_p!$A:$G,$B$1),0)</f>
        <v>Výnosy z cenných papierov a podielov od prepojených účtovných jednotiek (665A)</v>
      </c>
      <c r="E180" s="386" t="s">
        <v>1247</v>
      </c>
      <c r="I180" s="412"/>
      <c r="J180" s="413"/>
      <c r="K180" s="413"/>
      <c r="L180" s="416">
        <f>SUM(ANALYTIKAVUJ!C217)</f>
        <v>0</v>
      </c>
      <c r="M180" s="415"/>
      <c r="N180" s="389">
        <f>ROUND((L180*-1),0)</f>
        <v>0</v>
      </c>
      <c r="V180" s="389">
        <f>SUM(ANALYTIKAVUJ!D217)</f>
        <v>0</v>
      </c>
      <c r="X180" s="389">
        <f>ROUND((V180*-1),0)</f>
        <v>0</v>
      </c>
      <c r="Z180" s="397"/>
      <c r="AF180" s="361" t="str">
        <f t="shared" si="120"/>
        <v xml:space="preserve">          0</v>
      </c>
      <c r="AG180" s="361" t="str">
        <f t="shared" si="121"/>
        <v xml:space="preserve">          0</v>
      </c>
      <c r="AQ180" s="388">
        <f>SUM(ANALYTIKAVUJ!E217)</f>
        <v>0</v>
      </c>
      <c r="AS180" s="85">
        <f>ROUND((AQ180*-1),0)</f>
        <v>0</v>
      </c>
    </row>
    <row r="181" spans="1:45" outlineLevel="1" x14ac:dyDescent="0.25">
      <c r="A181" s="408">
        <v>33</v>
      </c>
      <c r="C181" s="391" t="s">
        <v>2166</v>
      </c>
      <c r="D181" s="362" t="str">
        <f>IF(VLOOKUP($A181,vykaz_p!$A:$G,1)=$A181,VLOOKUP($A181,vykaz_p!$A:$G,$B$1),0)</f>
        <v>Výnosy z cenných papierov a podielov v podielovej účasti okrem výnosov prepojených účtovných jednotiek (665A)</v>
      </c>
      <c r="E181" s="386" t="s">
        <v>2185</v>
      </c>
      <c r="I181" s="412"/>
      <c r="J181" s="413"/>
      <c r="K181" s="413"/>
      <c r="L181" s="416">
        <f>SUM(ANALYTIKAVUJ!C218)</f>
        <v>0</v>
      </c>
      <c r="M181" s="415"/>
      <c r="N181" s="389">
        <f>ROUND((L181*-1),0)</f>
        <v>0</v>
      </c>
      <c r="V181" s="389">
        <f>SUM(ANALYTIKAVUJ!D218)</f>
        <v>0</v>
      </c>
      <c r="X181" s="389">
        <f>ROUND((V181*-1),0)</f>
        <v>0</v>
      </c>
      <c r="Z181" s="397"/>
      <c r="AF181" s="361" t="str">
        <f t="shared" ref="AF181:AF210" si="125">REPT(" ",11-LEN(N181))&amp;N181</f>
        <v xml:space="preserve">          0</v>
      </c>
      <c r="AG181" s="361" t="str">
        <f t="shared" ref="AG181:AG210" si="126">REPT(" ",11-LEN(X181))&amp;X181</f>
        <v xml:space="preserve">          0</v>
      </c>
      <c r="AQ181" s="388">
        <f>SUM(ANALYTIKAVUJ!E218)</f>
        <v>0</v>
      </c>
      <c r="AS181" s="85">
        <f>ROUND((AQ181*-1),0)</f>
        <v>0</v>
      </c>
    </row>
    <row r="182" spans="1:45" outlineLevel="1" x14ac:dyDescent="0.25">
      <c r="A182" s="408">
        <v>34</v>
      </c>
      <c r="C182" s="391" t="s">
        <v>2167</v>
      </c>
      <c r="D182" s="362" t="str">
        <f>IF(VLOOKUP($A182,vykaz_p!$A:$G,1)=$A182,VLOOKUP($A182,vykaz_p!$A:$G,$B$1),0)</f>
        <v>Ostatné výnosy z cenných papierov a podielov (665A)</v>
      </c>
      <c r="E182" s="386" t="s">
        <v>2187</v>
      </c>
      <c r="I182" s="412"/>
      <c r="J182" s="413"/>
      <c r="K182" s="413"/>
      <c r="L182" s="416">
        <f>SUM(ANALYTIKAVUJ!C219)</f>
        <v>0</v>
      </c>
      <c r="M182" s="415"/>
      <c r="N182" s="389">
        <f>ROUND((L182*-1),0)</f>
        <v>0</v>
      </c>
      <c r="V182" s="389">
        <f>SUM(ANALYTIKAVUJ!D219)</f>
        <v>0</v>
      </c>
      <c r="X182" s="389">
        <f>ROUND((V182*-1),0)</f>
        <v>0</v>
      </c>
      <c r="Z182" s="397"/>
      <c r="AF182" s="361" t="str">
        <f t="shared" si="125"/>
        <v xml:space="preserve">          0</v>
      </c>
      <c r="AG182" s="361" t="str">
        <f t="shared" si="126"/>
        <v xml:space="preserve">          0</v>
      </c>
      <c r="AQ182" s="388">
        <f>SUM(ANALYTIKAVUJ!E219)</f>
        <v>0</v>
      </c>
      <c r="AS182" s="85">
        <f>ROUND((AQ182*-1),0)</f>
        <v>0</v>
      </c>
    </row>
    <row r="183" spans="1:45" outlineLevel="1" x14ac:dyDescent="0.25">
      <c r="A183" s="408">
        <v>35</v>
      </c>
      <c r="C183" s="391" t="s">
        <v>2307</v>
      </c>
      <c r="D183" s="362" t="str">
        <f>IF(VLOOKUP($A183,vykaz_p!$A:$G,1)=$A183,VLOOKUP($A183,vykaz_p!$A:$G,$B$1),0)</f>
        <v>Výnosy z krátkodobého finančného majetku súčet
(r. 36 až r. 38)</v>
      </c>
      <c r="E183" s="402" t="s">
        <v>2189</v>
      </c>
      <c r="I183" s="412"/>
      <c r="J183" s="413"/>
      <c r="K183" s="413"/>
      <c r="L183" s="417"/>
      <c r="M183" s="415"/>
      <c r="N183" s="382">
        <f>SUM(N184:N186)</f>
        <v>0</v>
      </c>
      <c r="X183" s="382">
        <f>SUM(X184:X186)</f>
        <v>0</v>
      </c>
      <c r="Z183" s="397"/>
      <c r="AF183" s="361" t="str">
        <f t="shared" si="125"/>
        <v xml:space="preserve">          0</v>
      </c>
      <c r="AG183" s="361" t="str">
        <f t="shared" si="126"/>
        <v xml:space="preserve">          0</v>
      </c>
      <c r="AS183" s="379">
        <f>SUM(AS184:AS186)</f>
        <v>0</v>
      </c>
    </row>
    <row r="184" spans="1:45" outlineLevel="1" x14ac:dyDescent="0.25">
      <c r="A184" s="408">
        <v>36</v>
      </c>
      <c r="C184" s="391" t="s">
        <v>2308</v>
      </c>
      <c r="D184" s="362" t="str">
        <f>IF(VLOOKUP($A184,vykaz_p!$A:$G,1)=$A184,VLOOKUP($A184,vykaz_p!$A:$G,$B$1),0)</f>
        <v>Výnosy z krátkodobého finančného majetku od prepojených účtovných jednotiek (666A)</v>
      </c>
      <c r="E184" s="386" t="s">
        <v>2191</v>
      </c>
      <c r="I184" s="412"/>
      <c r="J184" s="413"/>
      <c r="K184" s="413"/>
      <c r="L184" s="416">
        <f>SUM(ANALYTIKAVUJ!K217)</f>
        <v>0</v>
      </c>
      <c r="M184" s="415"/>
      <c r="N184" s="389">
        <f>ROUND((L184*-1),0)</f>
        <v>0</v>
      </c>
      <c r="V184" s="389">
        <f>SUM(ANALYTIKAVUJ!L217)</f>
        <v>0</v>
      </c>
      <c r="X184" s="389">
        <f>ROUND((V184*-1),0)</f>
        <v>0</v>
      </c>
      <c r="Z184" s="397"/>
      <c r="AF184" s="361" t="str">
        <f t="shared" si="125"/>
        <v xml:space="preserve">          0</v>
      </c>
      <c r="AG184" s="361" t="str">
        <f t="shared" si="126"/>
        <v xml:space="preserve">          0</v>
      </c>
      <c r="AQ184" s="388">
        <f>SUM(ANALYTIKAVUJ!M217)</f>
        <v>0</v>
      </c>
      <c r="AS184" s="85">
        <f>ROUND((AQ184*-1),0)</f>
        <v>0</v>
      </c>
    </row>
    <row r="185" spans="1:45" outlineLevel="1" x14ac:dyDescent="0.25">
      <c r="A185" s="408">
        <v>37</v>
      </c>
      <c r="C185" s="391" t="s">
        <v>2166</v>
      </c>
      <c r="D185" s="362" t="str">
        <f>IF(VLOOKUP($A185,vykaz_p!$A:$G,1)=$A185,VLOOKUP($A185,vykaz_p!$A:$G,$B$1),0)</f>
        <v>Výnosy z krátkodobého finančného majetku v podielovej účasti okrem výnosov prepojených účtovných jednotiek (666A)</v>
      </c>
      <c r="E185" s="386" t="s">
        <v>2192</v>
      </c>
      <c r="I185" s="412"/>
      <c r="J185" s="413"/>
      <c r="K185" s="413"/>
      <c r="L185" s="416">
        <f>SUM(ANALYTIKAVUJ!K218)</f>
        <v>0</v>
      </c>
      <c r="M185" s="415"/>
      <c r="N185" s="389">
        <f>ROUND((L185*-1),0)</f>
        <v>0</v>
      </c>
      <c r="V185" s="389">
        <f>SUM(ANALYTIKAVUJ!L218)</f>
        <v>0</v>
      </c>
      <c r="X185" s="389">
        <f>ROUND((V185*-1),0)</f>
        <v>0</v>
      </c>
      <c r="Z185" s="397"/>
      <c r="AF185" s="361" t="str">
        <f t="shared" si="125"/>
        <v xml:space="preserve">          0</v>
      </c>
      <c r="AG185" s="361" t="str">
        <f t="shared" si="126"/>
        <v xml:space="preserve">          0</v>
      </c>
      <c r="AQ185" s="388">
        <f>SUM(ANALYTIKAVUJ!M218)</f>
        <v>0</v>
      </c>
      <c r="AS185" s="85">
        <f>ROUND((AQ185*-1),0)</f>
        <v>0</v>
      </c>
    </row>
    <row r="186" spans="1:45" outlineLevel="1" x14ac:dyDescent="0.25">
      <c r="A186" s="408">
        <v>38</v>
      </c>
      <c r="C186" s="391" t="s">
        <v>2167</v>
      </c>
      <c r="D186" s="362" t="str">
        <f>IF(VLOOKUP($A186,vykaz_p!$A:$G,1)=$A186,VLOOKUP($A186,vykaz_p!$A:$G,$B$1),0)</f>
        <v>Ostatné výnosy z krátkodobého finančného majetku (666A)</v>
      </c>
      <c r="E186" s="386" t="s">
        <v>2193</v>
      </c>
      <c r="I186" s="412"/>
      <c r="J186" s="413"/>
      <c r="K186" s="413"/>
      <c r="L186" s="416">
        <f>SUM(ANALYTIKAVUJ!K219)</f>
        <v>0</v>
      </c>
      <c r="M186" s="415"/>
      <c r="N186" s="389">
        <f>ROUND((L186*-1),0)</f>
        <v>0</v>
      </c>
      <c r="V186" s="389">
        <f>SUM(ANALYTIKAVUJ!L219)</f>
        <v>0</v>
      </c>
      <c r="X186" s="389">
        <f>ROUND((V186*-1),0)</f>
        <v>0</v>
      </c>
      <c r="Z186" s="397"/>
      <c r="AF186" s="361" t="str">
        <f t="shared" si="125"/>
        <v xml:space="preserve">          0</v>
      </c>
      <c r="AG186" s="361" t="str">
        <f t="shared" si="126"/>
        <v xml:space="preserve">          0</v>
      </c>
      <c r="AQ186" s="388">
        <f>SUM(ANALYTIKAVUJ!M219)</f>
        <v>0</v>
      </c>
      <c r="AS186" s="85">
        <f>ROUND((AQ186*-1),0)</f>
        <v>0</v>
      </c>
    </row>
    <row r="187" spans="1:45" outlineLevel="1" x14ac:dyDescent="0.25">
      <c r="A187" s="408">
        <v>39</v>
      </c>
      <c r="C187" s="391" t="s">
        <v>2309</v>
      </c>
      <c r="D187" s="362" t="str">
        <f>IF(VLOOKUP($A187,vykaz_p!$A:$G,1)=$A187,VLOOKUP($A187,vykaz_p!$A:$G,$B$1),0)</f>
        <v>Výnosové úroky (r. 40 + r. 41)</v>
      </c>
      <c r="E187" s="386" t="s">
        <v>2194</v>
      </c>
      <c r="I187" s="412"/>
      <c r="J187" s="413"/>
      <c r="K187" s="413"/>
      <c r="L187" s="417"/>
      <c r="M187" s="415"/>
      <c r="N187" s="382">
        <f>SUM(N188:N189)</f>
        <v>0</v>
      </c>
      <c r="X187" s="382">
        <f>SUM(X188:X189)</f>
        <v>0</v>
      </c>
      <c r="Z187" s="397"/>
      <c r="AF187" s="361" t="str">
        <f t="shared" si="125"/>
        <v xml:space="preserve">          0</v>
      </c>
      <c r="AG187" s="361" t="str">
        <f t="shared" si="126"/>
        <v xml:space="preserve">          0</v>
      </c>
      <c r="AS187" s="379">
        <f>SUM(AS188:AS189)</f>
        <v>0</v>
      </c>
    </row>
    <row r="188" spans="1:45" outlineLevel="1" x14ac:dyDescent="0.25">
      <c r="A188" s="408">
        <v>40</v>
      </c>
      <c r="C188" s="391" t="s">
        <v>2310</v>
      </c>
      <c r="D188" s="362" t="str">
        <f>IF(VLOOKUP($A188,vykaz_p!$A:$G,1)=$A188,VLOOKUP($A188,vykaz_p!$A:$G,$B$1),0)</f>
        <v>Výnosové úroky od prepojených účtovných jednotiek (662A)</v>
      </c>
      <c r="E188" s="386" t="s">
        <v>1249</v>
      </c>
      <c r="I188" s="412"/>
      <c r="J188" s="413"/>
      <c r="K188" s="413"/>
      <c r="L188" s="416">
        <f>SUM(ANALYTIKAVUJ!K212)</f>
        <v>0</v>
      </c>
      <c r="M188" s="415"/>
      <c r="N188" s="389">
        <f>ROUND((L188*-1),0)</f>
        <v>0</v>
      </c>
      <c r="V188" s="389">
        <f>SUM(ANALYTIKAVUJ!L212)</f>
        <v>0</v>
      </c>
      <c r="X188" s="389">
        <f>ROUND((V188*-1),0)</f>
        <v>0</v>
      </c>
      <c r="Z188" s="397"/>
      <c r="AF188" s="361" t="str">
        <f t="shared" si="125"/>
        <v xml:space="preserve">          0</v>
      </c>
      <c r="AG188" s="361" t="str">
        <f t="shared" si="126"/>
        <v xml:space="preserve">          0</v>
      </c>
      <c r="AQ188" s="388">
        <f>SUM(ANALYTIKAVUJ!M212)</f>
        <v>0</v>
      </c>
      <c r="AS188" s="85">
        <f>ROUND((AQ188*-1),0)</f>
        <v>0</v>
      </c>
    </row>
    <row r="189" spans="1:45" outlineLevel="1" x14ac:dyDescent="0.25">
      <c r="A189" s="408">
        <v>41</v>
      </c>
      <c r="C189" s="391" t="s">
        <v>2166</v>
      </c>
      <c r="D189" s="362" t="str">
        <f>IF(VLOOKUP($A189,vykaz_p!$A:$G,1)=$A189,VLOOKUP($A189,vykaz_p!$A:$G,$B$1),0)</f>
        <v>Ostatné výnosové úroky (662A)</v>
      </c>
      <c r="E189" s="386" t="s">
        <v>2195</v>
      </c>
      <c r="I189" s="412"/>
      <c r="J189" s="413"/>
      <c r="K189" s="413"/>
      <c r="L189" s="416">
        <f>SUM(ANALYTIKAVUJ!K213)</f>
        <v>0</v>
      </c>
      <c r="M189" s="415"/>
      <c r="N189" s="389">
        <f>ROUND((L189*-1),0)</f>
        <v>0</v>
      </c>
      <c r="V189" s="389">
        <f>SUM(ANALYTIKAVUJ!L213)</f>
        <v>0</v>
      </c>
      <c r="X189" s="389">
        <f>ROUND((V189*-1),0)</f>
        <v>0</v>
      </c>
      <c r="Z189" s="397"/>
      <c r="AF189" s="361" t="str">
        <f t="shared" si="125"/>
        <v xml:space="preserve">          0</v>
      </c>
      <c r="AG189" s="361" t="str">
        <f t="shared" si="126"/>
        <v xml:space="preserve">          0</v>
      </c>
      <c r="AQ189" s="388">
        <f>SUM(ANALYTIKAVUJ!M213)</f>
        <v>0</v>
      </c>
      <c r="AS189" s="85">
        <f>ROUND((AQ189*-1),0)</f>
        <v>0</v>
      </c>
    </row>
    <row r="190" spans="1:45" outlineLevel="1" x14ac:dyDescent="0.25">
      <c r="A190" s="408">
        <v>42</v>
      </c>
      <c r="C190" s="391" t="s">
        <v>2311</v>
      </c>
      <c r="D190" s="362" t="str">
        <f>IF(VLOOKUP($A190,vykaz_p!$A:$G,1)=$A190,VLOOKUP($A190,vykaz_p!$A:$G,$B$1),0)</f>
        <v>Kurzové zisky (663)</v>
      </c>
      <c r="E190" s="386" t="s">
        <v>2197</v>
      </c>
      <c r="I190" s="412"/>
      <c r="J190" s="413"/>
      <c r="K190" s="413"/>
      <c r="L190" s="416">
        <f>SUM('HL KNIHA VYPOC'!G392)</f>
        <v>0</v>
      </c>
      <c r="M190" s="415"/>
      <c r="N190" s="389">
        <f>ROUND((L190*-1),0)</f>
        <v>0</v>
      </c>
      <c r="V190" s="389">
        <f>SUM('HL KNIHA VYPOC'!K392)</f>
        <v>0</v>
      </c>
      <c r="X190" s="389">
        <f>ROUND((V190*-1),0)</f>
        <v>0</v>
      </c>
      <c r="Z190" s="397"/>
      <c r="AF190" s="361" t="str">
        <f t="shared" si="125"/>
        <v xml:space="preserve">          0</v>
      </c>
      <c r="AG190" s="361" t="str">
        <f t="shared" si="126"/>
        <v xml:space="preserve">          0</v>
      </c>
      <c r="AQ190" s="388">
        <f>SUM('HL KNIHA VYPOC'!M392)</f>
        <v>0</v>
      </c>
      <c r="AS190" s="85">
        <f>ROUND((AQ190*-1),0)</f>
        <v>0</v>
      </c>
    </row>
    <row r="191" spans="1:45" outlineLevel="1" x14ac:dyDescent="0.25">
      <c r="A191" s="408">
        <v>43</v>
      </c>
      <c r="C191" s="391" t="s">
        <v>2312</v>
      </c>
      <c r="D191" s="362" t="str">
        <f>IF(VLOOKUP($A191,vykaz_p!$A:$G,1)=$A191,VLOOKUP($A191,vykaz_p!$A:$G,$B$1),0)</f>
        <v>Výnosy z precenenia cenných papierov a výnosy z derivátových operácií (664, 667)</v>
      </c>
      <c r="E191" s="386" t="s">
        <v>1250</v>
      </c>
      <c r="I191" s="412"/>
      <c r="J191" s="413"/>
      <c r="K191" s="413"/>
      <c r="L191" s="416">
        <f>SUM('HL KNIHA VYPOC'!G393+'HL KNIHA VYPOC'!G396)</f>
        <v>0</v>
      </c>
      <c r="M191" s="415"/>
      <c r="N191" s="389">
        <f>ROUND((L191*-1),0)</f>
        <v>0</v>
      </c>
      <c r="V191" s="389">
        <f>SUM('HL KNIHA VYPOC'!K393+'HL KNIHA VYPOC'!K396)</f>
        <v>0</v>
      </c>
      <c r="X191" s="389">
        <f>ROUND((V191*-1),0)</f>
        <v>0</v>
      </c>
      <c r="Z191" s="397"/>
      <c r="AF191" s="361" t="str">
        <f t="shared" si="125"/>
        <v xml:space="preserve">          0</v>
      </c>
      <c r="AG191" s="361" t="str">
        <f t="shared" si="126"/>
        <v xml:space="preserve">          0</v>
      </c>
      <c r="AQ191" s="388">
        <f>SUM('HL KNIHA VYPOC'!M393+'HL KNIHA VYPOC'!M396)</f>
        <v>0</v>
      </c>
      <c r="AS191" s="85">
        <f>ROUND((AQ191*-1),0)</f>
        <v>0</v>
      </c>
    </row>
    <row r="192" spans="1:45" outlineLevel="1" x14ac:dyDescent="0.25">
      <c r="A192" s="408">
        <v>44</v>
      </c>
      <c r="C192" s="391" t="s">
        <v>2313</v>
      </c>
      <c r="D192" s="362" t="str">
        <f>IF(VLOOKUP($A192,vykaz_p!$A:$G,1)=$A192,VLOOKUP($A192,vykaz_p!$A:$G,$B$1),0)</f>
        <v>Ostatné výnosy z finančnej činnosti (668)</v>
      </c>
      <c r="E192" s="386" t="s">
        <v>1251</v>
      </c>
      <c r="I192" s="412"/>
      <c r="J192" s="413"/>
      <c r="K192" s="413"/>
      <c r="L192" s="416">
        <f>SUM('HL KNIHA VYPOC'!G397)</f>
        <v>0</v>
      </c>
      <c r="M192" s="415"/>
      <c r="N192" s="389">
        <f>ROUND((L192*-1),0)</f>
        <v>0</v>
      </c>
      <c r="V192" s="389">
        <f>SUM('HL KNIHA VYPOC'!K397)</f>
        <v>0</v>
      </c>
      <c r="X192" s="389">
        <f>ROUND((V192*-1),0)</f>
        <v>0</v>
      </c>
      <c r="Z192" s="397"/>
      <c r="AF192" s="361" t="str">
        <f t="shared" si="125"/>
        <v xml:space="preserve">          0</v>
      </c>
      <c r="AG192" s="361" t="str">
        <f t="shared" si="126"/>
        <v xml:space="preserve">          0</v>
      </c>
      <c r="AQ192" s="388">
        <f>SUM('HL KNIHA VYPOC'!M397)</f>
        <v>0</v>
      </c>
      <c r="AS192" s="85">
        <f>ROUND((AQ192*-1),0)</f>
        <v>0</v>
      </c>
    </row>
    <row r="193" spans="1:45" x14ac:dyDescent="0.25">
      <c r="A193" s="408">
        <v>45</v>
      </c>
      <c r="C193" s="391" t="s">
        <v>2287</v>
      </c>
      <c r="D193" s="359" t="str">
        <f>IF(VLOOKUP($A193,vykaz_p!$A:$G,1)=$A193,VLOOKUP($A193,vykaz_p!$A:$G,$B$1),0)</f>
        <v>Náklady na finančnú činnosť spolu r. 46 + r. 47 + r. 48
+ r. 49 + r. 52 + r. 53 + r. 54</v>
      </c>
      <c r="E193" s="402" t="s">
        <v>1252</v>
      </c>
      <c r="F193" s="405"/>
      <c r="I193" s="412"/>
      <c r="J193" s="413"/>
      <c r="K193" s="413"/>
      <c r="L193" s="417"/>
      <c r="M193" s="415"/>
      <c r="N193" s="382">
        <f>SUM(N194+N195+N196+N197+N200+N201+N202)</f>
        <v>8641</v>
      </c>
      <c r="P193" s="404"/>
      <c r="X193" s="382">
        <f>SUM(X194+X195+X196+X197+X200+X201+X202)</f>
        <v>10245</v>
      </c>
      <c r="Z193" s="377"/>
      <c r="AF193" s="361" t="str">
        <f t="shared" si="125"/>
        <v xml:space="preserve">       8641</v>
      </c>
      <c r="AG193" s="361" t="str">
        <f t="shared" si="126"/>
        <v xml:space="preserve">      10245</v>
      </c>
      <c r="AK193" s="405"/>
      <c r="AS193" s="379">
        <f>SUM(AS194+AS195+AS196+AS197+AS200+AS201+AS202)</f>
        <v>0</v>
      </c>
    </row>
    <row r="194" spans="1:45" outlineLevel="1" x14ac:dyDescent="0.25">
      <c r="A194" s="408">
        <v>46</v>
      </c>
      <c r="C194" s="391" t="s">
        <v>2314</v>
      </c>
      <c r="D194" s="362" t="str">
        <f>IF(VLOOKUP($A194,vykaz_p!$A:$G,1)=$A194,VLOOKUP($A194,vykaz_p!$A:$G,$B$1),0)</f>
        <v>Predané cenné papiere a podiely (561)</v>
      </c>
      <c r="E194" s="386" t="s">
        <v>1261</v>
      </c>
      <c r="I194" s="412"/>
      <c r="J194" s="413"/>
      <c r="K194" s="413"/>
      <c r="L194" s="416">
        <f>SUM('HL KNIHA VYPOC'!G317)</f>
        <v>0</v>
      </c>
      <c r="M194" s="415"/>
      <c r="N194" s="389">
        <f>ROUND((L194),0)</f>
        <v>0</v>
      </c>
      <c r="V194" s="389">
        <f>SUM('HL KNIHA VYPOC'!K317)</f>
        <v>0</v>
      </c>
      <c r="X194" s="389">
        <f>ROUND((V194),0)</f>
        <v>0</v>
      </c>
      <c r="Z194" s="397"/>
      <c r="AF194" s="361" t="str">
        <f t="shared" si="125"/>
        <v xml:space="preserve">          0</v>
      </c>
      <c r="AG194" s="361" t="str">
        <f t="shared" si="126"/>
        <v xml:space="preserve">          0</v>
      </c>
      <c r="AQ194" s="388">
        <f>SUM('HL KNIHA VYPOC'!M317)</f>
        <v>0</v>
      </c>
      <c r="AS194" s="388">
        <f>ROUND((AQ194),0)</f>
        <v>0</v>
      </c>
    </row>
    <row r="195" spans="1:45" outlineLevel="1" x14ac:dyDescent="0.25">
      <c r="A195" s="408">
        <v>47</v>
      </c>
      <c r="C195" s="391" t="s">
        <v>2315</v>
      </c>
      <c r="D195" s="362" t="str">
        <f>IF(VLOOKUP($A195,vykaz_p!$A:$G,1)=$A195,VLOOKUP($A195,vykaz_p!$A:$G,$B$1),0)</f>
        <v>Náklady na krátkodobý finančný majetok (566)</v>
      </c>
      <c r="E195" s="386" t="s">
        <v>1220</v>
      </c>
      <c r="I195" s="412"/>
      <c r="J195" s="413"/>
      <c r="K195" s="413"/>
      <c r="L195" s="416">
        <f>SUM('HL KNIHA VYPOC'!G322)</f>
        <v>0</v>
      </c>
      <c r="M195" s="415"/>
      <c r="N195" s="389">
        <f>ROUND((L195),0)</f>
        <v>0</v>
      </c>
      <c r="V195" s="389">
        <f>SUM('HL KNIHA VYPOC'!K322)</f>
        <v>0</v>
      </c>
      <c r="X195" s="389">
        <f>ROUND((V195),0)</f>
        <v>0</v>
      </c>
      <c r="Z195" s="397"/>
      <c r="AF195" s="361" t="str">
        <f t="shared" si="125"/>
        <v xml:space="preserve">          0</v>
      </c>
      <c r="AG195" s="361" t="str">
        <f t="shared" si="126"/>
        <v xml:space="preserve">          0</v>
      </c>
      <c r="AQ195" s="388">
        <f>SUM('HL KNIHA VYPOC'!M322)</f>
        <v>0</v>
      </c>
      <c r="AS195" s="388">
        <f>ROUND((AQ195),0)</f>
        <v>0</v>
      </c>
    </row>
    <row r="196" spans="1:45" outlineLevel="1" x14ac:dyDescent="0.25">
      <c r="A196" s="408">
        <v>48</v>
      </c>
      <c r="C196" s="391" t="s">
        <v>2316</v>
      </c>
      <c r="D196" s="362" t="str">
        <f>IF(VLOOKUP($A196,vykaz_p!$A:$G,1)=$A196,VLOOKUP($A196,vykaz_p!$A:$G,$B$1),0)</f>
        <v>Opravné položky k finančnému majetku (+/-) (565)</v>
      </c>
      <c r="E196" s="386" t="s">
        <v>1221</v>
      </c>
      <c r="I196" s="412"/>
      <c r="J196" s="413"/>
      <c r="K196" s="413"/>
      <c r="L196" s="416">
        <f>SUM('HL KNIHA VYPOC'!G321)</f>
        <v>0</v>
      </c>
      <c r="M196" s="415"/>
      <c r="N196" s="389">
        <f>ROUND((L196),0)</f>
        <v>0</v>
      </c>
      <c r="V196" s="389">
        <f>SUM('HL KNIHA VYPOC'!K321)</f>
        <v>0</v>
      </c>
      <c r="X196" s="389">
        <f>ROUND((V196),0)</f>
        <v>0</v>
      </c>
      <c r="Z196" s="397"/>
      <c r="AF196" s="361" t="str">
        <f t="shared" si="125"/>
        <v xml:space="preserve">          0</v>
      </c>
      <c r="AG196" s="361" t="str">
        <f t="shared" si="126"/>
        <v xml:space="preserve">          0</v>
      </c>
      <c r="AQ196" s="388">
        <f>SUM('HL KNIHA VYPOC'!M321)</f>
        <v>0</v>
      </c>
      <c r="AS196" s="388">
        <f>ROUND((AQ196),0)</f>
        <v>0</v>
      </c>
    </row>
    <row r="197" spans="1:45" outlineLevel="1" x14ac:dyDescent="0.25">
      <c r="A197" s="408">
        <v>49</v>
      </c>
      <c r="C197" s="391" t="s">
        <v>2317</v>
      </c>
      <c r="D197" s="362" t="str">
        <f>IF(VLOOKUP($A197,vykaz_p!$A:$G,1)=$A197,VLOOKUP($A197,vykaz_p!$A:$G,$B$1),0)</f>
        <v>Nákladové úroky (r. 50 + r. 51)</v>
      </c>
      <c r="E197" s="402" t="s">
        <v>1228</v>
      </c>
      <c r="I197" s="412"/>
      <c r="J197" s="413"/>
      <c r="K197" s="413"/>
      <c r="L197" s="417"/>
      <c r="M197" s="415"/>
      <c r="N197" s="382">
        <f>SUM(N198:N199)</f>
        <v>6333</v>
      </c>
      <c r="X197" s="382">
        <f>SUM(X198:X199)</f>
        <v>7981</v>
      </c>
      <c r="Z197" s="397"/>
      <c r="AF197" s="361" t="str">
        <f t="shared" si="125"/>
        <v xml:space="preserve">       6333</v>
      </c>
      <c r="AG197" s="361" t="str">
        <f t="shared" si="126"/>
        <v xml:space="preserve">       7981</v>
      </c>
      <c r="AS197" s="379">
        <f>SUM(AS198:AS199)</f>
        <v>0</v>
      </c>
    </row>
    <row r="198" spans="1:45" outlineLevel="1" x14ac:dyDescent="0.25">
      <c r="A198" s="408">
        <v>50</v>
      </c>
      <c r="C198" s="391" t="s">
        <v>2318</v>
      </c>
      <c r="D198" s="362" t="str">
        <f>IF(VLOOKUP($A198,vykaz_p!$A:$G,1)=$A198,VLOOKUP($A198,vykaz_p!$A:$G,$B$1),0)</f>
        <v>Nákladové úroky pre prepojené účtovné jednotky (562A)</v>
      </c>
      <c r="E198" s="386" t="s">
        <v>1243</v>
      </c>
      <c r="I198" s="412"/>
      <c r="J198" s="413"/>
      <c r="K198" s="413"/>
      <c r="L198" s="416">
        <f>SUM(ANALYTIKAVUJ!C212)</f>
        <v>6333.47</v>
      </c>
      <c r="M198" s="415"/>
      <c r="N198" s="389">
        <f>ROUND((L198),0)</f>
        <v>6333</v>
      </c>
      <c r="V198" s="389">
        <f>SUM(ANALYTIKAVUJ!D212)</f>
        <v>7980.57</v>
      </c>
      <c r="X198" s="389">
        <f>ROUND((V198),0)</f>
        <v>7981</v>
      </c>
      <c r="Z198" s="397"/>
      <c r="AF198" s="361" t="str">
        <f t="shared" si="125"/>
        <v xml:space="preserve">       6333</v>
      </c>
      <c r="AG198" s="361" t="str">
        <f t="shared" si="126"/>
        <v xml:space="preserve">       7981</v>
      </c>
      <c r="AQ198" s="388">
        <f>SUM(ANALYTIKAVUJ!E212)</f>
        <v>0</v>
      </c>
      <c r="AS198" s="388">
        <f>ROUND((AQ198),0)</f>
        <v>0</v>
      </c>
    </row>
    <row r="199" spans="1:45" outlineLevel="1" x14ac:dyDescent="0.25">
      <c r="A199" s="408">
        <v>51</v>
      </c>
      <c r="C199" s="391" t="s">
        <v>2166</v>
      </c>
      <c r="D199" s="362" t="str">
        <f>IF(VLOOKUP($A199,vykaz_p!$A:$G,1)=$A199,VLOOKUP($A199,vykaz_p!$A:$G,$B$1),0)</f>
        <v>Ostatné nákladové úroky (562A)</v>
      </c>
      <c r="E199" s="386" t="s">
        <v>1216</v>
      </c>
      <c r="I199" s="412"/>
      <c r="J199" s="413"/>
      <c r="K199" s="413"/>
      <c r="L199" s="416">
        <f>SUM(ANALYTIKAVUJ!C213)</f>
        <v>0</v>
      </c>
      <c r="M199" s="415"/>
      <c r="N199" s="389">
        <f>ROUND((L199),0)</f>
        <v>0</v>
      </c>
      <c r="V199" s="389">
        <f>SUM(ANALYTIKAVUJ!D213)</f>
        <v>0</v>
      </c>
      <c r="X199" s="389">
        <f>ROUND((V199),0)</f>
        <v>0</v>
      </c>
      <c r="Z199" s="397"/>
      <c r="AF199" s="361" t="str">
        <f t="shared" si="125"/>
        <v xml:space="preserve">          0</v>
      </c>
      <c r="AG199" s="361" t="str">
        <f t="shared" si="126"/>
        <v xml:space="preserve">          0</v>
      </c>
      <c r="AQ199" s="388">
        <f>SUM(ANALYTIKAVUJ!E213)</f>
        <v>0</v>
      </c>
      <c r="AS199" s="388">
        <f>ROUND((AQ199),0)</f>
        <v>0</v>
      </c>
    </row>
    <row r="200" spans="1:45" outlineLevel="1" x14ac:dyDescent="0.25">
      <c r="A200" s="408">
        <v>52</v>
      </c>
      <c r="C200" s="391" t="s">
        <v>2319</v>
      </c>
      <c r="D200" s="362" t="str">
        <f>IF(VLOOKUP($A200,vykaz_p!$A:$G,1)=$A200,VLOOKUP($A200,vykaz_p!$A:$G,$B$1),0)</f>
        <v>Kurzové straty (563)</v>
      </c>
      <c r="E200" s="386" t="s">
        <v>1266</v>
      </c>
      <c r="I200" s="412"/>
      <c r="J200" s="413"/>
      <c r="K200" s="413"/>
      <c r="L200" s="416">
        <f>SUM('HL KNIHA VYPOC'!G319)</f>
        <v>0</v>
      </c>
      <c r="M200" s="415"/>
      <c r="N200" s="389">
        <f>ROUND((L200),0)</f>
        <v>0</v>
      </c>
      <c r="V200" s="389">
        <f>SUM('HL KNIHA VYPOC'!K319)</f>
        <v>0</v>
      </c>
      <c r="X200" s="389">
        <f>ROUND((V200),0)</f>
        <v>0</v>
      </c>
      <c r="Z200" s="397"/>
      <c r="AF200" s="361" t="str">
        <f t="shared" si="125"/>
        <v xml:space="preserve">          0</v>
      </c>
      <c r="AG200" s="361" t="str">
        <f t="shared" si="126"/>
        <v xml:space="preserve">          0</v>
      </c>
      <c r="AQ200" s="388">
        <f>SUM('HL KNIHA VYPOC'!M319)</f>
        <v>0</v>
      </c>
      <c r="AS200" s="388">
        <f>ROUND((AQ200),0)</f>
        <v>0</v>
      </c>
    </row>
    <row r="201" spans="1:45" outlineLevel="1" x14ac:dyDescent="0.25">
      <c r="A201" s="408">
        <v>53</v>
      </c>
      <c r="C201" s="391" t="s">
        <v>2320</v>
      </c>
      <c r="D201" s="362" t="str">
        <f>IF(VLOOKUP($A201,vykaz_p!$A:$G,1)=$A201,VLOOKUP($A201,vykaz_p!$A:$G,$B$1),0)</f>
        <v>Náklady na precenenie cenných papierov a náklady na derivátové operácie (564, 567)</v>
      </c>
      <c r="E201" s="386" t="s">
        <v>2202</v>
      </c>
      <c r="I201" s="412"/>
      <c r="J201" s="413"/>
      <c r="K201" s="413"/>
      <c r="L201" s="416">
        <f>SUM('HL KNIHA VYPOC'!G320+'HL KNIHA VYPOC'!G323)</f>
        <v>0</v>
      </c>
      <c r="M201" s="415"/>
      <c r="N201" s="389">
        <f>ROUND((L201),0)</f>
        <v>0</v>
      </c>
      <c r="V201" s="389">
        <f>SUM('HL KNIHA VYPOC'!K320+'HL KNIHA VYPOC'!K323)</f>
        <v>0</v>
      </c>
      <c r="X201" s="389">
        <f>ROUND((V201),0)</f>
        <v>0</v>
      </c>
      <c r="Z201" s="397"/>
      <c r="AF201" s="361" t="str">
        <f t="shared" si="125"/>
        <v xml:space="preserve">          0</v>
      </c>
      <c r="AG201" s="361" t="str">
        <f t="shared" si="126"/>
        <v xml:space="preserve">          0</v>
      </c>
      <c r="AQ201" s="388">
        <f>SUM('HL KNIHA VYPOC'!M320+'HL KNIHA VYPOC'!M323)</f>
        <v>0</v>
      </c>
      <c r="AS201" s="388">
        <f>ROUND((AQ201),0)</f>
        <v>0</v>
      </c>
    </row>
    <row r="202" spans="1:45" outlineLevel="1" x14ac:dyDescent="0.25">
      <c r="A202" s="408">
        <v>54</v>
      </c>
      <c r="C202" s="391" t="s">
        <v>2321</v>
      </c>
      <c r="D202" s="362" t="str">
        <f>IF(VLOOKUP($A202,vykaz_p!$A:$G,1)=$A202,VLOOKUP($A202,vykaz_p!$A:$G,$B$1),0)</f>
        <v>Ostatné náklady na finančnú činnosť (568, 569)</v>
      </c>
      <c r="E202" s="386" t="s">
        <v>2204</v>
      </c>
      <c r="I202" s="412"/>
      <c r="J202" s="413"/>
      <c r="K202" s="413"/>
      <c r="L202" s="416">
        <f>SUM('HL KNIHA VYPOC'!G324+'HL KNIHA VYPOC'!G325)</f>
        <v>2307.5500000000002</v>
      </c>
      <c r="M202" s="415"/>
      <c r="N202" s="389">
        <f>ROUND((L202),0)</f>
        <v>2308</v>
      </c>
      <c r="V202" s="389">
        <f>SUM('HL KNIHA VYPOC'!K324+'HL KNIHA VYPOC'!K325)</f>
        <v>2264.23</v>
      </c>
      <c r="X202" s="389">
        <f>ROUND((V202),0)</f>
        <v>2264</v>
      </c>
      <c r="Z202" s="397"/>
      <c r="AF202" s="361" t="str">
        <f t="shared" si="125"/>
        <v xml:space="preserve">       2308</v>
      </c>
      <c r="AG202" s="361" t="str">
        <f t="shared" si="126"/>
        <v xml:space="preserve">       2264</v>
      </c>
      <c r="AQ202" s="388">
        <f>SUM('HL KNIHA VYPOC'!M324+'HL KNIHA VYPOC'!M325)</f>
        <v>0</v>
      </c>
      <c r="AS202" s="388">
        <f>ROUND((AQ202),0)</f>
        <v>0</v>
      </c>
    </row>
    <row r="203" spans="1:45" x14ac:dyDescent="0.25">
      <c r="A203" s="408">
        <v>55</v>
      </c>
      <c r="C203" s="391" t="s">
        <v>2303</v>
      </c>
      <c r="D203" s="359" t="str">
        <f>IF(VLOOKUP($A203,vykaz_p!$A:$G,1)=$A203,VLOOKUP($A203,vykaz_p!$A:$G,$B$1),0)</f>
        <v>Výsledok hospodárenia z finančnej činnosti (+/-)
(r. 29 - r. 45)</v>
      </c>
      <c r="E203" s="402" t="s">
        <v>1253</v>
      </c>
      <c r="F203" s="405"/>
      <c r="I203" s="412"/>
      <c r="J203" s="413"/>
      <c r="K203" s="413"/>
      <c r="L203" s="417"/>
      <c r="M203" s="415"/>
      <c r="N203" s="382">
        <f>SUM(N177-N193)</f>
        <v>-8641</v>
      </c>
      <c r="P203" s="404"/>
      <c r="X203" s="382">
        <f>SUM(X177-X193)</f>
        <v>-10245</v>
      </c>
      <c r="Z203" s="377"/>
      <c r="AF203" s="361" t="str">
        <f t="shared" si="125"/>
        <v xml:space="preserve">      -8641</v>
      </c>
      <c r="AG203" s="361" t="str">
        <f t="shared" si="126"/>
        <v xml:space="preserve">     -10245</v>
      </c>
      <c r="AK203" s="405"/>
      <c r="AS203" s="379">
        <f>SUM(AS177-AS193)</f>
        <v>0</v>
      </c>
    </row>
    <row r="204" spans="1:45" x14ac:dyDescent="0.25">
      <c r="A204" s="408">
        <v>56</v>
      </c>
      <c r="C204" s="391" t="s">
        <v>2322</v>
      </c>
      <c r="D204" s="359" t="str">
        <f>IF(VLOOKUP($A204,vykaz_p!$A:$G,1)=$A204,VLOOKUP($A204,vykaz_p!$A:$G,$B$1),0)</f>
        <v>Výsledok hospodárenia za účtovné obdobie pred zdanením (+/-) (r. 27 + r. 55)</v>
      </c>
      <c r="E204" s="402" t="s">
        <v>1254</v>
      </c>
      <c r="F204" s="405"/>
      <c r="I204" s="412"/>
      <c r="J204" s="413"/>
      <c r="K204" s="413"/>
      <c r="L204" s="417"/>
      <c r="M204" s="415"/>
      <c r="N204" s="382">
        <f>SUM(N175+N203)</f>
        <v>-15066</v>
      </c>
      <c r="P204" s="404"/>
      <c r="X204" s="382">
        <f>SUM(X175+X203)</f>
        <v>16905</v>
      </c>
      <c r="Z204" s="377"/>
      <c r="AF204" s="361" t="str">
        <f t="shared" si="125"/>
        <v xml:space="preserve">     -15066</v>
      </c>
      <c r="AG204" s="361" t="str">
        <f t="shared" si="126"/>
        <v xml:space="preserve">      16905</v>
      </c>
      <c r="AK204" s="405"/>
      <c r="AS204" s="379">
        <f>SUM(AS175+AS203)</f>
        <v>0</v>
      </c>
    </row>
    <row r="205" spans="1:45" outlineLevel="1" x14ac:dyDescent="0.25">
      <c r="A205" s="408">
        <v>57</v>
      </c>
      <c r="C205" s="391" t="s">
        <v>2323</v>
      </c>
      <c r="D205" s="362" t="str">
        <f>IF(VLOOKUP($A205,vykaz_p!$A:$G,1)=$A205,VLOOKUP($A205,vykaz_p!$A:$G,$B$1),0)</f>
        <v>Daň z príjmov (r. 58 + r. 59)</v>
      </c>
      <c r="E205" s="402" t="s">
        <v>1255</v>
      </c>
      <c r="I205" s="412"/>
      <c r="J205" s="413"/>
      <c r="K205" s="413"/>
      <c r="L205" s="417"/>
      <c r="M205" s="415"/>
      <c r="N205" s="382">
        <f>SUM(N206:N207)</f>
        <v>0</v>
      </c>
      <c r="X205" s="382">
        <f>SUM(X206:X207)</f>
        <v>960</v>
      </c>
      <c r="AF205" s="361" t="str">
        <f t="shared" si="125"/>
        <v xml:space="preserve">          0</v>
      </c>
      <c r="AG205" s="361" t="str">
        <f t="shared" si="126"/>
        <v xml:space="preserve">        960</v>
      </c>
      <c r="AS205" s="379">
        <f>SUM(AS206:AS207)</f>
        <v>0</v>
      </c>
    </row>
    <row r="206" spans="1:45" outlineLevel="1" x14ac:dyDescent="0.25">
      <c r="A206" s="408">
        <v>58</v>
      </c>
      <c r="C206" s="391" t="s">
        <v>2324</v>
      </c>
      <c r="D206" s="362" t="str">
        <f>IF(VLOOKUP($A206,vykaz_p!$A:$G,1)=$A206,VLOOKUP($A206,vykaz_p!$A:$G,$B$1),0)</f>
        <v>Daň z príjmov  splatná (591, 595)</v>
      </c>
      <c r="E206" s="386" t="s">
        <v>1262</v>
      </c>
      <c r="I206" s="418"/>
      <c r="J206" s="417"/>
      <c r="K206" s="417"/>
      <c r="L206" s="416">
        <f>SUM('HL KNIHA VYPOC'!G340+'HL KNIHA VYPOC'!G344)</f>
        <v>0</v>
      </c>
      <c r="M206" s="415"/>
      <c r="N206" s="389">
        <f>ROUND((L206),0)</f>
        <v>0</v>
      </c>
      <c r="V206" s="389">
        <f>SUM('HL KNIHA VYPOC'!K340+'HL KNIHA VYPOC'!K344)</f>
        <v>960</v>
      </c>
      <c r="X206" s="389">
        <f>ROUND((V206),0)</f>
        <v>960</v>
      </c>
      <c r="AF206" s="361" t="str">
        <f t="shared" si="125"/>
        <v xml:space="preserve">          0</v>
      </c>
      <c r="AG206" s="361" t="str">
        <f t="shared" si="126"/>
        <v xml:space="preserve">        960</v>
      </c>
      <c r="AQ206" s="388">
        <f>SUM('HL KNIHA VYPOC'!M340+'HL KNIHA VYPOC'!M344)</f>
        <v>0</v>
      </c>
      <c r="AS206" s="388">
        <f>ROUND((AQ206),0)</f>
        <v>0</v>
      </c>
    </row>
    <row r="207" spans="1:45" outlineLevel="1" x14ac:dyDescent="0.25">
      <c r="A207" s="408">
        <v>59</v>
      </c>
      <c r="C207" s="391" t="s">
        <v>2166</v>
      </c>
      <c r="D207" s="362" t="str">
        <f>IF(VLOOKUP($A207,vykaz_p!$A:$G,1)=$A207,VLOOKUP($A207,vykaz_p!$A:$G,$B$1),0)</f>
        <v>Daň z príjmov odložená (+/-) (592)</v>
      </c>
      <c r="E207" s="386" t="s">
        <v>1223</v>
      </c>
      <c r="I207" s="418"/>
      <c r="J207" s="417"/>
      <c r="K207" s="417"/>
      <c r="L207" s="416">
        <f>SUM('HL KNIHA VYPOC'!G341)</f>
        <v>0</v>
      </c>
      <c r="M207" s="415"/>
      <c r="N207" s="389">
        <f>ROUND((L207),0)</f>
        <v>0</v>
      </c>
      <c r="V207" s="389">
        <f>SUM('HL KNIHA VYPOC'!K341)</f>
        <v>0</v>
      </c>
      <c r="X207" s="389">
        <f>ROUND((V207),0)</f>
        <v>0</v>
      </c>
      <c r="AF207" s="361" t="str">
        <f t="shared" si="125"/>
        <v xml:space="preserve">          0</v>
      </c>
      <c r="AG207" s="361" t="str">
        <f t="shared" si="126"/>
        <v xml:space="preserve">          0</v>
      </c>
      <c r="AQ207" s="388">
        <f>SUM('HL KNIHA VYPOC'!M341)</f>
        <v>0</v>
      </c>
      <c r="AS207" s="388">
        <f>ROUND((AQ207),0)</f>
        <v>0</v>
      </c>
    </row>
    <row r="208" spans="1:45" outlineLevel="1" x14ac:dyDescent="0.25">
      <c r="A208" s="408">
        <v>60</v>
      </c>
      <c r="C208" s="391" t="s">
        <v>2325</v>
      </c>
      <c r="D208" s="362" t="str">
        <f>IF(VLOOKUP($A208,vykaz_p!$A:$G,1)=$A208,VLOOKUP($A208,vykaz_p!$A:$G,$B$1),0)</f>
        <v>Prevod podielov na výsledku hospodárenia spoločníkom (+/- 596)</v>
      </c>
      <c r="E208" s="386" t="s">
        <v>1224</v>
      </c>
      <c r="I208" s="418"/>
      <c r="J208" s="417"/>
      <c r="K208" s="417"/>
      <c r="L208" s="416">
        <f>SUM('HL KNIHA VYPOC'!G345)</f>
        <v>0</v>
      </c>
      <c r="M208" s="415"/>
      <c r="N208" s="389">
        <f>ROUND((L208),0)</f>
        <v>0</v>
      </c>
      <c r="V208" s="389">
        <f>SUM('HL KNIHA VYPOC'!K345)</f>
        <v>0</v>
      </c>
      <c r="X208" s="389">
        <f>ROUND((V208),0)</f>
        <v>0</v>
      </c>
      <c r="AF208" s="361" t="str">
        <f t="shared" si="125"/>
        <v xml:space="preserve">          0</v>
      </c>
      <c r="AG208" s="361" t="str">
        <f t="shared" si="126"/>
        <v xml:space="preserve">          0</v>
      </c>
      <c r="AQ208" s="388">
        <f>SUM('HL KNIHA VYPOC'!M345)</f>
        <v>0</v>
      </c>
      <c r="AS208" s="388">
        <f>ROUND((AQ208),0)</f>
        <v>0</v>
      </c>
    </row>
    <row r="209" spans="1:45" x14ac:dyDescent="0.25">
      <c r="A209" s="408">
        <v>61</v>
      </c>
      <c r="C209" s="391" t="s">
        <v>2322</v>
      </c>
      <c r="D209" s="359" t="str">
        <f>IF(VLOOKUP($A209,vykaz_p!$A:$G,1)=$A209,VLOOKUP($A209,vykaz_p!$A:$G,$B$1),0)</f>
        <v>Výsledok hospodárenia za účtovné obdobie po  zdanení (+/-) (r. 56 - r. 57 - r. 60)</v>
      </c>
      <c r="E209" s="402" t="s">
        <v>1229</v>
      </c>
      <c r="F209" s="405"/>
      <c r="I209" s="418"/>
      <c r="J209" s="417"/>
      <c r="K209" s="417"/>
      <c r="L209" s="417"/>
      <c r="M209" s="415"/>
      <c r="N209" s="389">
        <f>SUM(N204-N205-N208)</f>
        <v>-15066</v>
      </c>
      <c r="P209" s="404"/>
      <c r="S209" s="389">
        <f>SUM(N209-N102)</f>
        <v>-170468</v>
      </c>
      <c r="X209" s="389">
        <f>SUM(X204-X205-X208)</f>
        <v>15945</v>
      </c>
      <c r="Z209" s="419">
        <f>SUM(X209-X102)</f>
        <v>-157044</v>
      </c>
      <c r="AF209" s="361" t="str">
        <f t="shared" si="125"/>
        <v xml:space="preserve">     -15066</v>
      </c>
      <c r="AG209" s="361" t="str">
        <f t="shared" si="126"/>
        <v xml:space="preserve">      15945</v>
      </c>
      <c r="AJ209" s="361"/>
      <c r="AK209" s="405"/>
      <c r="AN209" s="388">
        <f>SUM(AI209-AI102)</f>
        <v>0</v>
      </c>
      <c r="AS209" s="388">
        <f>SUM(AS204-AS205-AS208)</f>
        <v>0</v>
      </c>
    </row>
    <row r="210" spans="1:45" x14ac:dyDescent="0.25">
      <c r="AF210" s="361" t="str">
        <f t="shared" si="125"/>
        <v xml:space="preserve">           </v>
      </c>
      <c r="AG210" s="361" t="str">
        <f t="shared" si="126"/>
        <v xml:space="preserve">           </v>
      </c>
    </row>
    <row r="211" spans="1:45" ht="0.75" customHeight="1" x14ac:dyDescent="0.25">
      <c r="AS211" s="388"/>
    </row>
    <row r="212" spans="1:45" hidden="1" x14ac:dyDescent="0.25">
      <c r="B212" s="420">
        <v>146</v>
      </c>
      <c r="D212" s="359" t="str">
        <f>IF(VLOOKUP($B212,suvaha_p!$A:$G,1)=$B212,VLOOKUP($B212,suvaha_p!$A:$G,$B$1),0)</f>
        <v>Označenie</v>
      </c>
    </row>
    <row r="213" spans="1:45" hidden="1" x14ac:dyDescent="0.25">
      <c r="B213" s="420">
        <v>147</v>
      </c>
      <c r="D213" s="359" t="str">
        <f>IF(VLOOKUP($B213,suvaha_p!$A:$G,1)=$B213,VLOOKUP($B213,suvaha_p!$A:$G,$B$1),0)</f>
        <v>STRANA AKTÍV</v>
      </c>
    </row>
    <row r="214" spans="1:45" hidden="1" x14ac:dyDescent="0.25">
      <c r="B214" s="420">
        <v>148</v>
      </c>
      <c r="D214" s="359" t="str">
        <f>IF(VLOOKUP($B214,suvaha_p!$A:$G,1)=$B214,VLOOKUP($B214,suvaha_p!$A:$G,$B$1),0)</f>
        <v>STRANA PASÍV</v>
      </c>
    </row>
    <row r="215" spans="1:45" hidden="1" x14ac:dyDescent="0.25">
      <c r="B215" s="420">
        <v>149</v>
      </c>
      <c r="D215" s="359" t="str">
        <f>IF(VLOOKUP($B215,suvaha_p!$A:$G,1)=$B215,VLOOKUP($B215,suvaha_p!$A:$G,$B$1),0)</f>
        <v>Číslo riadku</v>
      </c>
    </row>
    <row r="216" spans="1:45" hidden="1" x14ac:dyDescent="0.25">
      <c r="B216" s="420">
        <v>150</v>
      </c>
      <c r="D216" s="359" t="str">
        <f>IF(VLOOKUP($B216,suvaha_p!$A:$G,1)=$B216,VLOOKUP($B216,suvaha_p!$A:$G,$B$1),0)</f>
        <v>Bežné účtovné obdobie</v>
      </c>
    </row>
    <row r="217" spans="1:45" hidden="1" x14ac:dyDescent="0.25">
      <c r="B217" s="420">
        <v>151</v>
      </c>
      <c r="D217" s="359" t="str">
        <f>IF(VLOOKUP($B217,suvaha_p!$A:$G,1)=$B217,VLOOKUP($B217,suvaha_p!$A:$G,$B$1),0)</f>
        <v>Bezprostredne predchádzajúce účtovné obdobie</v>
      </c>
    </row>
    <row r="218" spans="1:45" hidden="1" x14ac:dyDescent="0.25">
      <c r="B218" s="420">
        <v>152</v>
      </c>
      <c r="D218" s="359" t="str">
        <f>IF(VLOOKUP($B218,suvaha_p!$A:$G,1)=$B218,VLOOKUP($B218,suvaha_p!$A:$G,$B$1),0)</f>
        <v>Brutto-časť 1</v>
      </c>
    </row>
    <row r="219" spans="1:45" hidden="1" x14ac:dyDescent="0.25">
      <c r="B219" s="420">
        <v>153</v>
      </c>
      <c r="D219" s="359" t="str">
        <f>IF(VLOOKUP($B219,suvaha_p!$A:$G,1)=$B219,VLOOKUP($B219,suvaha_p!$A:$G,$B$1),0)</f>
        <v>Oprávky</v>
      </c>
    </row>
    <row r="220" spans="1:45" hidden="1" x14ac:dyDescent="0.25">
      <c r="B220" s="420">
        <v>154</v>
      </c>
      <c r="D220" s="359" t="str">
        <f>IF(VLOOKUP($B220,suvaha_p!$A:$G,1)=$B220,VLOOKUP($B220,suvaha_p!$A:$G,$B$1),0)</f>
        <v>Opravné položky</v>
      </c>
    </row>
    <row r="221" spans="1:45" hidden="1" x14ac:dyDescent="0.25">
      <c r="B221" s="420">
        <v>155</v>
      </c>
      <c r="D221" s="359" t="str">
        <f>IF(VLOOKUP($B221,suvaha_p!$A:$G,1)=$B221,VLOOKUP($B221,suvaha_p!$A:$G,$B$1),0)</f>
        <v>Netto</v>
      </c>
    </row>
    <row r="222" spans="1:45" hidden="1" x14ac:dyDescent="0.25">
      <c r="B222" s="420">
        <v>156</v>
      </c>
      <c r="D222" s="359" t="str">
        <f>IF(VLOOKUP($B222,suvaha_p!$A:$G,1)=$B222,VLOOKUP($B222,suvaha_p!$A:$G,$B$1),0)</f>
        <v>Netto</v>
      </c>
    </row>
    <row r="223" spans="1:45" hidden="1" x14ac:dyDescent="0.25">
      <c r="B223" s="420">
        <v>157</v>
      </c>
      <c r="D223" s="359" t="str">
        <f>IF(VLOOKUP($B223,suvaha_p!$A:$G,1)=$B223,VLOOKUP($B223,suvaha_p!$A:$G,$B$1),0)</f>
        <v>Text</v>
      </c>
    </row>
    <row r="224" spans="1:45" hidden="1" x14ac:dyDescent="0.25">
      <c r="B224" s="420">
        <v>158</v>
      </c>
    </row>
    <row r="225" spans="2:4" hidden="1" x14ac:dyDescent="0.25">
      <c r="B225" s="420">
        <v>159</v>
      </c>
      <c r="C225" s="85">
        <v>3</v>
      </c>
      <c r="D225" s="85" t="s">
        <v>54</v>
      </c>
    </row>
    <row r="226" spans="2:4" hidden="1" x14ac:dyDescent="0.25">
      <c r="C226" s="85">
        <v>4</v>
      </c>
      <c r="D226" s="85" t="s">
        <v>140</v>
      </c>
    </row>
    <row r="227" spans="2:4" hidden="1" x14ac:dyDescent="0.25">
      <c r="C227" s="85">
        <v>5</v>
      </c>
      <c r="D227" s="85" t="s">
        <v>141</v>
      </c>
    </row>
  </sheetData>
  <mergeCells count="5">
    <mergeCell ref="I1:N1"/>
    <mergeCell ref="S1:X1"/>
    <mergeCell ref="AN1:AS1"/>
    <mergeCell ref="S148:X148"/>
    <mergeCell ref="AN148:AS148"/>
  </mergeCells>
  <dataValidations count="1">
    <dataValidation type="list" allowBlank="1" showInputMessage="1" showErrorMessage="1" sqref="D1">
      <formula1>$D$225:$D$227</formula1>
      <formula2>0</formula2>
    </dataValidation>
  </dataValidations>
  <pageMargins left="0.7" right="0.7" top="0.78749999999999998" bottom="0.78749999999999998" header="0.51180555555555496" footer="0.51180555555555496"/>
  <pageSetup paperSize="9" firstPageNumber="0" orientation="portrait" horizontalDpi="300" verticalDpi="300"/>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22"/>
  <sheetViews>
    <sheetView zoomScaleNormal="100" workbookViewId="0"/>
  </sheetViews>
  <sheetFormatPr defaultRowHeight="15" x14ac:dyDescent="0.25"/>
  <cols>
    <col min="1" max="47" width="1.85546875" customWidth="1"/>
    <col min="48" max="48" width="1.7109375" customWidth="1"/>
    <col min="49" max="50" width="11.5703125" hidden="1"/>
    <col min="51" max="51" width="0.140625" customWidth="1"/>
    <col min="52" max="53" width="11.5703125" hidden="1"/>
    <col min="54" max="54" width="11.5703125" style="421" hidden="1"/>
    <col min="55" max="60" width="11.5703125" hidden="1"/>
    <col min="61" max="70" width="15.7109375" customWidth="1"/>
    <col min="71" max="84" width="8.7109375" customWidth="1"/>
    <col min="85" max="1025" width="1.85546875" customWidth="1"/>
  </cols>
  <sheetData>
    <row r="1" spans="1:60" ht="14.85" customHeight="1" x14ac:dyDescent="0.25">
      <c r="BB1"/>
    </row>
    <row r="2" spans="1:60" ht="15.95" customHeight="1" x14ac:dyDescent="0.25">
      <c r="A2" s="422" t="s">
        <v>2326</v>
      </c>
      <c r="B2" s="423"/>
      <c r="C2" s="423"/>
      <c r="D2" s="423"/>
      <c r="E2" s="423"/>
      <c r="F2" s="423"/>
      <c r="G2" s="423"/>
      <c r="H2" s="423"/>
      <c r="I2" s="423"/>
      <c r="J2" s="423"/>
      <c r="K2" s="423"/>
      <c r="L2" s="423"/>
      <c r="M2" s="423"/>
      <c r="N2" s="423"/>
      <c r="O2" s="423"/>
      <c r="P2" s="423"/>
      <c r="Q2" s="424"/>
      <c r="AE2" s="193" t="s">
        <v>2327</v>
      </c>
      <c r="AG2" s="425"/>
      <c r="AH2" s="426" t="str">
        <f>Hlavicka!H15</f>
        <v>2</v>
      </c>
      <c r="AI2" s="426" t="str">
        <f>Hlavicka!I15</f>
        <v>0</v>
      </c>
      <c r="AJ2" s="426" t="str">
        <f>Hlavicka!J15</f>
        <v>2</v>
      </c>
      <c r="AK2" s="426" t="str">
        <f>Hlavicka!K15</f>
        <v>0</v>
      </c>
      <c r="AL2" s="426" t="str">
        <f>Hlavicka!L15</f>
        <v>4</v>
      </c>
      <c r="AM2" s="426" t="str">
        <f>Hlavicka!M15</f>
        <v>7</v>
      </c>
      <c r="AN2" s="426" t="str">
        <f>Hlavicka!N15</f>
        <v>3</v>
      </c>
      <c r="AO2" s="426" t="str">
        <f>Hlavicka!O15</f>
        <v>4</v>
      </c>
      <c r="AP2" s="426" t="str">
        <f>Hlavicka!P15</f>
        <v>1</v>
      </c>
      <c r="AQ2" s="426" t="str">
        <f>Hlavicka!Q15</f>
        <v>1</v>
      </c>
      <c r="AR2" s="425"/>
      <c r="BB2"/>
    </row>
    <row r="3" spans="1:60" ht="14.85" customHeight="1" x14ac:dyDescent="0.25">
      <c r="BB3"/>
    </row>
    <row r="4" spans="1:60" s="428" customFormat="1" ht="14.85" customHeight="1" x14ac:dyDescent="0.25">
      <c r="A4" s="427" t="s">
        <v>2328</v>
      </c>
      <c r="BB4" s="429"/>
    </row>
    <row r="5" spans="1:60" ht="14.85" customHeight="1" x14ac:dyDescent="0.25">
      <c r="A5" s="933" t="s">
        <v>2329</v>
      </c>
      <c r="B5" s="933"/>
      <c r="C5" s="933"/>
      <c r="D5" s="933"/>
      <c r="E5" s="933"/>
      <c r="F5" s="933"/>
      <c r="G5" s="933" t="s">
        <v>2330</v>
      </c>
      <c r="H5" s="933"/>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t="s">
        <v>1288</v>
      </c>
      <c r="AJ5" s="933"/>
      <c r="AK5" s="933"/>
      <c r="AL5" s="933"/>
      <c r="AM5" s="933"/>
      <c r="AN5" s="933"/>
      <c r="AO5" s="933"/>
      <c r="AP5" s="933"/>
      <c r="AQ5" s="933"/>
      <c r="AR5" s="933"/>
      <c r="AS5" s="933"/>
      <c r="AT5" s="933"/>
      <c r="AU5" s="933"/>
      <c r="AV5" s="933"/>
      <c r="AW5" s="365"/>
      <c r="BB5" s="429"/>
    </row>
    <row r="6" spans="1:60" ht="30.75" customHeight="1" x14ac:dyDescent="0.25">
      <c r="A6" s="933"/>
      <c r="B6" s="933"/>
      <c r="C6" s="933"/>
      <c r="D6" s="933"/>
      <c r="E6" s="933"/>
      <c r="F6" s="933"/>
      <c r="G6" s="933"/>
      <c r="H6" s="933"/>
      <c r="I6" s="933"/>
      <c r="J6" s="933"/>
      <c r="K6" s="933"/>
      <c r="L6" s="933"/>
      <c r="M6" s="933"/>
      <c r="N6" s="933"/>
      <c r="O6" s="933"/>
      <c r="P6" s="933"/>
      <c r="Q6" s="933"/>
      <c r="R6" s="933"/>
      <c r="S6" s="933"/>
      <c r="T6" s="933"/>
      <c r="U6" s="933"/>
      <c r="V6" s="933"/>
      <c r="W6" s="933"/>
      <c r="X6" s="933"/>
      <c r="Y6" s="933"/>
      <c r="Z6" s="933"/>
      <c r="AA6" s="933"/>
      <c r="AB6" s="933"/>
      <c r="AC6" s="933"/>
      <c r="AD6" s="933"/>
      <c r="AE6" s="933"/>
      <c r="AF6" s="933"/>
      <c r="AG6" s="933"/>
      <c r="AH6" s="933"/>
      <c r="AI6" s="933"/>
      <c r="AJ6" s="933"/>
      <c r="AK6" s="933"/>
      <c r="AL6" s="933"/>
      <c r="AM6" s="933"/>
      <c r="AN6" s="933"/>
      <c r="AO6" s="933"/>
      <c r="AP6" s="933"/>
      <c r="AQ6" s="933"/>
      <c r="AR6" s="933"/>
      <c r="AS6" s="933"/>
      <c r="AT6" s="933"/>
      <c r="AU6" s="933"/>
      <c r="AV6" s="933"/>
      <c r="AW6" s="365"/>
      <c r="BB6" s="429"/>
    </row>
    <row r="7" spans="1:60" ht="14.85" customHeight="1" x14ac:dyDescent="0.25">
      <c r="A7" s="934"/>
      <c r="B7" s="934"/>
      <c r="C7" s="934"/>
      <c r="D7" s="934"/>
      <c r="E7" s="934"/>
      <c r="F7" s="934"/>
      <c r="G7" s="935" t="s">
        <v>2331</v>
      </c>
      <c r="H7" s="935"/>
      <c r="I7" s="935"/>
      <c r="J7" s="935"/>
      <c r="K7" s="935"/>
      <c r="L7" s="935"/>
      <c r="M7" s="935"/>
      <c r="N7" s="935"/>
      <c r="O7" s="935"/>
      <c r="P7" s="935"/>
      <c r="Q7" s="935"/>
      <c r="R7" s="935"/>
      <c r="S7" s="935"/>
      <c r="T7" s="935"/>
      <c r="U7" s="935"/>
      <c r="V7" s="935"/>
      <c r="W7" s="935"/>
      <c r="X7" s="935"/>
      <c r="Y7" s="935"/>
      <c r="Z7" s="935"/>
      <c r="AA7" s="935"/>
      <c r="AB7" s="935"/>
      <c r="AC7" s="935"/>
      <c r="AD7" s="935"/>
      <c r="AE7" s="935"/>
      <c r="AF7" s="935"/>
      <c r="AG7" s="935"/>
      <c r="AH7" s="935"/>
      <c r="AI7" s="936"/>
      <c r="AJ7" s="936"/>
      <c r="AK7" s="936"/>
      <c r="AL7" s="936"/>
      <c r="AM7" s="936"/>
      <c r="AN7" s="936"/>
      <c r="AO7" s="936"/>
      <c r="AP7" s="936"/>
      <c r="AQ7" s="936"/>
      <c r="AR7" s="936"/>
      <c r="AS7" s="936"/>
      <c r="AT7" s="936"/>
      <c r="AU7" s="936"/>
      <c r="AV7" s="936"/>
      <c r="AW7" s="430"/>
      <c r="AX7" s="431"/>
      <c r="BB7" s="429"/>
    </row>
    <row r="8" spans="1:60" ht="15.95" customHeight="1" x14ac:dyDescent="0.25">
      <c r="A8" s="937" t="s">
        <v>2332</v>
      </c>
      <c r="B8" s="937"/>
      <c r="C8" s="937"/>
      <c r="D8" s="937"/>
      <c r="E8" s="937"/>
      <c r="F8" s="937"/>
      <c r="G8" s="938" t="s">
        <v>2333</v>
      </c>
      <c r="H8" s="938"/>
      <c r="I8" s="938"/>
      <c r="J8" s="938"/>
      <c r="K8" s="938"/>
      <c r="L8" s="938"/>
      <c r="M8" s="938"/>
      <c r="N8" s="938"/>
      <c r="O8" s="938"/>
      <c r="P8" s="938"/>
      <c r="Q8" s="938"/>
      <c r="R8" s="938"/>
      <c r="S8" s="938"/>
      <c r="T8" s="938"/>
      <c r="U8" s="938"/>
      <c r="V8" s="938"/>
      <c r="W8" s="938"/>
      <c r="X8" s="938"/>
      <c r="Y8" s="938"/>
      <c r="Z8" s="938"/>
      <c r="AA8" s="938"/>
      <c r="AB8" s="938"/>
      <c r="AC8" s="938"/>
      <c r="AD8" s="938"/>
      <c r="AE8" s="938"/>
      <c r="AF8" s="938"/>
      <c r="AG8" s="938"/>
      <c r="AH8" s="938"/>
      <c r="AI8" s="939">
        <f>SUM(SUVAHAVUJ!$N$204)</f>
        <v>-15066</v>
      </c>
      <c r="AJ8" s="939"/>
      <c r="AK8" s="939"/>
      <c r="AL8" s="939"/>
      <c r="AM8" s="939"/>
      <c r="AN8" s="939"/>
      <c r="AO8" s="939"/>
      <c r="AP8" s="939"/>
      <c r="AQ8" s="939"/>
      <c r="AR8" s="939"/>
      <c r="AS8" s="939"/>
      <c r="AT8" s="939"/>
      <c r="AU8" s="939"/>
      <c r="AV8" s="939"/>
      <c r="AW8" s="430"/>
      <c r="AX8" s="431"/>
      <c r="BB8" s="432">
        <f>SUM(SUVAHAVUJ!$N$204)</f>
        <v>-15066</v>
      </c>
      <c r="BC8" s="433"/>
      <c r="BD8" s="432">
        <f>SUM(SUVAHAVUJ!$X$204)</f>
        <v>16905</v>
      </c>
      <c r="BE8" s="433"/>
      <c r="BF8" s="433"/>
      <c r="BG8" s="433"/>
      <c r="BH8" s="433"/>
    </row>
    <row r="9" spans="1:60" ht="29.25" customHeight="1" x14ac:dyDescent="0.25">
      <c r="A9" s="937" t="s">
        <v>2334</v>
      </c>
      <c r="B9" s="937"/>
      <c r="C9" s="937"/>
      <c r="D9" s="937"/>
      <c r="E9" s="937"/>
      <c r="F9" s="937"/>
      <c r="G9" s="940" t="s">
        <v>2335</v>
      </c>
      <c r="H9" s="940"/>
      <c r="I9" s="940"/>
      <c r="J9" s="940"/>
      <c r="K9" s="940"/>
      <c r="L9" s="940"/>
      <c r="M9" s="940"/>
      <c r="N9" s="940"/>
      <c r="O9" s="940"/>
      <c r="P9" s="940"/>
      <c r="Q9" s="940"/>
      <c r="R9" s="940"/>
      <c r="S9" s="940"/>
      <c r="T9" s="940"/>
      <c r="U9" s="940"/>
      <c r="V9" s="940"/>
      <c r="W9" s="940"/>
      <c r="X9" s="940"/>
      <c r="Y9" s="940"/>
      <c r="Z9" s="940"/>
      <c r="AA9" s="940"/>
      <c r="AB9" s="940"/>
      <c r="AC9" s="940"/>
      <c r="AD9" s="940"/>
      <c r="AE9" s="940"/>
      <c r="AF9" s="940"/>
      <c r="AG9" s="940"/>
      <c r="AH9" s="940"/>
      <c r="AI9" s="941">
        <f>SUM(AI10+AI11+AI12+AI13+AI14+AI15+AI16+AI17+AI18+AI19+AI20+AI21+AI22)</f>
        <v>153203</v>
      </c>
      <c r="AJ9" s="941"/>
      <c r="AK9" s="941"/>
      <c r="AL9" s="941"/>
      <c r="AM9" s="941"/>
      <c r="AN9" s="941"/>
      <c r="AO9" s="941"/>
      <c r="AP9" s="941"/>
      <c r="AQ9" s="941"/>
      <c r="AR9" s="941"/>
      <c r="AS9" s="941"/>
      <c r="AT9" s="941"/>
      <c r="AU9" s="941"/>
      <c r="AV9" s="941"/>
      <c r="AW9" s="430"/>
      <c r="AX9" s="431"/>
      <c r="BB9" s="432">
        <f>SUM(BB10+BB11+BB12+BB13+BB14+BB15+BB16+BB17+BB18+BB19+BB20+BB21+BB22)</f>
        <v>51181</v>
      </c>
      <c r="BC9" s="433"/>
      <c r="BD9" s="433">
        <f>SUM(BD10+BD11+BD12+BD13+BD14+BD15+BD16+BD17+BD18+BD19+BD20+BD21+BD22)</f>
        <v>6466</v>
      </c>
      <c r="BE9" s="433"/>
      <c r="BF9" s="433"/>
      <c r="BG9" s="433"/>
      <c r="BH9" s="433"/>
    </row>
    <row r="10" spans="1:60" ht="15.95" customHeight="1" x14ac:dyDescent="0.25">
      <c r="A10" s="937" t="s">
        <v>2336</v>
      </c>
      <c r="B10" s="937"/>
      <c r="C10" s="937"/>
      <c r="D10" s="937"/>
      <c r="E10" s="937"/>
      <c r="F10" s="937"/>
      <c r="G10" s="938" t="s">
        <v>2337</v>
      </c>
      <c r="H10" s="938"/>
      <c r="I10" s="938"/>
      <c r="J10" s="938"/>
      <c r="K10" s="938"/>
      <c r="L10" s="938"/>
      <c r="M10" s="938"/>
      <c r="N10" s="938"/>
      <c r="O10" s="938"/>
      <c r="P10" s="938"/>
      <c r="Q10" s="938"/>
      <c r="R10" s="938"/>
      <c r="S10" s="938"/>
      <c r="T10" s="938"/>
      <c r="U10" s="938"/>
      <c r="V10" s="938"/>
      <c r="W10" s="938"/>
      <c r="X10" s="938"/>
      <c r="Y10" s="938"/>
      <c r="Z10" s="938"/>
      <c r="AA10" s="938"/>
      <c r="AB10" s="938"/>
      <c r="AC10" s="938"/>
      <c r="AD10" s="938"/>
      <c r="AE10" s="938"/>
      <c r="AF10" s="938"/>
      <c r="AG10" s="938"/>
      <c r="AH10" s="938"/>
      <c r="AI10" s="941">
        <f>SUM(SUVAHAVUJ!$N$170)</f>
        <v>52072</v>
      </c>
      <c r="AJ10" s="941"/>
      <c r="AK10" s="941"/>
      <c r="AL10" s="941"/>
      <c r="AM10" s="941"/>
      <c r="AN10" s="941"/>
      <c r="AO10" s="941"/>
      <c r="AP10" s="939"/>
      <c r="AQ10" s="939"/>
      <c r="AR10" s="939"/>
      <c r="AS10" s="939"/>
      <c r="AT10" s="939"/>
      <c r="AU10" s="939"/>
      <c r="AV10" s="939"/>
      <c r="AW10" s="430"/>
      <c r="AX10" s="431"/>
      <c r="BB10" s="432">
        <f>SUM(SUVAHAVUJ!$N$170)</f>
        <v>52072</v>
      </c>
      <c r="BC10" s="433"/>
      <c r="BD10" s="433">
        <f>SUM(SUVAHAVUJ!$X$170)</f>
        <v>56416</v>
      </c>
      <c r="BE10" s="433"/>
      <c r="BF10" s="433"/>
      <c r="BG10" s="433"/>
      <c r="BH10" s="433"/>
    </row>
    <row r="11" spans="1:60" ht="45" customHeight="1" x14ac:dyDescent="0.25">
      <c r="A11" s="937" t="s">
        <v>2338</v>
      </c>
      <c r="B11" s="937"/>
      <c r="C11" s="937"/>
      <c r="D11" s="937"/>
      <c r="E11" s="937"/>
      <c r="F11" s="937"/>
      <c r="G11" s="940" t="s">
        <v>2339</v>
      </c>
      <c r="H11" s="940"/>
      <c r="I11" s="940"/>
      <c r="J11" s="940"/>
      <c r="K11" s="940"/>
      <c r="L11" s="940"/>
      <c r="M11" s="940"/>
      <c r="N11" s="940"/>
      <c r="O11" s="940"/>
      <c r="P11" s="940"/>
      <c r="Q11" s="940"/>
      <c r="R11" s="940"/>
      <c r="S11" s="940"/>
      <c r="T11" s="940"/>
      <c r="U11" s="940"/>
      <c r="V11" s="940"/>
      <c r="W11" s="940"/>
      <c r="X11" s="940"/>
      <c r="Y11" s="940"/>
      <c r="Z11" s="940"/>
      <c r="AA11" s="940"/>
      <c r="AB11" s="940"/>
      <c r="AC11" s="940"/>
      <c r="AD11" s="940"/>
      <c r="AE11" s="940"/>
      <c r="AF11" s="940"/>
      <c r="AG11" s="940"/>
      <c r="AH11" s="940"/>
      <c r="AI11" s="942"/>
      <c r="AJ11" s="942"/>
      <c r="AK11" s="942"/>
      <c r="AL11" s="942"/>
      <c r="AM11" s="942"/>
      <c r="AN11" s="942"/>
      <c r="AO11" s="942"/>
      <c r="AP11" s="942"/>
      <c r="AQ11" s="942"/>
      <c r="AR11" s="942"/>
      <c r="AS11" s="942"/>
      <c r="AT11" s="942"/>
      <c r="AU11" s="942"/>
      <c r="AV11" s="942"/>
      <c r="BB11" s="432">
        <f>SUM(AI11)</f>
        <v>0</v>
      </c>
      <c r="BC11" s="433"/>
      <c r="BD11" s="432">
        <f>SUM(AP11)</f>
        <v>0</v>
      </c>
      <c r="BE11" s="433"/>
      <c r="BF11" s="433"/>
      <c r="BG11" s="433"/>
      <c r="BH11" s="433"/>
    </row>
    <row r="12" spans="1:60" ht="15.95" customHeight="1" x14ac:dyDescent="0.25">
      <c r="A12" s="937" t="s">
        <v>2340</v>
      </c>
      <c r="B12" s="937"/>
      <c r="C12" s="937"/>
      <c r="D12" s="937"/>
      <c r="E12" s="937"/>
      <c r="F12" s="937"/>
      <c r="G12" s="938" t="s">
        <v>2341</v>
      </c>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41">
        <f>SUM(SUVAHAVUJ!$N$171)</f>
        <v>0</v>
      </c>
      <c r="AJ12" s="941"/>
      <c r="AK12" s="941"/>
      <c r="AL12" s="941"/>
      <c r="AM12" s="941"/>
      <c r="AN12" s="941"/>
      <c r="AO12" s="941"/>
      <c r="AP12" s="939"/>
      <c r="AQ12" s="939"/>
      <c r="AR12" s="939"/>
      <c r="AS12" s="939"/>
      <c r="AT12" s="939"/>
      <c r="AU12" s="939"/>
      <c r="AV12" s="939"/>
      <c r="AW12" s="430"/>
      <c r="AX12" s="431"/>
      <c r="BB12" s="432">
        <f>SUM(SUVAHAVUJ!$N$171)</f>
        <v>0</v>
      </c>
      <c r="BC12" s="433"/>
      <c r="BD12" s="433">
        <f>SUM(SUVAHAVUJ!$X$171)</f>
        <v>0</v>
      </c>
      <c r="BE12" s="433"/>
      <c r="BF12" s="433"/>
      <c r="BG12" s="433"/>
      <c r="BH12" s="433"/>
    </row>
    <row r="13" spans="1:60" ht="15.95" customHeight="1" x14ac:dyDescent="0.25">
      <c r="A13" s="937" t="s">
        <v>2342</v>
      </c>
      <c r="B13" s="937"/>
      <c r="C13" s="937"/>
      <c r="D13" s="937"/>
      <c r="E13" s="937"/>
      <c r="F13" s="937"/>
      <c r="G13" s="943" t="s">
        <v>2343</v>
      </c>
      <c r="H13" s="943"/>
      <c r="I13" s="943"/>
      <c r="J13" s="943"/>
      <c r="K13" s="943"/>
      <c r="L13" s="943"/>
      <c r="M13" s="943"/>
      <c r="N13" s="943"/>
      <c r="O13" s="943"/>
      <c r="P13" s="943"/>
      <c r="Q13" s="943"/>
      <c r="R13" s="943"/>
      <c r="S13" s="943"/>
      <c r="T13" s="943"/>
      <c r="U13" s="943"/>
      <c r="V13" s="943"/>
      <c r="W13" s="943"/>
      <c r="X13" s="943"/>
      <c r="Y13" s="943"/>
      <c r="Z13" s="943"/>
      <c r="AA13" s="943"/>
      <c r="AB13" s="943"/>
      <c r="AC13" s="943"/>
      <c r="AD13" s="943"/>
      <c r="AE13" s="943"/>
      <c r="AF13" s="943"/>
      <c r="AG13" s="943"/>
      <c r="AH13" s="943"/>
      <c r="AI13" s="939">
        <f>SUM(SUVAHAVUJ!N120-SUVAHAVUJ!X120)*-1</f>
        <v>0</v>
      </c>
      <c r="AJ13" s="939"/>
      <c r="AK13" s="939"/>
      <c r="AL13" s="939"/>
      <c r="AM13" s="939"/>
      <c r="AN13" s="939"/>
      <c r="AO13" s="939"/>
      <c r="AP13" s="939"/>
      <c r="AQ13" s="939"/>
      <c r="AR13" s="939"/>
      <c r="AS13" s="939"/>
      <c r="AT13" s="939"/>
      <c r="AU13" s="939"/>
      <c r="AV13" s="939"/>
      <c r="AW13" s="430"/>
      <c r="AX13" s="431"/>
      <c r="BB13" s="434">
        <f>SUM(SUVAHAVUJ!N120-SUVAHAVUJ!X120)*-1</f>
        <v>0</v>
      </c>
      <c r="BC13" s="435"/>
      <c r="BD13" s="435">
        <f>SUM(SUVAHAVUJ!$X$120+SUVAHAVUJ!$X$138)-(SUVAHAVUJ!$AS$138+SUVAHAVUJ!$AS$120)</f>
        <v>8005</v>
      </c>
      <c r="BE13" s="433"/>
      <c r="BF13" s="433"/>
      <c r="BG13" s="433"/>
      <c r="BH13" s="433"/>
    </row>
    <row r="14" spans="1:60" ht="15.95" customHeight="1" x14ac:dyDescent="0.25">
      <c r="A14" s="937" t="s">
        <v>2344</v>
      </c>
      <c r="B14" s="937"/>
      <c r="C14" s="937"/>
      <c r="D14" s="937"/>
      <c r="E14" s="937"/>
      <c r="F14" s="937"/>
      <c r="G14" s="943" t="s">
        <v>2345</v>
      </c>
      <c r="H14" s="943"/>
      <c r="I14" s="943"/>
      <c r="J14" s="943"/>
      <c r="K14" s="943"/>
      <c r="L14" s="943"/>
      <c r="M14" s="943"/>
      <c r="N14" s="943"/>
      <c r="O14" s="943"/>
      <c r="P14" s="943"/>
      <c r="Q14" s="943"/>
      <c r="R14" s="943"/>
      <c r="S14" s="943"/>
      <c r="T14" s="943"/>
      <c r="U14" s="943"/>
      <c r="V14" s="943"/>
      <c r="W14" s="943"/>
      <c r="X14" s="943"/>
      <c r="Y14" s="943"/>
      <c r="Z14" s="943"/>
      <c r="AA14" s="943"/>
      <c r="AB14" s="943"/>
      <c r="AC14" s="943"/>
      <c r="AD14" s="943"/>
      <c r="AE14" s="943"/>
      <c r="AF14" s="943"/>
      <c r="AG14" s="943"/>
      <c r="AH14" s="943"/>
      <c r="AI14" s="939">
        <f>SUM(SUVAHAVUJ!$N$22-SUVAHAVUJ!$X$22)</f>
        <v>0</v>
      </c>
      <c r="AJ14" s="939"/>
      <c r="AK14" s="939"/>
      <c r="AL14" s="939"/>
      <c r="AM14" s="939"/>
      <c r="AN14" s="939"/>
      <c r="AO14" s="939"/>
      <c r="AP14" s="939"/>
      <c r="AQ14" s="939"/>
      <c r="AR14" s="939"/>
      <c r="AS14" s="939"/>
      <c r="AT14" s="939"/>
      <c r="AU14" s="939"/>
      <c r="AV14" s="939"/>
      <c r="AW14" s="430"/>
      <c r="AX14" s="431"/>
      <c r="BB14" s="432">
        <f>SUM(SUVAHAVUJ!$N$22-SUVAHAVUJ!$X$22)</f>
        <v>0</v>
      </c>
      <c r="BC14" s="433"/>
      <c r="BD14" s="433">
        <f>SUM(SUVAHAVUJ!$X$22- SUVAHAVUJ!$AS$22)</f>
        <v>0</v>
      </c>
      <c r="BE14" s="433"/>
      <c r="BF14" s="433"/>
      <c r="BG14" s="433"/>
      <c r="BH14" s="433"/>
    </row>
    <row r="15" spans="1:60" ht="15.95" customHeight="1" x14ac:dyDescent="0.25">
      <c r="A15" s="937" t="s">
        <v>2346</v>
      </c>
      <c r="B15" s="937"/>
      <c r="C15" s="937"/>
      <c r="D15" s="937"/>
      <c r="E15" s="937"/>
      <c r="F15" s="937"/>
      <c r="G15" s="943" t="s">
        <v>2347</v>
      </c>
      <c r="H15" s="943"/>
      <c r="I15" s="943"/>
      <c r="J15" s="943"/>
      <c r="K15" s="943"/>
      <c r="L15" s="943"/>
      <c r="M15" s="943"/>
      <c r="N15" s="943"/>
      <c r="O15" s="943"/>
      <c r="P15" s="943"/>
      <c r="Q15" s="943"/>
      <c r="R15" s="943"/>
      <c r="S15" s="943"/>
      <c r="T15" s="943"/>
      <c r="U15" s="943"/>
      <c r="V15" s="943"/>
      <c r="W15" s="943"/>
      <c r="X15" s="943"/>
      <c r="Y15" s="943"/>
      <c r="Z15" s="943"/>
      <c r="AA15" s="943"/>
      <c r="AB15" s="943"/>
      <c r="AC15" s="943"/>
      <c r="AD15" s="943"/>
      <c r="AE15" s="943"/>
      <c r="AF15" s="943"/>
      <c r="AG15" s="943"/>
      <c r="AH15" s="943"/>
      <c r="AI15" s="939">
        <f>-(SUM(SUVAHAVUJ!$N$76-SUVAHAVUJ!$X$76)-(SUVAHAVUJ!$N$143-SUVAHAVUJ!$X$143))</f>
        <v>-7224</v>
      </c>
      <c r="AJ15" s="939"/>
      <c r="AK15" s="939"/>
      <c r="AL15" s="939"/>
      <c r="AM15" s="939"/>
      <c r="AN15" s="939"/>
      <c r="AO15" s="939"/>
      <c r="AP15" s="939"/>
      <c r="AQ15" s="939"/>
      <c r="AR15" s="939"/>
      <c r="AS15" s="939"/>
      <c r="AT15" s="939"/>
      <c r="AU15" s="939"/>
      <c r="AV15" s="939"/>
      <c r="AW15" s="430"/>
      <c r="AX15" s="431"/>
      <c r="BB15" s="432">
        <f>-(SUM(SUVAHAVUJ!N76-SUVAHAVUJ!X76)+((SUVAHAVUJ!N143-SUVAHAVUJ!X143)*-1))</f>
        <v>-7224</v>
      </c>
      <c r="BC15" s="433"/>
      <c r="BD15" s="433">
        <f>-(SUM(SUVAHAVUJ!$X$76-SUVAHAVUJ!$AS$76)-(SUVAHAVUJ!$X$143-SUVAHAVUJ!$AS$143))</f>
        <v>-65936</v>
      </c>
      <c r="BE15" s="433"/>
      <c r="BF15" s="433"/>
      <c r="BG15" s="433"/>
      <c r="BH15" s="433"/>
    </row>
    <row r="16" spans="1:60" ht="15.95" customHeight="1" x14ac:dyDescent="0.25">
      <c r="A16" s="937" t="s">
        <v>2348</v>
      </c>
      <c r="B16" s="937"/>
      <c r="C16" s="937"/>
      <c r="D16" s="937"/>
      <c r="E16" s="937"/>
      <c r="F16" s="937"/>
      <c r="G16" s="938" t="s">
        <v>2349</v>
      </c>
      <c r="H16" s="938"/>
      <c r="I16" s="938"/>
      <c r="J16" s="938"/>
      <c r="K16" s="938"/>
      <c r="L16" s="938"/>
      <c r="M16" s="938"/>
      <c r="N16" s="938"/>
      <c r="O16" s="938"/>
      <c r="P16" s="938"/>
      <c r="Q16" s="938"/>
      <c r="R16" s="938"/>
      <c r="S16" s="938"/>
      <c r="T16" s="938"/>
      <c r="U16" s="938"/>
      <c r="V16" s="938"/>
      <c r="W16" s="938"/>
      <c r="X16" s="938"/>
      <c r="Y16" s="938"/>
      <c r="Z16" s="938"/>
      <c r="AA16" s="938"/>
      <c r="AB16" s="938"/>
      <c r="AC16" s="938"/>
      <c r="AD16" s="938"/>
      <c r="AE16" s="938"/>
      <c r="AF16" s="938"/>
      <c r="AG16" s="938"/>
      <c r="AH16" s="938"/>
      <c r="AI16" s="941">
        <f>-SUM(SUVAHAVUJ!$N$179)</f>
        <v>0</v>
      </c>
      <c r="AJ16" s="941"/>
      <c r="AK16" s="941"/>
      <c r="AL16" s="941"/>
      <c r="AM16" s="941"/>
      <c r="AN16" s="941"/>
      <c r="AO16" s="941"/>
      <c r="AP16" s="939"/>
      <c r="AQ16" s="939"/>
      <c r="AR16" s="939"/>
      <c r="AS16" s="939"/>
      <c r="AT16" s="939"/>
      <c r="AU16" s="939"/>
      <c r="AV16" s="939"/>
      <c r="AW16" s="430"/>
      <c r="AX16" s="431"/>
      <c r="BB16" s="432">
        <f>-SUM(SUVAHAVUJ!$N$179)</f>
        <v>0</v>
      </c>
      <c r="BC16" s="433"/>
      <c r="BD16" s="433">
        <f>-SUM(SUVAHAVUJ!$X$179)</f>
        <v>0</v>
      </c>
      <c r="BE16" s="433"/>
      <c r="BF16" s="433"/>
      <c r="BG16" s="433"/>
      <c r="BH16" s="433"/>
    </row>
    <row r="17" spans="1:66" ht="15.95" customHeight="1" x14ac:dyDescent="0.25">
      <c r="A17" s="937" t="s">
        <v>2350</v>
      </c>
      <c r="B17" s="937"/>
      <c r="C17" s="937"/>
      <c r="D17" s="937"/>
      <c r="E17" s="937"/>
      <c r="F17" s="937"/>
      <c r="G17" s="938" t="s">
        <v>2351</v>
      </c>
      <c r="H17" s="938"/>
      <c r="I17" s="938"/>
      <c r="J17" s="938"/>
      <c r="K17" s="938"/>
      <c r="L17" s="938"/>
      <c r="M17" s="938"/>
      <c r="N17" s="938"/>
      <c r="O17" s="938"/>
      <c r="P17" s="938"/>
      <c r="Q17" s="938"/>
      <c r="R17" s="938"/>
      <c r="S17" s="938"/>
      <c r="T17" s="938"/>
      <c r="U17" s="938"/>
      <c r="V17" s="938"/>
      <c r="W17" s="938"/>
      <c r="X17" s="938"/>
      <c r="Y17" s="938"/>
      <c r="Z17" s="938"/>
      <c r="AA17" s="938"/>
      <c r="AB17" s="938"/>
      <c r="AC17" s="938"/>
      <c r="AD17" s="938"/>
      <c r="AE17" s="938"/>
      <c r="AF17" s="938"/>
      <c r="AG17" s="938"/>
      <c r="AH17" s="938"/>
      <c r="AI17" s="941">
        <f>SUM(BB17)</f>
        <v>6333</v>
      </c>
      <c r="AJ17" s="941"/>
      <c r="AK17" s="941"/>
      <c r="AL17" s="941"/>
      <c r="AM17" s="941"/>
      <c r="AN17" s="941"/>
      <c r="AO17" s="941"/>
      <c r="AP17" s="939"/>
      <c r="AQ17" s="939"/>
      <c r="AR17" s="939"/>
      <c r="AS17" s="939"/>
      <c r="AT17" s="939"/>
      <c r="AU17" s="939"/>
      <c r="AV17" s="939"/>
      <c r="AW17" s="430"/>
      <c r="AX17" s="431"/>
      <c r="BB17" s="432">
        <f>SUM(BF17-BB39)</f>
        <v>6333</v>
      </c>
      <c r="BC17" s="433"/>
      <c r="BD17" s="433">
        <f>SUM(SUVAHAVUJ!$X$197)</f>
        <v>7981</v>
      </c>
      <c r="BE17" s="433"/>
      <c r="BF17" s="432">
        <f>SUM(SUVAHAVUJ!$N$197)</f>
        <v>6333</v>
      </c>
      <c r="BG17" s="433"/>
      <c r="BH17" s="433">
        <f>SUM(SUVAHAVUJ!$X$197)</f>
        <v>7981</v>
      </c>
    </row>
    <row r="18" spans="1:66" ht="15.95" customHeight="1" x14ac:dyDescent="0.25">
      <c r="A18" s="937" t="s">
        <v>2352</v>
      </c>
      <c r="B18" s="937"/>
      <c r="C18" s="937"/>
      <c r="D18" s="937"/>
      <c r="E18" s="937"/>
      <c r="F18" s="937"/>
      <c r="G18" s="938" t="s">
        <v>2353</v>
      </c>
      <c r="H18" s="938"/>
      <c r="I18" s="938"/>
      <c r="J18" s="938"/>
      <c r="K18" s="938"/>
      <c r="L18" s="938"/>
      <c r="M18" s="938"/>
      <c r="N18" s="938"/>
      <c r="O18" s="938"/>
      <c r="P18" s="938"/>
      <c r="Q18" s="938"/>
      <c r="R18" s="938"/>
      <c r="S18" s="938"/>
      <c r="T18" s="938"/>
      <c r="U18" s="938"/>
      <c r="V18" s="938"/>
      <c r="W18" s="938"/>
      <c r="X18" s="938"/>
      <c r="Y18" s="938"/>
      <c r="Z18" s="938"/>
      <c r="AA18" s="938"/>
      <c r="AB18" s="938"/>
      <c r="AC18" s="938"/>
      <c r="AD18" s="938"/>
      <c r="AE18" s="938"/>
      <c r="AF18" s="938"/>
      <c r="AG18" s="938"/>
      <c r="AH18" s="938"/>
      <c r="AI18" s="941">
        <f>SUM(BB18)</f>
        <v>0</v>
      </c>
      <c r="AJ18" s="941"/>
      <c r="AK18" s="941"/>
      <c r="AL18" s="941"/>
      <c r="AM18" s="941"/>
      <c r="AN18" s="941"/>
      <c r="AO18" s="941"/>
      <c r="AP18" s="939"/>
      <c r="AQ18" s="939"/>
      <c r="AR18" s="939"/>
      <c r="AS18" s="939"/>
      <c r="AT18" s="939"/>
      <c r="AU18" s="939"/>
      <c r="AV18" s="939"/>
      <c r="AW18" s="430"/>
      <c r="AX18" s="431"/>
      <c r="BB18" s="432">
        <f>SUM(BF18-BB38)</f>
        <v>0</v>
      </c>
      <c r="BC18" s="433"/>
      <c r="BD18" s="433">
        <f>-SUM(SUVAHAVUJ!$X$187)</f>
        <v>0</v>
      </c>
      <c r="BE18" s="433"/>
      <c r="BF18" s="432">
        <f>-SUM(SUVAHAVUJ!$N$187)</f>
        <v>0</v>
      </c>
      <c r="BG18" s="433"/>
      <c r="BH18" s="433">
        <f>-SUM(SUVAHAVUJ!$X$187)</f>
        <v>0</v>
      </c>
    </row>
    <row r="19" spans="1:66" ht="30" customHeight="1" x14ac:dyDescent="0.25">
      <c r="A19" s="937" t="s">
        <v>2354</v>
      </c>
      <c r="B19" s="937"/>
      <c r="C19" s="937"/>
      <c r="D19" s="937"/>
      <c r="E19" s="937"/>
      <c r="F19" s="937"/>
      <c r="G19" s="940" t="s">
        <v>2355</v>
      </c>
      <c r="H19" s="940"/>
      <c r="I19" s="940"/>
      <c r="J19" s="940"/>
      <c r="K19" s="940"/>
      <c r="L19" s="940"/>
      <c r="M19" s="940"/>
      <c r="N19" s="940"/>
      <c r="O19" s="940"/>
      <c r="P19" s="940"/>
      <c r="Q19" s="940"/>
      <c r="R19" s="940"/>
      <c r="S19" s="940"/>
      <c r="T19" s="940"/>
      <c r="U19" s="940"/>
      <c r="V19" s="940"/>
      <c r="W19" s="940"/>
      <c r="X19" s="940"/>
      <c r="Y19" s="940"/>
      <c r="Z19" s="940"/>
      <c r="AA19" s="940"/>
      <c r="AB19" s="940"/>
      <c r="AC19" s="940"/>
      <c r="AD19" s="940"/>
      <c r="AE19" s="940"/>
      <c r="AF19" s="940"/>
      <c r="AG19" s="940"/>
      <c r="AH19" s="940"/>
      <c r="AI19" s="941">
        <f>-SUM(SUVAHAVUJ!$N$190)</f>
        <v>0</v>
      </c>
      <c r="AJ19" s="941"/>
      <c r="AK19" s="941"/>
      <c r="AL19" s="941"/>
      <c r="AM19" s="941"/>
      <c r="AN19" s="941"/>
      <c r="AO19" s="941"/>
      <c r="AP19" s="939"/>
      <c r="AQ19" s="939"/>
      <c r="AR19" s="939"/>
      <c r="AS19" s="939"/>
      <c r="AT19" s="939"/>
      <c r="AU19" s="939"/>
      <c r="AV19" s="939"/>
      <c r="AW19" s="430"/>
      <c r="AX19" s="431"/>
      <c r="BB19" s="432">
        <f>-SUM(SUVAHAVUJ!$N$190)</f>
        <v>0</v>
      </c>
      <c r="BC19" s="433"/>
      <c r="BD19" s="433">
        <f>-SUM(SUVAHAVUJ!$X$190)</f>
        <v>0</v>
      </c>
      <c r="BE19" s="433"/>
      <c r="BF19" s="433"/>
      <c r="BG19" s="433"/>
      <c r="BH19" s="433"/>
    </row>
    <row r="20" spans="1:66" ht="30" customHeight="1" x14ac:dyDescent="0.25">
      <c r="A20" s="937" t="s">
        <v>2356</v>
      </c>
      <c r="B20" s="937"/>
      <c r="C20" s="937"/>
      <c r="D20" s="937"/>
      <c r="E20" s="937"/>
      <c r="F20" s="937"/>
      <c r="G20" s="940" t="s">
        <v>2357</v>
      </c>
      <c r="H20" s="940"/>
      <c r="I20" s="940"/>
      <c r="J20" s="940"/>
      <c r="K20" s="940"/>
      <c r="L20" s="940"/>
      <c r="M20" s="940"/>
      <c r="N20" s="940"/>
      <c r="O20" s="940"/>
      <c r="P20" s="940"/>
      <c r="Q20" s="940"/>
      <c r="R20" s="940"/>
      <c r="S20" s="940"/>
      <c r="T20" s="940"/>
      <c r="U20" s="940"/>
      <c r="V20" s="940"/>
      <c r="W20" s="940"/>
      <c r="X20" s="940"/>
      <c r="Y20" s="940"/>
      <c r="Z20" s="940"/>
      <c r="AA20" s="940"/>
      <c r="AB20" s="940"/>
      <c r="AC20" s="940"/>
      <c r="AD20" s="940"/>
      <c r="AE20" s="940"/>
      <c r="AF20" s="940"/>
      <c r="AG20" s="940"/>
      <c r="AH20" s="940"/>
      <c r="AI20" s="944">
        <f>SUM(SUVAHAVUJ!N200)</f>
        <v>0</v>
      </c>
      <c r="AJ20" s="944"/>
      <c r="AK20" s="944"/>
      <c r="AL20" s="944"/>
      <c r="AM20" s="944"/>
      <c r="AN20" s="944"/>
      <c r="AO20" s="944"/>
      <c r="AP20" s="942"/>
      <c r="AQ20" s="942"/>
      <c r="AR20" s="942"/>
      <c r="AS20" s="942"/>
      <c r="AT20" s="942"/>
      <c r="AU20" s="942"/>
      <c r="AV20" s="942"/>
      <c r="AW20" s="430"/>
      <c r="AX20" s="431"/>
      <c r="BB20" s="432">
        <f>SUM(AI20)</f>
        <v>0</v>
      </c>
      <c r="BC20" s="433"/>
      <c r="BD20" s="433">
        <f>$AP$20</f>
        <v>0</v>
      </c>
      <c r="BE20" s="433"/>
      <c r="BF20" s="433"/>
      <c r="BG20" s="433"/>
      <c r="BH20" s="433"/>
    </row>
    <row r="21" spans="1:66" ht="30" customHeight="1" x14ac:dyDescent="0.25">
      <c r="A21" s="937" t="s">
        <v>2358</v>
      </c>
      <c r="B21" s="937"/>
      <c r="C21" s="937"/>
      <c r="D21" s="937"/>
      <c r="E21" s="937"/>
      <c r="F21" s="937"/>
      <c r="G21" s="940" t="s">
        <v>2359</v>
      </c>
      <c r="H21" s="940"/>
      <c r="I21" s="940"/>
      <c r="J21" s="940"/>
      <c r="K21" s="940"/>
      <c r="L21" s="940"/>
      <c r="M21" s="940"/>
      <c r="N21" s="940"/>
      <c r="O21" s="940"/>
      <c r="P21" s="940"/>
      <c r="Q21" s="940"/>
      <c r="R21" s="940"/>
      <c r="S21" s="940"/>
      <c r="T21" s="940"/>
      <c r="U21" s="940"/>
      <c r="V21" s="940"/>
      <c r="W21" s="940"/>
      <c r="X21" s="940"/>
      <c r="Y21" s="940"/>
      <c r="Z21" s="940"/>
      <c r="AA21" s="940"/>
      <c r="AB21" s="940"/>
      <c r="AC21" s="940"/>
      <c r="AD21" s="940"/>
      <c r="AE21" s="940"/>
      <c r="AF21" s="940"/>
      <c r="AG21" s="940"/>
      <c r="AH21" s="940"/>
      <c r="AI21" s="942"/>
      <c r="AJ21" s="942"/>
      <c r="AK21" s="942"/>
      <c r="AL21" s="942"/>
      <c r="AM21" s="942"/>
      <c r="AN21" s="942"/>
      <c r="AO21" s="942"/>
      <c r="AP21" s="942"/>
      <c r="AQ21" s="942"/>
      <c r="AR21" s="942"/>
      <c r="AS21" s="942"/>
      <c r="AT21" s="942"/>
      <c r="AU21" s="942"/>
      <c r="AV21" s="942"/>
      <c r="AW21" s="430"/>
      <c r="AX21" s="431"/>
      <c r="BB21" s="432">
        <f>SUM(AI21)</f>
        <v>0</v>
      </c>
      <c r="BC21" s="433"/>
      <c r="BD21" s="433">
        <f>$AP$21</f>
        <v>0</v>
      </c>
      <c r="BE21" s="433"/>
      <c r="BF21" s="433"/>
      <c r="BG21" s="433"/>
      <c r="BH21" s="433"/>
    </row>
    <row r="22" spans="1:66" ht="45" customHeight="1" x14ac:dyDescent="0.25">
      <c r="A22" s="937" t="s">
        <v>2360</v>
      </c>
      <c r="B22" s="937"/>
      <c r="C22" s="937"/>
      <c r="D22" s="937"/>
      <c r="E22" s="937"/>
      <c r="F22" s="937"/>
      <c r="G22" s="940" t="s">
        <v>2361</v>
      </c>
      <c r="H22" s="940"/>
      <c r="I22" s="940"/>
      <c r="J22" s="940"/>
      <c r="K22" s="940"/>
      <c r="L22" s="940"/>
      <c r="M22" s="940"/>
      <c r="N22" s="940"/>
      <c r="O22" s="940"/>
      <c r="P22" s="940"/>
      <c r="Q22" s="940"/>
      <c r="R22" s="940"/>
      <c r="S22" s="940"/>
      <c r="T22" s="940"/>
      <c r="U22" s="940"/>
      <c r="V22" s="940"/>
      <c r="W22" s="940"/>
      <c r="X22" s="940"/>
      <c r="Y22" s="940"/>
      <c r="Z22" s="940"/>
      <c r="AA22" s="940"/>
      <c r="AB22" s="940"/>
      <c r="AC22" s="940"/>
      <c r="AD22" s="940"/>
      <c r="AE22" s="940"/>
      <c r="AF22" s="940"/>
      <c r="AG22" s="940"/>
      <c r="AH22" s="940"/>
      <c r="AI22" s="945">
        <f>SUM(BB122)</f>
        <v>102022</v>
      </c>
      <c r="AJ22" s="945"/>
      <c r="AK22" s="945"/>
      <c r="AL22" s="945"/>
      <c r="AM22" s="945"/>
      <c r="AN22" s="945"/>
      <c r="AO22" s="945"/>
      <c r="AP22" s="946"/>
      <c r="AQ22" s="946"/>
      <c r="AR22" s="946"/>
      <c r="AS22" s="946"/>
      <c r="AT22" s="946"/>
      <c r="AU22" s="946"/>
      <c r="AV22" s="946"/>
      <c r="AX22" s="430"/>
      <c r="AY22" s="430">
        <f>SUM(AP122)</f>
        <v>0</v>
      </c>
      <c r="AZ22" s="431"/>
      <c r="BA22" s="431"/>
      <c r="BB22" s="432"/>
      <c r="BC22" s="430"/>
      <c r="BD22" s="430"/>
      <c r="BE22" s="430"/>
      <c r="BF22" s="433"/>
      <c r="BG22" s="430"/>
      <c r="BH22" s="430"/>
      <c r="BI22" s="431"/>
      <c r="BJ22" s="431"/>
      <c r="BK22" s="431"/>
      <c r="BL22" s="431"/>
      <c r="BM22" s="431"/>
      <c r="BN22" s="431"/>
    </row>
    <row r="23" spans="1:66" ht="57.75" customHeight="1" x14ac:dyDescent="0.25">
      <c r="A23" s="937" t="s">
        <v>2362</v>
      </c>
      <c r="B23" s="937"/>
      <c r="C23" s="937"/>
      <c r="D23" s="937"/>
      <c r="E23" s="937"/>
      <c r="F23" s="937"/>
      <c r="G23" s="940" t="s">
        <v>2363</v>
      </c>
      <c r="H23" s="940"/>
      <c r="I23" s="940"/>
      <c r="J23" s="940"/>
      <c r="K23" s="940"/>
      <c r="L23" s="940"/>
      <c r="M23" s="940"/>
      <c r="N23" s="940"/>
      <c r="O23" s="940"/>
      <c r="P23" s="940"/>
      <c r="Q23" s="940"/>
      <c r="R23" s="940"/>
      <c r="S23" s="940"/>
      <c r="T23" s="940"/>
      <c r="U23" s="940"/>
      <c r="V23" s="940"/>
      <c r="W23" s="940"/>
      <c r="X23" s="940"/>
      <c r="Y23" s="940"/>
      <c r="Z23" s="940"/>
      <c r="AA23" s="940"/>
      <c r="AB23" s="940"/>
      <c r="AC23" s="940"/>
      <c r="AD23" s="940"/>
      <c r="AE23" s="940"/>
      <c r="AF23" s="940"/>
      <c r="AG23" s="940"/>
      <c r="AH23" s="940"/>
      <c r="AI23" s="941">
        <f>SUM(AI24+AI25+AI26+AI27)</f>
        <v>31601</v>
      </c>
      <c r="AJ23" s="941"/>
      <c r="AK23" s="941"/>
      <c r="AL23" s="941"/>
      <c r="AM23" s="941"/>
      <c r="AN23" s="941"/>
      <c r="AO23" s="941"/>
      <c r="AP23" s="941"/>
      <c r="AQ23" s="941"/>
      <c r="AR23" s="941"/>
      <c r="AS23" s="941"/>
      <c r="AT23" s="941"/>
      <c r="AU23" s="941"/>
      <c r="AV23" s="941"/>
      <c r="AW23" s="430"/>
      <c r="BB23" s="432">
        <f>SUM(BB24+BB25+BB26+BB27)</f>
        <v>31601</v>
      </c>
      <c r="BC23" s="433"/>
      <c r="BD23" s="432">
        <f>SUM(BD24+BD25+BD26+BD27)</f>
        <v>-14934</v>
      </c>
      <c r="BE23" s="433"/>
      <c r="BF23" s="433"/>
      <c r="BG23" s="433"/>
      <c r="BH23" s="433"/>
    </row>
    <row r="24" spans="1:66" ht="15.95" customHeight="1" x14ac:dyDescent="0.25">
      <c r="A24" s="937" t="s">
        <v>2364</v>
      </c>
      <c r="B24" s="937"/>
      <c r="C24" s="937"/>
      <c r="D24" s="937"/>
      <c r="E24" s="937"/>
      <c r="F24" s="937"/>
      <c r="G24" s="938" t="s">
        <v>2365</v>
      </c>
      <c r="H24" s="938"/>
      <c r="I24" s="938"/>
      <c r="J24" s="938"/>
      <c r="K24" s="938"/>
      <c r="L24" s="938"/>
      <c r="M24" s="938"/>
      <c r="N24" s="938"/>
      <c r="O24" s="938"/>
      <c r="P24" s="938"/>
      <c r="Q24" s="938"/>
      <c r="R24" s="938"/>
      <c r="S24" s="938"/>
      <c r="T24" s="938"/>
      <c r="U24" s="938"/>
      <c r="V24" s="938"/>
      <c r="W24" s="938"/>
      <c r="X24" s="938"/>
      <c r="Y24" s="938"/>
      <c r="Z24" s="938"/>
      <c r="AA24" s="938"/>
      <c r="AB24" s="938"/>
      <c r="AC24" s="938"/>
      <c r="AD24" s="938"/>
      <c r="AE24" s="938"/>
      <c r="AF24" s="938"/>
      <c r="AG24" s="938"/>
      <c r="AH24" s="938"/>
      <c r="AI24" s="939">
        <f>SUM(SUVAHAVUJ!N55-SUVAHAVUJ!X55)</f>
        <v>7025</v>
      </c>
      <c r="AJ24" s="939"/>
      <c r="AK24" s="939"/>
      <c r="AL24" s="939"/>
      <c r="AM24" s="939"/>
      <c r="AN24" s="939"/>
      <c r="AO24" s="939"/>
      <c r="AP24" s="939"/>
      <c r="AQ24" s="939"/>
      <c r="AR24" s="939"/>
      <c r="AS24" s="939"/>
      <c r="AT24" s="939"/>
      <c r="AU24" s="939"/>
      <c r="AV24" s="939"/>
      <c r="AW24" s="430"/>
      <c r="AX24" s="431"/>
      <c r="BB24" s="432">
        <f>SUM(SUVAHAVUJ!N55-SUVAHAVUJ!X55)</f>
        <v>7025</v>
      </c>
      <c r="BC24" s="433"/>
      <c r="BD24" s="433">
        <f>-(SUM(SUVAHAVUJ!$X$43+SUVAHAVUJ!$X$55)-(SUVAHAVUJ!$AS$43+SUVAHAVUJ!$AS$55))</f>
        <v>-6373</v>
      </c>
      <c r="BE24" s="433"/>
      <c r="BF24" s="433"/>
      <c r="BG24" s="433"/>
      <c r="BH24" s="433"/>
    </row>
    <row r="25" spans="1:66" ht="15.95" customHeight="1" x14ac:dyDescent="0.25">
      <c r="A25" s="937" t="s">
        <v>2366</v>
      </c>
      <c r="B25" s="937"/>
      <c r="C25" s="937"/>
      <c r="D25" s="937"/>
      <c r="E25" s="937"/>
      <c r="F25" s="937"/>
      <c r="G25" s="938" t="s">
        <v>2367</v>
      </c>
      <c r="H25" s="938"/>
      <c r="I25" s="938"/>
      <c r="J25" s="938"/>
      <c r="K25" s="938"/>
      <c r="L25" s="938"/>
      <c r="M25" s="938"/>
      <c r="N25" s="938"/>
      <c r="O25" s="938"/>
      <c r="P25" s="938"/>
      <c r="Q25" s="938"/>
      <c r="R25" s="938"/>
      <c r="S25" s="938"/>
      <c r="T25" s="938"/>
      <c r="U25" s="938"/>
      <c r="V25" s="938"/>
      <c r="W25" s="938"/>
      <c r="X25" s="938"/>
      <c r="Y25" s="938"/>
      <c r="Z25" s="938"/>
      <c r="AA25" s="938"/>
      <c r="AB25" s="938"/>
      <c r="AC25" s="938"/>
      <c r="AD25" s="938"/>
      <c r="AE25" s="938"/>
      <c r="AF25" s="938"/>
      <c r="AG25" s="938"/>
      <c r="AH25" s="938"/>
      <c r="AI25" s="939">
        <f>SUM(SUVAHAVUJ!N124-SUVAHAVUJ!X124)*-1</f>
        <v>21575</v>
      </c>
      <c r="AJ25" s="939"/>
      <c r="AK25" s="939"/>
      <c r="AL25" s="939"/>
      <c r="AM25" s="939"/>
      <c r="AN25" s="939"/>
      <c r="AO25" s="939"/>
      <c r="AP25" s="939"/>
      <c r="AQ25" s="939"/>
      <c r="AR25" s="939"/>
      <c r="AS25" s="939"/>
      <c r="AT25" s="939"/>
      <c r="AU25" s="939"/>
      <c r="AV25" s="939"/>
      <c r="AW25" s="430"/>
      <c r="AX25" s="431"/>
      <c r="BB25" s="432">
        <f>SUM(SUVAHAVUJ!$N$124-SUVAHAVUJ!$X$124)*-1</f>
        <v>21575</v>
      </c>
      <c r="BC25" s="433"/>
      <c r="BD25" s="433">
        <f>SUM(SUVAHAVUJ!$X$124-SUVAHAVUJ!$AS$124)</f>
        <v>-28131</v>
      </c>
      <c r="BE25" s="433"/>
      <c r="BF25" s="433"/>
      <c r="BG25" s="433"/>
      <c r="BH25" s="433"/>
    </row>
    <row r="26" spans="1:66" ht="15.95" customHeight="1" x14ac:dyDescent="0.25">
      <c r="A26" s="937" t="s">
        <v>2368</v>
      </c>
      <c r="B26" s="937"/>
      <c r="C26" s="937"/>
      <c r="D26" s="937"/>
      <c r="E26" s="937"/>
      <c r="F26" s="937"/>
      <c r="G26" s="938" t="s">
        <v>2369</v>
      </c>
      <c r="H26" s="938"/>
      <c r="I26" s="938"/>
      <c r="J26" s="938"/>
      <c r="K26" s="938"/>
      <c r="L26" s="938"/>
      <c r="M26" s="938"/>
      <c r="N26" s="938"/>
      <c r="O26" s="938"/>
      <c r="P26" s="938"/>
      <c r="Q26" s="938"/>
      <c r="R26" s="938"/>
      <c r="S26" s="938"/>
      <c r="T26" s="938"/>
      <c r="U26" s="938"/>
      <c r="V26" s="938"/>
      <c r="W26" s="938"/>
      <c r="X26" s="938"/>
      <c r="Y26" s="938"/>
      <c r="Z26" s="938"/>
      <c r="AA26" s="938"/>
      <c r="AB26" s="938"/>
      <c r="AC26" s="938"/>
      <c r="AD26" s="938"/>
      <c r="AE26" s="938"/>
      <c r="AF26" s="938"/>
      <c r="AG26" s="938"/>
      <c r="AH26" s="938"/>
      <c r="AI26" s="939">
        <f>SUM(SUVAHAVUJ!N36-SUVAHAVUJ!X36)</f>
        <v>3001</v>
      </c>
      <c r="AJ26" s="939"/>
      <c r="AK26" s="939"/>
      <c r="AL26" s="939"/>
      <c r="AM26" s="939"/>
      <c r="AN26" s="939"/>
      <c r="AO26" s="939"/>
      <c r="AP26" s="939"/>
      <c r="AQ26" s="939"/>
      <c r="AR26" s="939"/>
      <c r="AS26" s="939"/>
      <c r="AT26" s="939"/>
      <c r="AU26" s="939"/>
      <c r="AV26" s="939"/>
      <c r="AW26" s="430"/>
      <c r="AX26" s="431"/>
      <c r="BB26" s="432">
        <f>SUM(SUVAHAVUJ!$N$36-SUVAHAVUJ!$X$36)</f>
        <v>3001</v>
      </c>
      <c r="BC26" s="433"/>
      <c r="BD26" s="433">
        <f>-SUM(SUVAHAVUJ!$X$36-SUVAHAVUJ!$AS$36)</f>
        <v>19570</v>
      </c>
      <c r="BE26" s="433"/>
      <c r="BF26" s="433"/>
      <c r="BG26" s="433"/>
      <c r="BH26" s="433"/>
    </row>
    <row r="27" spans="1:66" ht="30" customHeight="1" x14ac:dyDescent="0.25">
      <c r="A27" s="937" t="s">
        <v>2370</v>
      </c>
      <c r="B27" s="937"/>
      <c r="C27" s="937"/>
      <c r="D27" s="937"/>
      <c r="E27" s="937"/>
      <c r="F27" s="937"/>
      <c r="G27" s="940" t="s">
        <v>2371</v>
      </c>
      <c r="H27" s="940"/>
      <c r="I27" s="940"/>
      <c r="J27" s="940"/>
      <c r="K27" s="940"/>
      <c r="L27" s="940"/>
      <c r="M27" s="940"/>
      <c r="N27" s="940"/>
      <c r="O27" s="940"/>
      <c r="P27" s="940"/>
      <c r="Q27" s="940"/>
      <c r="R27" s="940"/>
      <c r="S27" s="940"/>
      <c r="T27" s="940"/>
      <c r="U27" s="940"/>
      <c r="V27" s="940"/>
      <c r="W27" s="940"/>
      <c r="X27" s="940"/>
      <c r="Y27" s="940"/>
      <c r="Z27" s="940"/>
      <c r="AA27" s="940"/>
      <c r="AB27" s="940"/>
      <c r="AC27" s="940"/>
      <c r="AD27" s="940"/>
      <c r="AE27" s="940"/>
      <c r="AF27" s="940"/>
      <c r="AG27" s="940"/>
      <c r="AH27" s="940"/>
      <c r="AI27" s="939">
        <f>SUM(SUVAHAVUJ!N68-SUVAHAVUJ!X68)</f>
        <v>0</v>
      </c>
      <c r="AJ27" s="939"/>
      <c r="AK27" s="939"/>
      <c r="AL27" s="939"/>
      <c r="AM27" s="939"/>
      <c r="AN27" s="939"/>
      <c r="AO27" s="939"/>
      <c r="AP27" s="939"/>
      <c r="AQ27" s="939"/>
      <c r="AR27" s="939"/>
      <c r="AS27" s="939"/>
      <c r="AT27" s="939"/>
      <c r="AU27" s="939"/>
      <c r="AV27" s="939"/>
      <c r="BB27" s="432">
        <f>-SUM(SUVAHAVUJ!$N$68-SUVAHAVUJ!$X$68)</f>
        <v>0</v>
      </c>
      <c r="BC27" s="433"/>
      <c r="BD27" s="433">
        <f>-SUM(SUVAHAVUJ!$X$68-SUVAHAVUJ!$AS$68)</f>
        <v>0</v>
      </c>
      <c r="BE27" s="433"/>
      <c r="BF27" s="433"/>
      <c r="BG27" s="433"/>
      <c r="BH27" s="433"/>
    </row>
    <row r="28" spans="1:66" ht="28.5" customHeight="1" x14ac:dyDescent="0.25">
      <c r="A28" s="436"/>
      <c r="B28" s="436"/>
      <c r="C28" s="436"/>
      <c r="D28" s="436"/>
      <c r="E28" s="436"/>
      <c r="F28" s="436"/>
      <c r="G28" s="437"/>
      <c r="H28" s="437"/>
      <c r="I28" s="437"/>
      <c r="J28" s="437"/>
      <c r="K28" s="437"/>
      <c r="L28" s="437"/>
      <c r="M28" s="437"/>
      <c r="N28" s="437"/>
      <c r="O28" s="437"/>
      <c r="P28" s="437"/>
      <c r="Q28" s="437"/>
      <c r="R28" s="437"/>
      <c r="S28" s="437"/>
      <c r="T28" s="437"/>
      <c r="U28" s="437"/>
      <c r="V28" s="437"/>
      <c r="W28" s="437"/>
      <c r="X28" s="437"/>
      <c r="Y28" s="437"/>
      <c r="Z28" s="437"/>
      <c r="AA28" s="437"/>
      <c r="AB28" s="437"/>
      <c r="AC28" s="437"/>
      <c r="AD28" s="437"/>
      <c r="AE28" s="437"/>
      <c r="AF28" s="437"/>
      <c r="AG28" s="437"/>
      <c r="AH28" s="437"/>
      <c r="AI28" s="438"/>
      <c r="AJ28" s="438"/>
      <c r="AK28" s="438"/>
      <c r="AL28" s="438"/>
      <c r="AM28" s="438"/>
      <c r="AN28" s="438"/>
      <c r="AO28" s="438"/>
      <c r="AP28" s="438"/>
      <c r="AQ28" s="438"/>
      <c r="AR28" s="438"/>
      <c r="AS28" s="438"/>
      <c r="AT28" s="438"/>
      <c r="AU28" s="438"/>
      <c r="AV28" s="438"/>
      <c r="AW28" s="430"/>
      <c r="BB28" s="429"/>
    </row>
    <row r="29" spans="1:66" ht="14.85" customHeight="1" x14ac:dyDescent="0.25">
      <c r="BB29"/>
    </row>
    <row r="32" spans="1:66" ht="15.95" customHeight="1" x14ac:dyDescent="0.25">
      <c r="A32" s="422" t="s">
        <v>2372</v>
      </c>
      <c r="B32" s="423"/>
      <c r="C32" s="423"/>
      <c r="D32" s="423"/>
      <c r="E32" s="423"/>
      <c r="F32" s="423"/>
      <c r="G32" s="423"/>
      <c r="H32" s="423"/>
      <c r="I32" s="423"/>
      <c r="J32" s="423"/>
      <c r="K32" s="423"/>
      <c r="L32" s="423"/>
      <c r="M32" s="423"/>
      <c r="N32" s="423"/>
      <c r="O32" s="423"/>
      <c r="P32" s="423"/>
      <c r="Q32" s="424"/>
      <c r="AE32" s="193" t="s">
        <v>2327</v>
      </c>
      <c r="AG32" s="425"/>
      <c r="AH32" s="426" t="str">
        <f t="shared" ref="AH32:AO32" si="0">AH2</f>
        <v>2</v>
      </c>
      <c r="AI32" s="426" t="str">
        <f t="shared" si="0"/>
        <v>0</v>
      </c>
      <c r="AJ32" s="426" t="str">
        <f t="shared" si="0"/>
        <v>2</v>
      </c>
      <c r="AK32" s="426" t="str">
        <f t="shared" si="0"/>
        <v>0</v>
      </c>
      <c r="AL32" s="426" t="str">
        <f t="shared" si="0"/>
        <v>4</v>
      </c>
      <c r="AM32" s="426" t="str">
        <f t="shared" si="0"/>
        <v>7</v>
      </c>
      <c r="AN32" s="426" t="str">
        <f t="shared" si="0"/>
        <v>3</v>
      </c>
      <c r="AO32" s="426" t="str">
        <f t="shared" si="0"/>
        <v>4</v>
      </c>
      <c r="AP32" s="426"/>
      <c r="AQ32" s="426"/>
      <c r="AR32" s="425"/>
      <c r="BB32"/>
    </row>
    <row r="33" spans="1:60" ht="14.85" customHeight="1" x14ac:dyDescent="0.25">
      <c r="BB33"/>
    </row>
    <row r="34" spans="1:60" ht="14.85" customHeight="1" x14ac:dyDescent="0.25">
      <c r="AW34" s="365"/>
      <c r="BB34"/>
    </row>
    <row r="35" spans="1:60" s="428" customFormat="1" ht="14.85" customHeight="1" x14ac:dyDescent="0.25">
      <c r="A35" s="933" t="s">
        <v>2329</v>
      </c>
      <c r="B35" s="933"/>
      <c r="C35" s="933"/>
      <c r="D35" s="933"/>
      <c r="E35" s="933"/>
      <c r="F35" s="933"/>
      <c r="G35" s="933" t="s">
        <v>2330</v>
      </c>
      <c r="H35" s="933"/>
      <c r="I35" s="933"/>
      <c r="J35" s="933"/>
      <c r="K35" s="933"/>
      <c r="L35" s="933"/>
      <c r="M35" s="933"/>
      <c r="N35" s="933"/>
      <c r="O35" s="933"/>
      <c r="P35" s="933"/>
      <c r="Q35" s="933"/>
      <c r="R35" s="933"/>
      <c r="S35" s="933"/>
      <c r="T35" s="933"/>
      <c r="U35" s="933"/>
      <c r="V35" s="933"/>
      <c r="W35" s="933"/>
      <c r="X35" s="933"/>
      <c r="Y35" s="933"/>
      <c r="Z35" s="933"/>
      <c r="AA35" s="933"/>
      <c r="AB35" s="933"/>
      <c r="AC35" s="933"/>
      <c r="AD35" s="933"/>
      <c r="AE35" s="933"/>
      <c r="AF35" s="933"/>
      <c r="AG35" s="933"/>
      <c r="AH35" s="933"/>
      <c r="AI35" s="933" t="s">
        <v>1288</v>
      </c>
      <c r="AJ35" s="933"/>
      <c r="AK35" s="933"/>
      <c r="AL35" s="933"/>
      <c r="AM35" s="933"/>
      <c r="AN35" s="933"/>
      <c r="AO35" s="933"/>
      <c r="AP35" s="933"/>
      <c r="AQ35" s="933"/>
      <c r="AR35" s="933"/>
      <c r="AS35" s="933"/>
      <c r="AT35" s="933"/>
      <c r="AU35" s="933"/>
      <c r="AV35" s="933"/>
      <c r="AW35" s="365"/>
      <c r="BB35" s="429"/>
    </row>
    <row r="36" spans="1:60" s="428" customFormat="1" ht="30.75" customHeight="1" x14ac:dyDescent="0.25">
      <c r="A36" s="933"/>
      <c r="B36" s="933"/>
      <c r="C36" s="933"/>
      <c r="D36" s="933"/>
      <c r="E36" s="933"/>
      <c r="F36" s="933"/>
      <c r="G36" s="933"/>
      <c r="H36" s="933"/>
      <c r="I36" s="933"/>
      <c r="J36" s="933"/>
      <c r="K36" s="933"/>
      <c r="L36" s="933"/>
      <c r="M36" s="933"/>
      <c r="N36" s="933"/>
      <c r="O36" s="933"/>
      <c r="P36" s="933"/>
      <c r="Q36" s="933"/>
      <c r="R36" s="933"/>
      <c r="S36" s="933"/>
      <c r="T36" s="933"/>
      <c r="U36" s="933"/>
      <c r="V36" s="933"/>
      <c r="W36" s="933"/>
      <c r="X36" s="933"/>
      <c r="Y36" s="933"/>
      <c r="Z36" s="933"/>
      <c r="AA36" s="933"/>
      <c r="AB36" s="933"/>
      <c r="AC36" s="933"/>
      <c r="AD36" s="933"/>
      <c r="AE36" s="933"/>
      <c r="AF36" s="933"/>
      <c r="AG36" s="933"/>
      <c r="AH36" s="933"/>
      <c r="AI36" s="933"/>
      <c r="AJ36" s="933"/>
      <c r="AK36" s="933"/>
      <c r="AL36" s="933"/>
      <c r="AM36" s="933"/>
      <c r="AN36" s="933"/>
      <c r="AO36" s="933"/>
      <c r="AP36" s="933"/>
      <c r="AQ36" s="933"/>
      <c r="AR36" s="933"/>
      <c r="AS36" s="933"/>
      <c r="AT36" s="933"/>
      <c r="AU36" s="933"/>
      <c r="AV36" s="933"/>
      <c r="AW36" s="365"/>
      <c r="BB36" s="429"/>
    </row>
    <row r="37" spans="1:60" ht="45" customHeight="1" x14ac:dyDescent="0.25">
      <c r="A37" s="937"/>
      <c r="B37" s="937"/>
      <c r="C37" s="937"/>
      <c r="D37" s="937"/>
      <c r="E37" s="937"/>
      <c r="F37" s="937"/>
      <c r="G37" s="940" t="s">
        <v>2373</v>
      </c>
      <c r="H37" s="940"/>
      <c r="I37" s="940"/>
      <c r="J37" s="940"/>
      <c r="K37" s="940"/>
      <c r="L37" s="940"/>
      <c r="M37" s="940"/>
      <c r="N37" s="940"/>
      <c r="O37" s="940"/>
      <c r="P37" s="940"/>
      <c r="Q37" s="940"/>
      <c r="R37" s="940"/>
      <c r="S37" s="940"/>
      <c r="T37" s="940"/>
      <c r="U37" s="940"/>
      <c r="V37" s="940"/>
      <c r="W37" s="940"/>
      <c r="X37" s="940"/>
      <c r="Y37" s="940"/>
      <c r="Z37" s="940"/>
      <c r="AA37" s="940"/>
      <c r="AB37" s="940"/>
      <c r="AC37" s="940"/>
      <c r="AD37" s="940"/>
      <c r="AE37" s="940"/>
      <c r="AF37" s="940"/>
      <c r="AG37" s="940"/>
      <c r="AH37" s="940"/>
      <c r="AI37" s="941">
        <f>SUM(AI23+AI9+AI8-AI17-AI18-AI19-AI20-AI12-AI21-AI11)</f>
        <v>163405</v>
      </c>
      <c r="AJ37" s="941"/>
      <c r="AK37" s="941"/>
      <c r="AL37" s="941"/>
      <c r="AM37" s="941"/>
      <c r="AN37" s="941"/>
      <c r="AO37" s="941"/>
      <c r="AP37" s="941"/>
      <c r="AQ37" s="941"/>
      <c r="AR37" s="941"/>
      <c r="AS37" s="941"/>
      <c r="AT37" s="941"/>
      <c r="AU37" s="941"/>
      <c r="AV37" s="941"/>
      <c r="AW37" s="439"/>
      <c r="BB37" s="432">
        <f>SUM(BB23+BB9+BB8-BB12-BB16-BB17-BB18-BB19-BB20)</f>
        <v>61383</v>
      </c>
      <c r="BC37" s="440"/>
      <c r="BD37" s="432">
        <f>SUM(BD23+BD9+BD8)</f>
        <v>8437</v>
      </c>
      <c r="BE37" s="440"/>
      <c r="BF37" s="440"/>
      <c r="BG37" s="440"/>
      <c r="BH37" s="440"/>
    </row>
    <row r="38" spans="1:60" s="428" customFormat="1" ht="15.95" customHeight="1" x14ac:dyDescent="0.25">
      <c r="A38" s="937" t="s">
        <v>2374</v>
      </c>
      <c r="B38" s="937"/>
      <c r="C38" s="937"/>
      <c r="D38" s="937"/>
      <c r="E38" s="937"/>
      <c r="F38" s="937"/>
      <c r="G38" s="938" t="s">
        <v>2375</v>
      </c>
      <c r="H38" s="938"/>
      <c r="I38" s="938"/>
      <c r="J38" s="938"/>
      <c r="K38" s="938"/>
      <c r="L38" s="938"/>
      <c r="M38" s="938"/>
      <c r="N38" s="938"/>
      <c r="O38" s="938"/>
      <c r="P38" s="938"/>
      <c r="Q38" s="938"/>
      <c r="R38" s="938"/>
      <c r="S38" s="938"/>
      <c r="T38" s="938"/>
      <c r="U38" s="938"/>
      <c r="V38" s="938"/>
      <c r="W38" s="938"/>
      <c r="X38" s="938"/>
      <c r="Y38" s="938"/>
      <c r="Z38" s="938"/>
      <c r="AA38" s="938"/>
      <c r="AB38" s="938"/>
      <c r="AC38" s="938"/>
      <c r="AD38" s="938"/>
      <c r="AE38" s="938"/>
      <c r="AF38" s="938"/>
      <c r="AG38" s="938"/>
      <c r="AH38" s="938"/>
      <c r="AI38" s="942"/>
      <c r="AJ38" s="942"/>
      <c r="AK38" s="942"/>
      <c r="AL38" s="942"/>
      <c r="AM38" s="942"/>
      <c r="AN38" s="942"/>
      <c r="AO38" s="942"/>
      <c r="AP38" s="939"/>
      <c r="AQ38" s="939"/>
      <c r="AR38" s="939"/>
      <c r="AS38" s="939"/>
      <c r="AT38" s="939"/>
      <c r="AU38" s="939"/>
      <c r="AV38" s="939"/>
      <c r="AW38" s="430"/>
      <c r="AX38" s="431"/>
      <c r="BB38" s="432">
        <f>SUM(AI38)</f>
        <v>0</v>
      </c>
      <c r="BC38" s="433"/>
      <c r="BD38" s="433">
        <f>SUM(SUVAHAVUJ!$X$187)</f>
        <v>0</v>
      </c>
      <c r="BE38" s="433"/>
      <c r="BF38" s="433"/>
      <c r="BG38" s="433"/>
      <c r="BH38" s="433"/>
    </row>
    <row r="39" spans="1:60" ht="30" customHeight="1" x14ac:dyDescent="0.25">
      <c r="A39" s="937" t="s">
        <v>2376</v>
      </c>
      <c r="B39" s="937"/>
      <c r="C39" s="937"/>
      <c r="D39" s="937"/>
      <c r="E39" s="937"/>
      <c r="F39" s="937"/>
      <c r="G39" s="940" t="s">
        <v>2377</v>
      </c>
      <c r="H39" s="940"/>
      <c r="I39" s="940"/>
      <c r="J39" s="940"/>
      <c r="K39" s="940"/>
      <c r="L39" s="940"/>
      <c r="M39" s="940"/>
      <c r="N39" s="940"/>
      <c r="O39" s="940"/>
      <c r="P39" s="940"/>
      <c r="Q39" s="940"/>
      <c r="R39" s="940"/>
      <c r="S39" s="940"/>
      <c r="T39" s="940"/>
      <c r="U39" s="940"/>
      <c r="V39" s="940"/>
      <c r="W39" s="940"/>
      <c r="X39" s="940"/>
      <c r="Y39" s="940"/>
      <c r="Z39" s="940"/>
      <c r="AA39" s="940"/>
      <c r="AB39" s="940"/>
      <c r="AC39" s="940"/>
      <c r="AD39" s="940"/>
      <c r="AE39" s="940"/>
      <c r="AF39" s="940"/>
      <c r="AG39" s="940"/>
      <c r="AH39" s="940"/>
      <c r="AI39" s="942"/>
      <c r="AJ39" s="942"/>
      <c r="AK39" s="942"/>
      <c r="AL39" s="942"/>
      <c r="AM39" s="942"/>
      <c r="AN39" s="942"/>
      <c r="AO39" s="942"/>
      <c r="AP39" s="939"/>
      <c r="AQ39" s="939"/>
      <c r="AR39" s="939"/>
      <c r="AS39" s="939"/>
      <c r="AT39" s="939"/>
      <c r="AU39" s="939"/>
      <c r="AV39" s="939"/>
      <c r="AW39" s="430"/>
      <c r="AX39" s="431"/>
      <c r="BB39" s="432">
        <f>SUM(AI39)</f>
        <v>0</v>
      </c>
      <c r="BC39" s="433"/>
      <c r="BD39" s="433">
        <f>-SUM(SUVAHAVUJ!$X$197)</f>
        <v>-7981</v>
      </c>
      <c r="BE39" s="433"/>
      <c r="BF39" s="433"/>
      <c r="BG39" s="433"/>
      <c r="BH39" s="433"/>
    </row>
    <row r="40" spans="1:60" ht="30" customHeight="1" x14ac:dyDescent="0.25">
      <c r="A40" s="937" t="s">
        <v>2378</v>
      </c>
      <c r="B40" s="937"/>
      <c r="C40" s="937"/>
      <c r="D40" s="937"/>
      <c r="E40" s="937"/>
      <c r="F40" s="937"/>
      <c r="G40" s="940" t="s">
        <v>2379</v>
      </c>
      <c r="H40" s="940"/>
      <c r="I40" s="940"/>
      <c r="J40" s="940"/>
      <c r="K40" s="940"/>
      <c r="L40" s="940"/>
      <c r="M40" s="940"/>
      <c r="N40" s="940"/>
      <c r="O40" s="940"/>
      <c r="P40" s="940"/>
      <c r="Q40" s="940"/>
      <c r="R40" s="940"/>
      <c r="S40" s="940"/>
      <c r="T40" s="940"/>
      <c r="U40" s="940"/>
      <c r="V40" s="940"/>
      <c r="W40" s="940"/>
      <c r="X40" s="940"/>
      <c r="Y40" s="940"/>
      <c r="Z40" s="940"/>
      <c r="AA40" s="940"/>
      <c r="AB40" s="940"/>
      <c r="AC40" s="940"/>
      <c r="AD40" s="940"/>
      <c r="AE40" s="940"/>
      <c r="AF40" s="940"/>
      <c r="AG40" s="940"/>
      <c r="AH40" s="940"/>
      <c r="AI40" s="939">
        <f>SUM(SUVAHAVUJ!$N$179)</f>
        <v>0</v>
      </c>
      <c r="AJ40" s="939"/>
      <c r="AK40" s="939"/>
      <c r="AL40" s="939"/>
      <c r="AM40" s="939"/>
      <c r="AN40" s="939"/>
      <c r="AO40" s="939"/>
      <c r="AP40" s="939"/>
      <c r="AQ40" s="939"/>
      <c r="AR40" s="939"/>
      <c r="AS40" s="939"/>
      <c r="AT40" s="939"/>
      <c r="AU40" s="939"/>
      <c r="AV40" s="939"/>
      <c r="AW40" s="430"/>
      <c r="AX40" s="431"/>
      <c r="BB40" s="432">
        <f>SUM(SUVAHAVUJ!$N$179)</f>
        <v>0</v>
      </c>
      <c r="BC40" s="433"/>
      <c r="BD40" s="433">
        <f>SUM(SUVAHAVUJ!$X$179)</f>
        <v>0</v>
      </c>
      <c r="BE40" s="433"/>
      <c r="BF40" s="433"/>
      <c r="BG40" s="433"/>
      <c r="BH40" s="433"/>
    </row>
    <row r="41" spans="1:60" ht="30" customHeight="1" x14ac:dyDescent="0.25">
      <c r="A41" s="937" t="s">
        <v>2380</v>
      </c>
      <c r="B41" s="937"/>
      <c r="C41" s="937"/>
      <c r="D41" s="937"/>
      <c r="E41" s="937"/>
      <c r="F41" s="937"/>
      <c r="G41" s="940" t="s">
        <v>2381</v>
      </c>
      <c r="H41" s="940"/>
      <c r="I41" s="940"/>
      <c r="J41" s="940"/>
      <c r="K41" s="940"/>
      <c r="L41" s="940"/>
      <c r="M41" s="940"/>
      <c r="N41" s="940"/>
      <c r="O41" s="940"/>
      <c r="P41" s="940"/>
      <c r="Q41" s="940"/>
      <c r="R41" s="940"/>
      <c r="S41" s="940"/>
      <c r="T41" s="940"/>
      <c r="U41" s="940"/>
      <c r="V41" s="940"/>
      <c r="W41" s="940"/>
      <c r="X41" s="940"/>
      <c r="Y41" s="940"/>
      <c r="Z41" s="940"/>
      <c r="AA41" s="940"/>
      <c r="AB41" s="940"/>
      <c r="AC41" s="940"/>
      <c r="AD41" s="940"/>
      <c r="AE41" s="940"/>
      <c r="AF41" s="940"/>
      <c r="AG41" s="940"/>
      <c r="AH41" s="940"/>
      <c r="AI41" s="942"/>
      <c r="AJ41" s="942"/>
      <c r="AK41" s="942"/>
      <c r="AL41" s="942"/>
      <c r="AM41" s="942"/>
      <c r="AN41" s="942"/>
      <c r="AO41" s="942"/>
      <c r="AP41" s="942"/>
      <c r="AQ41" s="942"/>
      <c r="AR41" s="942"/>
      <c r="AS41" s="942"/>
      <c r="AT41" s="942"/>
      <c r="AU41" s="942"/>
      <c r="AV41" s="942"/>
      <c r="AW41" s="430"/>
      <c r="AX41" s="431"/>
      <c r="BB41" s="432">
        <f>SUM(AI41)</f>
        <v>0</v>
      </c>
      <c r="BC41" s="433"/>
      <c r="BD41" s="433">
        <f>$AP$41</f>
        <v>0</v>
      </c>
      <c r="BE41" s="433"/>
      <c r="BF41" s="433"/>
      <c r="BG41" s="433"/>
      <c r="BH41" s="433"/>
    </row>
    <row r="42" spans="1:60" ht="13.5" customHeight="1" x14ac:dyDescent="0.25">
      <c r="A42" s="937"/>
      <c r="B42" s="937"/>
      <c r="C42" s="937"/>
      <c r="D42" s="937"/>
      <c r="E42" s="937"/>
      <c r="F42" s="937"/>
      <c r="G42" s="940" t="s">
        <v>2382</v>
      </c>
      <c r="H42" s="940"/>
      <c r="I42" s="940"/>
      <c r="J42" s="940"/>
      <c r="K42" s="940"/>
      <c r="L42" s="940"/>
      <c r="M42" s="940"/>
      <c r="N42" s="940"/>
      <c r="O42" s="940"/>
      <c r="P42" s="940"/>
      <c r="Q42" s="940"/>
      <c r="R42" s="940"/>
      <c r="S42" s="940"/>
      <c r="T42" s="940"/>
      <c r="U42" s="940"/>
      <c r="V42" s="940"/>
      <c r="W42" s="940"/>
      <c r="X42" s="940"/>
      <c r="Y42" s="940"/>
      <c r="Z42" s="940"/>
      <c r="AA42" s="940"/>
      <c r="AB42" s="940"/>
      <c r="AC42" s="940"/>
      <c r="AD42" s="940"/>
      <c r="AE42" s="940"/>
      <c r="AF42" s="940"/>
      <c r="AG42" s="940"/>
      <c r="AH42" s="940"/>
      <c r="AI42" s="941">
        <f>SUM(AI37-AI38-AI39-AI40-AI41)</f>
        <v>163405</v>
      </c>
      <c r="AJ42" s="941"/>
      <c r="AK42" s="941"/>
      <c r="AL42" s="941"/>
      <c r="AM42" s="941"/>
      <c r="AN42" s="941"/>
      <c r="AO42" s="941"/>
      <c r="AP42" s="941"/>
      <c r="AQ42" s="941"/>
      <c r="AR42" s="941"/>
      <c r="AS42" s="941"/>
      <c r="AT42" s="941"/>
      <c r="AU42" s="941"/>
      <c r="AV42" s="941"/>
      <c r="AW42" s="430"/>
      <c r="BB42" s="432">
        <f>SUM(BB37+BB38+BB39+BB40+BB41)</f>
        <v>61383</v>
      </c>
      <c r="BC42" s="440"/>
      <c r="BD42" s="432">
        <f>SUM(BD37+BD38+BD39+BD40+BD41)</f>
        <v>456</v>
      </c>
      <c r="BE42" s="440"/>
      <c r="BF42" s="440"/>
      <c r="BG42" s="440"/>
      <c r="BH42" s="440"/>
    </row>
    <row r="43" spans="1:60" s="428" customFormat="1" ht="30" customHeight="1" x14ac:dyDescent="0.25">
      <c r="A43" s="937" t="s">
        <v>2383</v>
      </c>
      <c r="B43" s="937"/>
      <c r="C43" s="937"/>
      <c r="D43" s="937"/>
      <c r="E43" s="937"/>
      <c r="F43" s="937"/>
      <c r="G43" s="940" t="s">
        <v>2384</v>
      </c>
      <c r="H43" s="940"/>
      <c r="I43" s="940"/>
      <c r="J43" s="940"/>
      <c r="K43" s="940"/>
      <c r="L43" s="940"/>
      <c r="M43" s="940"/>
      <c r="N43" s="940"/>
      <c r="O43" s="940"/>
      <c r="P43" s="940"/>
      <c r="Q43" s="940"/>
      <c r="R43" s="940"/>
      <c r="S43" s="940"/>
      <c r="T43" s="940"/>
      <c r="U43" s="940"/>
      <c r="V43" s="940"/>
      <c r="W43" s="940"/>
      <c r="X43" s="940"/>
      <c r="Y43" s="940"/>
      <c r="Z43" s="940"/>
      <c r="AA43" s="940"/>
      <c r="AB43" s="940"/>
      <c r="AC43" s="940"/>
      <c r="AD43" s="940"/>
      <c r="AE43" s="940"/>
      <c r="AF43" s="940"/>
      <c r="AG43" s="940"/>
      <c r="AH43" s="940"/>
      <c r="AI43" s="941">
        <f>-SUM(SUVAHAVUJ!$N$205)</f>
        <v>0</v>
      </c>
      <c r="AJ43" s="941"/>
      <c r="AK43" s="941"/>
      <c r="AL43" s="941"/>
      <c r="AM43" s="941"/>
      <c r="AN43" s="941"/>
      <c r="AO43" s="941"/>
      <c r="AP43" s="939"/>
      <c r="AQ43" s="939"/>
      <c r="AR43" s="939"/>
      <c r="AS43" s="939"/>
      <c r="AT43" s="939"/>
      <c r="AU43" s="939"/>
      <c r="AV43" s="939"/>
      <c r="AW43" s="430"/>
      <c r="AX43" s="431"/>
      <c r="BB43" s="432">
        <f>-SUM(SUVAHAVUJ!$N$205)</f>
        <v>0</v>
      </c>
      <c r="BC43" s="433"/>
      <c r="BD43" s="433">
        <f>-SUM(SUVAHAVUJ!$X$205)</f>
        <v>-960</v>
      </c>
      <c r="BE43" s="433"/>
      <c r="BF43" s="433"/>
      <c r="BG43" s="433"/>
      <c r="BH43" s="433"/>
    </row>
    <row r="44" spans="1:60" ht="15.95" customHeight="1" x14ac:dyDescent="0.25">
      <c r="A44" s="937" t="s">
        <v>2385</v>
      </c>
      <c r="B44" s="937"/>
      <c r="C44" s="937"/>
      <c r="D44" s="937"/>
      <c r="E44" s="937"/>
      <c r="F44" s="937"/>
      <c r="G44" s="938" t="s">
        <v>2386</v>
      </c>
      <c r="H44" s="938"/>
      <c r="I44" s="938"/>
      <c r="J44" s="938"/>
      <c r="K44" s="938"/>
      <c r="L44" s="938"/>
      <c r="M44" s="938"/>
      <c r="N44" s="938"/>
      <c r="O44" s="938"/>
      <c r="P44" s="938"/>
      <c r="Q44" s="938"/>
      <c r="R44" s="938"/>
      <c r="S44" s="938"/>
      <c r="T44" s="938"/>
      <c r="U44" s="938"/>
      <c r="V44" s="938"/>
      <c r="W44" s="938"/>
      <c r="X44" s="938"/>
      <c r="Y44" s="938"/>
      <c r="Z44" s="938"/>
      <c r="AA44" s="938"/>
      <c r="AB44" s="938"/>
      <c r="AC44" s="938"/>
      <c r="AD44" s="938"/>
      <c r="AE44" s="938"/>
      <c r="AF44" s="938"/>
      <c r="AG44" s="938"/>
      <c r="AH44" s="938"/>
      <c r="AI44" s="942"/>
      <c r="AJ44" s="942"/>
      <c r="AK44" s="942"/>
      <c r="AL44" s="942"/>
      <c r="AM44" s="942"/>
      <c r="AN44" s="942"/>
      <c r="AO44" s="942"/>
      <c r="AP44" s="942"/>
      <c r="AQ44" s="942"/>
      <c r="AR44" s="942"/>
      <c r="AS44" s="942"/>
      <c r="AT44" s="942"/>
      <c r="AU44" s="942"/>
      <c r="AV44" s="942"/>
      <c r="AW44" s="430"/>
      <c r="AX44" s="431"/>
      <c r="BB44" s="432">
        <f>SUM(AI44)</f>
        <v>0</v>
      </c>
      <c r="BC44" s="433"/>
      <c r="BD44" s="433">
        <f>$AP$44</f>
        <v>0</v>
      </c>
      <c r="BE44" s="433"/>
      <c r="BF44" s="433"/>
      <c r="BG44" s="433"/>
      <c r="BH44" s="433"/>
    </row>
    <row r="45" spans="1:60" ht="15.95" customHeight="1" x14ac:dyDescent="0.25">
      <c r="A45" s="937" t="s">
        <v>2387</v>
      </c>
      <c r="B45" s="937"/>
      <c r="C45" s="937"/>
      <c r="D45" s="937"/>
      <c r="E45" s="937"/>
      <c r="F45" s="937"/>
      <c r="G45" s="938" t="s">
        <v>2388</v>
      </c>
      <c r="H45" s="938"/>
      <c r="I45" s="938"/>
      <c r="J45" s="938"/>
      <c r="K45" s="938"/>
      <c r="L45" s="938"/>
      <c r="M45" s="938"/>
      <c r="N45" s="938"/>
      <c r="O45" s="938"/>
      <c r="P45" s="938"/>
      <c r="Q45" s="938"/>
      <c r="R45" s="938"/>
      <c r="S45" s="938"/>
      <c r="T45" s="938"/>
      <c r="U45" s="938"/>
      <c r="V45" s="938"/>
      <c r="W45" s="938"/>
      <c r="X45" s="938"/>
      <c r="Y45" s="938"/>
      <c r="Z45" s="938"/>
      <c r="AA45" s="938"/>
      <c r="AB45" s="938"/>
      <c r="AC45" s="938"/>
      <c r="AD45" s="938"/>
      <c r="AE45" s="938"/>
      <c r="AF45" s="938"/>
      <c r="AG45" s="938"/>
      <c r="AH45" s="938"/>
      <c r="AI45" s="942"/>
      <c r="AJ45" s="942"/>
      <c r="AK45" s="942"/>
      <c r="AL45" s="942"/>
      <c r="AM45" s="942"/>
      <c r="AN45" s="942"/>
      <c r="AO45" s="942"/>
      <c r="AP45" s="942"/>
      <c r="AQ45" s="942"/>
      <c r="AR45" s="942"/>
      <c r="AS45" s="942"/>
      <c r="AT45" s="942"/>
      <c r="AU45" s="942"/>
      <c r="AV45" s="942"/>
      <c r="AW45" s="430"/>
      <c r="AX45" s="431"/>
      <c r="BB45" s="432">
        <f>SUM(AI45)</f>
        <v>0</v>
      </c>
      <c r="BC45" s="433"/>
      <c r="BD45" s="433">
        <f>$AP$45</f>
        <v>0</v>
      </c>
      <c r="BE45" s="433"/>
      <c r="BF45" s="433"/>
      <c r="BG45" s="433"/>
      <c r="BH45" s="433"/>
    </row>
    <row r="46" spans="1:60" ht="13.5" customHeight="1" x14ac:dyDescent="0.25">
      <c r="A46" s="947" t="s">
        <v>2162</v>
      </c>
      <c r="B46" s="947"/>
      <c r="C46" s="947"/>
      <c r="D46" s="947"/>
      <c r="E46" s="947"/>
      <c r="F46" s="947"/>
      <c r="G46" s="940" t="s">
        <v>2389</v>
      </c>
      <c r="H46" s="940"/>
      <c r="I46" s="940"/>
      <c r="J46" s="940"/>
      <c r="K46" s="940"/>
      <c r="L46" s="940"/>
      <c r="M46" s="940"/>
      <c r="N46" s="940"/>
      <c r="O46" s="940"/>
      <c r="P46" s="940"/>
      <c r="Q46" s="940"/>
      <c r="R46" s="940"/>
      <c r="S46" s="940"/>
      <c r="T46" s="940"/>
      <c r="U46" s="940"/>
      <c r="V46" s="940"/>
      <c r="W46" s="940"/>
      <c r="X46" s="940"/>
      <c r="Y46" s="940"/>
      <c r="Z46" s="940"/>
      <c r="AA46" s="940"/>
      <c r="AB46" s="940"/>
      <c r="AC46" s="940"/>
      <c r="AD46" s="940"/>
      <c r="AE46" s="940"/>
      <c r="AF46" s="940"/>
      <c r="AG46" s="940"/>
      <c r="AH46" s="940"/>
      <c r="AI46" s="948">
        <f>SUM(AI42+AI43+AI44+AI45)</f>
        <v>163405</v>
      </c>
      <c r="AJ46" s="948"/>
      <c r="AK46" s="948"/>
      <c r="AL46" s="948"/>
      <c r="AM46" s="948"/>
      <c r="AN46" s="948"/>
      <c r="AO46" s="948"/>
      <c r="AP46" s="948"/>
      <c r="AQ46" s="948"/>
      <c r="AR46" s="948"/>
      <c r="AS46" s="948"/>
      <c r="AT46" s="948"/>
      <c r="AU46" s="948"/>
      <c r="AV46" s="948"/>
      <c r="AW46" s="430"/>
      <c r="BB46" s="432">
        <f>SUM(BB42+BB43+BB44+BB45)</f>
        <v>61383</v>
      </c>
      <c r="BC46" s="440"/>
      <c r="BD46" s="432">
        <f>SUM(BD42+BD43+BD44+BD45)</f>
        <v>-504</v>
      </c>
      <c r="BE46" s="440"/>
      <c r="BF46" s="440"/>
      <c r="BG46" s="440"/>
      <c r="BH46" s="440"/>
    </row>
    <row r="47" spans="1:60" ht="15.95" customHeight="1" x14ac:dyDescent="0.25">
      <c r="A47" s="937"/>
      <c r="B47" s="937"/>
      <c r="C47" s="937"/>
      <c r="D47" s="937"/>
      <c r="E47" s="937"/>
      <c r="F47" s="937"/>
      <c r="G47" s="940" t="s">
        <v>2390</v>
      </c>
      <c r="H47" s="940"/>
      <c r="I47" s="940"/>
      <c r="J47" s="940"/>
      <c r="K47" s="940"/>
      <c r="L47" s="940"/>
      <c r="M47" s="940"/>
      <c r="N47" s="940"/>
      <c r="O47" s="940"/>
      <c r="P47" s="940"/>
      <c r="Q47" s="940"/>
      <c r="R47" s="940"/>
      <c r="S47" s="940"/>
      <c r="T47" s="940"/>
      <c r="U47" s="940"/>
      <c r="V47" s="940"/>
      <c r="W47" s="940"/>
      <c r="X47" s="940"/>
      <c r="Y47" s="940"/>
      <c r="Z47" s="940"/>
      <c r="AA47" s="940"/>
      <c r="AB47" s="940"/>
      <c r="AC47" s="940"/>
      <c r="AD47" s="940"/>
      <c r="AE47" s="940"/>
      <c r="AF47" s="940"/>
      <c r="AG47" s="940"/>
      <c r="AH47" s="940"/>
      <c r="AI47" s="939"/>
      <c r="AJ47" s="939"/>
      <c r="AK47" s="939"/>
      <c r="AL47" s="939"/>
      <c r="AM47" s="939"/>
      <c r="AN47" s="939"/>
      <c r="AO47" s="939"/>
      <c r="AP47" s="939"/>
      <c r="AQ47" s="939"/>
      <c r="AR47" s="939"/>
      <c r="AS47" s="939"/>
      <c r="AT47" s="939"/>
      <c r="AU47" s="939"/>
      <c r="AV47" s="939"/>
      <c r="AW47" s="430"/>
      <c r="BB47" s="432"/>
      <c r="BC47" s="440"/>
      <c r="BD47" s="440"/>
      <c r="BE47" s="440"/>
      <c r="BF47" s="440"/>
      <c r="BG47" s="440"/>
      <c r="BH47" s="440"/>
    </row>
    <row r="48" spans="1:60" s="428" customFormat="1" ht="15.95" customHeight="1" x14ac:dyDescent="0.25">
      <c r="A48" s="937" t="s">
        <v>2391</v>
      </c>
      <c r="B48" s="937"/>
      <c r="C48" s="937"/>
      <c r="D48" s="937"/>
      <c r="E48" s="937"/>
      <c r="F48" s="937"/>
      <c r="G48" s="938" t="s">
        <v>2392</v>
      </c>
      <c r="H48" s="938"/>
      <c r="I48" s="938"/>
      <c r="J48" s="938"/>
      <c r="K48" s="938"/>
      <c r="L48" s="938"/>
      <c r="M48" s="938"/>
      <c r="N48" s="938"/>
      <c r="O48" s="938"/>
      <c r="P48" s="938"/>
      <c r="Q48" s="938"/>
      <c r="R48" s="938"/>
      <c r="S48" s="938"/>
      <c r="T48" s="938"/>
      <c r="U48" s="938"/>
      <c r="V48" s="938"/>
      <c r="W48" s="938"/>
      <c r="X48" s="938"/>
      <c r="Y48" s="938"/>
      <c r="Z48" s="938"/>
      <c r="AA48" s="938"/>
      <c r="AB48" s="938"/>
      <c r="AC48" s="938"/>
      <c r="AD48" s="938"/>
      <c r="AE48" s="938"/>
      <c r="AF48" s="938"/>
      <c r="AG48" s="938"/>
      <c r="AH48" s="938"/>
      <c r="AI48" s="939">
        <f>-SUM(SUVAHAVUJ!$N$5-SUVAHAVUJ!$X$5)</f>
        <v>0</v>
      </c>
      <c r="AJ48" s="939"/>
      <c r="AK48" s="939"/>
      <c r="AL48" s="939"/>
      <c r="AM48" s="939"/>
      <c r="AN48" s="939"/>
      <c r="AO48" s="939"/>
      <c r="AP48" s="939"/>
      <c r="AQ48" s="939"/>
      <c r="AR48" s="939"/>
      <c r="AS48" s="939"/>
      <c r="AT48" s="939"/>
      <c r="AU48" s="939"/>
      <c r="AV48" s="939"/>
      <c r="AW48" s="430"/>
      <c r="AX48" s="431"/>
      <c r="BB48" s="432">
        <f>SUM(SUVAHAVUJ!N5-SUVAHAVUJ!X5)</f>
        <v>0</v>
      </c>
      <c r="BC48" s="433"/>
      <c r="BD48" s="433">
        <f>-SUM(SUVAHAVUJ!$X$5-SUVAHAVUJ!$AS$5)</f>
        <v>0</v>
      </c>
      <c r="BE48" s="433"/>
      <c r="BF48" s="433"/>
      <c r="BG48" s="433"/>
      <c r="BH48" s="433"/>
    </row>
    <row r="49" spans="1:60" s="428" customFormat="1" ht="15.95" customHeight="1" x14ac:dyDescent="0.25">
      <c r="A49" s="937" t="s">
        <v>2393</v>
      </c>
      <c r="B49" s="937"/>
      <c r="C49" s="937"/>
      <c r="D49" s="937"/>
      <c r="E49" s="937"/>
      <c r="F49" s="937"/>
      <c r="G49" s="938" t="s">
        <v>2394</v>
      </c>
      <c r="H49" s="938"/>
      <c r="I49" s="938"/>
      <c r="J49" s="938"/>
      <c r="K49" s="938"/>
      <c r="L49" s="938"/>
      <c r="M49" s="938"/>
      <c r="N49" s="938"/>
      <c r="O49" s="938"/>
      <c r="P49" s="938"/>
      <c r="Q49" s="938"/>
      <c r="R49" s="938"/>
      <c r="S49" s="938"/>
      <c r="T49" s="938"/>
      <c r="U49" s="938"/>
      <c r="V49" s="938"/>
      <c r="W49" s="938"/>
      <c r="X49" s="938"/>
      <c r="Y49" s="938"/>
      <c r="Z49" s="938"/>
      <c r="AA49" s="938"/>
      <c r="AB49" s="938"/>
      <c r="AC49" s="938"/>
      <c r="AD49" s="938"/>
      <c r="AE49" s="938"/>
      <c r="AF49" s="938"/>
      <c r="AG49" s="938"/>
      <c r="AH49" s="938"/>
      <c r="AI49" s="939">
        <f>(SUM((SUVAHAVUJ!N13-SUVAHAVUJ!X13)-(SUVAHAVUJ!N22-SUVAHAVUJ!X22))+SUVAHAVUJ!N170)*-1</f>
        <v>-6634</v>
      </c>
      <c r="AJ49" s="939"/>
      <c r="AK49" s="939"/>
      <c r="AL49" s="939"/>
      <c r="AM49" s="939"/>
      <c r="AN49" s="939"/>
      <c r="AO49" s="939"/>
      <c r="AP49" s="939"/>
      <c r="AQ49" s="939"/>
      <c r="AR49" s="939"/>
      <c r="AS49" s="939"/>
      <c r="AT49" s="939"/>
      <c r="AU49" s="939"/>
      <c r="AV49" s="939"/>
      <c r="AW49" s="430"/>
      <c r="AX49" s="431"/>
      <c r="BB49" s="432">
        <f>-SUM(SUVAHAVUJ!$N$13-SUVAHAVUJ!$X$13+SUVAHAVUJ!$N$170)</f>
        <v>-6634</v>
      </c>
      <c r="BC49" s="433"/>
      <c r="BD49" s="433">
        <f>-SUM(SUVAHAVUJ!$X$13-SUVAHAVUJ!$AS$13+SUVAHAVUJ!$X$170)</f>
        <v>-15550</v>
      </c>
      <c r="BE49" s="433"/>
      <c r="BF49" s="433"/>
      <c r="BG49" s="433"/>
      <c r="BH49" s="433"/>
    </row>
    <row r="50" spans="1:60" ht="46.5" customHeight="1" x14ac:dyDescent="0.25">
      <c r="A50" s="937" t="s">
        <v>2395</v>
      </c>
      <c r="B50" s="937"/>
      <c r="C50" s="937"/>
      <c r="D50" s="937"/>
      <c r="E50" s="937"/>
      <c r="F50" s="937"/>
      <c r="G50" s="940" t="s">
        <v>2396</v>
      </c>
      <c r="H50" s="940"/>
      <c r="I50" s="940"/>
      <c r="J50" s="940"/>
      <c r="K50" s="940"/>
      <c r="L50" s="940"/>
      <c r="M50" s="940"/>
      <c r="N50" s="940"/>
      <c r="O50" s="940"/>
      <c r="P50" s="940"/>
      <c r="Q50" s="940"/>
      <c r="R50" s="940"/>
      <c r="S50" s="940"/>
      <c r="T50" s="940"/>
      <c r="U50" s="940"/>
      <c r="V50" s="940"/>
      <c r="W50" s="940"/>
      <c r="X50" s="940"/>
      <c r="Y50" s="940"/>
      <c r="Z50" s="940"/>
      <c r="AA50" s="940"/>
      <c r="AB50" s="940"/>
      <c r="AC50" s="940"/>
      <c r="AD50" s="940"/>
      <c r="AE50" s="940"/>
      <c r="AF50" s="940"/>
      <c r="AG50" s="940"/>
      <c r="AH50" s="940"/>
      <c r="AI50" s="939">
        <f>-SUM(SUVAHAVUJ!$N$23-SUVAHAVUJ!$X$23)</f>
        <v>0</v>
      </c>
      <c r="AJ50" s="939"/>
      <c r="AK50" s="939"/>
      <c r="AL50" s="939"/>
      <c r="AM50" s="939"/>
      <c r="AN50" s="939"/>
      <c r="AO50" s="939"/>
      <c r="AP50" s="939"/>
      <c r="AQ50" s="939"/>
      <c r="AR50" s="939"/>
      <c r="AS50" s="939"/>
      <c r="AT50" s="939"/>
      <c r="AU50" s="939"/>
      <c r="AV50" s="939"/>
      <c r="AW50" s="430"/>
      <c r="BB50" s="432">
        <f>-SUM(SUVAHAVUJ!$N$23-SUVAHAVUJ!$X$23)</f>
        <v>0</v>
      </c>
      <c r="BC50" s="440"/>
      <c r="BD50" s="440">
        <f>-SUM(SUVAHAVUJ!$X$23-SUVAHAVUJ!$AS$23)</f>
        <v>0</v>
      </c>
      <c r="BE50" s="440"/>
      <c r="BF50" s="440"/>
      <c r="BG50" s="440"/>
      <c r="BH50" s="440"/>
    </row>
    <row r="51" spans="1:60" s="428" customFormat="1" ht="15.95" customHeight="1" x14ac:dyDescent="0.25">
      <c r="A51" s="937" t="s">
        <v>2397</v>
      </c>
      <c r="B51" s="937"/>
      <c r="C51" s="937"/>
      <c r="D51" s="937"/>
      <c r="E51" s="937"/>
      <c r="F51" s="937"/>
      <c r="G51" s="938" t="s">
        <v>2398</v>
      </c>
      <c r="H51" s="938"/>
      <c r="I51" s="938"/>
      <c r="J51" s="938"/>
      <c r="K51" s="938"/>
      <c r="L51" s="938"/>
      <c r="M51" s="938"/>
      <c r="N51" s="938"/>
      <c r="O51" s="938"/>
      <c r="P51" s="938"/>
      <c r="Q51" s="938"/>
      <c r="R51" s="938"/>
      <c r="S51" s="938"/>
      <c r="T51" s="938"/>
      <c r="U51" s="938"/>
      <c r="V51" s="938"/>
      <c r="W51" s="938"/>
      <c r="X51" s="938"/>
      <c r="Y51" s="938"/>
      <c r="Z51" s="938"/>
      <c r="AA51" s="938"/>
      <c r="AB51" s="938"/>
      <c r="AC51" s="938"/>
      <c r="AD51" s="938"/>
      <c r="AE51" s="938"/>
      <c r="AF51" s="938"/>
      <c r="AG51" s="938"/>
      <c r="AH51" s="938"/>
      <c r="AI51" s="942"/>
      <c r="AJ51" s="942"/>
      <c r="AK51" s="942"/>
      <c r="AL51" s="942"/>
      <c r="AM51" s="942"/>
      <c r="AN51" s="942"/>
      <c r="AO51" s="942"/>
      <c r="AP51" s="942"/>
      <c r="AQ51" s="942"/>
      <c r="AR51" s="942"/>
      <c r="AS51" s="942"/>
      <c r="AT51" s="942"/>
      <c r="AU51" s="942"/>
      <c r="AV51" s="942"/>
      <c r="AW51" s="430"/>
      <c r="AX51" s="431"/>
      <c r="BB51" s="432">
        <f>SUM(AI51)</f>
        <v>0</v>
      </c>
      <c r="BC51" s="433"/>
      <c r="BD51" s="433">
        <f>$AP$51</f>
        <v>0</v>
      </c>
      <c r="BE51" s="433"/>
      <c r="BF51" s="433"/>
      <c r="BG51" s="433"/>
      <c r="BH51" s="433"/>
    </row>
    <row r="52" spans="1:60" s="428" customFormat="1" ht="15.95" customHeight="1" x14ac:dyDescent="0.25">
      <c r="A52" s="937" t="s">
        <v>2399</v>
      </c>
      <c r="B52" s="937"/>
      <c r="C52" s="937"/>
      <c r="D52" s="937"/>
      <c r="E52" s="937"/>
      <c r="F52" s="937"/>
      <c r="G52" s="938" t="s">
        <v>2400</v>
      </c>
      <c r="H52" s="938"/>
      <c r="I52" s="938"/>
      <c r="J52" s="938"/>
      <c r="K52" s="938"/>
      <c r="L52" s="938"/>
      <c r="M52" s="938"/>
      <c r="N52" s="938"/>
      <c r="O52" s="938"/>
      <c r="P52" s="938"/>
      <c r="Q52" s="938"/>
      <c r="R52" s="938"/>
      <c r="S52" s="938"/>
      <c r="T52" s="938"/>
      <c r="U52" s="938"/>
      <c r="V52" s="938"/>
      <c r="W52" s="938"/>
      <c r="X52" s="938"/>
      <c r="Y52" s="938"/>
      <c r="Z52" s="938"/>
      <c r="AA52" s="938"/>
      <c r="AB52" s="938"/>
      <c r="AC52" s="938"/>
      <c r="AD52" s="938"/>
      <c r="AE52" s="938"/>
      <c r="AF52" s="938"/>
      <c r="AG52" s="938"/>
      <c r="AH52" s="938"/>
      <c r="AI52" s="942"/>
      <c r="AJ52" s="942"/>
      <c r="AK52" s="942"/>
      <c r="AL52" s="942"/>
      <c r="AM52" s="942"/>
      <c r="AN52" s="942"/>
      <c r="AO52" s="942"/>
      <c r="AP52" s="942"/>
      <c r="AQ52" s="942"/>
      <c r="AR52" s="942"/>
      <c r="AS52" s="942"/>
      <c r="AT52" s="942"/>
      <c r="AU52" s="942"/>
      <c r="AV52" s="942"/>
      <c r="AW52" s="430"/>
      <c r="AX52" s="431"/>
      <c r="BB52" s="432">
        <f>SUM(AI52)</f>
        <v>0</v>
      </c>
      <c r="BC52" s="433"/>
      <c r="BD52" s="433">
        <f>$AP$52</f>
        <v>0</v>
      </c>
      <c r="BE52" s="433"/>
      <c r="BF52" s="433"/>
      <c r="BG52" s="433"/>
      <c r="BH52" s="433"/>
    </row>
    <row r="53" spans="1:60" ht="43.5" customHeight="1" x14ac:dyDescent="0.25">
      <c r="A53" s="937" t="s">
        <v>2401</v>
      </c>
      <c r="B53" s="937"/>
      <c r="C53" s="937"/>
      <c r="D53" s="937"/>
      <c r="E53" s="937"/>
      <c r="F53" s="937"/>
      <c r="G53" s="940" t="s">
        <v>2402</v>
      </c>
      <c r="H53" s="940"/>
      <c r="I53" s="940"/>
      <c r="J53" s="940"/>
      <c r="K53" s="940"/>
      <c r="L53" s="940"/>
      <c r="M53" s="940"/>
      <c r="N53" s="940"/>
      <c r="O53" s="940"/>
      <c r="P53" s="940"/>
      <c r="Q53" s="940"/>
      <c r="R53" s="940"/>
      <c r="S53" s="940"/>
      <c r="T53" s="940"/>
      <c r="U53" s="940"/>
      <c r="V53" s="940"/>
      <c r="W53" s="940"/>
      <c r="X53" s="940"/>
      <c r="Y53" s="940"/>
      <c r="Z53" s="940"/>
      <c r="AA53" s="940"/>
      <c r="AB53" s="940"/>
      <c r="AC53" s="940"/>
      <c r="AD53" s="940"/>
      <c r="AE53" s="940"/>
      <c r="AF53" s="940"/>
      <c r="AG53" s="940"/>
      <c r="AH53" s="940"/>
      <c r="AI53" s="942"/>
      <c r="AJ53" s="942"/>
      <c r="AK53" s="942"/>
      <c r="AL53" s="942"/>
      <c r="AM53" s="942"/>
      <c r="AN53" s="942"/>
      <c r="AO53" s="942"/>
      <c r="AP53" s="942"/>
      <c r="AQ53" s="942"/>
      <c r="AR53" s="942"/>
      <c r="AS53" s="942"/>
      <c r="AT53" s="942"/>
      <c r="AU53" s="942"/>
      <c r="AV53" s="942"/>
      <c r="AW53" s="430"/>
      <c r="BB53" s="432">
        <f>SUM(AI53)</f>
        <v>0</v>
      </c>
      <c r="BC53" s="440"/>
      <c r="BD53" s="440">
        <f>$AP$53</f>
        <v>0</v>
      </c>
      <c r="BE53" s="440"/>
      <c r="BF53" s="440"/>
      <c r="BG53" s="440"/>
      <c r="BH53" s="440"/>
    </row>
    <row r="54" spans="1:60" s="428" customFormat="1" ht="30" customHeight="1" x14ac:dyDescent="0.25">
      <c r="A54" s="937" t="s">
        <v>2403</v>
      </c>
      <c r="B54" s="937"/>
      <c r="C54" s="937"/>
      <c r="D54" s="937"/>
      <c r="E54" s="937"/>
      <c r="F54" s="937"/>
      <c r="G54" s="940" t="s">
        <v>2404</v>
      </c>
      <c r="H54" s="940"/>
      <c r="I54" s="940"/>
      <c r="J54" s="940"/>
      <c r="K54" s="940"/>
      <c r="L54" s="940"/>
      <c r="M54" s="940"/>
      <c r="N54" s="940"/>
      <c r="O54" s="940"/>
      <c r="P54" s="940"/>
      <c r="Q54" s="940"/>
      <c r="R54" s="940"/>
      <c r="S54" s="940"/>
      <c r="T54" s="940"/>
      <c r="U54" s="940"/>
      <c r="V54" s="940"/>
      <c r="W54" s="940"/>
      <c r="X54" s="940"/>
      <c r="Y54" s="940"/>
      <c r="Z54" s="940"/>
      <c r="AA54" s="940"/>
      <c r="AB54" s="940"/>
      <c r="AC54" s="940"/>
      <c r="AD54" s="940"/>
      <c r="AE54" s="940"/>
      <c r="AF54" s="940"/>
      <c r="AG54" s="940"/>
      <c r="AH54" s="940"/>
      <c r="AI54" s="942"/>
      <c r="AJ54" s="942"/>
      <c r="AK54" s="942"/>
      <c r="AL54" s="942"/>
      <c r="AM54" s="942"/>
      <c r="AN54" s="942"/>
      <c r="AO54" s="942"/>
      <c r="AP54" s="942"/>
      <c r="AQ54" s="942"/>
      <c r="AR54" s="942"/>
      <c r="AS54" s="942"/>
      <c r="AT54" s="942"/>
      <c r="AU54" s="942"/>
      <c r="AV54" s="942"/>
      <c r="AW54" s="430"/>
      <c r="AX54" s="431"/>
      <c r="BB54" s="432">
        <f>SUM(AI54)</f>
        <v>0</v>
      </c>
      <c r="BC54" s="433"/>
      <c r="BD54" s="433">
        <f>$AP$54</f>
        <v>0</v>
      </c>
      <c r="BE54" s="433"/>
      <c r="BF54" s="433"/>
      <c r="BG54" s="433"/>
      <c r="BH54" s="433"/>
    </row>
    <row r="55" spans="1:60" s="428" customFormat="1" ht="30" customHeight="1" x14ac:dyDescent="0.25">
      <c r="A55" s="937" t="s">
        <v>2405</v>
      </c>
      <c r="B55" s="937"/>
      <c r="C55" s="937"/>
      <c r="D55" s="937"/>
      <c r="E55" s="937"/>
      <c r="F55" s="937"/>
      <c r="G55" s="940" t="s">
        <v>2406</v>
      </c>
      <c r="H55" s="940"/>
      <c r="I55" s="940"/>
      <c r="J55" s="940"/>
      <c r="K55" s="940"/>
      <c r="L55" s="940"/>
      <c r="M55" s="940"/>
      <c r="N55" s="940"/>
      <c r="O55" s="940"/>
      <c r="P55" s="940"/>
      <c r="Q55" s="940"/>
      <c r="R55" s="940"/>
      <c r="S55" s="940"/>
      <c r="T55" s="940"/>
      <c r="U55" s="940"/>
      <c r="V55" s="940"/>
      <c r="W55" s="940"/>
      <c r="X55" s="940"/>
      <c r="Y55" s="940"/>
      <c r="Z55" s="940"/>
      <c r="AA55" s="940"/>
      <c r="AB55" s="940"/>
      <c r="AC55" s="940"/>
      <c r="AD55" s="940"/>
      <c r="AE55" s="940"/>
      <c r="AF55" s="940"/>
      <c r="AG55" s="940"/>
      <c r="AH55" s="940"/>
      <c r="AI55" s="942"/>
      <c r="AJ55" s="942"/>
      <c r="AK55" s="942"/>
      <c r="AL55" s="942"/>
      <c r="AM55" s="942"/>
      <c r="AN55" s="942"/>
      <c r="AO55" s="942"/>
      <c r="AP55" s="942"/>
      <c r="AQ55" s="942"/>
      <c r="AR55" s="942"/>
      <c r="AS55" s="942"/>
      <c r="AT55" s="942"/>
      <c r="AU55" s="942"/>
      <c r="AV55" s="942"/>
      <c r="AW55" s="430"/>
      <c r="AX55" s="431"/>
      <c r="BB55" s="432">
        <f>SUM(AI55)</f>
        <v>0</v>
      </c>
      <c r="BC55" s="433"/>
      <c r="BD55" s="433">
        <f>$AP$55</f>
        <v>0</v>
      </c>
      <c r="BE55" s="433"/>
      <c r="BF55" s="433"/>
      <c r="BG55" s="433"/>
      <c r="BH55" s="433"/>
    </row>
    <row r="56" spans="1:60" ht="14.85" customHeight="1" x14ac:dyDescent="0.25">
      <c r="A56" s="428"/>
      <c r="B56" s="428"/>
      <c r="C56" s="428"/>
      <c r="D56" s="428"/>
      <c r="E56" s="428"/>
      <c r="F56" s="428"/>
      <c r="G56" s="428"/>
      <c r="H56" s="428"/>
      <c r="I56" s="428"/>
      <c r="J56" s="428"/>
      <c r="K56" s="428"/>
      <c r="L56" s="441"/>
      <c r="M56" s="441"/>
      <c r="N56" s="441"/>
      <c r="O56" s="441"/>
      <c r="P56" s="441"/>
      <c r="Q56" s="441"/>
      <c r="R56" s="441"/>
      <c r="S56" s="441"/>
      <c r="T56" s="441"/>
      <c r="U56" s="441"/>
      <c r="V56" s="441"/>
      <c r="W56" s="441"/>
      <c r="X56" s="430"/>
      <c r="Y56" s="430"/>
      <c r="Z56" s="430"/>
      <c r="AA56" s="430"/>
      <c r="AB56" s="430"/>
      <c r="AC56" s="430"/>
      <c r="AD56" s="430"/>
      <c r="AE56" s="430"/>
      <c r="AF56" s="430"/>
      <c r="AG56" s="430"/>
      <c r="AH56" s="430"/>
      <c r="AI56" s="430"/>
      <c r="AJ56" s="430"/>
      <c r="AK56" s="430"/>
      <c r="AL56" s="430"/>
      <c r="AM56" s="430"/>
      <c r="AN56" s="430"/>
      <c r="AO56" s="430"/>
      <c r="AP56" s="430"/>
      <c r="AQ56" s="430"/>
      <c r="AR56" s="430"/>
      <c r="AS56" s="430"/>
      <c r="AT56" s="430"/>
      <c r="AU56" s="430"/>
      <c r="AV56" s="430"/>
      <c r="AW56" s="430"/>
      <c r="BB56"/>
    </row>
    <row r="61" spans="1:60" ht="15.95" customHeight="1" x14ac:dyDescent="0.25">
      <c r="A61" s="422" t="s">
        <v>2372</v>
      </c>
      <c r="B61" s="423"/>
      <c r="C61" s="423"/>
      <c r="D61" s="423"/>
      <c r="E61" s="423"/>
      <c r="F61" s="423"/>
      <c r="G61" s="423"/>
      <c r="H61" s="423"/>
      <c r="I61" s="423"/>
      <c r="J61" s="423"/>
      <c r="K61" s="423"/>
      <c r="L61" s="423"/>
      <c r="M61" s="423"/>
      <c r="N61" s="423"/>
      <c r="O61" s="423"/>
      <c r="P61" s="423"/>
      <c r="Q61" s="424"/>
      <c r="AE61" s="193" t="s">
        <v>2327</v>
      </c>
      <c r="AG61" s="425"/>
      <c r="AH61" s="426" t="str">
        <f t="shared" ref="AH61:AO61" si="1">AH2</f>
        <v>2</v>
      </c>
      <c r="AI61" s="426" t="str">
        <f t="shared" si="1"/>
        <v>0</v>
      </c>
      <c r="AJ61" s="426" t="str">
        <f t="shared" si="1"/>
        <v>2</v>
      </c>
      <c r="AK61" s="426" t="str">
        <f t="shared" si="1"/>
        <v>0</v>
      </c>
      <c r="AL61" s="426" t="str">
        <f t="shared" si="1"/>
        <v>4</v>
      </c>
      <c r="AM61" s="426" t="str">
        <f t="shared" si="1"/>
        <v>7</v>
      </c>
      <c r="AN61" s="426" t="str">
        <f t="shared" si="1"/>
        <v>3</v>
      </c>
      <c r="AO61" s="426" t="str">
        <f t="shared" si="1"/>
        <v>4</v>
      </c>
      <c r="AP61" s="426"/>
      <c r="AQ61" s="426"/>
      <c r="AR61" s="425"/>
      <c r="BB61"/>
    </row>
    <row r="62" spans="1:60" ht="14.85" customHeight="1" x14ac:dyDescent="0.25">
      <c r="BB62"/>
    </row>
    <row r="63" spans="1:60" ht="14.1" customHeight="1" x14ac:dyDescent="0.25">
      <c r="AW63" s="365"/>
      <c r="BB63"/>
    </row>
    <row r="64" spans="1:60" s="428" customFormat="1" ht="14.85" customHeight="1" x14ac:dyDescent="0.25">
      <c r="A64" s="933" t="s">
        <v>2329</v>
      </c>
      <c r="B64" s="933"/>
      <c r="C64" s="933"/>
      <c r="D64" s="933"/>
      <c r="E64" s="933"/>
      <c r="F64" s="933"/>
      <c r="G64" s="933" t="s">
        <v>2330</v>
      </c>
      <c r="H64" s="933"/>
      <c r="I64" s="933"/>
      <c r="J64" s="933"/>
      <c r="K64" s="933"/>
      <c r="L64" s="933"/>
      <c r="M64" s="933"/>
      <c r="N64" s="933"/>
      <c r="O64" s="933"/>
      <c r="P64" s="933"/>
      <c r="Q64" s="933"/>
      <c r="R64" s="933"/>
      <c r="S64" s="933"/>
      <c r="T64" s="933"/>
      <c r="U64" s="933"/>
      <c r="V64" s="933"/>
      <c r="W64" s="933"/>
      <c r="X64" s="933"/>
      <c r="Y64" s="933"/>
      <c r="Z64" s="933"/>
      <c r="AA64" s="933"/>
      <c r="AB64" s="933"/>
      <c r="AC64" s="933"/>
      <c r="AD64" s="933"/>
      <c r="AE64" s="933"/>
      <c r="AF64" s="933"/>
      <c r="AG64" s="933"/>
      <c r="AH64" s="933"/>
      <c r="AI64" s="933" t="s">
        <v>1288</v>
      </c>
      <c r="AJ64" s="933"/>
      <c r="AK64" s="933"/>
      <c r="AL64" s="933"/>
      <c r="AM64" s="933"/>
      <c r="AN64" s="933"/>
      <c r="AO64" s="933"/>
      <c r="AP64" s="933"/>
      <c r="AQ64" s="933"/>
      <c r="AR64" s="933"/>
      <c r="AS64" s="933"/>
      <c r="AT64" s="933"/>
      <c r="AU64" s="933"/>
      <c r="AV64" s="933"/>
      <c r="AW64" s="365"/>
      <c r="BB64" s="429"/>
    </row>
    <row r="65" spans="1:60" s="428" customFormat="1" ht="30.75" customHeight="1" x14ac:dyDescent="0.25">
      <c r="A65" s="933"/>
      <c r="B65" s="933"/>
      <c r="C65" s="933"/>
      <c r="D65" s="933"/>
      <c r="E65" s="933"/>
      <c r="F65" s="933"/>
      <c r="G65" s="933"/>
      <c r="H65" s="933"/>
      <c r="I65" s="933"/>
      <c r="J65" s="933"/>
      <c r="K65" s="933"/>
      <c r="L65" s="933"/>
      <c r="M65" s="933"/>
      <c r="N65" s="933"/>
      <c r="O65" s="933"/>
      <c r="P65" s="933"/>
      <c r="Q65" s="933"/>
      <c r="R65" s="933"/>
      <c r="S65" s="933"/>
      <c r="T65" s="933"/>
      <c r="U65" s="933"/>
      <c r="V65" s="933"/>
      <c r="W65" s="933"/>
      <c r="X65" s="933"/>
      <c r="Y65" s="933"/>
      <c r="Z65" s="933"/>
      <c r="AA65" s="933"/>
      <c r="AB65" s="933"/>
      <c r="AC65" s="933"/>
      <c r="AD65" s="933"/>
      <c r="AE65" s="933"/>
      <c r="AF65" s="933"/>
      <c r="AG65" s="933"/>
      <c r="AH65" s="933"/>
      <c r="AI65" s="933"/>
      <c r="AJ65" s="933"/>
      <c r="AK65" s="933"/>
      <c r="AL65" s="933"/>
      <c r="AM65" s="933"/>
      <c r="AN65" s="933"/>
      <c r="AO65" s="933"/>
      <c r="AP65" s="933"/>
      <c r="AQ65" s="933"/>
      <c r="AR65" s="933"/>
      <c r="AS65" s="933"/>
      <c r="AT65" s="933"/>
      <c r="AU65" s="933"/>
      <c r="AV65" s="933"/>
      <c r="AW65" s="365"/>
      <c r="BB65" s="429"/>
    </row>
    <row r="66" spans="1:60" ht="45" customHeight="1" x14ac:dyDescent="0.25">
      <c r="A66" s="937" t="s">
        <v>2407</v>
      </c>
      <c r="B66" s="937"/>
      <c r="C66" s="937"/>
      <c r="D66" s="937"/>
      <c r="E66" s="937"/>
      <c r="F66" s="937"/>
      <c r="G66" s="940" t="s">
        <v>2408</v>
      </c>
      <c r="H66" s="940"/>
      <c r="I66" s="940"/>
      <c r="J66" s="940"/>
      <c r="K66" s="940"/>
      <c r="L66" s="940"/>
      <c r="M66" s="940"/>
      <c r="N66" s="940"/>
      <c r="O66" s="940"/>
      <c r="P66" s="940"/>
      <c r="Q66" s="940"/>
      <c r="R66" s="940"/>
      <c r="S66" s="940"/>
      <c r="T66" s="940"/>
      <c r="U66" s="940"/>
      <c r="V66" s="940"/>
      <c r="W66" s="940"/>
      <c r="X66" s="940"/>
      <c r="Y66" s="940"/>
      <c r="Z66" s="940"/>
      <c r="AA66" s="940"/>
      <c r="AB66" s="940"/>
      <c r="AC66" s="940"/>
      <c r="AD66" s="940"/>
      <c r="AE66" s="940"/>
      <c r="AF66" s="940"/>
      <c r="AG66" s="940"/>
      <c r="AH66" s="940"/>
      <c r="AI66" s="949"/>
      <c r="AJ66" s="949"/>
      <c r="AK66" s="949"/>
      <c r="AL66" s="949"/>
      <c r="AM66" s="949"/>
      <c r="AN66" s="949"/>
      <c r="AO66" s="949"/>
      <c r="AP66" s="949"/>
      <c r="AQ66" s="949"/>
      <c r="AR66" s="949"/>
      <c r="AS66" s="949"/>
      <c r="AT66" s="949"/>
      <c r="AU66" s="949"/>
      <c r="AV66" s="949"/>
      <c r="AW66" s="439"/>
      <c r="BB66" s="432">
        <f t="shared" ref="BB66:BB76" si="2">SUM(AI66)</f>
        <v>0</v>
      </c>
      <c r="BC66" s="440"/>
      <c r="BD66" s="440">
        <f>$AP$66</f>
        <v>0</v>
      </c>
      <c r="BE66" s="440"/>
      <c r="BF66" s="440"/>
      <c r="BG66" s="440"/>
      <c r="BH66" s="440"/>
    </row>
    <row r="67" spans="1:60" ht="45" customHeight="1" x14ac:dyDescent="0.25">
      <c r="A67" s="937" t="s">
        <v>2409</v>
      </c>
      <c r="B67" s="937"/>
      <c r="C67" s="937"/>
      <c r="D67" s="937"/>
      <c r="E67" s="937"/>
      <c r="F67" s="937"/>
      <c r="G67" s="940" t="s">
        <v>2410</v>
      </c>
      <c r="H67" s="940"/>
      <c r="I67" s="940"/>
      <c r="J67" s="940"/>
      <c r="K67" s="940"/>
      <c r="L67" s="940"/>
      <c r="M67" s="940"/>
      <c r="N67" s="940"/>
      <c r="O67" s="940"/>
      <c r="P67" s="940"/>
      <c r="Q67" s="940"/>
      <c r="R67" s="940"/>
      <c r="S67" s="940"/>
      <c r="T67" s="940"/>
      <c r="U67" s="940"/>
      <c r="V67" s="940"/>
      <c r="W67" s="940"/>
      <c r="X67" s="940"/>
      <c r="Y67" s="940"/>
      <c r="Z67" s="940"/>
      <c r="AA67" s="940"/>
      <c r="AB67" s="940"/>
      <c r="AC67" s="940"/>
      <c r="AD67" s="940"/>
      <c r="AE67" s="940"/>
      <c r="AF67" s="940"/>
      <c r="AG67" s="940"/>
      <c r="AH67" s="940"/>
      <c r="AI67" s="949"/>
      <c r="AJ67" s="949"/>
      <c r="AK67" s="949"/>
      <c r="AL67" s="949"/>
      <c r="AM67" s="949"/>
      <c r="AN67" s="949"/>
      <c r="AO67" s="949"/>
      <c r="AP67" s="949"/>
      <c r="AQ67" s="949"/>
      <c r="AR67" s="949"/>
      <c r="AS67" s="949"/>
      <c r="AT67" s="949"/>
      <c r="AU67" s="949"/>
      <c r="AV67" s="949"/>
      <c r="AW67" s="428"/>
      <c r="BB67" s="432">
        <f t="shared" si="2"/>
        <v>0</v>
      </c>
      <c r="BC67" s="440"/>
      <c r="BD67" s="440">
        <f>$AP$67</f>
        <v>0</v>
      </c>
      <c r="BE67" s="440"/>
      <c r="BF67" s="440"/>
      <c r="BG67" s="440"/>
      <c r="BH67" s="440"/>
    </row>
    <row r="68" spans="1:60" s="428" customFormat="1" ht="15.95" customHeight="1" x14ac:dyDescent="0.25">
      <c r="A68" s="937" t="s">
        <v>2411</v>
      </c>
      <c r="B68" s="937"/>
      <c r="C68" s="937"/>
      <c r="D68" s="937"/>
      <c r="E68" s="937"/>
      <c r="F68" s="937"/>
      <c r="G68" s="938" t="s">
        <v>2412</v>
      </c>
      <c r="H68" s="938"/>
      <c r="I68" s="938"/>
      <c r="J68" s="938"/>
      <c r="K68" s="938"/>
      <c r="L68" s="938"/>
      <c r="M68" s="938"/>
      <c r="N68" s="938"/>
      <c r="O68" s="938"/>
      <c r="P68" s="938"/>
      <c r="Q68" s="938"/>
      <c r="R68" s="938"/>
      <c r="S68" s="938"/>
      <c r="T68" s="938"/>
      <c r="U68" s="938"/>
      <c r="V68" s="938"/>
      <c r="W68" s="938"/>
      <c r="X68" s="938"/>
      <c r="Y68" s="938"/>
      <c r="Z68" s="938"/>
      <c r="AA68" s="938"/>
      <c r="AB68" s="938"/>
      <c r="AC68" s="938"/>
      <c r="AD68" s="938"/>
      <c r="AE68" s="938"/>
      <c r="AF68" s="938"/>
      <c r="AG68" s="938"/>
      <c r="AH68" s="938"/>
      <c r="AI68" s="949"/>
      <c r="AJ68" s="949"/>
      <c r="AK68" s="949"/>
      <c r="AL68" s="949"/>
      <c r="AM68" s="949"/>
      <c r="AN68" s="949"/>
      <c r="AO68" s="949"/>
      <c r="AP68" s="949"/>
      <c r="AQ68" s="949"/>
      <c r="AR68" s="949"/>
      <c r="AS68" s="949"/>
      <c r="AT68" s="949"/>
      <c r="AU68" s="949"/>
      <c r="AV68" s="949"/>
      <c r="AW68" s="430"/>
      <c r="AX68" s="431"/>
      <c r="BB68" s="432">
        <f t="shared" si="2"/>
        <v>0</v>
      </c>
      <c r="BC68" s="433"/>
      <c r="BD68" s="433">
        <f>$AP$68</f>
        <v>0</v>
      </c>
      <c r="BE68" s="433"/>
      <c r="BF68" s="433"/>
      <c r="BG68" s="433"/>
      <c r="BH68" s="433"/>
    </row>
    <row r="69" spans="1:60" ht="27.75" customHeight="1" x14ac:dyDescent="0.25">
      <c r="A69" s="937" t="s">
        <v>2413</v>
      </c>
      <c r="B69" s="937"/>
      <c r="C69" s="937"/>
      <c r="D69" s="937"/>
      <c r="E69" s="937"/>
      <c r="F69" s="937"/>
      <c r="G69" s="940" t="s">
        <v>2414</v>
      </c>
      <c r="H69" s="940"/>
      <c r="I69" s="940"/>
      <c r="J69" s="940"/>
      <c r="K69" s="940"/>
      <c r="L69" s="940"/>
      <c r="M69" s="940"/>
      <c r="N69" s="940"/>
      <c r="O69" s="940"/>
      <c r="P69" s="940"/>
      <c r="Q69" s="940"/>
      <c r="R69" s="940"/>
      <c r="S69" s="940"/>
      <c r="T69" s="940"/>
      <c r="U69" s="940"/>
      <c r="V69" s="940"/>
      <c r="W69" s="940"/>
      <c r="X69" s="940"/>
      <c r="Y69" s="940"/>
      <c r="Z69" s="940"/>
      <c r="AA69" s="940"/>
      <c r="AB69" s="940"/>
      <c r="AC69" s="940"/>
      <c r="AD69" s="940"/>
      <c r="AE69" s="940"/>
      <c r="AF69" s="940"/>
      <c r="AG69" s="940"/>
      <c r="AH69" s="940"/>
      <c r="AI69" s="949"/>
      <c r="AJ69" s="949"/>
      <c r="AK69" s="949"/>
      <c r="AL69" s="949"/>
      <c r="AM69" s="949"/>
      <c r="AN69" s="949"/>
      <c r="AO69" s="949"/>
      <c r="AP69" s="949"/>
      <c r="AQ69" s="949"/>
      <c r="AR69" s="949"/>
      <c r="AS69" s="949"/>
      <c r="AT69" s="949"/>
      <c r="AU69" s="949"/>
      <c r="AV69" s="949"/>
      <c r="AW69" s="428"/>
      <c r="BB69" s="432">
        <f t="shared" si="2"/>
        <v>0</v>
      </c>
      <c r="BC69" s="440"/>
      <c r="BD69" s="440">
        <f>$AP$69</f>
        <v>0</v>
      </c>
      <c r="BE69" s="440"/>
      <c r="BF69" s="440"/>
      <c r="BG69" s="440"/>
      <c r="BH69" s="440"/>
    </row>
    <row r="70" spans="1:60" ht="45" customHeight="1" x14ac:dyDescent="0.25">
      <c r="A70" s="937" t="s">
        <v>2415</v>
      </c>
      <c r="B70" s="937"/>
      <c r="C70" s="937"/>
      <c r="D70" s="937"/>
      <c r="E70" s="937"/>
      <c r="F70" s="937"/>
      <c r="G70" s="940" t="s">
        <v>2416</v>
      </c>
      <c r="H70" s="940"/>
      <c r="I70" s="940"/>
      <c r="J70" s="940"/>
      <c r="K70" s="940"/>
      <c r="L70" s="940"/>
      <c r="M70" s="940"/>
      <c r="N70" s="940"/>
      <c r="O70" s="940"/>
      <c r="P70" s="940"/>
      <c r="Q70" s="940"/>
      <c r="R70" s="940"/>
      <c r="S70" s="940"/>
      <c r="T70" s="940"/>
      <c r="U70" s="940"/>
      <c r="V70" s="940"/>
      <c r="W70" s="940"/>
      <c r="X70" s="940"/>
      <c r="Y70" s="940"/>
      <c r="Z70" s="940"/>
      <c r="AA70" s="940"/>
      <c r="AB70" s="940"/>
      <c r="AC70" s="940"/>
      <c r="AD70" s="940"/>
      <c r="AE70" s="940"/>
      <c r="AF70" s="940"/>
      <c r="AG70" s="940"/>
      <c r="AH70" s="940"/>
      <c r="AI70" s="949"/>
      <c r="AJ70" s="949"/>
      <c r="AK70" s="949"/>
      <c r="AL70" s="949"/>
      <c r="AM70" s="949"/>
      <c r="AN70" s="949"/>
      <c r="AO70" s="949"/>
      <c r="AP70" s="949"/>
      <c r="AQ70" s="949"/>
      <c r="AR70" s="949"/>
      <c r="AS70" s="949"/>
      <c r="AT70" s="949"/>
      <c r="AU70" s="949"/>
      <c r="AV70" s="949"/>
      <c r="AW70" s="439"/>
      <c r="BB70" s="432">
        <f t="shared" si="2"/>
        <v>0</v>
      </c>
      <c r="BC70" s="440"/>
      <c r="BD70" s="440">
        <f>$AP$70</f>
        <v>0</v>
      </c>
      <c r="BE70" s="440"/>
      <c r="BF70" s="440"/>
      <c r="BG70" s="440"/>
      <c r="BH70" s="440"/>
    </row>
    <row r="71" spans="1:60" ht="45" customHeight="1" x14ac:dyDescent="0.25">
      <c r="A71" s="937" t="s">
        <v>2417</v>
      </c>
      <c r="B71" s="937"/>
      <c r="C71" s="937"/>
      <c r="D71" s="937"/>
      <c r="E71" s="937"/>
      <c r="F71" s="937"/>
      <c r="G71" s="940" t="s">
        <v>2418</v>
      </c>
      <c r="H71" s="940"/>
      <c r="I71" s="940"/>
      <c r="J71" s="940"/>
      <c r="K71" s="940"/>
      <c r="L71" s="940"/>
      <c r="M71" s="940"/>
      <c r="N71" s="940"/>
      <c r="O71" s="940"/>
      <c r="P71" s="940"/>
      <c r="Q71" s="940"/>
      <c r="R71" s="940"/>
      <c r="S71" s="940"/>
      <c r="T71" s="940"/>
      <c r="U71" s="940"/>
      <c r="V71" s="940"/>
      <c r="W71" s="940"/>
      <c r="X71" s="940"/>
      <c r="Y71" s="940"/>
      <c r="Z71" s="940"/>
      <c r="AA71" s="940"/>
      <c r="AB71" s="940"/>
      <c r="AC71" s="940"/>
      <c r="AD71" s="940"/>
      <c r="AE71" s="940"/>
      <c r="AF71" s="940"/>
      <c r="AG71" s="940"/>
      <c r="AH71" s="940"/>
      <c r="AI71" s="949"/>
      <c r="AJ71" s="949"/>
      <c r="AK71" s="949"/>
      <c r="AL71" s="949"/>
      <c r="AM71" s="949"/>
      <c r="AN71" s="949"/>
      <c r="AO71" s="949"/>
      <c r="AP71" s="949"/>
      <c r="AQ71" s="949"/>
      <c r="AR71" s="949"/>
      <c r="AS71" s="949"/>
      <c r="AT71" s="949"/>
      <c r="AU71" s="949"/>
      <c r="AV71" s="949"/>
      <c r="AW71" s="439"/>
      <c r="BB71" s="432">
        <f t="shared" si="2"/>
        <v>0</v>
      </c>
      <c r="BC71" s="440"/>
      <c r="BD71" s="440">
        <f>$AP$71</f>
        <v>0</v>
      </c>
      <c r="BE71" s="440"/>
      <c r="BF71" s="440"/>
      <c r="BG71" s="440"/>
      <c r="BH71" s="440"/>
    </row>
    <row r="72" spans="1:60" ht="30" customHeight="1" x14ac:dyDescent="0.25">
      <c r="A72" s="937" t="s">
        <v>2419</v>
      </c>
      <c r="B72" s="937"/>
      <c r="C72" s="937"/>
      <c r="D72" s="937"/>
      <c r="E72" s="937"/>
      <c r="F72" s="937"/>
      <c r="G72" s="940" t="s">
        <v>2420</v>
      </c>
      <c r="H72" s="940"/>
      <c r="I72" s="940"/>
      <c r="J72" s="940"/>
      <c r="K72" s="940"/>
      <c r="L72" s="940"/>
      <c r="M72" s="940"/>
      <c r="N72" s="940"/>
      <c r="O72" s="940"/>
      <c r="P72" s="940"/>
      <c r="Q72" s="940"/>
      <c r="R72" s="940"/>
      <c r="S72" s="940"/>
      <c r="T72" s="940"/>
      <c r="U72" s="940"/>
      <c r="V72" s="940"/>
      <c r="W72" s="940"/>
      <c r="X72" s="940"/>
      <c r="Y72" s="940"/>
      <c r="Z72" s="940"/>
      <c r="AA72" s="940"/>
      <c r="AB72" s="940"/>
      <c r="AC72" s="940"/>
      <c r="AD72" s="940"/>
      <c r="AE72" s="940"/>
      <c r="AF72" s="940"/>
      <c r="AG72" s="940"/>
      <c r="AH72" s="940"/>
      <c r="AI72" s="949"/>
      <c r="AJ72" s="949"/>
      <c r="AK72" s="949"/>
      <c r="AL72" s="949"/>
      <c r="AM72" s="949"/>
      <c r="AN72" s="949"/>
      <c r="AO72" s="949"/>
      <c r="AP72" s="949"/>
      <c r="AQ72" s="949"/>
      <c r="AR72" s="949"/>
      <c r="AS72" s="949"/>
      <c r="AT72" s="949"/>
      <c r="AU72" s="949"/>
      <c r="AV72" s="949"/>
      <c r="AW72" s="430"/>
      <c r="BB72" s="432">
        <f t="shared" si="2"/>
        <v>0</v>
      </c>
      <c r="BC72" s="440"/>
      <c r="BD72" s="440">
        <f>$AP$72</f>
        <v>0</v>
      </c>
      <c r="BE72" s="440"/>
      <c r="BF72" s="440"/>
      <c r="BG72" s="440"/>
      <c r="BH72" s="440"/>
    </row>
    <row r="73" spans="1:60" s="428" customFormat="1" ht="15.95" customHeight="1" x14ac:dyDescent="0.25">
      <c r="A73" s="937" t="s">
        <v>2421</v>
      </c>
      <c r="B73" s="937"/>
      <c r="C73" s="937"/>
      <c r="D73" s="937"/>
      <c r="E73" s="937"/>
      <c r="F73" s="937"/>
      <c r="G73" s="938" t="s">
        <v>2422</v>
      </c>
      <c r="H73" s="938"/>
      <c r="I73" s="938"/>
      <c r="J73" s="938"/>
      <c r="K73" s="938"/>
      <c r="L73" s="938"/>
      <c r="M73" s="938"/>
      <c r="N73" s="938"/>
      <c r="O73" s="938"/>
      <c r="P73" s="938"/>
      <c r="Q73" s="938"/>
      <c r="R73" s="938"/>
      <c r="S73" s="938"/>
      <c r="T73" s="938"/>
      <c r="U73" s="938"/>
      <c r="V73" s="938"/>
      <c r="W73" s="938"/>
      <c r="X73" s="938"/>
      <c r="Y73" s="938"/>
      <c r="Z73" s="938"/>
      <c r="AA73" s="938"/>
      <c r="AB73" s="938"/>
      <c r="AC73" s="938"/>
      <c r="AD73" s="938"/>
      <c r="AE73" s="938"/>
      <c r="AF73" s="938"/>
      <c r="AG73" s="938"/>
      <c r="AH73" s="938"/>
      <c r="AI73" s="949"/>
      <c r="AJ73" s="949"/>
      <c r="AK73" s="949"/>
      <c r="AL73" s="949"/>
      <c r="AM73" s="949"/>
      <c r="AN73" s="949"/>
      <c r="AO73" s="949"/>
      <c r="AP73" s="949"/>
      <c r="AQ73" s="949"/>
      <c r="AR73" s="949"/>
      <c r="AS73" s="949"/>
      <c r="AT73" s="949"/>
      <c r="AU73" s="949"/>
      <c r="AV73" s="949"/>
      <c r="AW73" s="430"/>
      <c r="AX73" s="431"/>
      <c r="BB73" s="432">
        <f t="shared" si="2"/>
        <v>0</v>
      </c>
      <c r="BC73" s="433"/>
      <c r="BD73" s="433">
        <f>$AP$73</f>
        <v>0</v>
      </c>
      <c r="BE73" s="433"/>
      <c r="BF73" s="433"/>
      <c r="BG73" s="433"/>
      <c r="BH73" s="433"/>
    </row>
    <row r="74" spans="1:60" s="428" customFormat="1" ht="15.95" customHeight="1" x14ac:dyDescent="0.25">
      <c r="A74" s="937" t="s">
        <v>2423</v>
      </c>
      <c r="B74" s="937"/>
      <c r="C74" s="937"/>
      <c r="D74" s="937"/>
      <c r="E74" s="937"/>
      <c r="F74" s="937"/>
      <c r="G74" s="938" t="s">
        <v>2424</v>
      </c>
      <c r="H74" s="938"/>
      <c r="I74" s="938"/>
      <c r="J74" s="938"/>
      <c r="K74" s="938"/>
      <c r="L74" s="938"/>
      <c r="M74" s="938"/>
      <c r="N74" s="938"/>
      <c r="O74" s="938"/>
      <c r="P74" s="938"/>
      <c r="Q74" s="938"/>
      <c r="R74" s="938"/>
      <c r="S74" s="938"/>
      <c r="T74" s="938"/>
      <c r="U74" s="938"/>
      <c r="V74" s="938"/>
      <c r="W74" s="938"/>
      <c r="X74" s="938"/>
      <c r="Y74" s="938"/>
      <c r="Z74" s="938"/>
      <c r="AA74" s="938"/>
      <c r="AB74" s="938"/>
      <c r="AC74" s="938"/>
      <c r="AD74" s="938"/>
      <c r="AE74" s="938"/>
      <c r="AF74" s="938"/>
      <c r="AG74" s="938"/>
      <c r="AH74" s="938"/>
      <c r="AI74" s="949"/>
      <c r="AJ74" s="949"/>
      <c r="AK74" s="949"/>
      <c r="AL74" s="949"/>
      <c r="AM74" s="949"/>
      <c r="AN74" s="949"/>
      <c r="AO74" s="949"/>
      <c r="AP74" s="949"/>
      <c r="AQ74" s="949"/>
      <c r="AR74" s="949"/>
      <c r="AS74" s="949"/>
      <c r="AT74" s="949"/>
      <c r="AU74" s="949"/>
      <c r="AV74" s="949"/>
      <c r="AW74" s="430"/>
      <c r="AX74" s="431"/>
      <c r="BB74" s="432">
        <f t="shared" si="2"/>
        <v>0</v>
      </c>
      <c r="BC74" s="433"/>
      <c r="BD74" s="433">
        <f>$AP$74</f>
        <v>0</v>
      </c>
      <c r="BE74" s="433"/>
      <c r="BF74" s="433"/>
      <c r="BG74" s="433"/>
      <c r="BH74" s="433"/>
    </row>
    <row r="75" spans="1:60" s="428" customFormat="1" ht="15.95" customHeight="1" x14ac:dyDescent="0.25">
      <c r="A75" s="937" t="s">
        <v>2425</v>
      </c>
      <c r="B75" s="937"/>
      <c r="C75" s="937"/>
      <c r="D75" s="937"/>
      <c r="E75" s="937"/>
      <c r="F75" s="937"/>
      <c r="G75" s="938" t="s">
        <v>2426</v>
      </c>
      <c r="H75" s="938"/>
      <c r="I75" s="938"/>
      <c r="J75" s="938"/>
      <c r="K75" s="938"/>
      <c r="L75" s="938"/>
      <c r="M75" s="938"/>
      <c r="N75" s="938"/>
      <c r="O75" s="938"/>
      <c r="P75" s="938"/>
      <c r="Q75" s="938"/>
      <c r="R75" s="938"/>
      <c r="S75" s="938"/>
      <c r="T75" s="938"/>
      <c r="U75" s="938"/>
      <c r="V75" s="938"/>
      <c r="W75" s="938"/>
      <c r="X75" s="938"/>
      <c r="Y75" s="938"/>
      <c r="Z75" s="938"/>
      <c r="AA75" s="938"/>
      <c r="AB75" s="938"/>
      <c r="AC75" s="938"/>
      <c r="AD75" s="938"/>
      <c r="AE75" s="938"/>
      <c r="AF75" s="938"/>
      <c r="AG75" s="938"/>
      <c r="AH75" s="938"/>
      <c r="AI75" s="949"/>
      <c r="AJ75" s="949"/>
      <c r="AK75" s="949"/>
      <c r="AL75" s="949"/>
      <c r="AM75" s="949"/>
      <c r="AN75" s="949"/>
      <c r="AO75" s="949"/>
      <c r="AP75" s="949"/>
      <c r="AQ75" s="949"/>
      <c r="AR75" s="949"/>
      <c r="AS75" s="949"/>
      <c r="AT75" s="949"/>
      <c r="AU75" s="949"/>
      <c r="AV75" s="949"/>
      <c r="AW75" s="430"/>
      <c r="AX75" s="431"/>
      <c r="BB75" s="432">
        <f t="shared" si="2"/>
        <v>0</v>
      </c>
      <c r="BC75" s="433"/>
      <c r="BD75" s="433">
        <f>$AP$75</f>
        <v>0</v>
      </c>
      <c r="BE75" s="433"/>
      <c r="BF75" s="433"/>
      <c r="BG75" s="433"/>
      <c r="BH75" s="433"/>
    </row>
    <row r="76" spans="1:60" s="428" customFormat="1" ht="15.95" customHeight="1" x14ac:dyDescent="0.25">
      <c r="A76" s="937" t="s">
        <v>2427</v>
      </c>
      <c r="B76" s="937"/>
      <c r="C76" s="937"/>
      <c r="D76" s="937"/>
      <c r="E76" s="937"/>
      <c r="F76" s="937"/>
      <c r="G76" s="938" t="s">
        <v>2428</v>
      </c>
      <c r="H76" s="938"/>
      <c r="I76" s="938"/>
      <c r="J76" s="938"/>
      <c r="K76" s="938"/>
      <c r="L76" s="938"/>
      <c r="M76" s="938"/>
      <c r="N76" s="938"/>
      <c r="O76" s="938"/>
      <c r="P76" s="938"/>
      <c r="Q76" s="938"/>
      <c r="R76" s="938"/>
      <c r="S76" s="938"/>
      <c r="T76" s="938"/>
      <c r="U76" s="938"/>
      <c r="V76" s="938"/>
      <c r="W76" s="938"/>
      <c r="X76" s="938"/>
      <c r="Y76" s="938"/>
      <c r="Z76" s="938"/>
      <c r="AA76" s="938"/>
      <c r="AB76" s="938"/>
      <c r="AC76" s="938"/>
      <c r="AD76" s="938"/>
      <c r="AE76" s="938"/>
      <c r="AF76" s="938"/>
      <c r="AG76" s="938"/>
      <c r="AH76" s="938"/>
      <c r="AI76" s="949"/>
      <c r="AJ76" s="949"/>
      <c r="AK76" s="949"/>
      <c r="AL76" s="949"/>
      <c r="AM76" s="949"/>
      <c r="AN76" s="949"/>
      <c r="AO76" s="949"/>
      <c r="AP76" s="949"/>
      <c r="AQ76" s="949"/>
      <c r="AR76" s="949"/>
      <c r="AS76" s="949"/>
      <c r="AT76" s="949"/>
      <c r="AU76" s="949"/>
      <c r="AV76" s="949"/>
      <c r="AW76" s="430"/>
      <c r="AX76" s="431"/>
      <c r="BB76" s="432">
        <f t="shared" si="2"/>
        <v>0</v>
      </c>
      <c r="BC76" s="433"/>
      <c r="BD76" s="433">
        <f>$AP$76</f>
        <v>0</v>
      </c>
      <c r="BE76" s="433"/>
      <c r="BF76" s="433"/>
      <c r="BG76" s="433"/>
      <c r="BH76" s="433"/>
    </row>
    <row r="77" spans="1:60" ht="13.5" customHeight="1" x14ac:dyDescent="0.25">
      <c r="A77" s="937" t="s">
        <v>2186</v>
      </c>
      <c r="B77" s="937"/>
      <c r="C77" s="937"/>
      <c r="D77" s="937"/>
      <c r="E77" s="937"/>
      <c r="F77" s="937"/>
      <c r="G77" s="950" t="s">
        <v>2429</v>
      </c>
      <c r="H77" s="950"/>
      <c r="I77" s="950"/>
      <c r="J77" s="950"/>
      <c r="K77" s="950"/>
      <c r="L77" s="950"/>
      <c r="M77" s="950"/>
      <c r="N77" s="950"/>
      <c r="O77" s="950"/>
      <c r="P77" s="950"/>
      <c r="Q77" s="950"/>
      <c r="R77" s="950"/>
      <c r="S77" s="950"/>
      <c r="T77" s="950"/>
      <c r="U77" s="950"/>
      <c r="V77" s="950"/>
      <c r="W77" s="950"/>
      <c r="X77" s="950"/>
      <c r="Y77" s="950"/>
      <c r="Z77" s="950"/>
      <c r="AA77" s="950"/>
      <c r="AB77" s="950"/>
      <c r="AC77" s="950"/>
      <c r="AD77" s="950"/>
      <c r="AE77" s="950"/>
      <c r="AF77" s="950"/>
      <c r="AG77" s="950"/>
      <c r="AH77" s="950"/>
      <c r="AI77" s="951">
        <f>SUM(AI51+AI48+AI49+AI50+AI52+AI53+AI54+AI55+AI66+AI67+AI68+AI69+AI70+AI71+AI72+AI73+AI74+AI75+AI76)</f>
        <v>-6634</v>
      </c>
      <c r="AJ77" s="951"/>
      <c r="AK77" s="951"/>
      <c r="AL77" s="951"/>
      <c r="AM77" s="951"/>
      <c r="AN77" s="951"/>
      <c r="AO77" s="951"/>
      <c r="AP77" s="951"/>
      <c r="AQ77" s="951"/>
      <c r="AR77" s="951"/>
      <c r="AS77" s="951"/>
      <c r="AT77" s="951"/>
      <c r="AU77" s="951"/>
      <c r="AV77" s="951"/>
      <c r="AW77" s="442"/>
      <c r="BB77" s="432">
        <f>SUM(BB51+BB48+BB49+BB50+BB52+BB53+BB54+BB55+BB66+BB67+BB68+BB69+BB70+BB71+BB72+BB73+BB74+BB75+BB76)</f>
        <v>-6634</v>
      </c>
      <c r="BC77" s="440"/>
      <c r="BD77" s="432">
        <f>SUM(BD51+BD48+BD49+BD50+BD52+BD53+BD54+BD55+BD66+BD67+BD68+BD69+BD70+BD71+BD72+BD73+BD74+BD75+BD76)</f>
        <v>-15550</v>
      </c>
      <c r="BE77" s="440"/>
      <c r="BF77" s="440"/>
      <c r="BG77" s="440"/>
      <c r="BH77" s="440"/>
    </row>
    <row r="78" spans="1:60" ht="13.5" customHeight="1" x14ac:dyDescent="0.25">
      <c r="A78" s="937"/>
      <c r="B78" s="937"/>
      <c r="C78" s="937"/>
      <c r="D78" s="937"/>
      <c r="E78" s="937"/>
      <c r="F78" s="937"/>
      <c r="G78" s="950" t="s">
        <v>2430</v>
      </c>
      <c r="H78" s="950"/>
      <c r="I78" s="950"/>
      <c r="J78" s="950"/>
      <c r="K78" s="950"/>
      <c r="L78" s="950"/>
      <c r="M78" s="950"/>
      <c r="N78" s="950"/>
      <c r="O78" s="950"/>
      <c r="P78" s="950"/>
      <c r="Q78" s="950"/>
      <c r="R78" s="950"/>
      <c r="S78" s="950"/>
      <c r="T78" s="950"/>
      <c r="U78" s="950"/>
      <c r="V78" s="950"/>
      <c r="W78" s="950"/>
      <c r="X78" s="950"/>
      <c r="Y78" s="950"/>
      <c r="Z78" s="950"/>
      <c r="AA78" s="950"/>
      <c r="AB78" s="950"/>
      <c r="AC78" s="950"/>
      <c r="AD78" s="950"/>
      <c r="AE78" s="950"/>
      <c r="AF78" s="950"/>
      <c r="AG78" s="950"/>
      <c r="AH78" s="950"/>
      <c r="AI78" s="952"/>
      <c r="AJ78" s="952"/>
      <c r="AK78" s="952"/>
      <c r="AL78" s="952"/>
      <c r="AM78" s="952"/>
      <c r="AN78" s="952"/>
      <c r="AO78" s="952"/>
      <c r="AP78" s="952"/>
      <c r="AQ78" s="952"/>
      <c r="AR78" s="952"/>
      <c r="AS78" s="952"/>
      <c r="AT78" s="952"/>
      <c r="AU78" s="952"/>
      <c r="AV78" s="952"/>
      <c r="AW78" s="430"/>
      <c r="BB78" s="432">
        <f>SUM(AI78)</f>
        <v>0</v>
      </c>
      <c r="BC78" s="440"/>
      <c r="BD78" s="440"/>
      <c r="BE78" s="440"/>
      <c r="BF78" s="440"/>
      <c r="BG78" s="440"/>
      <c r="BH78" s="440"/>
    </row>
    <row r="79" spans="1:60" s="428" customFormat="1" ht="15.95" customHeight="1" x14ac:dyDescent="0.25">
      <c r="A79" s="937" t="s">
        <v>2431</v>
      </c>
      <c r="B79" s="937"/>
      <c r="C79" s="937"/>
      <c r="D79" s="937"/>
      <c r="E79" s="937"/>
      <c r="F79" s="937"/>
      <c r="G79" s="938" t="s">
        <v>2432</v>
      </c>
      <c r="H79" s="938"/>
      <c r="I79" s="938"/>
      <c r="J79" s="938"/>
      <c r="K79" s="938"/>
      <c r="L79" s="938"/>
      <c r="M79" s="938"/>
      <c r="N79" s="938"/>
      <c r="O79" s="938"/>
      <c r="P79" s="938"/>
      <c r="Q79" s="938"/>
      <c r="R79" s="938"/>
      <c r="S79" s="938"/>
      <c r="T79" s="938"/>
      <c r="U79" s="938"/>
      <c r="V79" s="938"/>
      <c r="W79" s="938"/>
      <c r="X79" s="938"/>
      <c r="Y79" s="938"/>
      <c r="Z79" s="938"/>
      <c r="AA79" s="938"/>
      <c r="AB79" s="938"/>
      <c r="AC79" s="938"/>
      <c r="AD79" s="938"/>
      <c r="AE79" s="938"/>
      <c r="AF79" s="938"/>
      <c r="AG79" s="938"/>
      <c r="AH79" s="938"/>
      <c r="AI79" s="951">
        <f>SUM(AI80+AI81+AI82+AI83-AI84-AI85-AI86-AI87)</f>
        <v>0</v>
      </c>
      <c r="AJ79" s="951"/>
      <c r="AK79" s="951"/>
      <c r="AL79" s="951"/>
      <c r="AM79" s="951"/>
      <c r="AN79" s="951"/>
      <c r="AO79" s="951"/>
      <c r="AP79" s="951"/>
      <c r="AQ79" s="951"/>
      <c r="AR79" s="951"/>
      <c r="AS79" s="951"/>
      <c r="AT79" s="951"/>
      <c r="AU79" s="951"/>
      <c r="AV79" s="951"/>
      <c r="AW79" s="430"/>
      <c r="AX79" s="431"/>
      <c r="BB79" s="432">
        <f>SUM(BB80+BB81+BB82+BB83-BB84-BB85-BB86-BB87)</f>
        <v>0</v>
      </c>
      <c r="BC79" s="433"/>
      <c r="BD79" s="432">
        <f>SUM(BD80+BD81+BD82+BD83-BD84-BD85-BD86-BD87)</f>
        <v>0</v>
      </c>
      <c r="BE79" s="433"/>
      <c r="BF79" s="433"/>
      <c r="BG79" s="433"/>
      <c r="BH79" s="433"/>
    </row>
    <row r="80" spans="1:60" ht="15.95" customHeight="1" x14ac:dyDescent="0.25">
      <c r="A80" s="937" t="s">
        <v>2433</v>
      </c>
      <c r="B80" s="937"/>
      <c r="C80" s="937"/>
      <c r="D80" s="937"/>
      <c r="E80" s="937"/>
      <c r="F80" s="937"/>
      <c r="G80" s="938" t="s">
        <v>2434</v>
      </c>
      <c r="H80" s="938"/>
      <c r="I80" s="938"/>
      <c r="J80" s="938"/>
      <c r="K80" s="938"/>
      <c r="L80" s="938"/>
      <c r="M80" s="938"/>
      <c r="N80" s="938"/>
      <c r="O80" s="938"/>
      <c r="P80" s="938"/>
      <c r="Q80" s="938"/>
      <c r="R80" s="938"/>
      <c r="S80" s="938"/>
      <c r="T80" s="938"/>
      <c r="U80" s="938"/>
      <c r="V80" s="938"/>
      <c r="W80" s="938"/>
      <c r="X80" s="938"/>
      <c r="Y80" s="938"/>
      <c r="Z80" s="938"/>
      <c r="AA80" s="938"/>
      <c r="AB80" s="938"/>
      <c r="AC80" s="938"/>
      <c r="AD80" s="938"/>
      <c r="AE80" s="938"/>
      <c r="AF80" s="938"/>
      <c r="AG80" s="938"/>
      <c r="AH80" s="938"/>
      <c r="AI80" s="949"/>
      <c r="AJ80" s="949"/>
      <c r="AK80" s="949"/>
      <c r="AL80" s="949"/>
      <c r="AM80" s="949"/>
      <c r="AN80" s="949"/>
      <c r="AO80" s="949"/>
      <c r="AP80" s="949"/>
      <c r="AQ80" s="949"/>
      <c r="AR80" s="949"/>
      <c r="AS80" s="949"/>
      <c r="AT80" s="949"/>
      <c r="AU80" s="949"/>
      <c r="AV80" s="949"/>
      <c r="AW80" s="430"/>
      <c r="AX80" s="431"/>
      <c r="BB80" s="432">
        <f t="shared" ref="BB80:BB87" si="3">SUM(AI80)</f>
        <v>0</v>
      </c>
      <c r="BC80" s="433"/>
      <c r="BD80" s="433">
        <f>$AP$80</f>
        <v>0</v>
      </c>
      <c r="BE80" s="433"/>
      <c r="BF80" s="433"/>
      <c r="BG80" s="433"/>
      <c r="BH80" s="433"/>
    </row>
    <row r="81" spans="1:60" ht="28.5" customHeight="1" x14ac:dyDescent="0.25">
      <c r="A81" s="937" t="s">
        <v>2435</v>
      </c>
      <c r="B81" s="937"/>
      <c r="C81" s="937"/>
      <c r="D81" s="937"/>
      <c r="E81" s="937"/>
      <c r="F81" s="937"/>
      <c r="G81" s="940" t="s">
        <v>2436</v>
      </c>
      <c r="H81" s="940"/>
      <c r="I81" s="940"/>
      <c r="J81" s="940"/>
      <c r="K81" s="940"/>
      <c r="L81" s="940"/>
      <c r="M81" s="940"/>
      <c r="N81" s="940"/>
      <c r="O81" s="940"/>
      <c r="P81" s="940"/>
      <c r="Q81" s="940"/>
      <c r="R81" s="940"/>
      <c r="S81" s="940"/>
      <c r="T81" s="940"/>
      <c r="U81" s="940"/>
      <c r="V81" s="940"/>
      <c r="W81" s="940"/>
      <c r="X81" s="940"/>
      <c r="Y81" s="940"/>
      <c r="Z81" s="940"/>
      <c r="AA81" s="940"/>
      <c r="AB81" s="940"/>
      <c r="AC81" s="940"/>
      <c r="AD81" s="940"/>
      <c r="AE81" s="940"/>
      <c r="AF81" s="940"/>
      <c r="AG81" s="940"/>
      <c r="AH81" s="940"/>
      <c r="AI81" s="949"/>
      <c r="AJ81" s="949"/>
      <c r="AK81" s="949"/>
      <c r="AL81" s="949"/>
      <c r="AM81" s="949"/>
      <c r="AN81" s="949"/>
      <c r="AO81" s="949"/>
      <c r="AP81" s="949"/>
      <c r="AQ81" s="949"/>
      <c r="AR81" s="949"/>
      <c r="AS81" s="949"/>
      <c r="AT81" s="949"/>
      <c r="AU81" s="949"/>
      <c r="AV81" s="949"/>
      <c r="AW81" s="430"/>
      <c r="BB81" s="432">
        <f t="shared" si="3"/>
        <v>0</v>
      </c>
      <c r="BC81" s="440"/>
      <c r="BD81" s="440">
        <f>$AP$81</f>
        <v>0</v>
      </c>
      <c r="BE81" s="440"/>
      <c r="BF81" s="440"/>
      <c r="BG81" s="440"/>
      <c r="BH81" s="440"/>
    </row>
    <row r="82" spans="1:60" ht="14.85" customHeight="1" x14ac:dyDescent="0.25">
      <c r="A82" s="937" t="s">
        <v>2437</v>
      </c>
      <c r="B82" s="937"/>
      <c r="C82" s="937"/>
      <c r="D82" s="937"/>
      <c r="E82" s="937"/>
      <c r="F82" s="937"/>
      <c r="G82" s="940" t="s">
        <v>2438</v>
      </c>
      <c r="H82" s="940"/>
      <c r="I82" s="940"/>
      <c r="J82" s="940"/>
      <c r="K82" s="940"/>
      <c r="L82" s="940"/>
      <c r="M82" s="940"/>
      <c r="N82" s="940"/>
      <c r="O82" s="940"/>
      <c r="P82" s="940"/>
      <c r="Q82" s="940"/>
      <c r="R82" s="940"/>
      <c r="S82" s="940"/>
      <c r="T82" s="940"/>
      <c r="U82" s="940"/>
      <c r="V82" s="940"/>
      <c r="W82" s="940"/>
      <c r="X82" s="940"/>
      <c r="Y82" s="940"/>
      <c r="Z82" s="940"/>
      <c r="AA82" s="940"/>
      <c r="AB82" s="940"/>
      <c r="AC82" s="940"/>
      <c r="AD82" s="940"/>
      <c r="AE82" s="940"/>
      <c r="AF82" s="940"/>
      <c r="AG82" s="940"/>
      <c r="AH82" s="940"/>
      <c r="AI82" s="949"/>
      <c r="AJ82" s="949"/>
      <c r="AK82" s="949"/>
      <c r="AL82" s="949"/>
      <c r="AM82" s="949"/>
      <c r="AN82" s="949"/>
      <c r="AO82" s="949"/>
      <c r="AP82" s="949"/>
      <c r="AQ82" s="949"/>
      <c r="AR82" s="949"/>
      <c r="AS82" s="949"/>
      <c r="AT82" s="949"/>
      <c r="AU82" s="949"/>
      <c r="AV82" s="949"/>
      <c r="AW82" s="430"/>
      <c r="BB82" s="432">
        <f t="shared" si="3"/>
        <v>0</v>
      </c>
      <c r="BC82" s="440"/>
      <c r="BD82" s="440">
        <f>$AP$82</f>
        <v>0</v>
      </c>
      <c r="BE82" s="440"/>
      <c r="BF82" s="440"/>
      <c r="BG82" s="440"/>
      <c r="BH82" s="440"/>
    </row>
    <row r="83" spans="1:60" ht="13.5" customHeight="1" x14ac:dyDescent="0.25">
      <c r="A83" s="937" t="s">
        <v>2439</v>
      </c>
      <c r="B83" s="937"/>
      <c r="C83" s="937"/>
      <c r="D83" s="937"/>
      <c r="E83" s="937"/>
      <c r="F83" s="937"/>
      <c r="G83" s="940" t="s">
        <v>2440</v>
      </c>
      <c r="H83" s="940"/>
      <c r="I83" s="940"/>
      <c r="J83" s="940"/>
      <c r="K83" s="940"/>
      <c r="L83" s="940"/>
      <c r="M83" s="940"/>
      <c r="N83" s="940"/>
      <c r="O83" s="940"/>
      <c r="P83" s="940"/>
      <c r="Q83" s="940"/>
      <c r="R83" s="940"/>
      <c r="S83" s="940"/>
      <c r="T83" s="940"/>
      <c r="U83" s="940"/>
      <c r="V83" s="940"/>
      <c r="W83" s="940"/>
      <c r="X83" s="940"/>
      <c r="Y83" s="940"/>
      <c r="Z83" s="940"/>
      <c r="AA83" s="940"/>
      <c r="AB83" s="940"/>
      <c r="AC83" s="940"/>
      <c r="AD83" s="940"/>
      <c r="AE83" s="940"/>
      <c r="AF83" s="940"/>
      <c r="AG83" s="940"/>
      <c r="AH83" s="940"/>
      <c r="AI83" s="949"/>
      <c r="AJ83" s="949"/>
      <c r="AK83" s="949"/>
      <c r="AL83" s="949"/>
      <c r="AM83" s="949"/>
      <c r="AN83" s="949"/>
      <c r="AO83" s="949"/>
      <c r="AP83" s="949"/>
      <c r="AQ83" s="949"/>
      <c r="AR83" s="949"/>
      <c r="AS83" s="949"/>
      <c r="AT83" s="949"/>
      <c r="AU83" s="949"/>
      <c r="AV83" s="949"/>
      <c r="AW83" s="430"/>
      <c r="BB83" s="432">
        <f t="shared" si="3"/>
        <v>0</v>
      </c>
      <c r="BC83" s="440"/>
      <c r="BD83" s="440">
        <f>$AP$83</f>
        <v>0</v>
      </c>
      <c r="BE83" s="440"/>
      <c r="BF83" s="440"/>
      <c r="BG83" s="440"/>
      <c r="BH83" s="440"/>
    </row>
    <row r="84" spans="1:60" ht="30" customHeight="1" x14ac:dyDescent="0.25">
      <c r="A84" s="937" t="s">
        <v>2441</v>
      </c>
      <c r="B84" s="937"/>
      <c r="C84" s="937"/>
      <c r="D84" s="937"/>
      <c r="E84" s="937"/>
      <c r="F84" s="937"/>
      <c r="G84" s="940" t="s">
        <v>2442</v>
      </c>
      <c r="H84" s="940"/>
      <c r="I84" s="940"/>
      <c r="J84" s="940"/>
      <c r="K84" s="940"/>
      <c r="L84" s="940"/>
      <c r="M84" s="940"/>
      <c r="N84" s="940"/>
      <c r="O84" s="940"/>
      <c r="P84" s="940"/>
      <c r="Q84" s="940"/>
      <c r="R84" s="940"/>
      <c r="S84" s="940"/>
      <c r="T84" s="940"/>
      <c r="U84" s="940"/>
      <c r="V84" s="940"/>
      <c r="W84" s="940"/>
      <c r="X84" s="940"/>
      <c r="Y84" s="940"/>
      <c r="Z84" s="940"/>
      <c r="AA84" s="940"/>
      <c r="AB84" s="940"/>
      <c r="AC84" s="940"/>
      <c r="AD84" s="940"/>
      <c r="AE84" s="940"/>
      <c r="AF84" s="940"/>
      <c r="AG84" s="940"/>
      <c r="AH84" s="940"/>
      <c r="AI84" s="949"/>
      <c r="AJ84" s="949"/>
      <c r="AK84" s="949"/>
      <c r="AL84" s="949"/>
      <c r="AM84" s="949"/>
      <c r="AN84" s="949"/>
      <c r="AO84" s="949"/>
      <c r="AP84" s="949"/>
      <c r="AQ84" s="949"/>
      <c r="AR84" s="949"/>
      <c r="AS84" s="949"/>
      <c r="AT84" s="949"/>
      <c r="AU84" s="949"/>
      <c r="AV84" s="949"/>
      <c r="AW84" s="430"/>
      <c r="BB84" s="432">
        <f t="shared" si="3"/>
        <v>0</v>
      </c>
      <c r="BC84" s="440"/>
      <c r="BD84" s="440">
        <f>$AP$84</f>
        <v>0</v>
      </c>
      <c r="BE84" s="440"/>
      <c r="BF84" s="440"/>
      <c r="BG84" s="440"/>
      <c r="BH84" s="440"/>
    </row>
    <row r="85" spans="1:60" s="428" customFormat="1" ht="15.95" customHeight="1" x14ac:dyDescent="0.25">
      <c r="A85" s="937" t="s">
        <v>2443</v>
      </c>
      <c r="B85" s="937"/>
      <c r="C85" s="937"/>
      <c r="D85" s="937"/>
      <c r="E85" s="937"/>
      <c r="F85" s="937"/>
      <c r="G85" s="938" t="s">
        <v>2444</v>
      </c>
      <c r="H85" s="938"/>
      <c r="I85" s="938"/>
      <c r="J85" s="938"/>
      <c r="K85" s="938"/>
      <c r="L85" s="938"/>
      <c r="M85" s="938"/>
      <c r="N85" s="938"/>
      <c r="O85" s="938"/>
      <c r="P85" s="938"/>
      <c r="Q85" s="938"/>
      <c r="R85" s="938"/>
      <c r="S85" s="938"/>
      <c r="T85" s="938"/>
      <c r="U85" s="938"/>
      <c r="V85" s="938"/>
      <c r="W85" s="938"/>
      <c r="X85" s="938"/>
      <c r="Y85" s="938"/>
      <c r="Z85" s="938"/>
      <c r="AA85" s="938"/>
      <c r="AB85" s="938"/>
      <c r="AC85" s="938"/>
      <c r="AD85" s="938"/>
      <c r="AE85" s="938"/>
      <c r="AF85" s="938"/>
      <c r="AG85" s="938"/>
      <c r="AH85" s="938"/>
      <c r="AI85" s="949"/>
      <c r="AJ85" s="949"/>
      <c r="AK85" s="949"/>
      <c r="AL85" s="949"/>
      <c r="AM85" s="949"/>
      <c r="AN85" s="949"/>
      <c r="AO85" s="949"/>
      <c r="AP85" s="949"/>
      <c r="AQ85" s="949"/>
      <c r="AR85" s="949"/>
      <c r="AS85" s="949"/>
      <c r="AT85" s="949"/>
      <c r="AU85" s="949"/>
      <c r="AV85" s="949"/>
      <c r="AW85" s="430"/>
      <c r="AX85" s="431"/>
      <c r="BB85" s="432">
        <f t="shared" si="3"/>
        <v>0</v>
      </c>
      <c r="BC85" s="433"/>
      <c r="BD85" s="433">
        <f>$AP$85</f>
        <v>0</v>
      </c>
      <c r="BE85" s="433"/>
      <c r="BF85" s="433"/>
      <c r="BG85" s="433"/>
      <c r="BH85" s="433"/>
    </row>
    <row r="86" spans="1:60" ht="30" customHeight="1" x14ac:dyDescent="0.25">
      <c r="A86" s="937" t="s">
        <v>2445</v>
      </c>
      <c r="B86" s="937"/>
      <c r="C86" s="937"/>
      <c r="D86" s="937"/>
      <c r="E86" s="937"/>
      <c r="F86" s="937"/>
      <c r="G86" s="940" t="s">
        <v>2446</v>
      </c>
      <c r="H86" s="940"/>
      <c r="I86" s="940"/>
      <c r="J86" s="940"/>
      <c r="K86" s="940"/>
      <c r="L86" s="940"/>
      <c r="M86" s="940"/>
      <c r="N86" s="940"/>
      <c r="O86" s="940"/>
      <c r="P86" s="940"/>
      <c r="Q86" s="940"/>
      <c r="R86" s="940"/>
      <c r="S86" s="940"/>
      <c r="T86" s="940"/>
      <c r="U86" s="940"/>
      <c r="V86" s="940"/>
      <c r="W86" s="940"/>
      <c r="X86" s="940"/>
      <c r="Y86" s="940"/>
      <c r="Z86" s="940"/>
      <c r="AA86" s="940"/>
      <c r="AB86" s="940"/>
      <c r="AC86" s="940"/>
      <c r="AD86" s="940"/>
      <c r="AE86" s="940"/>
      <c r="AF86" s="940"/>
      <c r="AG86" s="940"/>
      <c r="AH86" s="940"/>
      <c r="AI86" s="949"/>
      <c r="AJ86" s="949"/>
      <c r="AK86" s="949"/>
      <c r="AL86" s="949"/>
      <c r="AM86" s="949"/>
      <c r="AN86" s="949"/>
      <c r="AO86" s="949"/>
      <c r="AP86" s="949"/>
      <c r="AQ86" s="949"/>
      <c r="AR86" s="949"/>
      <c r="AS86" s="949"/>
      <c r="AT86" s="949"/>
      <c r="AU86" s="949"/>
      <c r="AV86" s="949"/>
      <c r="AW86" s="430"/>
      <c r="BB86" s="432">
        <f t="shared" si="3"/>
        <v>0</v>
      </c>
      <c r="BC86" s="440"/>
      <c r="BD86" s="440">
        <f>$AP$86</f>
        <v>0</v>
      </c>
      <c r="BE86" s="440"/>
      <c r="BF86" s="440"/>
      <c r="BG86" s="440"/>
      <c r="BH86" s="440"/>
    </row>
    <row r="87" spans="1:60" s="428" customFormat="1" ht="15.95" customHeight="1" x14ac:dyDescent="0.25">
      <c r="A87" s="937" t="s">
        <v>2447</v>
      </c>
      <c r="B87" s="937"/>
      <c r="C87" s="937"/>
      <c r="D87" s="937"/>
      <c r="E87" s="937"/>
      <c r="F87" s="937"/>
      <c r="G87" s="938" t="s">
        <v>2448</v>
      </c>
      <c r="H87" s="938"/>
      <c r="I87" s="938"/>
      <c r="J87" s="938"/>
      <c r="K87" s="938"/>
      <c r="L87" s="938"/>
      <c r="M87" s="938"/>
      <c r="N87" s="938"/>
      <c r="O87" s="938"/>
      <c r="P87" s="938"/>
      <c r="Q87" s="938"/>
      <c r="R87" s="938"/>
      <c r="S87" s="938"/>
      <c r="T87" s="938"/>
      <c r="U87" s="938"/>
      <c r="V87" s="938"/>
      <c r="W87" s="938"/>
      <c r="X87" s="938"/>
      <c r="Y87" s="938"/>
      <c r="Z87" s="938"/>
      <c r="AA87" s="938"/>
      <c r="AB87" s="938"/>
      <c r="AC87" s="938"/>
      <c r="AD87" s="938"/>
      <c r="AE87" s="938"/>
      <c r="AF87" s="938"/>
      <c r="AG87" s="938"/>
      <c r="AH87" s="938"/>
      <c r="AI87" s="949"/>
      <c r="AJ87" s="949"/>
      <c r="AK87" s="949"/>
      <c r="AL87" s="949"/>
      <c r="AM87" s="949"/>
      <c r="AN87" s="949"/>
      <c r="AO87" s="949"/>
      <c r="AP87" s="949"/>
      <c r="AQ87" s="949"/>
      <c r="AR87" s="949"/>
      <c r="AS87" s="949"/>
      <c r="AT87" s="949"/>
      <c r="AU87" s="949"/>
      <c r="AV87" s="949"/>
      <c r="AW87" s="430"/>
      <c r="AX87" s="431"/>
      <c r="BB87" s="432">
        <f t="shared" si="3"/>
        <v>0</v>
      </c>
      <c r="BC87" s="433"/>
      <c r="BD87" s="433">
        <f>$AP$87</f>
        <v>0</v>
      </c>
      <c r="BE87" s="433"/>
      <c r="BF87" s="433"/>
      <c r="BG87" s="433"/>
      <c r="BH87" s="433"/>
    </row>
    <row r="88" spans="1:60" ht="14.85" customHeight="1" x14ac:dyDescent="0.25">
      <c r="A88" s="443"/>
      <c r="H88" s="430"/>
      <c r="I88" s="430"/>
      <c r="J88" s="430"/>
      <c r="K88" s="430"/>
      <c r="L88" s="430"/>
      <c r="M88" s="430"/>
      <c r="N88" s="430"/>
      <c r="O88" s="430"/>
      <c r="P88" s="430"/>
      <c r="Q88" s="430"/>
      <c r="R88" s="430"/>
      <c r="S88" s="430"/>
      <c r="T88" s="430"/>
      <c r="U88" s="430"/>
      <c r="V88" s="430"/>
      <c r="W88" s="430"/>
      <c r="X88" s="430"/>
      <c r="Y88" s="430"/>
      <c r="Z88" s="430"/>
      <c r="AA88" s="430"/>
      <c r="AB88" s="430"/>
      <c r="AC88" s="430"/>
      <c r="AD88" s="430"/>
      <c r="AE88" s="430"/>
      <c r="AF88" s="430"/>
      <c r="AG88" s="430"/>
      <c r="AH88" s="430"/>
      <c r="AI88" s="430"/>
      <c r="AJ88" s="430"/>
      <c r="AK88" s="430"/>
      <c r="AL88" s="430"/>
      <c r="AM88" s="430"/>
      <c r="AN88" s="430"/>
      <c r="AO88" s="430"/>
      <c r="AP88" s="430"/>
      <c r="AQ88" s="430"/>
      <c r="AR88" s="430"/>
      <c r="AS88" s="430"/>
      <c r="AT88" s="430"/>
      <c r="AU88" s="430"/>
      <c r="AV88" s="430"/>
      <c r="AW88" s="430"/>
      <c r="AY88" s="428"/>
      <c r="AZ88" s="428"/>
      <c r="BA88" s="428"/>
      <c r="BB88" s="429"/>
    </row>
    <row r="89" spans="1:60" ht="14.85" customHeight="1" x14ac:dyDescent="0.25">
      <c r="AY89" s="428"/>
      <c r="AZ89" s="428"/>
      <c r="BA89" s="428"/>
      <c r="BB89" s="429"/>
    </row>
    <row r="90" spans="1:60" ht="14.85" customHeight="1" x14ac:dyDescent="0.25">
      <c r="A90" s="428"/>
      <c r="BB90"/>
    </row>
    <row r="92" spans="1:60" ht="15.95" customHeight="1" x14ac:dyDescent="0.25">
      <c r="A92" s="422" t="s">
        <v>2372</v>
      </c>
      <c r="B92" s="423"/>
      <c r="C92" s="423"/>
      <c r="D92" s="423"/>
      <c r="E92" s="423"/>
      <c r="F92" s="423"/>
      <c r="G92" s="423"/>
      <c r="H92" s="423"/>
      <c r="I92" s="423"/>
      <c r="J92" s="423"/>
      <c r="K92" s="423"/>
      <c r="L92" s="423"/>
      <c r="M92" s="423"/>
      <c r="N92" s="423"/>
      <c r="O92" s="423"/>
      <c r="P92" s="423"/>
      <c r="Q92" s="424"/>
      <c r="AE92" s="193" t="s">
        <v>2327</v>
      </c>
      <c r="AG92" s="425"/>
      <c r="AH92" s="426" t="str">
        <f t="shared" ref="AH92:AO92" si="4">AH2</f>
        <v>2</v>
      </c>
      <c r="AI92" s="426" t="str">
        <f t="shared" si="4"/>
        <v>0</v>
      </c>
      <c r="AJ92" s="426" t="str">
        <f t="shared" si="4"/>
        <v>2</v>
      </c>
      <c r="AK92" s="426" t="str">
        <f t="shared" si="4"/>
        <v>0</v>
      </c>
      <c r="AL92" s="426" t="str">
        <f t="shared" si="4"/>
        <v>4</v>
      </c>
      <c r="AM92" s="426" t="str">
        <f t="shared" si="4"/>
        <v>7</v>
      </c>
      <c r="AN92" s="426" t="str">
        <f t="shared" si="4"/>
        <v>3</v>
      </c>
      <c r="AO92" s="426" t="str">
        <f t="shared" si="4"/>
        <v>4</v>
      </c>
      <c r="AP92" s="426"/>
      <c r="AQ92" s="426"/>
      <c r="AR92" s="425"/>
      <c r="BB92"/>
    </row>
    <row r="93" spans="1:60" ht="14.85" customHeight="1" x14ac:dyDescent="0.25">
      <c r="BB93"/>
    </row>
    <row r="94" spans="1:60" s="428" customFormat="1" ht="14.85" customHeight="1" x14ac:dyDescent="0.25">
      <c r="A94" s="933" t="s">
        <v>2329</v>
      </c>
      <c r="B94" s="933"/>
      <c r="C94" s="933"/>
      <c r="D94" s="933"/>
      <c r="E94" s="933"/>
      <c r="F94" s="933"/>
      <c r="G94" s="933" t="s">
        <v>2330</v>
      </c>
      <c r="H94" s="933"/>
      <c r="I94" s="933"/>
      <c r="J94" s="933"/>
      <c r="K94" s="933"/>
      <c r="L94" s="933"/>
      <c r="M94" s="933"/>
      <c r="N94" s="933"/>
      <c r="O94" s="933"/>
      <c r="P94" s="933"/>
      <c r="Q94" s="933"/>
      <c r="R94" s="933"/>
      <c r="S94" s="933"/>
      <c r="T94" s="933"/>
      <c r="U94" s="933"/>
      <c r="V94" s="933"/>
      <c r="W94" s="933"/>
      <c r="X94" s="933"/>
      <c r="Y94" s="933"/>
      <c r="Z94" s="933"/>
      <c r="AA94" s="933"/>
      <c r="AB94" s="933"/>
      <c r="AC94" s="933"/>
      <c r="AD94" s="933"/>
      <c r="AE94" s="933"/>
      <c r="AF94" s="933"/>
      <c r="AG94" s="933"/>
      <c r="AH94" s="933"/>
      <c r="AI94" s="933" t="s">
        <v>1288</v>
      </c>
      <c r="AJ94" s="933"/>
      <c r="AK94" s="933"/>
      <c r="AL94" s="933"/>
      <c r="AM94" s="933"/>
      <c r="AN94" s="933"/>
      <c r="AO94" s="933"/>
      <c r="AP94" s="933"/>
      <c r="AQ94" s="933"/>
      <c r="AR94" s="933"/>
      <c r="AS94" s="933"/>
      <c r="AT94" s="933"/>
      <c r="AU94" s="933"/>
      <c r="AV94" s="933"/>
      <c r="AW94" s="365"/>
      <c r="BB94" s="429"/>
    </row>
    <row r="95" spans="1:60" s="428" customFormat="1" ht="30.75" customHeight="1" x14ac:dyDescent="0.25">
      <c r="A95" s="933"/>
      <c r="B95" s="933"/>
      <c r="C95" s="933"/>
      <c r="D95" s="933"/>
      <c r="E95" s="933"/>
      <c r="F95" s="933"/>
      <c r="G95" s="933"/>
      <c r="H95" s="933"/>
      <c r="I95" s="933"/>
      <c r="J95" s="933"/>
      <c r="K95" s="933"/>
      <c r="L95" s="933"/>
      <c r="M95" s="933"/>
      <c r="N95" s="933"/>
      <c r="O95" s="933"/>
      <c r="P95" s="933"/>
      <c r="Q95" s="933"/>
      <c r="R95" s="933"/>
      <c r="S95" s="933"/>
      <c r="T95" s="933"/>
      <c r="U95" s="933"/>
      <c r="V95" s="933"/>
      <c r="W95" s="933"/>
      <c r="X95" s="933"/>
      <c r="Y95" s="933"/>
      <c r="Z95" s="933"/>
      <c r="AA95" s="933"/>
      <c r="AB95" s="933"/>
      <c r="AC95" s="933"/>
      <c r="AD95" s="933"/>
      <c r="AE95" s="933"/>
      <c r="AF95" s="933"/>
      <c r="AG95" s="933"/>
      <c r="AH95" s="933"/>
      <c r="AI95" s="933"/>
      <c r="AJ95" s="933"/>
      <c r="AK95" s="933"/>
      <c r="AL95" s="933"/>
      <c r="AM95" s="933"/>
      <c r="AN95" s="933"/>
      <c r="AO95" s="933"/>
      <c r="AP95" s="933"/>
      <c r="AQ95" s="933"/>
      <c r="AR95" s="933"/>
      <c r="AS95" s="933"/>
      <c r="AT95" s="933"/>
      <c r="AU95" s="933"/>
      <c r="AV95" s="933"/>
      <c r="AW95" s="365"/>
      <c r="BB95" s="429"/>
    </row>
    <row r="96" spans="1:60" ht="33" customHeight="1" x14ac:dyDescent="0.25">
      <c r="A96" s="937" t="s">
        <v>2449</v>
      </c>
      <c r="B96" s="937"/>
      <c r="C96" s="937"/>
      <c r="D96" s="937"/>
      <c r="E96" s="937"/>
      <c r="F96" s="937"/>
      <c r="G96" s="940" t="s">
        <v>2450</v>
      </c>
      <c r="H96" s="940"/>
      <c r="I96" s="940"/>
      <c r="J96" s="940"/>
      <c r="K96" s="940"/>
      <c r="L96" s="940"/>
      <c r="M96" s="940"/>
      <c r="N96" s="940"/>
      <c r="O96" s="940"/>
      <c r="P96" s="940"/>
      <c r="Q96" s="940"/>
      <c r="R96" s="940"/>
      <c r="S96" s="940"/>
      <c r="T96" s="940"/>
      <c r="U96" s="940"/>
      <c r="V96" s="940"/>
      <c r="W96" s="940"/>
      <c r="X96" s="940"/>
      <c r="Y96" s="940"/>
      <c r="Z96" s="940"/>
      <c r="AA96" s="940"/>
      <c r="AB96" s="940"/>
      <c r="AC96" s="940"/>
      <c r="AD96" s="940"/>
      <c r="AE96" s="940"/>
      <c r="AF96" s="940"/>
      <c r="AG96" s="940"/>
      <c r="AH96" s="940"/>
      <c r="AI96" s="951">
        <f>SUM(AI97+AI98+AI99+AI100+AI101+AI102+AI103+AI104+AI105)</f>
        <v>-2915</v>
      </c>
      <c r="AJ96" s="951"/>
      <c r="AK96" s="951"/>
      <c r="AL96" s="951"/>
      <c r="AM96" s="951"/>
      <c r="AN96" s="951"/>
      <c r="AO96" s="951"/>
      <c r="AP96" s="951"/>
      <c r="AQ96" s="951"/>
      <c r="AR96" s="951"/>
      <c r="AS96" s="951"/>
      <c r="AT96" s="951"/>
      <c r="AU96" s="951"/>
      <c r="AV96" s="951"/>
      <c r="AW96" s="439"/>
      <c r="BB96" s="432">
        <f>SUM(BB97+BB98+BB99+BB100+BB101+BB102+BB103+BB104+BB105)</f>
        <v>-2915</v>
      </c>
      <c r="BC96" s="440"/>
      <c r="BD96" s="432">
        <f>SUM(BD97+BD98+BD99+BD100+BD101+BD102+BD103+BD104+BD105)</f>
        <v>-119584</v>
      </c>
      <c r="BE96" s="440"/>
      <c r="BF96" s="440"/>
      <c r="BG96" s="440"/>
      <c r="BH96" s="440"/>
    </row>
    <row r="97" spans="1:60" ht="13.5" customHeight="1" x14ac:dyDescent="0.25">
      <c r="A97" s="937" t="s">
        <v>2451</v>
      </c>
      <c r="B97" s="937"/>
      <c r="C97" s="937"/>
      <c r="D97" s="937"/>
      <c r="E97" s="937"/>
      <c r="F97" s="937"/>
      <c r="G97" s="940" t="s">
        <v>2452</v>
      </c>
      <c r="H97" s="940"/>
      <c r="I97" s="940"/>
      <c r="J97" s="940"/>
      <c r="K97" s="940"/>
      <c r="L97" s="940"/>
      <c r="M97" s="940"/>
      <c r="N97" s="940"/>
      <c r="O97" s="940"/>
      <c r="P97" s="940"/>
      <c r="Q97" s="940"/>
      <c r="R97" s="940"/>
      <c r="S97" s="940"/>
      <c r="T97" s="940"/>
      <c r="U97" s="940"/>
      <c r="V97" s="940"/>
      <c r="W97" s="940"/>
      <c r="X97" s="940"/>
      <c r="Y97" s="940"/>
      <c r="Z97" s="940"/>
      <c r="AA97" s="940"/>
      <c r="AB97" s="940"/>
      <c r="AC97" s="940"/>
      <c r="AD97" s="940"/>
      <c r="AE97" s="940"/>
      <c r="AF97" s="940"/>
      <c r="AG97" s="940"/>
      <c r="AH97" s="940"/>
      <c r="AI97" s="949"/>
      <c r="AJ97" s="949"/>
      <c r="AK97" s="949"/>
      <c r="AL97" s="949"/>
      <c r="AM97" s="949"/>
      <c r="AN97" s="949"/>
      <c r="AO97" s="949"/>
      <c r="AP97" s="949"/>
      <c r="AQ97" s="949"/>
      <c r="AR97" s="949"/>
      <c r="AS97" s="949"/>
      <c r="AT97" s="949"/>
      <c r="AU97" s="949"/>
      <c r="AV97" s="949"/>
      <c r="AW97" s="439"/>
      <c r="BB97" s="432">
        <f>SUM(AI97)</f>
        <v>0</v>
      </c>
      <c r="BC97" s="440"/>
      <c r="BD97" s="440">
        <f>$AP$97</f>
        <v>0</v>
      </c>
      <c r="BE97" s="440"/>
      <c r="BF97" s="440"/>
      <c r="BG97" s="440"/>
      <c r="BH97" s="440"/>
    </row>
    <row r="98" spans="1:60" ht="13.5" customHeight="1" x14ac:dyDescent="0.25">
      <c r="A98" s="937" t="s">
        <v>2453</v>
      </c>
      <c r="B98" s="937"/>
      <c r="C98" s="937"/>
      <c r="D98" s="937"/>
      <c r="E98" s="937"/>
      <c r="F98" s="937"/>
      <c r="G98" s="940" t="s">
        <v>2454</v>
      </c>
      <c r="H98" s="940"/>
      <c r="I98" s="940"/>
      <c r="J98" s="940"/>
      <c r="K98" s="940"/>
      <c r="L98" s="940"/>
      <c r="M98" s="940"/>
      <c r="N98" s="940"/>
      <c r="O98" s="940"/>
      <c r="P98" s="940"/>
      <c r="Q98" s="940"/>
      <c r="R98" s="940"/>
      <c r="S98" s="940"/>
      <c r="T98" s="940"/>
      <c r="U98" s="940"/>
      <c r="V98" s="940"/>
      <c r="W98" s="940"/>
      <c r="X98" s="940"/>
      <c r="Y98" s="940"/>
      <c r="Z98" s="940"/>
      <c r="AA98" s="940"/>
      <c r="AB98" s="940"/>
      <c r="AC98" s="940"/>
      <c r="AD98" s="940"/>
      <c r="AE98" s="940"/>
      <c r="AF98" s="940"/>
      <c r="AG98" s="940"/>
      <c r="AH98" s="940"/>
      <c r="AI98" s="949"/>
      <c r="AJ98" s="949"/>
      <c r="AK98" s="949"/>
      <c r="AL98" s="949"/>
      <c r="AM98" s="949"/>
      <c r="AN98" s="949"/>
      <c r="AO98" s="949"/>
      <c r="AP98" s="949"/>
      <c r="AQ98" s="949"/>
      <c r="AR98" s="949"/>
      <c r="AS98" s="949"/>
      <c r="AT98" s="949"/>
      <c r="AU98" s="949"/>
      <c r="AV98" s="949"/>
      <c r="AW98" s="365"/>
      <c r="BB98" s="432">
        <f>SUM(AI98)</f>
        <v>0</v>
      </c>
      <c r="BC98" s="440"/>
      <c r="BD98" s="440">
        <f>$AP$98</f>
        <v>0</v>
      </c>
      <c r="BE98" s="440"/>
      <c r="BF98" s="440"/>
      <c r="BG98" s="440"/>
      <c r="BH98" s="440"/>
    </row>
    <row r="99" spans="1:60" ht="45" customHeight="1" x14ac:dyDescent="0.25">
      <c r="A99" s="937" t="s">
        <v>2455</v>
      </c>
      <c r="B99" s="937"/>
      <c r="C99" s="937"/>
      <c r="D99" s="937"/>
      <c r="E99" s="937"/>
      <c r="F99" s="937"/>
      <c r="G99" s="940" t="s">
        <v>2456</v>
      </c>
      <c r="H99" s="940"/>
      <c r="I99" s="940"/>
      <c r="J99" s="940"/>
      <c r="K99" s="940"/>
      <c r="L99" s="940"/>
      <c r="M99" s="940"/>
      <c r="N99" s="940"/>
      <c r="O99" s="940"/>
      <c r="P99" s="940"/>
      <c r="Q99" s="940"/>
      <c r="R99" s="940"/>
      <c r="S99" s="940"/>
      <c r="T99" s="940"/>
      <c r="U99" s="940"/>
      <c r="V99" s="940"/>
      <c r="W99" s="940"/>
      <c r="X99" s="940"/>
      <c r="Y99" s="940"/>
      <c r="Z99" s="940"/>
      <c r="AA99" s="940"/>
      <c r="AB99" s="940"/>
      <c r="AC99" s="940"/>
      <c r="AD99" s="940"/>
      <c r="AE99" s="940"/>
      <c r="AF99" s="940"/>
      <c r="AG99" s="940"/>
      <c r="AH99" s="940"/>
      <c r="AI99" s="952">
        <f>SUM(SUVAHAVUJ!$N$141-SUVAHAVUJ!$X$141+SUVAHAVUJ!$N$142-SUVAHAVUJ!$X$142)</f>
        <v>-3000</v>
      </c>
      <c r="AJ99" s="952"/>
      <c r="AK99" s="952"/>
      <c r="AL99" s="952"/>
      <c r="AM99" s="952"/>
      <c r="AN99" s="952"/>
      <c r="AO99" s="952"/>
      <c r="AP99" s="952"/>
      <c r="AQ99" s="952"/>
      <c r="AR99" s="952"/>
      <c r="AS99" s="952"/>
      <c r="AT99" s="952"/>
      <c r="AU99" s="952"/>
      <c r="AV99" s="952"/>
      <c r="AW99" s="439"/>
      <c r="BB99" s="432">
        <f>SUM(SUVAHAVUJ!$N$141-SUVAHAVUJ!$X$141+SUVAHAVUJ!$N$142-SUVAHAVUJ!$X$142)</f>
        <v>-3000</v>
      </c>
      <c r="BC99" s="440"/>
      <c r="BD99" s="440">
        <f>SUM(SUVAHAVUJ!$X$141-SUVAHAVUJ!$AS$141+SUVAHAVUJ!$X$142-SUVAHAVUJ!$AS$142)</f>
        <v>-119306</v>
      </c>
      <c r="BE99" s="440"/>
      <c r="BF99" s="440"/>
      <c r="BG99" s="440"/>
      <c r="BH99" s="440"/>
    </row>
    <row r="100" spans="1:60" ht="45" customHeight="1" x14ac:dyDescent="0.25">
      <c r="A100" s="937" t="s">
        <v>2457</v>
      </c>
      <c r="B100" s="937"/>
      <c r="C100" s="937"/>
      <c r="D100" s="937"/>
      <c r="E100" s="937"/>
      <c r="F100" s="937"/>
      <c r="G100" s="940" t="s">
        <v>2458</v>
      </c>
      <c r="H100" s="940"/>
      <c r="I100" s="940"/>
      <c r="J100" s="940"/>
      <c r="K100" s="940"/>
      <c r="L100" s="940"/>
      <c r="M100" s="940"/>
      <c r="N100" s="940"/>
      <c r="O100" s="940"/>
      <c r="P100" s="940"/>
      <c r="Q100" s="940"/>
      <c r="R100" s="940"/>
      <c r="S100" s="940"/>
      <c r="T100" s="940"/>
      <c r="U100" s="940"/>
      <c r="V100" s="940"/>
      <c r="W100" s="940"/>
      <c r="X100" s="940"/>
      <c r="Y100" s="940"/>
      <c r="Z100" s="940"/>
      <c r="AA100" s="940"/>
      <c r="AB100" s="940"/>
      <c r="AC100" s="940"/>
      <c r="AD100" s="940"/>
      <c r="AE100" s="940"/>
      <c r="AF100" s="940"/>
      <c r="AG100" s="940"/>
      <c r="AH100" s="940"/>
      <c r="AI100" s="949"/>
      <c r="AJ100" s="949"/>
      <c r="AK100" s="949"/>
      <c r="AL100" s="949"/>
      <c r="AM100" s="949"/>
      <c r="AN100" s="949"/>
      <c r="AO100" s="949"/>
      <c r="AP100" s="949"/>
      <c r="AQ100" s="949"/>
      <c r="AR100" s="949"/>
      <c r="AS100" s="949"/>
      <c r="AT100" s="949"/>
      <c r="AU100" s="949"/>
      <c r="AV100" s="949"/>
      <c r="AW100" s="439"/>
      <c r="BB100" s="432">
        <f>SUM(AI100)</f>
        <v>0</v>
      </c>
      <c r="BC100" s="440"/>
      <c r="BD100" s="440">
        <f>$AP$100</f>
        <v>0</v>
      </c>
      <c r="BE100" s="440"/>
      <c r="BF100" s="440"/>
      <c r="BG100" s="440"/>
      <c r="BH100" s="440"/>
    </row>
    <row r="101" spans="1:60" ht="13.5" customHeight="1" x14ac:dyDescent="0.25">
      <c r="A101" s="937" t="s">
        <v>2459</v>
      </c>
      <c r="B101" s="937"/>
      <c r="C101" s="937"/>
      <c r="D101" s="937"/>
      <c r="E101" s="937"/>
      <c r="F101" s="937"/>
      <c r="G101" s="940" t="s">
        <v>2460</v>
      </c>
      <c r="H101" s="940"/>
      <c r="I101" s="940"/>
      <c r="J101" s="940"/>
      <c r="K101" s="940"/>
      <c r="L101" s="940"/>
      <c r="M101" s="940"/>
      <c r="N101" s="940"/>
      <c r="O101" s="940"/>
      <c r="P101" s="940"/>
      <c r="Q101" s="940"/>
      <c r="R101" s="940"/>
      <c r="S101" s="940"/>
      <c r="T101" s="940"/>
      <c r="U101" s="940"/>
      <c r="V101" s="940"/>
      <c r="W101" s="940"/>
      <c r="X101" s="940"/>
      <c r="Y101" s="940"/>
      <c r="Z101" s="940"/>
      <c r="AA101" s="940"/>
      <c r="AB101" s="940"/>
      <c r="AC101" s="940"/>
      <c r="AD101" s="940"/>
      <c r="AE101" s="940"/>
      <c r="AF101" s="940"/>
      <c r="AG101" s="940"/>
      <c r="AH101" s="940"/>
      <c r="AI101" s="949"/>
      <c r="AJ101" s="949"/>
      <c r="AK101" s="949"/>
      <c r="AL101" s="949"/>
      <c r="AM101" s="949"/>
      <c r="AN101" s="949"/>
      <c r="AO101" s="949"/>
      <c r="AP101" s="949"/>
      <c r="AQ101" s="949"/>
      <c r="AR101" s="949"/>
      <c r="AS101" s="949"/>
      <c r="AT101" s="949"/>
      <c r="AU101" s="949"/>
      <c r="AV101" s="949"/>
      <c r="AW101" s="430"/>
      <c r="BB101" s="432">
        <f>SUM(AI101)</f>
        <v>0</v>
      </c>
      <c r="BC101" s="440"/>
      <c r="BD101" s="440">
        <f>$AP$101</f>
        <v>0</v>
      </c>
      <c r="BE101" s="440"/>
      <c r="BF101" s="440"/>
      <c r="BG101" s="440"/>
      <c r="BH101" s="440"/>
    </row>
    <row r="102" spans="1:60" ht="14.85" customHeight="1" x14ac:dyDescent="0.25">
      <c r="A102" s="937" t="s">
        <v>2461</v>
      </c>
      <c r="B102" s="937"/>
      <c r="C102" s="937"/>
      <c r="D102" s="937"/>
      <c r="E102" s="937"/>
      <c r="F102" s="937"/>
      <c r="G102" s="940" t="s">
        <v>2462</v>
      </c>
      <c r="H102" s="940"/>
      <c r="I102" s="940"/>
      <c r="J102" s="940"/>
      <c r="K102" s="940"/>
      <c r="L102" s="940"/>
      <c r="M102" s="940"/>
      <c r="N102" s="940"/>
      <c r="O102" s="940"/>
      <c r="P102" s="940"/>
      <c r="Q102" s="940"/>
      <c r="R102" s="940"/>
      <c r="S102" s="940"/>
      <c r="T102" s="940"/>
      <c r="U102" s="940"/>
      <c r="V102" s="940"/>
      <c r="W102" s="940"/>
      <c r="X102" s="940"/>
      <c r="Y102" s="940"/>
      <c r="Z102" s="940"/>
      <c r="AA102" s="940"/>
      <c r="AB102" s="940"/>
      <c r="AC102" s="940"/>
      <c r="AD102" s="940"/>
      <c r="AE102" s="940"/>
      <c r="AF102" s="940"/>
      <c r="AG102" s="940"/>
      <c r="AH102" s="940"/>
      <c r="AI102" s="949"/>
      <c r="AJ102" s="949"/>
      <c r="AK102" s="949"/>
      <c r="AL102" s="949"/>
      <c r="AM102" s="949"/>
      <c r="AN102" s="949"/>
      <c r="AO102" s="949"/>
      <c r="AP102" s="949"/>
      <c r="AQ102" s="949"/>
      <c r="AR102" s="949"/>
      <c r="AS102" s="949"/>
      <c r="AT102" s="949"/>
      <c r="AU102" s="949"/>
      <c r="AV102" s="949"/>
      <c r="AW102" s="430"/>
      <c r="BB102" s="432">
        <f>SUM(AI102)</f>
        <v>0</v>
      </c>
      <c r="BC102" s="440"/>
      <c r="BD102" s="440">
        <f>$AP$102</f>
        <v>0</v>
      </c>
      <c r="BE102" s="440"/>
      <c r="BF102" s="440"/>
      <c r="BG102" s="440"/>
      <c r="BH102" s="440"/>
    </row>
    <row r="103" spans="1:60" ht="28.5" customHeight="1" x14ac:dyDescent="0.25">
      <c r="A103" s="937" t="s">
        <v>2463</v>
      </c>
      <c r="B103" s="937"/>
      <c r="C103" s="937"/>
      <c r="D103" s="937"/>
      <c r="E103" s="937"/>
      <c r="F103" s="937"/>
      <c r="G103" s="940" t="s">
        <v>2464</v>
      </c>
      <c r="H103" s="940"/>
      <c r="I103" s="940"/>
      <c r="J103" s="940"/>
      <c r="K103" s="940"/>
      <c r="L103" s="940"/>
      <c r="M103" s="940"/>
      <c r="N103" s="940"/>
      <c r="O103" s="940"/>
      <c r="P103" s="940"/>
      <c r="Q103" s="940"/>
      <c r="R103" s="940"/>
      <c r="S103" s="940"/>
      <c r="T103" s="940"/>
      <c r="U103" s="940"/>
      <c r="V103" s="940"/>
      <c r="W103" s="940"/>
      <c r="X103" s="940"/>
      <c r="Y103" s="940"/>
      <c r="Z103" s="940"/>
      <c r="AA103" s="940"/>
      <c r="AB103" s="940"/>
      <c r="AC103" s="940"/>
      <c r="AD103" s="940"/>
      <c r="AE103" s="940"/>
      <c r="AF103" s="940"/>
      <c r="AG103" s="940"/>
      <c r="AH103" s="940"/>
      <c r="AI103" s="949"/>
      <c r="AJ103" s="949"/>
      <c r="AK103" s="949"/>
      <c r="AL103" s="949"/>
      <c r="AM103" s="949"/>
      <c r="AN103" s="949"/>
      <c r="AO103" s="949"/>
      <c r="AP103" s="949"/>
      <c r="AQ103" s="949"/>
      <c r="AR103" s="949"/>
      <c r="AS103" s="949"/>
      <c r="AT103" s="949"/>
      <c r="AU103" s="949"/>
      <c r="AV103" s="949"/>
      <c r="AW103" s="430"/>
      <c r="BB103" s="432">
        <f>SUM(AI103)</f>
        <v>0</v>
      </c>
      <c r="BC103" s="440"/>
      <c r="BD103" s="440">
        <f>$AP$103</f>
        <v>0</v>
      </c>
      <c r="BE103" s="440"/>
      <c r="BF103" s="440"/>
      <c r="BG103" s="440"/>
      <c r="BH103" s="440"/>
    </row>
    <row r="104" spans="1:60" ht="45" customHeight="1" x14ac:dyDescent="0.25">
      <c r="A104" s="937" t="s">
        <v>2465</v>
      </c>
      <c r="B104" s="937"/>
      <c r="C104" s="937"/>
      <c r="D104" s="937"/>
      <c r="E104" s="937"/>
      <c r="F104" s="937"/>
      <c r="G104" s="940" t="s">
        <v>2466</v>
      </c>
      <c r="H104" s="940"/>
      <c r="I104" s="940"/>
      <c r="J104" s="940"/>
      <c r="K104" s="940"/>
      <c r="L104" s="940"/>
      <c r="M104" s="940"/>
      <c r="N104" s="940"/>
      <c r="O104" s="940"/>
      <c r="P104" s="940"/>
      <c r="Q104" s="940"/>
      <c r="R104" s="940"/>
      <c r="S104" s="940"/>
      <c r="T104" s="940"/>
      <c r="U104" s="940"/>
      <c r="V104" s="940"/>
      <c r="W104" s="940"/>
      <c r="X104" s="940"/>
      <c r="Y104" s="940"/>
      <c r="Z104" s="940"/>
      <c r="AA104" s="940"/>
      <c r="AB104" s="940"/>
      <c r="AC104" s="940"/>
      <c r="AD104" s="940"/>
      <c r="AE104" s="940"/>
      <c r="AF104" s="940"/>
      <c r="AG104" s="940"/>
      <c r="AH104" s="940"/>
      <c r="AI104" s="952">
        <f>SUM(SUVAHAVUJ!$N$104-SUVAHAVUJ!$X$104)</f>
        <v>85</v>
      </c>
      <c r="AJ104" s="952"/>
      <c r="AK104" s="952"/>
      <c r="AL104" s="952"/>
      <c r="AM104" s="952"/>
      <c r="AN104" s="952"/>
      <c r="AO104" s="952"/>
      <c r="AP104" s="952"/>
      <c r="AQ104" s="952"/>
      <c r="AR104" s="952"/>
      <c r="AS104" s="952"/>
      <c r="AT104" s="952"/>
      <c r="AU104" s="952"/>
      <c r="AV104" s="952"/>
      <c r="AW104" s="439"/>
      <c r="BB104" s="432">
        <f>SUM(SUVAHAVUJ!$N$104-SUVAHAVUJ!$X$104)</f>
        <v>85</v>
      </c>
      <c r="BC104" s="440"/>
      <c r="BD104" s="440">
        <f>SUM(SUVAHAVUJ!$X$104-SUVAHAVUJ!$AS$104)</f>
        <v>-278</v>
      </c>
      <c r="BE104" s="440"/>
      <c r="BF104" s="440"/>
      <c r="BG104" s="440"/>
      <c r="BH104" s="440"/>
    </row>
    <row r="105" spans="1:60" ht="45" customHeight="1" x14ac:dyDescent="0.25">
      <c r="A105" s="937" t="s">
        <v>2467</v>
      </c>
      <c r="B105" s="937"/>
      <c r="C105" s="937"/>
      <c r="D105" s="937"/>
      <c r="E105" s="937"/>
      <c r="F105" s="937"/>
      <c r="G105" s="940" t="s">
        <v>2468</v>
      </c>
      <c r="H105" s="940"/>
      <c r="I105" s="940"/>
      <c r="J105" s="940"/>
      <c r="K105" s="940"/>
      <c r="L105" s="940"/>
      <c r="M105" s="940"/>
      <c r="N105" s="940"/>
      <c r="O105" s="940"/>
      <c r="P105" s="940"/>
      <c r="Q105" s="940"/>
      <c r="R105" s="940"/>
      <c r="S105" s="940"/>
      <c r="T105" s="940"/>
      <c r="U105" s="940"/>
      <c r="V105" s="940"/>
      <c r="W105" s="940"/>
      <c r="X105" s="940"/>
      <c r="Y105" s="940"/>
      <c r="Z105" s="940"/>
      <c r="AA105" s="940"/>
      <c r="AB105" s="940"/>
      <c r="AC105" s="940"/>
      <c r="AD105" s="940"/>
      <c r="AE105" s="940"/>
      <c r="AF105" s="940"/>
      <c r="AG105" s="940"/>
      <c r="AH105" s="940"/>
      <c r="AI105" s="949"/>
      <c r="AJ105" s="949"/>
      <c r="AK105" s="949"/>
      <c r="AL105" s="949"/>
      <c r="AM105" s="949"/>
      <c r="AN105" s="949"/>
      <c r="AO105" s="949"/>
      <c r="AP105" s="949"/>
      <c r="AQ105" s="949"/>
      <c r="AR105" s="949"/>
      <c r="AS105" s="949"/>
      <c r="AT105" s="949"/>
      <c r="AU105" s="949"/>
      <c r="AV105" s="949"/>
      <c r="AW105" s="439"/>
      <c r="BB105" s="432">
        <f>SUM(AI105)</f>
        <v>0</v>
      </c>
      <c r="BC105" s="440"/>
      <c r="BD105" s="440">
        <f>$AP$105</f>
        <v>0</v>
      </c>
      <c r="BE105" s="440"/>
      <c r="BF105" s="440"/>
      <c r="BG105" s="440"/>
      <c r="BH105" s="440"/>
    </row>
    <row r="106" spans="1:60" ht="28.5" customHeight="1" x14ac:dyDescent="0.25">
      <c r="A106" s="937" t="s">
        <v>2469</v>
      </c>
      <c r="B106" s="937"/>
      <c r="C106" s="937"/>
      <c r="D106" s="937"/>
      <c r="E106" s="937"/>
      <c r="F106" s="937"/>
      <c r="G106" s="940" t="s">
        <v>2470</v>
      </c>
      <c r="H106" s="940"/>
      <c r="I106" s="940"/>
      <c r="J106" s="940"/>
      <c r="K106" s="940"/>
      <c r="L106" s="940"/>
      <c r="M106" s="940"/>
      <c r="N106" s="940"/>
      <c r="O106" s="940"/>
      <c r="P106" s="940"/>
      <c r="Q106" s="940"/>
      <c r="R106" s="940"/>
      <c r="S106" s="940"/>
      <c r="T106" s="940"/>
      <c r="U106" s="940"/>
      <c r="V106" s="940"/>
      <c r="W106" s="940"/>
      <c r="X106" s="940"/>
      <c r="Y106" s="940"/>
      <c r="Z106" s="940"/>
      <c r="AA106" s="940"/>
      <c r="AB106" s="940"/>
      <c r="AC106" s="940"/>
      <c r="AD106" s="940"/>
      <c r="AE106" s="940"/>
      <c r="AF106" s="940"/>
      <c r="AG106" s="940"/>
      <c r="AH106" s="940"/>
      <c r="AI106" s="949"/>
      <c r="AJ106" s="949"/>
      <c r="AK106" s="949"/>
      <c r="AL106" s="949"/>
      <c r="AM106" s="949"/>
      <c r="AN106" s="949"/>
      <c r="AO106" s="949"/>
      <c r="AP106" s="949"/>
      <c r="AQ106" s="949"/>
      <c r="AR106" s="949"/>
      <c r="AS106" s="949"/>
      <c r="AT106" s="949"/>
      <c r="AU106" s="949"/>
      <c r="AV106" s="949"/>
      <c r="AW106" s="430"/>
      <c r="BB106" s="432">
        <f>SUM(AI106)</f>
        <v>0</v>
      </c>
      <c r="BC106" s="440"/>
      <c r="BD106" s="440">
        <f>$AP$106</f>
        <v>0</v>
      </c>
      <c r="BE106" s="440"/>
      <c r="BF106" s="440"/>
      <c r="BG106" s="440"/>
      <c r="BH106" s="440"/>
    </row>
    <row r="107" spans="1:60" ht="28.5" customHeight="1" x14ac:dyDescent="0.25">
      <c r="A107" s="937" t="s">
        <v>2471</v>
      </c>
      <c r="B107" s="937"/>
      <c r="C107" s="937"/>
      <c r="D107" s="937"/>
      <c r="E107" s="937"/>
      <c r="F107" s="937"/>
      <c r="G107" s="940" t="s">
        <v>2472</v>
      </c>
      <c r="H107" s="940"/>
      <c r="I107" s="940"/>
      <c r="J107" s="940"/>
      <c r="K107" s="940"/>
      <c r="L107" s="940"/>
      <c r="M107" s="940"/>
      <c r="N107" s="940"/>
      <c r="O107" s="940"/>
      <c r="P107" s="940"/>
      <c r="Q107" s="940"/>
      <c r="R107" s="940"/>
      <c r="S107" s="940"/>
      <c r="T107" s="940"/>
      <c r="U107" s="940"/>
      <c r="V107" s="940"/>
      <c r="W107" s="940"/>
      <c r="X107" s="940"/>
      <c r="Y107" s="940"/>
      <c r="Z107" s="940"/>
      <c r="AA107" s="940"/>
      <c r="AB107" s="940"/>
      <c r="AC107" s="940"/>
      <c r="AD107" s="940"/>
      <c r="AE107" s="940"/>
      <c r="AF107" s="940"/>
      <c r="AG107" s="940"/>
      <c r="AH107" s="940"/>
      <c r="AI107" s="952">
        <f>SUM(SUVAHAVUJ!$N$89+SUVAHAVUJ!$N$92+SUVAHAVUJ!$N$95+SUVAHAVUJ!$N$99-SUVAHAVUJ!$X$89-SUVAHAVUJ!$X$92-SUVAHAVUJ!$X$95-SUVAHAVUJ!$X$99)-SUVAHAVUJ!$X$102</f>
        <v>-157046</v>
      </c>
      <c r="AJ107" s="952"/>
      <c r="AK107" s="952"/>
      <c r="AL107" s="952"/>
      <c r="AM107" s="952"/>
      <c r="AN107" s="952"/>
      <c r="AO107" s="952"/>
      <c r="AP107" s="952"/>
      <c r="AQ107" s="952"/>
      <c r="AR107" s="952"/>
      <c r="AS107" s="952"/>
      <c r="AT107" s="952"/>
      <c r="AU107" s="952"/>
      <c r="AV107" s="952"/>
      <c r="AW107" s="430"/>
      <c r="BB107" s="432">
        <f>SUM(SUVAHAVUJ!$N$89+SUVAHAVUJ!$N$92+SUVAHAVUJ!$N$95+SUVAHAVUJ!$N$99-SUVAHAVUJ!$X$89-SUVAHAVUJ!$X$92-SUVAHAVUJ!$X$95-SUVAHAVUJ!$X$99)-SUVAHAVUJ!$X$102</f>
        <v>-157046</v>
      </c>
      <c r="BC107" s="440"/>
      <c r="BD107" s="440">
        <f>SUM(SUVAHAVUJ!$X$89+SUVAHAVUJ!$X$92+SUVAHAVUJ!$X$95+SUVAHAVUJ!$X$99-SUVAHAVUJ!$AS$89-SUVAHAVUJ!$AS$92-SUVAHAVUJ!$AS$95-SUVAHAVUJ!$AS$99)-SUVAHAVUJ!$AS$102</f>
        <v>3</v>
      </c>
      <c r="BE107" s="440"/>
      <c r="BF107" s="440"/>
      <c r="BG107" s="440"/>
      <c r="BH107" s="440"/>
    </row>
    <row r="108" spans="1:60" ht="28.5" customHeight="1" x14ac:dyDescent="0.25">
      <c r="A108" s="937" t="s">
        <v>2473</v>
      </c>
      <c r="B108" s="937"/>
      <c r="C108" s="937"/>
      <c r="D108" s="937"/>
      <c r="E108" s="937"/>
      <c r="F108" s="937"/>
      <c r="G108" s="940" t="s">
        <v>2474</v>
      </c>
      <c r="H108" s="940"/>
      <c r="I108" s="940"/>
      <c r="J108" s="940"/>
      <c r="K108" s="940"/>
      <c r="L108" s="940"/>
      <c r="M108" s="940"/>
      <c r="N108" s="940"/>
      <c r="O108" s="940"/>
      <c r="P108" s="940"/>
      <c r="Q108" s="940"/>
      <c r="R108" s="940"/>
      <c r="S108" s="940"/>
      <c r="T108" s="940"/>
      <c r="U108" s="940"/>
      <c r="V108" s="940"/>
      <c r="W108" s="940"/>
      <c r="X108" s="940"/>
      <c r="Y108" s="940"/>
      <c r="Z108" s="940"/>
      <c r="AA108" s="940"/>
      <c r="AB108" s="940"/>
      <c r="AC108" s="940"/>
      <c r="AD108" s="940"/>
      <c r="AE108" s="940"/>
      <c r="AF108" s="940"/>
      <c r="AG108" s="940"/>
      <c r="AH108" s="940"/>
      <c r="AI108" s="949"/>
      <c r="AJ108" s="949"/>
      <c r="AK108" s="949"/>
      <c r="AL108" s="949"/>
      <c r="AM108" s="949"/>
      <c r="AN108" s="949"/>
      <c r="AO108" s="949"/>
      <c r="AP108" s="949"/>
      <c r="AQ108" s="949"/>
      <c r="AR108" s="949"/>
      <c r="AS108" s="949"/>
      <c r="AT108" s="949"/>
      <c r="AU108" s="949"/>
      <c r="AV108" s="949"/>
      <c r="AW108" s="430"/>
      <c r="BB108" s="432">
        <f>SUM(AI108)</f>
        <v>0</v>
      </c>
      <c r="BC108" s="440"/>
      <c r="BD108" s="440">
        <f>$AP$108</f>
        <v>0</v>
      </c>
      <c r="BE108" s="440"/>
      <c r="BF108" s="440"/>
      <c r="BG108" s="440"/>
      <c r="BH108" s="440"/>
    </row>
    <row r="109" spans="1:60" ht="28.5" customHeight="1" x14ac:dyDescent="0.25">
      <c r="A109" s="937" t="s">
        <v>2475</v>
      </c>
      <c r="B109" s="937"/>
      <c r="C109" s="937"/>
      <c r="D109" s="937"/>
      <c r="E109" s="937"/>
      <c r="F109" s="937"/>
      <c r="G109" s="940" t="s">
        <v>2476</v>
      </c>
      <c r="H109" s="940"/>
      <c r="I109" s="940"/>
      <c r="J109" s="940"/>
      <c r="K109" s="940"/>
      <c r="L109" s="940"/>
      <c r="M109" s="940"/>
      <c r="N109" s="940"/>
      <c r="O109" s="940"/>
      <c r="P109" s="940"/>
      <c r="Q109" s="940"/>
      <c r="R109" s="940"/>
      <c r="S109" s="940"/>
      <c r="T109" s="940"/>
      <c r="U109" s="940"/>
      <c r="V109" s="940"/>
      <c r="W109" s="940"/>
      <c r="X109" s="940"/>
      <c r="Y109" s="940"/>
      <c r="Z109" s="940"/>
      <c r="AA109" s="940"/>
      <c r="AB109" s="940"/>
      <c r="AC109" s="940"/>
      <c r="AD109" s="940"/>
      <c r="AE109" s="940"/>
      <c r="AF109" s="940"/>
      <c r="AG109" s="940"/>
      <c r="AH109" s="940"/>
      <c r="AI109" s="949"/>
      <c r="AJ109" s="949"/>
      <c r="AK109" s="949"/>
      <c r="AL109" s="949"/>
      <c r="AM109" s="949"/>
      <c r="AN109" s="949"/>
      <c r="AO109" s="949"/>
      <c r="AP109" s="949"/>
      <c r="AQ109" s="949"/>
      <c r="AR109" s="949"/>
      <c r="AS109" s="949"/>
      <c r="AT109" s="949"/>
      <c r="AU109" s="949"/>
      <c r="AV109" s="949"/>
      <c r="AW109" s="430"/>
      <c r="BB109" s="432">
        <f>SUM(AI109)</f>
        <v>0</v>
      </c>
      <c r="BC109" s="440"/>
      <c r="BD109" s="440">
        <f>$AP$109</f>
        <v>0</v>
      </c>
      <c r="BE109" s="440"/>
      <c r="BF109" s="440"/>
      <c r="BG109" s="440"/>
      <c r="BH109" s="440"/>
    </row>
    <row r="110" spans="1:60" ht="28.5" customHeight="1" x14ac:dyDescent="0.25">
      <c r="A110" s="937" t="s">
        <v>2477</v>
      </c>
      <c r="B110" s="937"/>
      <c r="C110" s="937"/>
      <c r="D110" s="937"/>
      <c r="E110" s="937"/>
      <c r="F110" s="937"/>
      <c r="G110" s="940" t="s">
        <v>2478</v>
      </c>
      <c r="H110" s="940"/>
      <c r="I110" s="940"/>
      <c r="J110" s="940"/>
      <c r="K110" s="940"/>
      <c r="L110" s="940"/>
      <c r="M110" s="940"/>
      <c r="N110" s="940"/>
      <c r="O110" s="940"/>
      <c r="P110" s="940"/>
      <c r="Q110" s="940"/>
      <c r="R110" s="940"/>
      <c r="S110" s="940"/>
      <c r="T110" s="940"/>
      <c r="U110" s="940"/>
      <c r="V110" s="940"/>
      <c r="W110" s="940"/>
      <c r="X110" s="940"/>
      <c r="Y110" s="940"/>
      <c r="Z110" s="940"/>
      <c r="AA110" s="940"/>
      <c r="AB110" s="940"/>
      <c r="AC110" s="940"/>
      <c r="AD110" s="940"/>
      <c r="AE110" s="940"/>
      <c r="AF110" s="940"/>
      <c r="AG110" s="940"/>
      <c r="AH110" s="940"/>
      <c r="AI110" s="949"/>
      <c r="AJ110" s="949"/>
      <c r="AK110" s="949"/>
      <c r="AL110" s="949"/>
      <c r="AM110" s="949"/>
      <c r="AN110" s="949"/>
      <c r="AO110" s="949"/>
      <c r="AP110" s="949"/>
      <c r="AQ110" s="949"/>
      <c r="AR110" s="949"/>
      <c r="AS110" s="949"/>
      <c r="AT110" s="949"/>
      <c r="AU110" s="949"/>
      <c r="AV110" s="949"/>
      <c r="AW110" s="430"/>
      <c r="BB110" s="432">
        <f>SUM(AI110)</f>
        <v>0</v>
      </c>
      <c r="BC110" s="440"/>
      <c r="BD110" s="440">
        <f>$AP$110</f>
        <v>0</v>
      </c>
      <c r="BE110" s="440"/>
      <c r="BF110" s="440"/>
      <c r="BG110" s="440"/>
      <c r="BH110" s="440"/>
    </row>
    <row r="111" spans="1:60" s="428" customFormat="1" ht="14.85" customHeight="1" x14ac:dyDescent="0.25">
      <c r="A111" s="937" t="s">
        <v>2479</v>
      </c>
      <c r="B111" s="937"/>
      <c r="C111" s="937"/>
      <c r="D111" s="937"/>
      <c r="E111" s="937"/>
      <c r="F111" s="937"/>
      <c r="G111" s="940" t="s">
        <v>2480</v>
      </c>
      <c r="H111" s="940"/>
      <c r="I111" s="940"/>
      <c r="J111" s="940"/>
      <c r="K111" s="940"/>
      <c r="L111" s="940"/>
      <c r="M111" s="940"/>
      <c r="N111" s="940"/>
      <c r="O111" s="940"/>
      <c r="P111" s="940"/>
      <c r="Q111" s="940"/>
      <c r="R111" s="940"/>
      <c r="S111" s="940"/>
      <c r="T111" s="940"/>
      <c r="U111" s="940"/>
      <c r="V111" s="940"/>
      <c r="W111" s="940"/>
      <c r="X111" s="940"/>
      <c r="Y111" s="940"/>
      <c r="Z111" s="940"/>
      <c r="AA111" s="940"/>
      <c r="AB111" s="940"/>
      <c r="AC111" s="940"/>
      <c r="AD111" s="940"/>
      <c r="AE111" s="940"/>
      <c r="AF111" s="940"/>
      <c r="AG111" s="940"/>
      <c r="AH111" s="940"/>
      <c r="AI111" s="949"/>
      <c r="AJ111" s="949"/>
      <c r="AK111" s="949"/>
      <c r="AL111" s="949"/>
      <c r="AM111" s="949"/>
      <c r="AN111" s="949"/>
      <c r="AO111" s="949"/>
      <c r="AP111" s="949"/>
      <c r="AQ111" s="949"/>
      <c r="AR111" s="949"/>
      <c r="AS111" s="949"/>
      <c r="AT111" s="949"/>
      <c r="AU111" s="949"/>
      <c r="AV111" s="949"/>
      <c r="AW111" s="430"/>
      <c r="BB111" s="432">
        <f>SUM(AI111)</f>
        <v>0</v>
      </c>
      <c r="BC111" s="433"/>
      <c r="BD111" s="433">
        <f>$AP$111</f>
        <v>0</v>
      </c>
      <c r="BE111" s="433"/>
      <c r="BF111" s="433"/>
      <c r="BG111" s="433"/>
      <c r="BH111" s="433"/>
    </row>
    <row r="112" spans="1:60" s="428" customFormat="1" ht="14.1" customHeight="1" x14ac:dyDescent="0.25">
      <c r="A112" s="937" t="s">
        <v>2481</v>
      </c>
      <c r="B112" s="937"/>
      <c r="C112" s="937"/>
      <c r="D112" s="937"/>
      <c r="E112" s="937"/>
      <c r="F112" s="937"/>
      <c r="G112" s="940" t="s">
        <v>2482</v>
      </c>
      <c r="H112" s="940"/>
      <c r="I112" s="940"/>
      <c r="J112" s="940"/>
      <c r="K112" s="940"/>
      <c r="L112" s="940"/>
      <c r="M112" s="940"/>
      <c r="N112" s="940"/>
      <c r="O112" s="940"/>
      <c r="P112" s="940"/>
      <c r="Q112" s="940"/>
      <c r="R112" s="940"/>
      <c r="S112" s="940"/>
      <c r="T112" s="940"/>
      <c r="U112" s="940"/>
      <c r="V112" s="940"/>
      <c r="W112" s="940"/>
      <c r="X112" s="940"/>
      <c r="Y112" s="940"/>
      <c r="Z112" s="940"/>
      <c r="AA112" s="940"/>
      <c r="AB112" s="940"/>
      <c r="AC112" s="940"/>
      <c r="AD112" s="940"/>
      <c r="AE112" s="940"/>
      <c r="AF112" s="940"/>
      <c r="AG112" s="940"/>
      <c r="AH112" s="940"/>
      <c r="AI112" s="949"/>
      <c r="AJ112" s="949"/>
      <c r="AK112" s="949"/>
      <c r="AL112" s="949"/>
      <c r="AM112" s="949"/>
      <c r="AN112" s="949"/>
      <c r="AO112" s="949"/>
      <c r="AP112" s="949"/>
      <c r="AQ112" s="949"/>
      <c r="AR112" s="949"/>
      <c r="AS112" s="949"/>
      <c r="AT112" s="949"/>
      <c r="AU112" s="949"/>
      <c r="AV112" s="949"/>
      <c r="AW112" s="430"/>
      <c r="BB112" s="432">
        <f>SUM(AI112)</f>
        <v>0</v>
      </c>
      <c r="BC112" s="433"/>
      <c r="BD112" s="433">
        <f>$AP$112</f>
        <v>0</v>
      </c>
      <c r="BE112" s="433"/>
      <c r="BF112" s="433"/>
      <c r="BG112" s="433"/>
      <c r="BH112" s="433"/>
    </row>
    <row r="113" spans="1:60" ht="13.5" customHeight="1" x14ac:dyDescent="0.25">
      <c r="A113" s="937" t="s">
        <v>2218</v>
      </c>
      <c r="B113" s="937"/>
      <c r="C113" s="937"/>
      <c r="D113" s="937"/>
      <c r="E113" s="937"/>
      <c r="F113" s="937"/>
      <c r="G113" s="940" t="s">
        <v>2483</v>
      </c>
      <c r="H113" s="940"/>
      <c r="I113" s="940"/>
      <c r="J113" s="940"/>
      <c r="K113" s="940"/>
      <c r="L113" s="940"/>
      <c r="M113" s="940"/>
      <c r="N113" s="940"/>
      <c r="O113" s="940"/>
      <c r="P113" s="940"/>
      <c r="Q113" s="940"/>
      <c r="R113" s="940"/>
      <c r="S113" s="940"/>
      <c r="T113" s="940"/>
      <c r="U113" s="940"/>
      <c r="V113" s="940"/>
      <c r="W113" s="940"/>
      <c r="X113" s="940"/>
      <c r="Y113" s="940"/>
      <c r="Z113" s="940"/>
      <c r="AA113" s="940"/>
      <c r="AB113" s="940"/>
      <c r="AC113" s="940"/>
      <c r="AD113" s="940"/>
      <c r="AE113" s="940"/>
      <c r="AF113" s="940"/>
      <c r="AG113" s="940"/>
      <c r="AH113" s="940"/>
      <c r="AI113" s="951">
        <f>SUM(AI79+AI96+AI106+AI107+AI108+AI109+AI110+AI111+AI112)</f>
        <v>-159961</v>
      </c>
      <c r="AJ113" s="951"/>
      <c r="AK113" s="951"/>
      <c r="AL113" s="951"/>
      <c r="AM113" s="951"/>
      <c r="AN113" s="951"/>
      <c r="AO113" s="951"/>
      <c r="AP113" s="951"/>
      <c r="AQ113" s="951"/>
      <c r="AR113" s="951"/>
      <c r="AS113" s="951"/>
      <c r="AT113" s="951"/>
      <c r="AU113" s="951"/>
      <c r="AV113" s="951"/>
      <c r="AW113" s="430"/>
      <c r="BB113" s="432">
        <f>SUM(BB79+BB96+BB106+BB107+BB108+BB109+BB110+BB111+BB112)</f>
        <v>-159961</v>
      </c>
      <c r="BC113" s="433"/>
      <c r="BD113" s="432">
        <f>SUM(BD79+BD96+BD106+BD107+BD108+BD109+BD110+BD111+BD112)</f>
        <v>-119581</v>
      </c>
      <c r="BE113" s="433"/>
      <c r="BF113" s="433"/>
      <c r="BG113" s="433"/>
      <c r="BH113" s="433"/>
    </row>
    <row r="114" spans="1:60" ht="30" customHeight="1" x14ac:dyDescent="0.25">
      <c r="A114" s="937" t="s">
        <v>2295</v>
      </c>
      <c r="B114" s="937"/>
      <c r="C114" s="937"/>
      <c r="D114" s="937"/>
      <c r="E114" s="937"/>
      <c r="F114" s="937"/>
      <c r="G114" s="940" t="s">
        <v>2484</v>
      </c>
      <c r="H114" s="940"/>
      <c r="I114" s="940"/>
      <c r="J114" s="940"/>
      <c r="K114" s="940"/>
      <c r="L114" s="940"/>
      <c r="M114" s="940"/>
      <c r="N114" s="940"/>
      <c r="O114" s="940"/>
      <c r="P114" s="940"/>
      <c r="Q114" s="940"/>
      <c r="R114" s="940"/>
      <c r="S114" s="940"/>
      <c r="T114" s="940"/>
      <c r="U114" s="940"/>
      <c r="V114" s="940"/>
      <c r="W114" s="940"/>
      <c r="X114" s="940"/>
      <c r="Y114" s="940"/>
      <c r="Z114" s="940"/>
      <c r="AA114" s="940"/>
      <c r="AB114" s="940"/>
      <c r="AC114" s="940"/>
      <c r="AD114" s="940"/>
      <c r="AE114" s="940"/>
      <c r="AF114" s="940"/>
      <c r="AG114" s="940"/>
      <c r="AH114" s="940"/>
      <c r="AI114" s="951">
        <f>SUM(AI113+AI77+AI46)</f>
        <v>-3190</v>
      </c>
      <c r="AJ114" s="951"/>
      <c r="AK114" s="951"/>
      <c r="AL114" s="951"/>
      <c r="AM114" s="951"/>
      <c r="AN114" s="951"/>
      <c r="AO114" s="951"/>
      <c r="AP114" s="951"/>
      <c r="AQ114" s="951"/>
      <c r="AR114" s="951"/>
      <c r="AS114" s="951"/>
      <c r="AT114" s="951"/>
      <c r="AU114" s="951"/>
      <c r="AV114" s="951"/>
      <c r="AW114" s="430"/>
      <c r="BB114" s="432">
        <f>SUM(BB113+BB77+BB46)</f>
        <v>-105212</v>
      </c>
      <c r="BC114" s="433"/>
      <c r="BD114" s="432">
        <f>SUM(BD113+BD77+BD46)</f>
        <v>-135635</v>
      </c>
      <c r="BE114" s="433"/>
      <c r="BF114" s="433"/>
      <c r="BG114" s="433"/>
      <c r="BH114" s="433"/>
    </row>
    <row r="115" spans="1:60" ht="30" customHeight="1" x14ac:dyDescent="0.25">
      <c r="A115" s="937" t="s">
        <v>2485</v>
      </c>
      <c r="B115" s="937"/>
      <c r="C115" s="937"/>
      <c r="D115" s="937"/>
      <c r="E115" s="937"/>
      <c r="F115" s="937"/>
      <c r="G115" s="940" t="s">
        <v>2486</v>
      </c>
      <c r="H115" s="940"/>
      <c r="I115" s="940"/>
      <c r="J115" s="940"/>
      <c r="K115" s="940"/>
      <c r="L115" s="940"/>
      <c r="M115" s="940"/>
      <c r="N115" s="940"/>
      <c r="O115" s="940"/>
      <c r="P115" s="940"/>
      <c r="Q115" s="940"/>
      <c r="R115" s="940"/>
      <c r="S115" s="940"/>
      <c r="T115" s="940"/>
      <c r="U115" s="940"/>
      <c r="V115" s="940"/>
      <c r="W115" s="940"/>
      <c r="X115" s="940"/>
      <c r="Y115" s="940"/>
      <c r="Z115" s="940"/>
      <c r="AA115" s="940"/>
      <c r="AB115" s="940"/>
      <c r="AC115" s="940"/>
      <c r="AD115" s="940"/>
      <c r="AE115" s="940"/>
      <c r="AF115" s="940"/>
      <c r="AG115" s="940"/>
      <c r="AH115" s="940"/>
      <c r="AI115" s="953">
        <f>SUM(SUVAHAVUJ!$X$73+SUVAHAVUJ!$X$68)</f>
        <v>20278</v>
      </c>
      <c r="AJ115" s="953"/>
      <c r="AK115" s="953"/>
      <c r="AL115" s="953"/>
      <c r="AM115" s="953"/>
      <c r="AN115" s="953"/>
      <c r="AO115" s="953"/>
      <c r="AP115" s="953"/>
      <c r="AQ115" s="953"/>
      <c r="AR115" s="953"/>
      <c r="AS115" s="953"/>
      <c r="AT115" s="953"/>
      <c r="AU115" s="953"/>
      <c r="AV115" s="953"/>
      <c r="AW115" s="430"/>
      <c r="BB115" s="432">
        <f>SUM(SUVAHAVUJ!$X$73+SUVAHAVUJ!$X$68)</f>
        <v>20278</v>
      </c>
      <c r="BC115" s="433"/>
      <c r="BD115" s="433">
        <f>SUM(SUVAHAVUJ!$AS$73+SUVAHAVUJ!$AS$68)</f>
        <v>-1131</v>
      </c>
      <c r="BE115" s="433"/>
      <c r="BF115" s="433"/>
      <c r="BG115" s="433"/>
      <c r="BH115" s="433"/>
    </row>
    <row r="116" spans="1:60" ht="45" customHeight="1" x14ac:dyDescent="0.25">
      <c r="A116" s="937" t="s">
        <v>2487</v>
      </c>
      <c r="B116" s="937"/>
      <c r="C116" s="937"/>
      <c r="D116" s="937"/>
      <c r="E116" s="937"/>
      <c r="F116" s="937"/>
      <c r="G116" s="940" t="s">
        <v>2488</v>
      </c>
      <c r="H116" s="940"/>
      <c r="I116" s="940"/>
      <c r="J116" s="940"/>
      <c r="K116" s="940"/>
      <c r="L116" s="940"/>
      <c r="M116" s="940"/>
      <c r="N116" s="940"/>
      <c r="O116" s="940"/>
      <c r="P116" s="940"/>
      <c r="Q116" s="940"/>
      <c r="R116" s="940"/>
      <c r="S116" s="940"/>
      <c r="T116" s="940"/>
      <c r="U116" s="940"/>
      <c r="V116" s="940"/>
      <c r="W116" s="940"/>
      <c r="X116" s="940"/>
      <c r="Y116" s="940"/>
      <c r="Z116" s="940"/>
      <c r="AA116" s="940"/>
      <c r="AB116" s="940"/>
      <c r="AC116" s="940"/>
      <c r="AD116" s="940"/>
      <c r="AE116" s="940"/>
      <c r="AF116" s="940"/>
      <c r="AG116" s="940"/>
      <c r="AH116" s="940"/>
      <c r="AI116" s="952">
        <f>SUM(SUVAHAVUJ!$N$73+SUVAHAVUJ!$N$68)</f>
        <v>17088</v>
      </c>
      <c r="AJ116" s="952"/>
      <c r="AK116" s="952"/>
      <c r="AL116" s="952"/>
      <c r="AM116" s="952"/>
      <c r="AN116" s="952"/>
      <c r="AO116" s="952"/>
      <c r="AP116" s="952"/>
      <c r="AQ116" s="952"/>
      <c r="AR116" s="952"/>
      <c r="AS116" s="952"/>
      <c r="AT116" s="952"/>
      <c r="AU116" s="952"/>
      <c r="AV116" s="952"/>
      <c r="AW116" s="430"/>
      <c r="BB116" s="432">
        <f>SUM(SUVAHAVUJ!$N$73+SUVAHAVUJ!$N$68)</f>
        <v>17088</v>
      </c>
      <c r="BC116" s="433"/>
      <c r="BD116" s="433">
        <f>SUM(SUVAHAVUJ!$X$73+SUVAHAVUJ!$X$68)</f>
        <v>20278</v>
      </c>
      <c r="BE116" s="433"/>
      <c r="BF116" s="433"/>
      <c r="BG116" s="433"/>
      <c r="BH116" s="433"/>
    </row>
    <row r="117" spans="1:60" ht="30" customHeight="1" x14ac:dyDescent="0.25">
      <c r="A117" s="937" t="s">
        <v>2489</v>
      </c>
      <c r="B117" s="937"/>
      <c r="C117" s="937"/>
      <c r="D117" s="937"/>
      <c r="E117" s="937"/>
      <c r="F117" s="937"/>
      <c r="G117" s="940" t="s">
        <v>2490</v>
      </c>
      <c r="H117" s="940"/>
      <c r="I117" s="940"/>
      <c r="J117" s="940"/>
      <c r="K117" s="940"/>
      <c r="L117" s="940"/>
      <c r="M117" s="940"/>
      <c r="N117" s="940"/>
      <c r="O117" s="940"/>
      <c r="P117" s="940"/>
      <c r="Q117" s="940"/>
      <c r="R117" s="940"/>
      <c r="S117" s="940"/>
      <c r="T117" s="940"/>
      <c r="U117" s="940"/>
      <c r="V117" s="940"/>
      <c r="W117" s="940"/>
      <c r="X117" s="940"/>
      <c r="Y117" s="940"/>
      <c r="Z117" s="940"/>
      <c r="AA117" s="940"/>
      <c r="AB117" s="940"/>
      <c r="AC117" s="940"/>
      <c r="AD117" s="940"/>
      <c r="AE117" s="940"/>
      <c r="AF117" s="940"/>
      <c r="AG117" s="940"/>
      <c r="AH117" s="940"/>
      <c r="AI117" s="949">
        <f>SUM(AI19)</f>
        <v>0</v>
      </c>
      <c r="AJ117" s="949"/>
      <c r="AK117" s="949"/>
      <c r="AL117" s="949"/>
      <c r="AM117" s="949"/>
      <c r="AN117" s="949"/>
      <c r="AO117" s="949"/>
      <c r="AP117" s="949"/>
      <c r="AQ117" s="949"/>
      <c r="AR117" s="949"/>
      <c r="AS117" s="949"/>
      <c r="AT117" s="949"/>
      <c r="AU117" s="949"/>
      <c r="AV117" s="949"/>
      <c r="AW117" s="430"/>
      <c r="BB117" s="432">
        <f>SUM(AI117)</f>
        <v>0</v>
      </c>
      <c r="BC117" s="433"/>
      <c r="BD117" s="433">
        <f>$AP$117</f>
        <v>0</v>
      </c>
      <c r="BE117" s="433"/>
      <c r="BF117" s="433"/>
      <c r="BG117" s="433"/>
      <c r="BH117" s="433"/>
    </row>
    <row r="118" spans="1:60" ht="44.25" customHeight="1" x14ac:dyDescent="0.25">
      <c r="A118" s="937" t="s">
        <v>2491</v>
      </c>
      <c r="B118" s="937"/>
      <c r="C118" s="937"/>
      <c r="D118" s="937"/>
      <c r="E118" s="937"/>
      <c r="F118" s="937"/>
      <c r="G118" s="940" t="s">
        <v>2492</v>
      </c>
      <c r="H118" s="940"/>
      <c r="I118" s="940"/>
      <c r="J118" s="940"/>
      <c r="K118" s="940"/>
      <c r="L118" s="940"/>
      <c r="M118" s="940"/>
      <c r="N118" s="940"/>
      <c r="O118" s="940"/>
      <c r="P118" s="940"/>
      <c r="Q118" s="940"/>
      <c r="R118" s="940"/>
      <c r="S118" s="940"/>
      <c r="T118" s="940"/>
      <c r="U118" s="940"/>
      <c r="V118" s="940"/>
      <c r="W118" s="940"/>
      <c r="X118" s="940"/>
      <c r="Y118" s="940"/>
      <c r="Z118" s="940"/>
      <c r="AA118" s="940"/>
      <c r="AB118" s="940"/>
      <c r="AC118" s="940"/>
      <c r="AD118" s="940"/>
      <c r="AE118" s="940"/>
      <c r="AF118" s="940"/>
      <c r="AG118" s="940"/>
      <c r="AH118" s="940"/>
      <c r="AI118" s="952">
        <f>SUM(AI116+AI117)</f>
        <v>17088</v>
      </c>
      <c r="AJ118" s="952"/>
      <c r="AK118" s="952"/>
      <c r="AL118" s="952"/>
      <c r="AM118" s="952"/>
      <c r="AN118" s="952"/>
      <c r="AO118" s="952"/>
      <c r="AP118" s="952"/>
      <c r="AQ118" s="952"/>
      <c r="AR118" s="952"/>
      <c r="AS118" s="952"/>
      <c r="AT118" s="952"/>
      <c r="AU118" s="952"/>
      <c r="AV118" s="952"/>
      <c r="AW118" s="430"/>
      <c r="BB118" s="432">
        <f>SUM(BB116+BB117)</f>
        <v>17088</v>
      </c>
      <c r="BC118" s="433"/>
      <c r="BD118" s="432">
        <f>SUM(BD116+BD117)</f>
        <v>20278</v>
      </c>
      <c r="BE118" s="433"/>
      <c r="BF118" s="433"/>
      <c r="BG118" s="433"/>
      <c r="BH118" s="433"/>
    </row>
    <row r="119" spans="1:60" ht="0.75" customHeight="1" x14ac:dyDescent="0.25">
      <c r="H119" s="363"/>
      <c r="I119" s="363"/>
      <c r="J119" s="363"/>
      <c r="K119" s="363"/>
      <c r="L119" s="363"/>
      <c r="M119" s="363"/>
      <c r="N119" s="363"/>
      <c r="O119" s="363"/>
      <c r="P119" s="363"/>
      <c r="Q119" s="363"/>
      <c r="R119" s="363"/>
      <c r="S119" s="363"/>
      <c r="T119" s="363"/>
      <c r="U119" s="363"/>
      <c r="V119" s="363"/>
      <c r="W119" s="363"/>
      <c r="X119" s="363"/>
      <c r="Y119" s="363"/>
      <c r="Z119" s="363"/>
      <c r="AA119" s="363"/>
      <c r="AB119" s="363"/>
      <c r="AC119" s="363"/>
      <c r="AD119" s="363"/>
      <c r="AE119" s="363"/>
      <c r="AF119" s="363"/>
      <c r="AG119" s="363"/>
      <c r="AH119" s="363"/>
      <c r="AI119" s="363"/>
      <c r="AJ119" s="363"/>
      <c r="AK119" s="363"/>
      <c r="AL119" s="363"/>
      <c r="AM119" s="363"/>
      <c r="AN119" s="363"/>
      <c r="AO119" s="363"/>
      <c r="AP119" s="363"/>
      <c r="AQ119" s="363"/>
      <c r="AR119" s="363"/>
      <c r="AS119" s="193"/>
      <c r="AT119" s="363"/>
      <c r="AU119" s="363"/>
      <c r="AV119" s="363"/>
      <c r="AW119" s="363"/>
      <c r="BB119" s="429"/>
    </row>
    <row r="120" spans="1:60" hidden="1" x14ac:dyDescent="0.25">
      <c r="AI120" s="954">
        <f>SUM(AI116-AI115)</f>
        <v>-3190</v>
      </c>
      <c r="AJ120" s="954"/>
      <c r="AK120" s="954"/>
      <c r="AL120" s="954"/>
      <c r="AM120" s="954"/>
      <c r="AN120" s="954"/>
      <c r="AO120" s="954"/>
      <c r="AP120" s="954">
        <f>SUM(AP116-AP115)</f>
        <v>0</v>
      </c>
      <c r="AQ120" s="954"/>
      <c r="AR120" s="954"/>
      <c r="AS120" s="954"/>
      <c r="AT120" s="954"/>
      <c r="AU120" s="954"/>
      <c r="AV120" s="954"/>
      <c r="BB120" s="432">
        <f>SUM(BB116-BB115)</f>
        <v>-3190</v>
      </c>
      <c r="BD120" s="432">
        <f>SUM(BD116-BD115)</f>
        <v>21409</v>
      </c>
    </row>
    <row r="121" spans="1:60" hidden="1" x14ac:dyDescent="0.25">
      <c r="BB121"/>
    </row>
    <row r="122" spans="1:60" hidden="1" x14ac:dyDescent="0.25">
      <c r="AI122" s="954">
        <f>SUM(AI114-AI120)*-1</f>
        <v>0</v>
      </c>
      <c r="AJ122" s="954"/>
      <c r="AK122" s="954"/>
      <c r="AL122" s="954"/>
      <c r="AM122" s="954"/>
      <c r="AN122" s="954"/>
      <c r="AO122" s="954"/>
      <c r="AP122" s="954">
        <f>SUM(AP114-AP120)*-1</f>
        <v>0</v>
      </c>
      <c r="AQ122" s="954"/>
      <c r="AR122" s="954"/>
      <c r="AS122" s="954"/>
      <c r="AT122" s="954"/>
      <c r="AU122" s="954"/>
      <c r="AV122" s="954"/>
      <c r="BB122" s="429">
        <f>SUM(BB114-BB120)*-1</f>
        <v>102022</v>
      </c>
      <c r="BD122" s="429">
        <f>SUM(BD114-BD120)*-1</f>
        <v>157044</v>
      </c>
    </row>
  </sheetData>
  <mergeCells count="360">
    <mergeCell ref="AI122:AO122"/>
    <mergeCell ref="AP122:AV122"/>
    <mergeCell ref="A117:F117"/>
    <mergeCell ref="G117:AH117"/>
    <mergeCell ref="AI117:AO117"/>
    <mergeCell ref="AP117:AV117"/>
    <mergeCell ref="A118:F118"/>
    <mergeCell ref="G118:AH118"/>
    <mergeCell ref="AI118:AO118"/>
    <mergeCell ref="AP118:AV118"/>
    <mergeCell ref="AI120:AO120"/>
    <mergeCell ref="AP120:AV120"/>
    <mergeCell ref="A114:F114"/>
    <mergeCell ref="G114:AH114"/>
    <mergeCell ref="AI114:AO114"/>
    <mergeCell ref="AP114:AV114"/>
    <mergeCell ref="A115:F115"/>
    <mergeCell ref="G115:AH115"/>
    <mergeCell ref="AI115:AO115"/>
    <mergeCell ref="AP115:AV115"/>
    <mergeCell ref="A116:F116"/>
    <mergeCell ref="G116:AH116"/>
    <mergeCell ref="AI116:AO116"/>
    <mergeCell ref="AP116:AV116"/>
    <mergeCell ref="A111:F111"/>
    <mergeCell ref="G111:AH111"/>
    <mergeCell ref="AI111:AO111"/>
    <mergeCell ref="AP111:AV111"/>
    <mergeCell ref="A112:F112"/>
    <mergeCell ref="G112:AH112"/>
    <mergeCell ref="AI112:AO112"/>
    <mergeCell ref="AP112:AV112"/>
    <mergeCell ref="A113:F113"/>
    <mergeCell ref="G113:AH113"/>
    <mergeCell ref="AI113:AO113"/>
    <mergeCell ref="AP113:AV113"/>
    <mergeCell ref="A108:F108"/>
    <mergeCell ref="G108:AH108"/>
    <mergeCell ref="AI108:AO108"/>
    <mergeCell ref="AP108:AV108"/>
    <mergeCell ref="A109:F109"/>
    <mergeCell ref="G109:AH109"/>
    <mergeCell ref="AI109:AO109"/>
    <mergeCell ref="AP109:AV109"/>
    <mergeCell ref="A110:F110"/>
    <mergeCell ref="G110:AH110"/>
    <mergeCell ref="AI110:AO110"/>
    <mergeCell ref="AP110:AV110"/>
    <mergeCell ref="A105:F105"/>
    <mergeCell ref="G105:AH105"/>
    <mergeCell ref="AI105:AO105"/>
    <mergeCell ref="AP105:AV105"/>
    <mergeCell ref="A106:F106"/>
    <mergeCell ref="G106:AH106"/>
    <mergeCell ref="AI106:AO106"/>
    <mergeCell ref="AP106:AV106"/>
    <mergeCell ref="A107:F107"/>
    <mergeCell ref="G107:AH107"/>
    <mergeCell ref="AI107:AO107"/>
    <mergeCell ref="AP107:AV107"/>
    <mergeCell ref="A102:F102"/>
    <mergeCell ref="G102:AH102"/>
    <mergeCell ref="AI102:AO102"/>
    <mergeCell ref="AP102:AV102"/>
    <mergeCell ref="A103:F103"/>
    <mergeCell ref="G103:AH103"/>
    <mergeCell ref="AI103:AO103"/>
    <mergeCell ref="AP103:AV103"/>
    <mergeCell ref="A104:F104"/>
    <mergeCell ref="G104:AH104"/>
    <mergeCell ref="AI104:AO104"/>
    <mergeCell ref="AP104:AV104"/>
    <mergeCell ref="A99:F99"/>
    <mergeCell ref="G99:AH99"/>
    <mergeCell ref="AI99:AO99"/>
    <mergeCell ref="AP99:AV99"/>
    <mergeCell ref="A100:F100"/>
    <mergeCell ref="G100:AH100"/>
    <mergeCell ref="AI100:AO100"/>
    <mergeCell ref="AP100:AV100"/>
    <mergeCell ref="A101:F101"/>
    <mergeCell ref="G101:AH101"/>
    <mergeCell ref="AI101:AO101"/>
    <mergeCell ref="AP101:AV101"/>
    <mergeCell ref="A96:F96"/>
    <mergeCell ref="G96:AH96"/>
    <mergeCell ref="AI96:AO96"/>
    <mergeCell ref="AP96:AV96"/>
    <mergeCell ref="A97:F97"/>
    <mergeCell ref="G97:AH97"/>
    <mergeCell ref="AI97:AO97"/>
    <mergeCell ref="AP97:AV97"/>
    <mergeCell ref="A98:F98"/>
    <mergeCell ref="G98:AH98"/>
    <mergeCell ref="AI98:AO98"/>
    <mergeCell ref="AP98:AV98"/>
    <mergeCell ref="A86:F86"/>
    <mergeCell ref="G86:AH86"/>
    <mergeCell ref="AI86:AO86"/>
    <mergeCell ref="AP86:AV86"/>
    <mergeCell ref="A87:F87"/>
    <mergeCell ref="G87:AH87"/>
    <mergeCell ref="AI87:AO87"/>
    <mergeCell ref="AP87:AV87"/>
    <mergeCell ref="A94:F95"/>
    <mergeCell ref="G94:AH95"/>
    <mergeCell ref="AI94:AO95"/>
    <mergeCell ref="AP94:AV95"/>
    <mergeCell ref="A83:F83"/>
    <mergeCell ref="G83:AH83"/>
    <mergeCell ref="AI83:AO83"/>
    <mergeCell ref="AP83:AV83"/>
    <mergeCell ref="A84:F84"/>
    <mergeCell ref="G84:AH84"/>
    <mergeCell ref="AI84:AO84"/>
    <mergeCell ref="AP84:AV84"/>
    <mergeCell ref="A85:F85"/>
    <mergeCell ref="G85:AH85"/>
    <mergeCell ref="AI85:AO85"/>
    <mergeCell ref="AP85:AV85"/>
    <mergeCell ref="A80:F80"/>
    <mergeCell ref="G80:AH80"/>
    <mergeCell ref="AI80:AO80"/>
    <mergeCell ref="AP80:AV80"/>
    <mergeCell ref="A81:F81"/>
    <mergeCell ref="G81:AH81"/>
    <mergeCell ref="AI81:AO81"/>
    <mergeCell ref="AP81:AV81"/>
    <mergeCell ref="A82:F82"/>
    <mergeCell ref="G82:AH82"/>
    <mergeCell ref="AI82:AO82"/>
    <mergeCell ref="AP82:AV82"/>
    <mergeCell ref="A77:F77"/>
    <mergeCell ref="G77:AH77"/>
    <mergeCell ref="AI77:AO77"/>
    <mergeCell ref="AP77:AV77"/>
    <mergeCell ref="A78:F78"/>
    <mergeCell ref="G78:AH78"/>
    <mergeCell ref="AI78:AO78"/>
    <mergeCell ref="AP78:AV78"/>
    <mergeCell ref="A79:F79"/>
    <mergeCell ref="G79:AH79"/>
    <mergeCell ref="AI79:AO79"/>
    <mergeCell ref="AP79:AV79"/>
    <mergeCell ref="A74:F74"/>
    <mergeCell ref="G74:AH74"/>
    <mergeCell ref="AI74:AO74"/>
    <mergeCell ref="AP74:AV74"/>
    <mergeCell ref="A75:F75"/>
    <mergeCell ref="G75:AH75"/>
    <mergeCell ref="AI75:AO75"/>
    <mergeCell ref="AP75:AV75"/>
    <mergeCell ref="A76:F76"/>
    <mergeCell ref="G76:AH76"/>
    <mergeCell ref="AI76:AO76"/>
    <mergeCell ref="AP76:AV76"/>
    <mergeCell ref="A71:F71"/>
    <mergeCell ref="G71:AH71"/>
    <mergeCell ref="AI71:AO71"/>
    <mergeCell ref="AP71:AV71"/>
    <mergeCell ref="A72:F72"/>
    <mergeCell ref="G72:AH72"/>
    <mergeCell ref="AI72:AO72"/>
    <mergeCell ref="AP72:AV72"/>
    <mergeCell ref="A73:F73"/>
    <mergeCell ref="G73:AH73"/>
    <mergeCell ref="AI73:AO73"/>
    <mergeCell ref="AP73:AV73"/>
    <mergeCell ref="A68:F68"/>
    <mergeCell ref="G68:AH68"/>
    <mergeCell ref="AI68:AO68"/>
    <mergeCell ref="AP68:AV68"/>
    <mergeCell ref="A69:F69"/>
    <mergeCell ref="G69:AH69"/>
    <mergeCell ref="AI69:AO69"/>
    <mergeCell ref="AP69:AV69"/>
    <mergeCell ref="A70:F70"/>
    <mergeCell ref="G70:AH70"/>
    <mergeCell ref="AI70:AO70"/>
    <mergeCell ref="AP70:AV70"/>
    <mergeCell ref="A64:F65"/>
    <mergeCell ref="G64:AH65"/>
    <mergeCell ref="AI64:AO65"/>
    <mergeCell ref="AP64:AV65"/>
    <mergeCell ref="A66:F66"/>
    <mergeCell ref="G66:AH66"/>
    <mergeCell ref="AI66:AO66"/>
    <mergeCell ref="AP66:AV66"/>
    <mergeCell ref="A67:F67"/>
    <mergeCell ref="G67:AH67"/>
    <mergeCell ref="AI67:AO67"/>
    <mergeCell ref="AP67:AV67"/>
    <mergeCell ref="A53:F53"/>
    <mergeCell ref="G53:AH53"/>
    <mergeCell ref="AI53:AO53"/>
    <mergeCell ref="AP53:AV53"/>
    <mergeCell ref="A54:F54"/>
    <mergeCell ref="G54:AH54"/>
    <mergeCell ref="AI54:AO54"/>
    <mergeCell ref="AP54:AV54"/>
    <mergeCell ref="A55:F55"/>
    <mergeCell ref="G55:AH55"/>
    <mergeCell ref="AI55:AO55"/>
    <mergeCell ref="AP55:AV55"/>
    <mergeCell ref="A50:F50"/>
    <mergeCell ref="G50:AH50"/>
    <mergeCell ref="AI50:AO50"/>
    <mergeCell ref="AP50:AV50"/>
    <mergeCell ref="A51:F51"/>
    <mergeCell ref="G51:AH51"/>
    <mergeCell ref="AI51:AO51"/>
    <mergeCell ref="AP51:AV51"/>
    <mergeCell ref="A52:F52"/>
    <mergeCell ref="G52:AH52"/>
    <mergeCell ref="AI52:AO52"/>
    <mergeCell ref="AP52:AV52"/>
    <mergeCell ref="A47:F47"/>
    <mergeCell ref="G47:AH47"/>
    <mergeCell ref="AI47:AO47"/>
    <mergeCell ref="AP47:AV47"/>
    <mergeCell ref="A48:F48"/>
    <mergeCell ref="G48:AH48"/>
    <mergeCell ref="AI48:AO48"/>
    <mergeCell ref="AP48:AV48"/>
    <mergeCell ref="A49:F49"/>
    <mergeCell ref="G49:AH49"/>
    <mergeCell ref="AI49:AO49"/>
    <mergeCell ref="AP49:AV49"/>
    <mergeCell ref="A44:F44"/>
    <mergeCell ref="G44:AH44"/>
    <mergeCell ref="AI44:AO44"/>
    <mergeCell ref="AP44:AV44"/>
    <mergeCell ref="A45:F45"/>
    <mergeCell ref="G45:AH45"/>
    <mergeCell ref="AI45:AO45"/>
    <mergeCell ref="AP45:AV45"/>
    <mergeCell ref="A46:F46"/>
    <mergeCell ref="G46:AH46"/>
    <mergeCell ref="AI46:AO46"/>
    <mergeCell ref="AP46:AV46"/>
    <mergeCell ref="A41:F41"/>
    <mergeCell ref="G41:AH41"/>
    <mergeCell ref="AI41:AO41"/>
    <mergeCell ref="AP41:AV41"/>
    <mergeCell ref="A42:F42"/>
    <mergeCell ref="G42:AH42"/>
    <mergeCell ref="AI42:AO42"/>
    <mergeCell ref="AP42:AV42"/>
    <mergeCell ref="A43:F43"/>
    <mergeCell ref="G43:AH43"/>
    <mergeCell ref="AI43:AO43"/>
    <mergeCell ref="AP43:AV43"/>
    <mergeCell ref="A38:F38"/>
    <mergeCell ref="G38:AH38"/>
    <mergeCell ref="AI38:AO38"/>
    <mergeCell ref="AP38:AV38"/>
    <mergeCell ref="A39:F39"/>
    <mergeCell ref="G39:AH39"/>
    <mergeCell ref="AI39:AO39"/>
    <mergeCell ref="AP39:AV39"/>
    <mergeCell ref="A40:F40"/>
    <mergeCell ref="G40:AH40"/>
    <mergeCell ref="AI40:AO40"/>
    <mergeCell ref="AP40:AV40"/>
    <mergeCell ref="A27:F27"/>
    <mergeCell ref="G27:AH27"/>
    <mergeCell ref="AI27:AO27"/>
    <mergeCell ref="AP27:AV27"/>
    <mergeCell ref="A35:F36"/>
    <mergeCell ref="G35:AH36"/>
    <mergeCell ref="AI35:AO36"/>
    <mergeCell ref="AP35:AV36"/>
    <mergeCell ref="A37:F37"/>
    <mergeCell ref="G37:AH37"/>
    <mergeCell ref="AI37:AO37"/>
    <mergeCell ref="AP37:AV37"/>
    <mergeCell ref="A24:F24"/>
    <mergeCell ref="G24:AH24"/>
    <mergeCell ref="AI24:AO24"/>
    <mergeCell ref="AP24:AV24"/>
    <mergeCell ref="A25:F25"/>
    <mergeCell ref="G25:AH25"/>
    <mergeCell ref="AI25:AO25"/>
    <mergeCell ref="AP25:AV25"/>
    <mergeCell ref="A26:F26"/>
    <mergeCell ref="G26:AH26"/>
    <mergeCell ref="AI26:AO26"/>
    <mergeCell ref="AP26:AV26"/>
    <mergeCell ref="A21:F21"/>
    <mergeCell ref="G21:AH21"/>
    <mergeCell ref="AI21:AO21"/>
    <mergeCell ref="AP21:AV21"/>
    <mergeCell ref="A22:F22"/>
    <mergeCell ref="G22:AH22"/>
    <mergeCell ref="AI22:AO22"/>
    <mergeCell ref="AP22:AV22"/>
    <mergeCell ref="A23:F23"/>
    <mergeCell ref="G23:AH23"/>
    <mergeCell ref="AI23:AO23"/>
    <mergeCell ref="AP23:AV23"/>
    <mergeCell ref="A18:F18"/>
    <mergeCell ref="G18:AH18"/>
    <mergeCell ref="AI18:AO18"/>
    <mergeCell ref="AP18:AV18"/>
    <mergeCell ref="A19:F19"/>
    <mergeCell ref="G19:AH19"/>
    <mergeCell ref="AI19:AO19"/>
    <mergeCell ref="AP19:AV19"/>
    <mergeCell ref="A20:F20"/>
    <mergeCell ref="G20:AH20"/>
    <mergeCell ref="AI20:AO20"/>
    <mergeCell ref="AP20:AV20"/>
    <mergeCell ref="A15:F15"/>
    <mergeCell ref="G15:AH15"/>
    <mergeCell ref="AI15:AO15"/>
    <mergeCell ref="AP15:AV15"/>
    <mergeCell ref="A16:F16"/>
    <mergeCell ref="G16:AH16"/>
    <mergeCell ref="AI16:AO16"/>
    <mergeCell ref="AP16:AV16"/>
    <mergeCell ref="A17:F17"/>
    <mergeCell ref="G17:AH17"/>
    <mergeCell ref="AI17:AO17"/>
    <mergeCell ref="AP17:AV17"/>
    <mergeCell ref="A12:F12"/>
    <mergeCell ref="G12:AH12"/>
    <mergeCell ref="AI12:AO12"/>
    <mergeCell ref="AP12:AV12"/>
    <mergeCell ref="A13:F13"/>
    <mergeCell ref="G13:AH13"/>
    <mergeCell ref="AI13:AO13"/>
    <mergeCell ref="AP13:AV13"/>
    <mergeCell ref="A14:F14"/>
    <mergeCell ref="G14:AH14"/>
    <mergeCell ref="AI14:AO14"/>
    <mergeCell ref="AP14:AV14"/>
    <mergeCell ref="A9:F9"/>
    <mergeCell ref="G9:AH9"/>
    <mergeCell ref="AI9:AO9"/>
    <mergeCell ref="AP9:AV9"/>
    <mergeCell ref="A10:F10"/>
    <mergeCell ref="G10:AH10"/>
    <mergeCell ref="AI10:AO10"/>
    <mergeCell ref="AP10:AV10"/>
    <mergeCell ref="A11:F11"/>
    <mergeCell ref="G11:AH11"/>
    <mergeCell ref="AI11:AO11"/>
    <mergeCell ref="AP11:AV11"/>
    <mergeCell ref="A5:F6"/>
    <mergeCell ref="G5:AH6"/>
    <mergeCell ref="AI5:AO6"/>
    <mergeCell ref="AP5:AV6"/>
    <mergeCell ref="A7:F7"/>
    <mergeCell ref="G7:AH7"/>
    <mergeCell ref="AI7:AO7"/>
    <mergeCell ref="AP7:AV7"/>
    <mergeCell ref="A8:F8"/>
    <mergeCell ref="G8:AH8"/>
    <mergeCell ref="AI8:AO8"/>
    <mergeCell ref="AP8:AV8"/>
  </mergeCells>
  <pageMargins left="0.70833333333333304" right="0.70833333333333304" top="0.74791666666666701" bottom="0.74861111111111101" header="0.51180555555555496" footer="0.31527777777777799"/>
  <pageSetup paperSize="9" firstPageNumber="0" orientation="portrait" horizontalDpi="300" verticalDpi="300"/>
  <headerFooter>
    <oddFooter>&amp;R&amp;9Verlag Dashöfer, vydavateľstvo s.r.o.</oddFooter>
  </headerFooter>
  <rowBreaks count="3" manualBreakCount="3">
    <brk id="30" max="16383" man="1"/>
    <brk id="59" max="16383" man="1"/>
    <brk id="90" max="16383" man="1"/>
  </rowBreaks>
  <drawing r:id="rId1"/>
</worksheet>
</file>

<file path=docProps/app.xml><?xml version="1.0" encoding="utf-8"?>
<Properties xmlns="http://schemas.openxmlformats.org/officeDocument/2006/extended-properties" xmlns:vt="http://schemas.openxmlformats.org/officeDocument/2006/docPropsVTypes">
  <Template/>
  <TotalTime>38</TotalTime>
  <Application>Microsoft Excel</Application>
  <DocSecurity>0</DocSecurity>
  <ScaleCrop>false</ScaleCrop>
  <HeadingPairs>
    <vt:vector size="4" baseType="variant">
      <vt:variant>
        <vt:lpstr>Hárky</vt:lpstr>
      </vt:variant>
      <vt:variant>
        <vt:i4>27</vt:i4>
      </vt:variant>
      <vt:variant>
        <vt:lpstr>Pomenované rozsahy</vt:lpstr>
      </vt:variant>
      <vt:variant>
        <vt:i4>19</vt:i4>
      </vt:variant>
    </vt:vector>
  </HeadingPairs>
  <TitlesOfParts>
    <vt:vector size="46" baseType="lpstr">
      <vt:lpstr>VstupHlavička</vt:lpstr>
      <vt:lpstr>Hlavicka</vt:lpstr>
      <vt:lpstr>hk2018</vt:lpstr>
      <vt:lpstr>hk2017</vt:lpstr>
      <vt:lpstr>Osnova</vt:lpstr>
      <vt:lpstr>ANALYTIKAVUJ</vt:lpstr>
      <vt:lpstr>poznamky 2018</vt:lpstr>
      <vt:lpstr>SUVAHAVUJ</vt:lpstr>
      <vt:lpstr>CASH FLOW DU n</vt:lpstr>
      <vt:lpstr>Analýzy</vt:lpstr>
      <vt:lpstr>HL KNIHA VYPOC</vt:lpstr>
      <vt:lpstr>SKNACE</vt:lpstr>
      <vt:lpstr>PrekladHlav</vt:lpstr>
      <vt:lpstr>List1 (2)</vt:lpstr>
      <vt:lpstr>suvaha_p</vt:lpstr>
      <vt:lpstr>vykaz_p</vt:lpstr>
      <vt:lpstr>S 002</vt:lpstr>
      <vt:lpstr>S 003</vt:lpstr>
      <vt:lpstr>S 004</vt:lpstr>
      <vt:lpstr>S 005</vt:lpstr>
      <vt:lpstr>S 006</vt:lpstr>
      <vt:lpstr>S 007</vt:lpstr>
      <vt:lpstr>S 008</vt:lpstr>
      <vt:lpstr>S 009</vt:lpstr>
      <vt:lpstr>VZS 010</vt:lpstr>
      <vt:lpstr>VZP 011</vt:lpstr>
      <vt:lpstr>VZP 012</vt:lpstr>
      <vt:lpstr>'CASH FLOW DU n'!Oblasť_tlače</vt:lpstr>
      <vt:lpstr>'hk2017'!Oblasť_tlače</vt:lpstr>
      <vt:lpstr>'hk2018'!Oblasť_tlače</vt:lpstr>
      <vt:lpstr>Hlavicka!Oblasť_tlače</vt:lpstr>
      <vt:lpstr>'poznamky 2018'!Oblasť_tlače</vt:lpstr>
      <vt:lpstr>'S 002'!Oblasť_tlače</vt:lpstr>
      <vt:lpstr>'S 003'!Oblasť_tlače</vt:lpstr>
      <vt:lpstr>'S 004'!Oblasť_tlače</vt:lpstr>
      <vt:lpstr>'S 005'!Oblasť_tlače</vt:lpstr>
      <vt:lpstr>'S 006'!Oblasť_tlače</vt:lpstr>
      <vt:lpstr>'S 007'!Oblasť_tlače</vt:lpstr>
      <vt:lpstr>'S 008'!Oblasť_tlače</vt:lpstr>
      <vt:lpstr>'S 009'!Oblasť_tlače</vt:lpstr>
      <vt:lpstr>SUVAHAVUJ!Oblasť_tlače</vt:lpstr>
      <vt:lpstr>'VZP 011'!Oblasť_tlače</vt:lpstr>
      <vt:lpstr>'VZP 012'!Oblasť_tlače</vt:lpstr>
      <vt:lpstr>'VZS 010'!Oblasť_tlače</vt:lpstr>
      <vt:lpstr>Osnova!Osnova</vt:lpstr>
      <vt:lpstr>Osnova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Jakub Selecký</dc:creator>
  <dc:description/>
  <cp:lastModifiedBy>HP</cp:lastModifiedBy>
  <cp:revision>3</cp:revision>
  <cp:lastPrinted>2019-01-17T06:21:08Z</cp:lastPrinted>
  <dcterms:created xsi:type="dcterms:W3CDTF">2017-11-23T14:51:47Z</dcterms:created>
  <dcterms:modified xsi:type="dcterms:W3CDTF">2019-06-26T11:48:06Z</dcterms:modified>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